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mc:AlternateContent xmlns:mc="http://schemas.openxmlformats.org/markup-compatibility/2006">
    <mc:Choice Requires="x15">
      <x15ac:absPath xmlns:x15ac="http://schemas.microsoft.com/office/spreadsheetml/2010/11/ac" url="T:\AER\Jana Work\Publishing for Reset\APA Proposal\RIN Response\"/>
    </mc:Choice>
  </mc:AlternateContent>
  <xr:revisionPtr revIDLastSave="0" documentId="8_{63A65D9A-D79D-4971-8F67-AE91FD2DB463}" xr6:coauthVersionLast="47" xr6:coauthVersionMax="47" xr10:uidLastSave="{00000000-0000-0000-0000-000000000000}"/>
  <bookViews>
    <workbookView xWindow="-120" yWindow="-120" windowWidth="29040" windowHeight="15720" activeTab="2" xr2:uid="{00000000-000D-0000-FFFF-FFFF00000000}"/>
  </bookViews>
  <sheets>
    <sheet name="Instructions" sheetId="16" r:id="rId1"/>
    <sheet name="CONTENTS" sheetId="19" r:id="rId2"/>
    <sheet name="Business &amp; other details" sheetId="7" r:id="rId3"/>
    <sheet name="E2. Repex" sheetId="26" r:id="rId4"/>
    <sheet name="E3. Expansion" sheetId="39" r:id="rId5"/>
    <sheet name="E6. Non-network" sheetId="42" r:id="rId6"/>
    <sheet name="E10. Overheads" sheetId="43" r:id="rId7"/>
    <sheet name="E13. Other capex" sheetId="45" r:id="rId8"/>
    <sheet name="Additional disclosures" sheetId="46" r:id="rId9"/>
    <sheet name="AER Sheet Heading" sheetId="23" state="veryHidden" r:id="rId10"/>
    <sheet name="AER CF" sheetId="4" state="veryHidden" r:id="rId11"/>
    <sheet name="AER NRs" sheetId="8" state="veryHidden" r:id="rId12"/>
    <sheet name="AER lookups" sheetId="1" state="veryHidden" r:id="rId13"/>
    <sheet name="AER ETL" sheetId="2" state="veryHidden" r:id="rId14"/>
  </sheets>
  <definedNames>
    <definedName name="_xlnm._FilterDatabase" localSheetId="12" hidden="1">'AER lookups'!$G$17:$G$22</definedName>
    <definedName name="abba" localSheetId="9" hidden="1">{"Ownership",#N/A,FALSE,"Ownership";"Contents",#N/A,FALSE,"Contents"}</definedName>
    <definedName name="abba" hidden="1">{"Ownership",#N/A,FALSE,"Ownership";"Contents",#N/A,FALSE,"Contents"}</definedName>
    <definedName name="anscount" hidden="1">1</definedName>
    <definedName name="ARR">'AER lookups'!$C$30</definedName>
    <definedName name="ARR_Fmt2">'AER lookups'!$D$30</definedName>
    <definedName name="CA">'AER lookups'!$C$31</definedName>
    <definedName name="CA_Fmt2">'AER lookups'!$D$31</definedName>
    <definedName name="Calendar">'AER lookups'!$C$44:$C$93</definedName>
    <definedName name="CESS">'AER lookups'!$C$32</definedName>
    <definedName name="CESS_Fmt2">'AER lookups'!$D$32</definedName>
    <definedName name="CPI">'AER lookups'!$C$33</definedName>
    <definedName name="CPI_Fmt2">'AER lookups'!$D$33</definedName>
    <definedName name="CRCP_final_year">'AER ETL'!$C$48</definedName>
    <definedName name="CRCP_start_year">'AER ETL'!$C$45</definedName>
    <definedName name="CRCP_y1">'AER lookups'!$G$44</definedName>
    <definedName name="CRCP_y10">'AER lookups'!$G$53</definedName>
    <definedName name="CRCP_y11">'AER lookups'!$G$54</definedName>
    <definedName name="CRCP_y12">'AER lookups'!$G$55</definedName>
    <definedName name="CRCP_y13">'AER lookups'!$G$56</definedName>
    <definedName name="CRCP_y14">'AER lookups'!$G$57</definedName>
    <definedName name="CRCP_y15">'AER lookups'!$G$58</definedName>
    <definedName name="CRCP_y16">'AER lookups'!$G$59</definedName>
    <definedName name="CRCP_y2">'AER lookups'!$G$45</definedName>
    <definedName name="CRCP_y3">'AER lookups'!$G$46</definedName>
    <definedName name="CRCP_y4">'AER lookups'!$G$47</definedName>
    <definedName name="CRCP_y5">'AER lookups'!$G$48</definedName>
    <definedName name="CRCP_y6">'AER lookups'!$G$49</definedName>
    <definedName name="CRCP_y7">'AER lookups'!$G$50</definedName>
    <definedName name="CRCP_y8">'AER lookups'!$G$51</definedName>
    <definedName name="CRCP_y9">'AER lookups'!$G$52</definedName>
    <definedName name="CRY">'Business &amp; other details'!$AL$54</definedName>
    <definedName name="dms_020303_01_UOM">'AER NRs'!$C$84:$C$90</definedName>
    <definedName name="dms_020501_01_UOM">'AER NRs'!$D$84:$D$96</definedName>
    <definedName name="dms_020501_02_UOM">'AER NRs'!$E$84:$E$92</definedName>
    <definedName name="dms_020501_03_UOM">'AER NRs'!$F$84:$F$93</definedName>
    <definedName name="dms_020501_04_UOM">'AER NRs'!$G$84:$G$92</definedName>
    <definedName name="dms_020603_01_UOM">'AER NRs'!$C$110:$C$114</definedName>
    <definedName name="dms_020701_01_Rows">'AER NRs'!$J$84:$J$89</definedName>
    <definedName name="dms_020701_01_UOM">'AER NRs'!$H$84:$H$89</definedName>
    <definedName name="dms_020701_02_UOM">'AER NRs'!$I$84:$I$89</definedName>
    <definedName name="dms_0306_Year">'AER ETL'!$C$87</definedName>
    <definedName name="dms_030601_01_UOM">'AER NRs'!$C$118:$C$121</definedName>
    <definedName name="dms_030601_02_UOM">'AER NRs'!$D$118:$D$121</definedName>
    <definedName name="dms_030605_UOM">'AER NRs'!$C$160:$C$173</definedName>
    <definedName name="dms_03060703_UOM">'AER NRs'!$D$160:$D$164</definedName>
    <definedName name="dms_030701_01_UOM">'AER NRs'!$E$118:$E$120</definedName>
    <definedName name="dms_030702_01_UOM">'AER NRs'!$F$118:$F$131</definedName>
    <definedName name="dms_030703_01_UOM">'AER NRs'!$G$118</definedName>
    <definedName name="dms_040102_01_UOM">'AER NRs'!$K$84:$K$87</definedName>
    <definedName name="dms_040102_04_UOM">'AER NRs'!$L$84:$L$87</definedName>
    <definedName name="dms_0502_Inst_Year">'AER ETL'!$C$66</definedName>
    <definedName name="dms_060101_Rows">'AER NRs'!$C$195</definedName>
    <definedName name="dms_060101_StartDateTxt">'AER NRs'!$E$195</definedName>
    <definedName name="dms_060101_StartDateVal">'AER ETL'!$C$108</definedName>
    <definedName name="dms_060102_Rows">'AER NRs'!$D$195</definedName>
    <definedName name="dms_0603_FeederList">'AER NRs'!$D$212:$H$212</definedName>
    <definedName name="dms_060301_Avg_Duration_Sustained_Int_Row">'AER NRs'!$D$191</definedName>
    <definedName name="dms_060301_checkvalue">'AER ETL'!$C$91</definedName>
    <definedName name="dms_060301_CustNo_Affected_Row">'AER NRs'!$C$191</definedName>
    <definedName name="dms_060301_Effect_unplanned_SAIDI_Row">'AER NRs'!$E$191</definedName>
    <definedName name="dms_060301_Effect_unplanned_SAIFI_Row">'AER NRs'!$F$191</definedName>
    <definedName name="dms_060301_LastRow">'AER ETL'!$C$93</definedName>
    <definedName name="dms_060301_MaxRows">'AER ETL'!$C$94</definedName>
    <definedName name="dms_060701_ARR_MaxRows">'AER ETL'!$C$101</definedName>
    <definedName name="dms_060701_Feeder_Header_Lvl4">'AER NRs'!$D$207:$O$207</definedName>
    <definedName name="dms_060701_MaxCols">'AER ETL'!$C$104</definedName>
    <definedName name="dms_060701_MaxRows">'AER ETL'!$C$102</definedName>
    <definedName name="dms_060701_OffsetRows">'AER ETL'!$C$105</definedName>
    <definedName name="dms_060701_Reset_MaxRows">'AER ETL'!$C$100</definedName>
    <definedName name="dms_060701_Rows">'AER NRs'!$D$209:$O$209</definedName>
    <definedName name="dms_060701_StartDateTxt">'AER ETL'!$C$107</definedName>
    <definedName name="dms_060701_StartDateVal">'AER ETL'!$C$108</definedName>
    <definedName name="dms_0608_LastRow">'AER ETL'!$C$113</definedName>
    <definedName name="dms_0608_OffsetRows">'AER ETL'!$C$112</definedName>
    <definedName name="dms_060801_01_Rows">'AER NRs'!$C$199</definedName>
    <definedName name="dms_060801_02_Rows">'AER NRs'!$D$199</definedName>
    <definedName name="dms_060801_03_Rows">'AER NRs'!$E$199</definedName>
    <definedName name="dms_060801_04_Rows">'AER NRs'!$F$199</definedName>
    <definedName name="dms_060801_MaxRows">'AER ETL'!$C$114</definedName>
    <definedName name="dms_070904_01_Rows">'AER NRs'!$D$202:$E$202</definedName>
    <definedName name="dms_070904_Start_Year">'AER ETL'!$C$117</definedName>
    <definedName name="dms_663">'AER ETL'!$C$95</definedName>
    <definedName name="dms_663_List">'AER lookups'!$O$18:$O$22</definedName>
    <definedName name="dms_ABN">'Business &amp; other details'!$AL$17</definedName>
    <definedName name="dms_ABN_List">'AER lookups'!$D$18:$D$22</definedName>
    <definedName name="dms_Addr1">'Business &amp; other details'!$AL$23</definedName>
    <definedName name="dms_Addr1_List">'AER lookups'!$P$18:$P$22</definedName>
    <definedName name="dms_Addr2">'Business &amp; other details'!$AL$24</definedName>
    <definedName name="dms_Addr2_List">'AER lookups'!$Q$18:$Q$22</definedName>
    <definedName name="dms_Amendment_Text">'Business &amp; other details'!$AL$70</definedName>
    <definedName name="dms_AmendmentReason">'AER ETL'!$C$16</definedName>
    <definedName name="dms_ARR">'AER ETL'!$C$75</definedName>
    <definedName name="dms_Beg">'AER NRs'!$C$176</definedName>
    <definedName name="dms_CA">'AER ETL'!$C$74</definedName>
    <definedName name="dms_Cal_Year_B4_CRY">'AER ETL'!$C$30</definedName>
    <definedName name="dms_CBD_flag">'AER lookups'!$Z$18:$Z$22</definedName>
    <definedName name="dms_CBD_flag_NSP">'AER ETL'!$C$122</definedName>
    <definedName name="dms_CF_3.6.1">'AER CF'!$F$7:$F$27</definedName>
    <definedName name="dms_CF_3.6.5">'AER CF'!$G$7:$G$27</definedName>
    <definedName name="dms_CF_3.6.6">'AER CF'!$H$7:$H$27</definedName>
    <definedName name="dms_CF_3.6.7.1">'AER CF'!$I$7:$I$27</definedName>
    <definedName name="dms_CF_3.6.7.2">'AER CF'!$J$7:$J$27</definedName>
    <definedName name="dms_CF_3.6.7.3">'AER CF'!$K$7:$K$27</definedName>
    <definedName name="dms_CF_3.6.7.4">'AER CF'!$L$7:$L$27</definedName>
    <definedName name="dms_CF_3.6.8">'AER CF'!$M$7:$M$27</definedName>
    <definedName name="dms_CF_4.1">'AER CF'!$N$7:$N$27</definedName>
    <definedName name="dms_CF_4.4.1">'AER CF'!$U$7:$U$27</definedName>
    <definedName name="dms_CF_6.6.1">'AER CF'!$O$7:$O$27</definedName>
    <definedName name="dms_CF_6.8">'AER CF'!$P$7:$P$27</definedName>
    <definedName name="dms_CF_7.12">'AER CF'!$Q$7:$Q$27</definedName>
    <definedName name="dms_CF_8.1_A">'AER CF'!$R$7:$R$27</definedName>
    <definedName name="dms_CF_8.1_B">'AER CF'!$S$7:$S$27</definedName>
    <definedName name="dms_CF_8.1_Neg">'AER CF'!$T$7:$T$27</definedName>
    <definedName name="dms_CF_TradingName">'AER CF'!$B$7:$B$27</definedName>
    <definedName name="dms_Classification">'AER ETL'!$C$26</definedName>
    <definedName name="dms_Confid_status_List">'AER NRs'!$D$6:$D$8</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start_row">'AER ETL'!$C$41</definedName>
    <definedName name="dms_CRCPlength_List">'AER lookups'!$L$18:$L$22</definedName>
    <definedName name="dms_CRCPlength_Num">'AER ETL'!$C$70</definedName>
    <definedName name="dms_CRY_RYE">'AER ETL'!$C$54</definedName>
    <definedName name="dms_CRY_start_row">'AER ETL'!$C$39</definedName>
    <definedName name="dms_CRY_start_year">'AER ETL'!$C$38</definedName>
    <definedName name="dms_DataQuality">'AER ETL'!$C$20</definedName>
    <definedName name="dms_DataQuality_List">'AER NRs'!$C$6:$C$9</definedName>
    <definedName name="dms_Defined_Names_Used">'AER ETL'!$C$3</definedName>
    <definedName name="dms_DISCARD">'AER ETL'!$C$129</definedName>
    <definedName name="dms_DNSP_020301_ProjectTrigger">'AER NRs'!$E$32:$E$38</definedName>
    <definedName name="dms_DNSP_020301_ProjectType">'AER NRs'!$D$32:$D$35</definedName>
    <definedName name="dms_DNSP_020301_SubstationType">'AER NRs'!$C$32:$C$35</definedName>
    <definedName name="dms_DNSP_020302_ProjectTrigger">'AER NRs'!$G$32:$G$39</definedName>
    <definedName name="dms_DNSP_020302_ProjectType">'AER NRs'!$F$32:$F$44</definedName>
    <definedName name="dms_dollar_nom_UOM">'AER ETL'!$C$25</definedName>
    <definedName name="dms_DollarReal">'AER ETL'!$C$32</definedName>
    <definedName name="dms_DollarReal_Prev">'AER ETL'!$C$33</definedName>
    <definedName name="dms_DollarReal_year">'AER ETL'!$C$52</definedName>
    <definedName name="dms_DQ_1">'AER ETL'!$C$14</definedName>
    <definedName name="dms_DQ_2">'AER ETL'!$C$15</definedName>
    <definedName name="dms_E020101_CC_Rows">'E2. Repex'!$B$15</definedName>
    <definedName name="dms_E020101_CC_Values">'E2. Repex'!$D$15:$H$15</definedName>
    <definedName name="dms_E020101_Rows">'E2. Repex'!$B$10:$B$14</definedName>
    <definedName name="dms_E020101_Values">'E2. Repex'!$D$10:$H$14</definedName>
    <definedName name="dms_E0202_ProjectNames">'E2. Repex'!$B$22:$B$72</definedName>
    <definedName name="dms_E020201_Values">'E2. Repex'!$D$22:$H$72</definedName>
    <definedName name="dms_E020202_UOM">'E2. Repex'!$C$79:$C$129</definedName>
    <definedName name="dms_E020202_Values">'E2. Repex'!$D$79:$H$129</definedName>
    <definedName name="dms_E030101_CC_Rows">'E3. Expansion'!$B$14</definedName>
    <definedName name="dms_E030101_CC_Values">'E3. Expansion'!$D$14:$H$14</definedName>
    <definedName name="dms_E030101_Rows">'E3. Expansion'!$B$9:$B$13</definedName>
    <definedName name="dms_E030101_Values">'E3. Expansion'!$D$9:$H$13</definedName>
    <definedName name="dms_E0302_ProjectNames">'E3. Expansion'!$B$21:$B$41</definedName>
    <definedName name="dms_E030201_Values">'E3. Expansion'!$D$21:$H$41</definedName>
    <definedName name="dms_E030202_Values">'E3. Expansion'!$D$48:$H$68</definedName>
    <definedName name="dms_E06_ProjectNames">'E6. Non-network'!$B$22:$B$37</definedName>
    <definedName name="dms_E060101_CC_Rows">'E6. Non-network'!$B$15</definedName>
    <definedName name="dms_E060101_CC_Values">'E6. Non-network'!$C$15:$G$15</definedName>
    <definedName name="dms_E060101_Rows">'E6. Non-network'!$B$10:$B$14</definedName>
    <definedName name="dms_E060101_Values">'E6. Non-network'!$C$10:$G$14</definedName>
    <definedName name="dms_E060102_Values">'E6. Non-network'!$C$22:$G$37</definedName>
    <definedName name="dms_E10_01_Rows">'E10. Overheads'!$B$10</definedName>
    <definedName name="dms_E10_02_Rows">'E10. Overheads'!$B$12</definedName>
    <definedName name="dms_E100101_01_Values">'E10. Overheads'!$C$10:$G$10</definedName>
    <definedName name="dms_E100101_02_Values">'E10. Overheads'!$C$12:$G$12</definedName>
    <definedName name="dms_E100101_capex_01_Values">'E10. Overheads'!$C$14:$C$14</definedName>
    <definedName name="dms_E100101_capex_02_Values">'E10. Overheads'!$C$16:$C$16</definedName>
    <definedName name="dms_E100101_opex_01_Values">'E10. Overheads'!$C$10:$C$10</definedName>
    <definedName name="dms_E100101_opex_02_Values">'E10. Overheads'!$C$12:$C$12</definedName>
    <definedName name="dms_E100102_01_Values">'E10. Overheads'!$C$14:$G$14</definedName>
    <definedName name="dms_E100102_02_Values">'E10. Overheads'!$C$16:$G$16</definedName>
    <definedName name="dms_E100201_01_Values">'E10. Overheads'!$C$24:$G$24</definedName>
    <definedName name="dms_E100201_02_Values">'E10. Overheads'!$C$26:$G$26</definedName>
    <definedName name="dms_E100201_capex_01_Values">'E10. Overheads'!$C$28:$C$28</definedName>
    <definedName name="dms_E100201_capex_02_Values">'E10. Overheads'!$C$30:$C$30</definedName>
    <definedName name="dms_E100201_opex_01_Values">'E10. Overheads'!$C$24:$C$24</definedName>
    <definedName name="dms_E100201_opex_02_Values">'E10. Overheads'!$C$26:$C$26</definedName>
    <definedName name="dms_E100202_01_Values">'E10. Overheads'!$C$28:$G$28</definedName>
    <definedName name="dms_E100202_02_Values">'E10. Overheads'!$C$30:$G$30</definedName>
    <definedName name="dms_E13_ProjectNames">'E13. Other capex'!$B$22:$B$32</definedName>
    <definedName name="dms_E130101_CC_Rows">'E13. Other capex'!$B$15</definedName>
    <definedName name="dms_E130101_CC_Values">'E13. Other capex'!$C$15:$G$15</definedName>
    <definedName name="dms_E130101_Rows">'E13. Other capex'!$B$10:$B$14</definedName>
    <definedName name="dms_E130101_Values">'E13. Other capex'!$C$10:$G$14</definedName>
    <definedName name="dms_E130102_Values">'E13. Other capex'!$C$22:$G$32</definedName>
    <definedName name="dms_EB">'AER ETL'!$C$73</definedName>
    <definedName name="dms_EB_RAB_PIT">'AER NRs'!$C$152:$C$157</definedName>
    <definedName name="dms_End">'AER NRs'!$E$176</definedName>
    <definedName name="dms_FeederName_1">'AER lookups'!$AE$18:$AE$22</definedName>
    <definedName name="dms_FeederName_2">'AER lookups'!$AF$18:$AF$22</definedName>
    <definedName name="dms_FeederName_3">'AER lookups'!$AG$18:$AG$22</definedName>
    <definedName name="dms_FeederName_4">'AER lookups'!$AH$18:$AH$22</definedName>
    <definedName name="dms_FeederName_5">'AER lookups'!$AI$18:$AI$22</definedName>
    <definedName name="dms_FeederType_5_flag">'AER lookups'!$AD$18:$AD$22</definedName>
    <definedName name="dms_FifthFeeder_flag_NSP">'AER ETL'!$C$126</definedName>
    <definedName name="dms_FormControl">'AER ETL'!$C$35</definedName>
    <definedName name="dms_FormControl_Choices">'AER NRs'!$D$14:$D$16</definedName>
    <definedName name="dms_FormControl_List">'AER lookups'!$I$18:$I$22</definedName>
    <definedName name="dms_FRCP_start_row">'AER ETL'!$C$40</definedName>
    <definedName name="dms_FRCP_y1">'AER lookups'!$H$44</definedName>
    <definedName name="dms_FRCPlength_List">'AER lookups'!$M$18:$M$22</definedName>
    <definedName name="dms_FRCPlength_Num">'AER ETL'!$C$71</definedName>
    <definedName name="dms_Header_Span">'AER ETL'!$C$61</definedName>
    <definedName name="dms_Jurisdiction">'AER ETL'!$C$27</definedName>
    <definedName name="dms_JurisdictionList">'AER lookups'!$F$18:$F$22</definedName>
    <definedName name="dms_LeapYear_Result">'AER ETL'!$C$99</definedName>
    <definedName name="dms_LongRural_flag">'AER lookups'!$AC$18:$AC$22</definedName>
    <definedName name="dms_LongRural_flag_NSP">'AER ETL'!$C$125</definedName>
    <definedName name="dms_MAIFI_flag_List">'AER lookups'!$AJ$18:$AJ$22</definedName>
    <definedName name="dms_Mid">'AER NRs'!$D$176</definedName>
    <definedName name="dms_Model">'AER ETL'!$C$12</definedName>
    <definedName name="dms_Model_List">'AER lookups'!$B$30:$B$39</definedName>
    <definedName name="dms_Model_Name_Format1">'AER lookups'!$C$30:$C$39</definedName>
    <definedName name="dms_Model_Span">'AER ETL'!$C$57</definedName>
    <definedName name="dms_Model_Span_List">'AER lookups'!$E$30:$E$39</definedName>
    <definedName name="dms_Multi_RYE_flag">'AER ETL'!$C$136</definedName>
    <definedName name="dms_MultiYear_ABC_RIN">'AER ETL'!$C$83</definedName>
    <definedName name="dms_MultiYear_FinalYear_Result">'AER ETL'!$C$81</definedName>
    <definedName name="dms_MultiYear_Flag">'AER ETL'!$C$64</definedName>
    <definedName name="dms_MultiYear_ResponseFlag">'AER ETL'!$C$63</definedName>
    <definedName name="dms_N0205_AssetType">'AER NRs'!$N$32:$N$42</definedName>
    <definedName name="dms_PAddr1">'Business &amp; other details'!$BQ$23</definedName>
    <definedName name="dms_PAddr1_List">'AER lookups'!$U$18:$U$22</definedName>
    <definedName name="dms_PAddr2">'Business &amp; other details'!$BQ$24</definedName>
    <definedName name="dms_PAddr2_List">'AER lookups'!$V$18:$V$22</definedName>
    <definedName name="dms_Partial">'AER ETL'!$C$132</definedName>
    <definedName name="dms_PostCode">'Business &amp; other details'!$AX$26</definedName>
    <definedName name="dms_PostCode_List">'AER lookups'!$T$18:$T$22</definedName>
    <definedName name="dms_PPostCode">'Business &amp; other details'!$CC$26</definedName>
    <definedName name="dms_PPostCode_List">'AER lookups'!$Y$18:$Y$22</definedName>
    <definedName name="dms_PRCP_start_row">'AER ETL'!$C$42</definedName>
    <definedName name="dms_PRCPlength_List">'AER lookups'!$N$18:$N$22</definedName>
    <definedName name="dms_PRCPlength_Num">'AER ETL'!$C$69</definedName>
    <definedName name="dms_Previous_DollarReal_year">'AER ETL'!$C$53</definedName>
    <definedName name="dms_PState">'Business &amp; other details'!$BQ$26</definedName>
    <definedName name="dms_PState_List">'AER lookups'!$X$18:$X$22</definedName>
    <definedName name="dms_PSuburb">'Business &amp; other details'!$BQ$25</definedName>
    <definedName name="dms_PSuburb_List">'AER lookups'!$W$18:$W$22</definedName>
    <definedName name="dms_PTRM_RAB_PIT">'AER NRs'!$C$179:$C$183</definedName>
    <definedName name="dms_PTRM_TAB_PIT">'AER NRs'!$D$179:$D$182</definedName>
    <definedName name="dms_Public_Lighting">'AER ETL'!$C$121</definedName>
    <definedName name="dms_Public_Lighting_List">'AER lookups'!$AK$18:$AK$22</definedName>
    <definedName name="dms_Reason_Interruption">'AER NRs'!$I$32:$I$47</definedName>
    <definedName name="dms_Reset_final_year">'AER ETL'!$C$50</definedName>
    <definedName name="dms_Reset_RYE">'AER ETL'!$C$55</definedName>
    <definedName name="dms_Reset_Span">'AER ETL'!$C$59</definedName>
    <definedName name="dms_RPT">'AER ETL'!$C$24</definedName>
    <definedName name="dms_RPT_List">'AER lookups'!$J$18:$J$22</definedName>
    <definedName name="dms_RPTMonth">'AER ETL'!$C$31</definedName>
    <definedName name="dms_RPTMonth_List">'AER lookups'!$K$18:$K$22</definedName>
    <definedName name="dms_RYE">'AER ETL'!$C$23</definedName>
    <definedName name="dms_RYE_01">'AER ETL'!$C$138</definedName>
    <definedName name="dms_RYE_02">'AER ETL'!$C$139</definedName>
    <definedName name="dms_RYE_03">'AER ETL'!$C$140</definedName>
    <definedName name="dms_RYE_04">'AER ETL'!$C$141</definedName>
    <definedName name="dms_RYE_05">'AER ETL'!$C$142</definedName>
    <definedName name="dms_RYE_06">'AER ETL'!$C$143</definedName>
    <definedName name="dms_RYE_07">'AER ETL'!$C$144</definedName>
    <definedName name="dms_RYE_08">'AER ETL'!$C$145</definedName>
    <definedName name="dms_RYE_09">'AER ETL'!$C$146</definedName>
    <definedName name="dms_RYE_result">'AER ETL'!$C$58</definedName>
    <definedName name="dms_RYE_start_row">'AER ETL'!$C$43</definedName>
    <definedName name="dms_S140101_UOM">'AER NRs'!$M$84:$M$87</definedName>
    <definedName name="dms_S140102_UOM">'AER NRs'!$N$84:$N$87</definedName>
    <definedName name="dms_S140201_UOM">'AER NRs'!$O$84:$O$86</definedName>
    <definedName name="dms_Sector">'AER ETL'!$C$21</definedName>
    <definedName name="dms_Sector_List">'AER lookups'!$G$18:$G$22</definedName>
    <definedName name="dms_Segment">'AER ETL'!$C$22</definedName>
    <definedName name="dms_Segment_List">'AER lookups'!$H$18:$H$22</definedName>
    <definedName name="dms_Selected_Quality">'Business &amp; other details'!$AL$66</definedName>
    <definedName name="dms_Selected_Source">'Business &amp; other details'!$AL$64</definedName>
    <definedName name="dms_Selected_Status">'Business &amp; other details'!$AL$68</definedName>
    <definedName name="dms_ShortRural_flag">'AER lookups'!$AB$18:$AB$22</definedName>
    <definedName name="dms_ShortRural_flag_NSP">'AER ETL'!$C$124</definedName>
    <definedName name="dms_SingleYear_FinalYear_Result">'AER ETL'!$C$77</definedName>
    <definedName name="dms_SingleYear_Model">'AER ETL'!$C$73:$C$75</definedName>
    <definedName name="dms_SingleYearModel">'AER ETL'!$C$76</definedName>
    <definedName name="dms_Source">'AER ETL'!$C$13</definedName>
    <definedName name="dms_SourceList">'AER NRs'!$C$14:$C$27</definedName>
    <definedName name="dms_Specified_FinalYear">'AER ETL'!$C$65</definedName>
    <definedName name="dms_Specified_RYE">'AER ETL'!$C$56</definedName>
    <definedName name="dms_SpecifiedYear_final_year">'AER ETL'!$C$51</definedName>
    <definedName name="dms_SpecifiedYear_Span">'AER ETL'!$C$60</definedName>
    <definedName name="dms_start_year">'AER ETL'!$C$37</definedName>
    <definedName name="dms_State">'Business &amp; other details'!$AL$26</definedName>
    <definedName name="dms_State_List">'AER lookups'!$S$18:$S$22</definedName>
    <definedName name="dms_STPIS_Exclusion_List">'AER NRs'!$H$32:$H$41</definedName>
    <definedName name="dms_SubmissionDate">'AER ETL'!$C$17</definedName>
    <definedName name="dms_Suburb">'Business &amp; other details'!$AL$25</definedName>
    <definedName name="dms_Suburb_List">'AER lookups'!$R$18:$R$22</definedName>
    <definedName name="dms_TemplateNumber">'AER lookups'!$D$9</definedName>
    <definedName name="dms_TNSP_0203_ProjectTrigger">'AER NRs'!$G$65:$G$72</definedName>
    <definedName name="dms_TNSP_0203_SubstationType">'AER NRs'!$C$65:$C$68</definedName>
    <definedName name="dms_TNSP_020301_ProjectTrigger">'AER NRs'!$E$65:$E$72</definedName>
    <definedName name="dms_TNSP_020301_ProjectType">'AER NRs'!$D$65:$D$68</definedName>
    <definedName name="dms_TNSP_020302_ProjectType">'AER NRs'!$F$65:$F$77</definedName>
    <definedName name="dms_Today">'AER lookups'!$A$17</definedName>
    <definedName name="dms_TradingName">'Business &amp; other details'!$AL$16</definedName>
    <definedName name="dms_TradingName_List">'AER lookups'!$B$18:$B$22</definedName>
    <definedName name="dms_TradingNameFull">'AER ETL'!$C$9</definedName>
    <definedName name="dms_TradingNameFull_List">'AER lookups'!$C$18:$C$22</definedName>
    <definedName name="dms_Typed_Submission_Date">'Business &amp; other details'!$AL$74</definedName>
    <definedName name="dms_UID">'AER ETL'!$C$11</definedName>
    <definedName name="dms_UID_List">'AER lookups'!$E$18:$E$22</definedName>
    <definedName name="dms_Urban_flag">'AER lookups'!$AA$18:$AA$22</definedName>
    <definedName name="dms_Urban_flag_NSP">'AER ETL'!$C$123</definedName>
    <definedName name="dms_Worksheet_List">'AER lookups'!$D$30:$D$39</definedName>
    <definedName name="DMS_Xfactor">'AER NRs'!$E$179</definedName>
    <definedName name="dms_y1">'AER lookups'!$E$63</definedName>
    <definedName name="dms_y10">'AER lookups'!$E$72</definedName>
    <definedName name="dms_y11">'AER lookups'!$E$73</definedName>
    <definedName name="dms_y12">'AER lookups'!$E$74</definedName>
    <definedName name="dms_y13">'AER lookups'!$E$75</definedName>
    <definedName name="dms_y14">'AER lookups'!$E$76</definedName>
    <definedName name="dms_y15">'AER lookups'!$E$77</definedName>
    <definedName name="dms_y16">'AER lookups'!$E$78</definedName>
    <definedName name="dms_y2">'AER lookups'!$E$64</definedName>
    <definedName name="dms_y3">'AER lookups'!$E$65</definedName>
    <definedName name="dms_y4">'AER lookups'!$E$66</definedName>
    <definedName name="dms_y5">'AER lookups'!$E$67</definedName>
    <definedName name="dms_y6">'AER lookups'!$E$68</definedName>
    <definedName name="dms_y7">'AER lookups'!$E$69</definedName>
    <definedName name="dms_y8">'AER lookups'!$E$70</definedName>
    <definedName name="dms_y9">'AER lookups'!$E$71</definedName>
    <definedName name="EB">'AER lookups'!$C$34</definedName>
    <definedName name="EB_Fmt2">'AER lookups'!$D$34</definedName>
    <definedName name="Financial">'AER lookups'!$B$44:$B$93</definedName>
    <definedName name="FRCP_final_year">'AER ETL'!$C$47</definedName>
    <definedName name="FRCP_start_year">'AER ETL'!$C$44</definedName>
    <definedName name="FRCP_y1">'Business &amp; other details'!$AL$42</definedName>
    <definedName name="FRCP_y10">'AER lookups'!$I$53</definedName>
    <definedName name="FRCP_y11">'AER lookups'!$I$54</definedName>
    <definedName name="FRCP_y12">'AER lookups'!$I$55</definedName>
    <definedName name="FRCP_y13">'AER lookups'!$I$56</definedName>
    <definedName name="FRCP_y14">'AER lookups'!$I$57</definedName>
    <definedName name="FRCP_y15">'AER lookups'!$I$58</definedName>
    <definedName name="FRCP_y16">'AER lookups'!$I$59</definedName>
    <definedName name="FRCP_y2">'AER lookups'!$I$45</definedName>
    <definedName name="FRCP_y3">'AER lookups'!$I$46</definedName>
    <definedName name="FRCP_y4">'AER lookups'!$I$47</definedName>
    <definedName name="FRCP_y5">'AER lookups'!$I$48</definedName>
    <definedName name="FRCP_y6">'AER lookups'!$I$49</definedName>
    <definedName name="FRCP_y7">'AER lookups'!$I$50</definedName>
    <definedName name="FRCP_y8">'AER lookups'!$I$51</definedName>
    <definedName name="FRCP_y9">'AER lookups'!$I$52</definedName>
    <definedName name="FRY">'Business &amp; other details'!$AL$56</definedName>
    <definedName name="inserted_Power_and_Water__added_NRs__dms_FeederCat_1_and_dms_FeederCat_2">'AER lookups'!$D$7:$D$17</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'AER CF'!$C$7:$C$27</definedName>
    <definedName name="LAN" localSheetId="9" hidden="1">{"Ownership",#N/A,FALSE,"Ownership";"Contents",#N/A,FALSE,"Contents"}</definedName>
    <definedName name="LAN" hidden="1">{"Ownership",#N/A,FALSE,"Ownership";"Contents",#N/A,FALSE,"Contents"}</definedName>
    <definedName name="MAIFI_flag">'AER lookups'!$AJ$16</definedName>
    <definedName name="PRCP_final_year">'AER ETL'!$C$49</definedName>
    <definedName name="PRCP_start_year">'AER ETL'!$C$46</definedName>
    <definedName name="PRCP_y1">'AER lookups'!$E$44</definedName>
    <definedName name="PRCP_y10">'AER lookups'!$E$53</definedName>
    <definedName name="PRCP_y11">'AER lookups'!$E$54</definedName>
    <definedName name="PRCP_y12">'AER lookups'!$E$55</definedName>
    <definedName name="PRCP_y13">'AER lookups'!$E$56</definedName>
    <definedName name="PRCP_y14">'AER lookups'!$E$57</definedName>
    <definedName name="PRCP_y15">'AER lookups'!$E$58</definedName>
    <definedName name="PRCP_y16">'AER lookups'!$E$59</definedName>
    <definedName name="PRCP_y2">'AER lookups'!$E$45</definedName>
    <definedName name="PRCP_y3">'AER lookups'!$E$46</definedName>
    <definedName name="PRCP_y4">'AER lookups'!$E$47</definedName>
    <definedName name="PRCP_y5">'AER lookups'!$E$48</definedName>
    <definedName name="PRCP_y6">'AER lookups'!$E$49</definedName>
    <definedName name="PRCP_y7">'AER lookups'!$E$50</definedName>
    <definedName name="PRCP_y8">'AER lookups'!$E$51</definedName>
    <definedName name="PRCP_y9">'AER lookups'!$E$52</definedName>
    <definedName name="Pricing">'AER lookups'!$C$35</definedName>
    <definedName name="Pricing_Fmt2">'AER lookups'!$D$35</definedName>
    <definedName name="PTRM">'AER lookups'!$C$36</definedName>
    <definedName name="PTRM_Fmt2">'AER lookups'!$D$36</definedName>
    <definedName name="Reset">'AER lookups'!$C$37</definedName>
    <definedName name="Reset_Fmt2">'AER lookups'!$D$37</definedName>
    <definedName name="RFM">'AER lookups'!$C$38</definedName>
    <definedName name="RFM_Fmt2">'AER lookups'!$D$38</definedName>
    <definedName name="Sector">'AER CF'!$D$7:$D$27</definedName>
    <definedName name="Segment">'AER CF'!$E$7:$E$27</definedName>
    <definedName name="select">'AER NRs'!$C$7:$C$27</definedName>
    <definedName name="teest" localSheetId="9" hidden="1">{"Ownership",#N/A,FALSE,"Ownership";"Contents",#N/A,FALSE,"Contents"}</definedName>
    <definedName name="teest" hidden="1">{"Ownership",#N/A,FALSE,"Ownership";"Contents",#N/A,FALSE,"Contents"}</definedName>
    <definedName name="test" localSheetId="9" hidden="1">{"Ownership",#N/A,FALSE,"Ownership";"Contents",#N/A,FALSE,"Contents"}</definedName>
    <definedName name="test" hidden="1">{"Ownership",#N/A,FALSE,"Ownership";"Contents",#N/A,FALSE,"Contents"}</definedName>
    <definedName name="WACC">'AER lookups'!$C$39</definedName>
    <definedName name="WACC_Fmt2">'AER lookups'!$D$39</definedName>
    <definedName name="wrn.App._.Custodians." localSheetId="9" hidden="1">{"Ownership",#N/A,FALSE,"Ownership";"Contents",#N/A,FALSE,"Contents"}</definedName>
    <definedName name="wrn.App._.Custodians." hidden="1">{"Ownership",#N/A,FALSE,"Ownership";"Contents",#N/A,FALSE,"Contents"}</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 i="43" l="1"/>
  <c r="E30" i="43" l="1"/>
  <c r="D30" i="43" l="1"/>
  <c r="F26" i="43" l="1"/>
  <c r="E26" i="43"/>
  <c r="D26" i="43"/>
  <c r="C26" i="43" l="1"/>
  <c r="AL17" i="7" l="1"/>
  <c r="C11" i="2" l="1" a="1"/>
  <c r="C11" i="2" s="1"/>
  <c r="D33" i="45"/>
  <c r="E33" i="45"/>
  <c r="F33" i="45"/>
  <c r="G33" i="45"/>
  <c r="B3" i="16" l="1"/>
  <c r="B2" i="19" l="1"/>
  <c r="B1" i="19"/>
  <c r="C38" i="2" l="1"/>
  <c r="B1" i="26" l="1"/>
  <c r="G16" i="45" l="1"/>
  <c r="F16" i="45"/>
  <c r="E16" i="45"/>
  <c r="D16" i="45"/>
  <c r="C16" i="45"/>
  <c r="G16" i="42"/>
  <c r="F16" i="42"/>
  <c r="E16" i="42"/>
  <c r="D16" i="42"/>
  <c r="H15" i="39"/>
  <c r="G15" i="39"/>
  <c r="F15" i="39"/>
  <c r="E15" i="39"/>
  <c r="D15" i="39"/>
  <c r="E16" i="26"/>
  <c r="F16" i="26"/>
  <c r="G16" i="26"/>
  <c r="H16" i="26"/>
  <c r="D38" i="42" l="1"/>
  <c r="E38" i="42"/>
  <c r="F38" i="42"/>
  <c r="G38" i="42"/>
  <c r="B80" i="26" l="1"/>
  <c r="B81" i="26"/>
  <c r="B82" i="26"/>
  <c r="B83" i="26"/>
  <c r="B84" i="26"/>
  <c r="B85" i="26"/>
  <c r="B86" i="26"/>
  <c r="B87" i="26"/>
  <c r="B88" i="26"/>
  <c r="B89" i="26"/>
  <c r="B90" i="26"/>
  <c r="B91" i="26"/>
  <c r="B92" i="26"/>
  <c r="B93" i="26"/>
  <c r="B94" i="26"/>
  <c r="B95" i="26"/>
  <c r="B96" i="26"/>
  <c r="B97" i="26"/>
  <c r="B98" i="26"/>
  <c r="B99" i="26"/>
  <c r="B100" i="26"/>
  <c r="B101" i="26"/>
  <c r="B102" i="26"/>
  <c r="B103" i="26"/>
  <c r="B104" i="26"/>
  <c r="B105" i="26"/>
  <c r="B106" i="26"/>
  <c r="B107" i="26"/>
  <c r="B108" i="26"/>
  <c r="B109" i="26"/>
  <c r="B110" i="26"/>
  <c r="B111" i="26"/>
  <c r="B112" i="26"/>
  <c r="B113" i="26"/>
  <c r="B114" i="26"/>
  <c r="B115" i="26"/>
  <c r="B116" i="26"/>
  <c r="B117" i="26"/>
  <c r="B118" i="26"/>
  <c r="B119" i="26"/>
  <c r="B120" i="26"/>
  <c r="B121" i="26"/>
  <c r="B122" i="26"/>
  <c r="B123" i="26"/>
  <c r="B124" i="26"/>
  <c r="B125" i="26"/>
  <c r="B126" i="26"/>
  <c r="B127" i="26"/>
  <c r="B128" i="26"/>
  <c r="B79" i="26"/>
  <c r="H130" i="26" l="1"/>
  <c r="G130" i="26"/>
  <c r="F130" i="26"/>
  <c r="E130" i="26"/>
  <c r="D130" i="26"/>
  <c r="H73" i="26"/>
  <c r="G73" i="26"/>
  <c r="F73" i="26"/>
  <c r="E73" i="26"/>
  <c r="B49" i="39"/>
  <c r="B50" i="39"/>
  <c r="B51" i="39"/>
  <c r="B52" i="39"/>
  <c r="B53" i="39"/>
  <c r="B54" i="39"/>
  <c r="B55" i="39"/>
  <c r="B56" i="39"/>
  <c r="B57" i="39"/>
  <c r="B58" i="39"/>
  <c r="B59" i="39"/>
  <c r="B60" i="39"/>
  <c r="B61" i="39"/>
  <c r="B62" i="39"/>
  <c r="B63" i="39"/>
  <c r="B64" i="39"/>
  <c r="B65" i="39"/>
  <c r="B66" i="39"/>
  <c r="B67" i="39"/>
  <c r="B48" i="39"/>
  <c r="H69" i="39"/>
  <c r="G69" i="39"/>
  <c r="F69" i="39"/>
  <c r="E69" i="39"/>
  <c r="D69" i="39"/>
  <c r="E42" i="39" l="1"/>
  <c r="F42" i="39"/>
  <c r="G42" i="39"/>
  <c r="H42" i="39"/>
  <c r="B1" i="45" l="1"/>
  <c r="B2" i="45"/>
  <c r="B1" i="43"/>
  <c r="B2" i="43"/>
  <c r="B1" i="42"/>
  <c r="B2" i="42"/>
  <c r="B1" i="39"/>
  <c r="B2" i="39"/>
  <c r="D42" i="39"/>
  <c r="B2" i="26" l="1"/>
  <c r="B2" i="23" l="1"/>
  <c r="E42" i="23"/>
  <c r="E11" i="23"/>
  <c r="B1" i="23"/>
  <c r="C20" i="2" l="1"/>
  <c r="C10" i="2" l="1"/>
  <c r="C9" i="2" l="1"/>
  <c r="B4" i="16" s="1"/>
  <c r="D34" i="1" l="1"/>
  <c r="D31" i="1"/>
  <c r="C54" i="2" l="1"/>
  <c r="C29" i="2"/>
  <c r="C17" i="2"/>
  <c r="C16" i="2"/>
  <c r="C15" i="2"/>
  <c r="C14" i="2"/>
  <c r="D212" i="8" l="1"/>
  <c r="E212" i="8"/>
  <c r="F212" i="8"/>
  <c r="G212" i="8"/>
  <c r="D207" i="8"/>
  <c r="E207" i="8"/>
  <c r="F207" i="8"/>
  <c r="G207" i="8"/>
  <c r="H207" i="8"/>
  <c r="I207" i="8"/>
  <c r="J207" i="8"/>
  <c r="K207" i="8"/>
  <c r="L207" i="8"/>
  <c r="M207" i="8"/>
  <c r="C51" i="2" l="1"/>
  <c r="C57" i="2" l="1"/>
  <c r="C37" i="2"/>
  <c r="C80" i="2" l="1"/>
  <c r="V1" i="7" l="1"/>
  <c r="AL62" i="7"/>
  <c r="C69" i="2" l="1"/>
  <c r="V2" i="7" l="1"/>
  <c r="C127" i="4" l="1"/>
  <c r="C114" i="2" l="1"/>
  <c r="C71" i="2" l="1"/>
  <c r="C24" i="2"/>
  <c r="C91" i="2"/>
  <c r="C92" i="2" s="1"/>
  <c r="C98" i="2"/>
  <c r="C93" i="2"/>
  <c r="C94" i="2" s="1"/>
  <c r="C90" i="2"/>
  <c r="C95" i="2"/>
  <c r="C73" i="2"/>
  <c r="C74" i="2"/>
  <c r="C75" i="2"/>
  <c r="C31" i="2"/>
  <c r="C64" i="2"/>
  <c r="C121" i="2"/>
  <c r="C99" i="2"/>
  <c r="C100" i="2" s="1"/>
  <c r="C105" i="2"/>
  <c r="C126" i="2"/>
  <c r="C104" i="2" s="1"/>
  <c r="C125" i="2"/>
  <c r="C124" i="2"/>
  <c r="C123" i="2"/>
  <c r="C122" i="2"/>
  <c r="C120" i="2"/>
  <c r="C70" i="2"/>
  <c r="C27" i="2"/>
  <c r="C35" i="2"/>
  <c r="C22" i="2"/>
  <c r="C21" i="2"/>
  <c r="C39" i="2"/>
  <c r="B2" i="16" l="1"/>
  <c r="C30" i="2"/>
  <c r="C87" i="2" s="1"/>
  <c r="C84" i="2"/>
  <c r="C83" i="2"/>
  <c r="C66" i="2"/>
  <c r="C76" i="2"/>
  <c r="C77" i="2" s="1"/>
  <c r="C65" i="2"/>
  <c r="C103" i="2"/>
  <c r="C101" i="2"/>
  <c r="C102" i="2" s="1"/>
  <c r="C40" i="2"/>
  <c r="C43" i="2" l="1"/>
  <c r="C42" i="2"/>
  <c r="C41" i="2"/>
  <c r="C55" i="2"/>
  <c r="C81" i="2"/>
  <c r="C56" i="2"/>
  <c r="E65" i="1"/>
  <c r="E71" i="1"/>
  <c r="C44" i="2"/>
  <c r="C47" i="2"/>
  <c r="E67" i="1"/>
  <c r="E63" i="1"/>
  <c r="E66" i="1"/>
  <c r="E70" i="1"/>
  <c r="E69" i="1"/>
  <c r="E74" i="1"/>
  <c r="E76" i="1"/>
  <c r="E78" i="1"/>
  <c r="E68" i="1"/>
  <c r="E64" i="1"/>
  <c r="E72" i="1"/>
  <c r="E75" i="1"/>
  <c r="E77" i="1"/>
  <c r="C45" i="2"/>
  <c r="E73" i="1"/>
  <c r="C46" i="2"/>
  <c r="C50" i="2"/>
  <c r="E47" i="39" l="1"/>
  <c r="G47" i="39"/>
  <c r="F47" i="39"/>
  <c r="H47" i="39"/>
  <c r="D47" i="39"/>
  <c r="D21" i="45"/>
  <c r="F21" i="45"/>
  <c r="E21" i="45"/>
  <c r="G21" i="45"/>
  <c r="C21" i="45"/>
  <c r="D9" i="45"/>
  <c r="F9" i="45"/>
  <c r="E9" i="45"/>
  <c r="G9" i="45"/>
  <c r="C9" i="45"/>
  <c r="D22" i="43"/>
  <c r="F22" i="43"/>
  <c r="E22" i="43"/>
  <c r="G22" i="43"/>
  <c r="C22" i="43"/>
  <c r="D8" i="43"/>
  <c r="F8" i="43"/>
  <c r="E8" i="43"/>
  <c r="G8" i="43"/>
  <c r="C8" i="43"/>
  <c r="D21" i="42"/>
  <c r="F21" i="42"/>
  <c r="E21" i="42"/>
  <c r="G21" i="42"/>
  <c r="C21" i="42"/>
  <c r="D9" i="42"/>
  <c r="F9" i="42"/>
  <c r="E9" i="42"/>
  <c r="G9" i="42"/>
  <c r="C9" i="42"/>
  <c r="E20" i="39"/>
  <c r="G20" i="39"/>
  <c r="F20" i="39"/>
  <c r="H20" i="39"/>
  <c r="D20" i="39"/>
  <c r="E8" i="39"/>
  <c r="G8" i="39"/>
  <c r="F8" i="39"/>
  <c r="H8" i="39"/>
  <c r="D8" i="39"/>
  <c r="E78" i="26"/>
  <c r="G78" i="26"/>
  <c r="F78" i="26"/>
  <c r="H78" i="26"/>
  <c r="D78" i="26"/>
  <c r="E21" i="26"/>
  <c r="G21" i="26"/>
  <c r="F21" i="26"/>
  <c r="H21" i="26"/>
  <c r="D21" i="26"/>
  <c r="H9" i="26"/>
  <c r="G9" i="26"/>
  <c r="F9" i="26"/>
  <c r="E9" i="26"/>
  <c r="D9" i="26"/>
  <c r="C60" i="2"/>
  <c r="C61" i="2" s="1"/>
  <c r="C59" i="2"/>
  <c r="C58" i="2"/>
  <c r="C49" i="2"/>
  <c r="C48" i="2"/>
  <c r="C52" i="2" l="1"/>
  <c r="C32" i="2" s="1"/>
  <c r="C10" i="23" s="1"/>
  <c r="C53" i="2"/>
  <c r="C33" i="2" s="1"/>
  <c r="B3" i="26"/>
  <c r="B3" i="19"/>
  <c r="H44" i="1"/>
  <c r="I45" i="1"/>
  <c r="I57" i="1"/>
  <c r="I55" i="1"/>
  <c r="I46" i="1"/>
  <c r="I58" i="1"/>
  <c r="I53" i="1"/>
  <c r="I54" i="1"/>
  <c r="I50" i="1"/>
  <c r="I49" i="1"/>
  <c r="I52" i="1"/>
  <c r="I47" i="1"/>
  <c r="I48" i="1"/>
  <c r="I59" i="1"/>
  <c r="I56" i="1"/>
  <c r="I44" i="1"/>
  <c r="I51" i="1"/>
  <c r="B3" i="43" l="1"/>
  <c r="B3" i="45"/>
  <c r="B3" i="42"/>
  <c r="B3" i="39"/>
  <c r="I42" i="23"/>
  <c r="H42" i="23"/>
  <c r="G42" i="23"/>
  <c r="F42" i="23"/>
  <c r="I11" i="23"/>
  <c r="H11" i="23"/>
  <c r="G11" i="23"/>
  <c r="F11" i="23"/>
  <c r="B3" i="23"/>
  <c r="BV44" i="7"/>
  <c r="BM44" i="7"/>
  <c r="BD44" i="7"/>
  <c r="AU44" i="7"/>
  <c r="AL44" i="7"/>
  <c r="AL43" i="7"/>
  <c r="BM43" i="7"/>
  <c r="BD43" i="7"/>
  <c r="BV43" i="7"/>
  <c r="AU43" i="7"/>
  <c r="BV42" i="7"/>
  <c r="BM42" i="7"/>
  <c r="AU42" i="7"/>
  <c r="BD42" i="7"/>
  <c r="E58" i="1"/>
  <c r="E54" i="1"/>
  <c r="E48" i="1"/>
  <c r="G56" i="1"/>
  <c r="G55" i="1"/>
  <c r="E52" i="1"/>
  <c r="E49" i="1"/>
  <c r="G52" i="1"/>
  <c r="G44" i="1"/>
  <c r="E44" i="1"/>
  <c r="G54" i="1"/>
  <c r="G48" i="1"/>
  <c r="G57" i="1"/>
  <c r="G50" i="1"/>
  <c r="E59" i="1"/>
  <c r="G47" i="1"/>
  <c r="E51" i="1"/>
  <c r="E56" i="1"/>
  <c r="G53" i="1"/>
  <c r="G58" i="1"/>
  <c r="E47" i="1"/>
  <c r="G51" i="1"/>
  <c r="E55" i="1"/>
  <c r="E57" i="1"/>
  <c r="E53" i="1"/>
  <c r="G46" i="1"/>
  <c r="G45" i="1"/>
  <c r="G59" i="1"/>
  <c r="E46" i="1"/>
  <c r="E45" i="1"/>
  <c r="E50" i="1"/>
  <c r="G49" i="1"/>
  <c r="D42" i="23" l="1"/>
  <c r="C42" i="23"/>
  <c r="D11" i="23"/>
  <c r="C11" i="23"/>
  <c r="AL51" i="7"/>
  <c r="V3" i="7"/>
  <c r="BV52" i="7"/>
  <c r="BM52" i="7"/>
  <c r="BD52" i="7"/>
  <c r="AU52" i="7"/>
  <c r="AL52" i="7"/>
  <c r="BV51" i="7"/>
  <c r="BM51" i="7"/>
  <c r="BD51" i="7"/>
  <c r="AU51" i="7"/>
  <c r="BV50" i="7"/>
  <c r="BM50" i="7"/>
  <c r="BD50" i="7"/>
  <c r="AU50" i="7"/>
  <c r="AL50" i="7"/>
  <c r="BV48" i="7"/>
  <c r="BM48" i="7"/>
  <c r="BD48" i="7"/>
  <c r="AU48" i="7"/>
  <c r="AL48" i="7"/>
  <c r="BV47" i="7"/>
  <c r="BM47" i="7"/>
  <c r="BD47" i="7"/>
  <c r="AU47" i="7"/>
  <c r="BV46" i="7"/>
  <c r="BM46" i="7"/>
  <c r="BD46" i="7"/>
  <c r="AU46" i="7"/>
  <c r="AL46" i="7"/>
  <c r="C117" i="2"/>
  <c r="AL47" i="7"/>
  <c r="C107" i="2"/>
  <c r="E195" i="8" l="1"/>
  <c r="C23" i="2"/>
  <c r="C108" i="2"/>
  <c r="C33" i="45" l="1"/>
  <c r="C38" i="42" l="1"/>
  <c r="D73" i="26"/>
  <c r="D16" i="26" l="1"/>
  <c r="C30" i="43" l="1" a="1"/>
  <c r="C30" i="43" s="1"/>
  <c r="C16" i="4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Hogan, Susan</author>
  </authors>
  <commentList>
    <comment ref="H44" authorId="0" shapeId="0" xr:uid="{00000000-0006-0000-0C00-000001000000}">
      <text>
        <r>
          <rPr>
            <b/>
            <sz val="9"/>
            <color rgb="FF000000"/>
            <rFont val="Tahoma"/>
            <family val="2"/>
          </rPr>
          <t>Hogan, Susan:</t>
        </r>
        <r>
          <rPr>
            <sz val="9"/>
            <color rgb="FF000000"/>
            <rFont val="Tahoma"/>
            <family val="2"/>
          </rPr>
          <t xml:space="preserve">
This is populated from FRCP_y1 which is selected by the business on the cover 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<sst xmlns="http://schemas.openxmlformats.org/spreadsheetml/2006/main" count="2007" uniqueCount="1091">
  <si>
    <t>INSTRUCTIONS</t>
  </si>
  <si>
    <t>GENERAL</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</si>
  <si>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</si>
  <si>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</si>
  <si>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t>
    </r>
    <r>
      <rPr>
        <sz val="14"/>
        <rFont val="Arial"/>
        <family val="2"/>
      </rPr>
      <t xml:space="preserve">Please use the appropriate style to identify
confidential and protected information
in the </t>
    </r>
    <r>
      <rPr>
        <b/>
        <sz val="14"/>
        <rFont val="Arial"/>
        <family val="2"/>
      </rPr>
      <t>confidential</t>
    </r>
    <r>
      <rPr>
        <sz val="14"/>
        <rFont val="Arial"/>
        <family val="2"/>
      </rPr>
      <t xml:space="preserve"> workbook. 
</t>
    </r>
    <r>
      <rPr>
        <sz val="16"/>
        <rFont val="Arial"/>
        <family val="2"/>
      </rPr>
      <t xml:space="preserve">
</t>
    </r>
  </si>
  <si>
    <t>Do this by selecting the cell that contains the correct cell colour and format, then copy it and 'paste format' to the confidential cells. Alternatively you can change the fill of the cell to the same colour and pattern manually. This will format the cells a specific colour that is identified by the AER's process which in turn identifies that information as confidential or protected in the AER database.</t>
  </si>
  <si>
    <t>AMENDMENTS</t>
  </si>
  <si>
    <r>
      <rPr>
        <sz val="12"/>
        <rFont val="Arial"/>
        <family val="2"/>
      </rPr>
      <t xml:space="preserve">
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</si>
  <si>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NSP may recolour cells using the</t>
    </r>
    <r>
      <rPr>
        <b/>
        <sz val="12"/>
        <rFont val="Arial"/>
        <family val="2"/>
      </rPr>
      <t xml:space="preserve"> Amended</t>
    </r>
    <r>
      <rPr>
        <sz val="12"/>
        <rFont val="Arial"/>
        <family val="2"/>
      </rPr>
      <t xml:space="preserve"> 
style on the Home ribbon to identify cells that 
contain amended data.
</t>
    </r>
    <r>
      <rPr>
        <b/>
        <sz val="12"/>
        <rFont val="Arial"/>
        <family val="2"/>
      </rPr>
      <t>NB</t>
    </r>
    <r>
      <rPr>
        <sz val="12"/>
        <rFont val="Arial"/>
        <family val="2"/>
      </rPr>
      <t xml:space="preserve">: if data is also CONFIDENTIAL, apply 
the </t>
    </r>
    <r>
      <rPr>
        <b/>
        <sz val="12"/>
        <rFont val="Arial"/>
        <family val="2"/>
      </rPr>
      <t>Amended Confidential</t>
    </r>
    <r>
      <rPr>
        <sz val="12"/>
        <rFont val="Arial"/>
        <family val="2"/>
      </rPr>
      <t xml:space="preserve"> style</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</si>
  <si>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</si>
  <si>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NUMERICAL VALUES</t>
  </si>
  <si>
    <r>
      <t xml:space="preserve">
DO NOT ROUND </t>
    </r>
    <r>
      <rPr>
        <sz val="14"/>
        <rFont val="Arial"/>
        <family val="2"/>
      </rPr>
      <t xml:space="preserve">values. Report values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</si>
  <si>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</si>
  <si>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t>Yellow = Input cell (mandatory)</t>
  </si>
  <si>
    <t>Darker yellow = input cell (mandatory)</t>
  </si>
  <si>
    <t>Grey = Not applicable/No inputs required</t>
  </si>
  <si>
    <t>PLEASE DO NOT ENTER TEXT into cells that are to contain numbers (including 'numbers stored as text')</t>
  </si>
  <si>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</si>
  <si>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</si>
  <si>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</si>
  <si>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TEMPLATE DATE</t>
  </si>
  <si>
    <t>JULY 2024</t>
  </si>
  <si>
    <t>SUBMISSION</t>
  </si>
  <si>
    <t>Business &amp; other details</t>
  </si>
  <si>
    <t>EXPENDITURE</t>
  </si>
  <si>
    <t>E2. Repex</t>
  </si>
  <si>
    <t>E3. Expansion</t>
  </si>
  <si>
    <t>E6. Non-network</t>
  </si>
  <si>
    <t>E10. Overheads</t>
  </si>
  <si>
    <t>E13. Other capex</t>
  </si>
  <si>
    <t>ADMIN</t>
  </si>
  <si>
    <t>Additional disclosures</t>
  </si>
  <si>
    <t>BUSINESS &amp; OTHER DETAILS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</si>
  <si>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</si>
  <si>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</si>
  <si>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</si>
  <si>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</si>
  <si>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</si>
  <si>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Roma to Brisbane Pipeline</t>
  </si>
  <si>
    <t>ACN/ABN</t>
  </si>
  <si>
    <t>Business Address</t>
  </si>
  <si>
    <t>Postal Address</t>
  </si>
  <si>
    <t>Address 1</t>
  </si>
  <si>
    <t>Level 10</t>
  </si>
  <si>
    <t>PO BOX R41</t>
  </si>
  <si>
    <t>Address 2</t>
  </si>
  <si>
    <t>121 Castlereagh Street</t>
  </si>
  <si>
    <t>Suburb</t>
  </si>
  <si>
    <t>SYDNEY</t>
  </si>
  <si>
    <t>Royal Exchange NSW</t>
  </si>
  <si>
    <t>State</t>
  </si>
  <si>
    <t>NSW</t>
  </si>
  <si>
    <t>Post code</t>
  </si>
  <si>
    <t>`</t>
  </si>
  <si>
    <t>Contact Names</t>
  </si>
  <si>
    <t>Name</t>
  </si>
  <si>
    <t>Phone</t>
  </si>
  <si>
    <t>Email</t>
  </si>
  <si>
    <t>REGULATORY CONTROL PERIODS</t>
  </si>
  <si>
    <t>Forthcoming period</t>
  </si>
  <si>
    <t>2021-22</t>
  </si>
  <si>
    <t>RESETS</t>
  </si>
  <si>
    <t>Current period</t>
  </si>
  <si>
    <t>Previous period</t>
  </si>
  <si>
    <t>Commencing year</t>
  </si>
  <si>
    <t>ANNUAL RINS</t>
  </si>
  <si>
    <t>Final year</t>
  </si>
  <si>
    <t>2024-25</t>
  </si>
  <si>
    <t>SUBMISSION DETAILS</t>
  </si>
  <si>
    <t>RIN type</t>
  </si>
  <si>
    <t>Source</t>
  </si>
  <si>
    <t>Reporting</t>
  </si>
  <si>
    <t>THIS FILE</t>
  </si>
  <si>
    <t>Data Quality</t>
  </si>
  <si>
    <t>Consolidated</t>
  </si>
  <si>
    <t>Confidentiality Status</t>
  </si>
  <si>
    <t>Public</t>
  </si>
  <si>
    <t>Amended RIN 
Amendment Reason</t>
  </si>
  <si>
    <t>.</t>
  </si>
  <si>
    <t>Submission Date</t>
  </si>
  <si>
    <t>30/06/2026</t>
  </si>
  <si>
    <t>#25C6FF</t>
  </si>
  <si>
    <t>Protected (SOCI)</t>
  </si>
  <si>
    <t>#FFCCCC</t>
  </si>
  <si>
    <t>Confidential</t>
  </si>
  <si>
    <t>12.5% Grey</t>
  </si>
  <si>
    <t>Amended</t>
  </si>
  <si>
    <t>E2. REPLACEMENT CAPITAL EXPENDITURE</t>
  </si>
  <si>
    <t>#FFCCCC &amp; 
12.5% Grey</t>
  </si>
  <si>
    <t>Amended Confidential</t>
  </si>
  <si>
    <t>E2.1 - CAPEX - BY DRIVER</t>
  </si>
  <si>
    <t>EXPENDITURE
$0's</t>
  </si>
  <si>
    <t>Direct labour</t>
  </si>
  <si>
    <t>Direct materials</t>
  </si>
  <si>
    <t>Direct contractor</t>
  </si>
  <si>
    <t>Other direct expenditure</t>
  </si>
  <si>
    <t>Overheads</t>
  </si>
  <si>
    <r>
      <rPr>
        <sz val="10"/>
        <rFont val="Arial"/>
        <family val="2"/>
      </rPr>
      <t>Capital contributions</t>
    </r>
    <r>
      <rPr>
        <i/>
        <sz val="10"/>
        <rFont val="Arial"/>
        <family val="2"/>
      </rPr>
      <t xml:space="preserve"> included in the above</t>
    </r>
  </si>
  <si>
    <r>
      <t xml:space="preserve">Total </t>
    </r>
    <r>
      <rPr>
        <b/>
        <i/>
        <sz val="10"/>
        <color theme="1" tint="0.499984740745262"/>
        <rFont val="Calibri"/>
        <family val="2"/>
        <scheme val="minor"/>
      </rPr>
      <t>(less capital contributions)</t>
    </r>
  </si>
  <si>
    <t>E2.2 - CAPEX - BY PROJECT</t>
  </si>
  <si>
    <t>E2.2.1 - EXPENDITURE</t>
  </si>
  <si>
    <t>Project Name</t>
  </si>
  <si>
    <t>DN250 Security of supply</t>
  </si>
  <si>
    <t>CP Augmentation</t>
  </si>
  <si>
    <t>DN250 Dig Ups Stage 6, 7 &amp; 8 (Pipeline Integrity assessment program)</t>
  </si>
  <si>
    <t>Dalby Unit2 C50</t>
  </si>
  <si>
    <t>Gowrie Cr Wash Out Capex</t>
  </si>
  <si>
    <t>DN300 Metro Emat (Refer Note 1 detailed in the "Additional disclosures" tab)</t>
  </si>
  <si>
    <t>Main Switchboard</t>
  </si>
  <si>
    <t>DN300 Validation Digs</t>
  </si>
  <si>
    <t>DN400.Oaky to SB MFL (Refer Note 1 detailed in the "Additional disclosures" tab)</t>
  </si>
  <si>
    <t>AASB16 Share of Leased Assets - Land &amp; Building (Refer Note 2 detailed in the "Additional disclosures" tab)</t>
  </si>
  <si>
    <t>AASB16 Share of Leased Assets - Motor Vehicles (Refer Note 2 detailed in the "Additional disclosures" tab)</t>
  </si>
  <si>
    <t>Aggregate of other projects with total expenditure of less than $500,000</t>
  </si>
  <si>
    <t>Total</t>
  </si>
  <si>
    <t>E2.2.2 - VOLUMES</t>
  </si>
  <si>
    <t>VOLUMES
(0s)</t>
  </si>
  <si>
    <t>Units</t>
  </si>
  <si>
    <t>Refer Note 3 detailed in the "Additional disclosures" tab</t>
  </si>
  <si>
    <t>Anode beds</t>
  </si>
  <si>
    <t>Dig ups</t>
  </si>
  <si>
    <t>Units maintained</t>
  </si>
  <si>
    <t>kms inspected</t>
  </si>
  <si>
    <t>No. of switchboard updgraded</t>
  </si>
  <si>
    <t xml:space="preserve"> </t>
  </si>
  <si>
    <t>E3. EXPANSION CAPITAL EXPENDITURE</t>
  </si>
  <si>
    <t>E3.1 - CAPEX - BY DRIVER</t>
  </si>
  <si>
    <t>E3.2 - CAPEX - BY PROJECT</t>
  </si>
  <si>
    <t>E3.2.1 - EXPENDITURE</t>
  </si>
  <si>
    <t>E3.2.2 - VOLUMES</t>
  </si>
  <si>
    <t>VOLUME
(0s)</t>
  </si>
  <si>
    <t>E6. NON-NETWORK CAPITAL EXPENDITURE</t>
  </si>
  <si>
    <t>E6.1 - NON-NETWORK</t>
  </si>
  <si>
    <t>E6.1.1 - CAPEX - BY DRIVER</t>
  </si>
  <si>
    <t>E6.1.2 - CAPEX BY PROJECT</t>
  </si>
  <si>
    <t>Shared Corporate assets</t>
  </si>
  <si>
    <t>AASB Shared Leased Assets - Land &amp; Building (Refer Note 2 detailed in the "Additional disclosures" tab)</t>
  </si>
  <si>
    <t>AASB Shared Leased Assets - Motor Vehicles (Refer Note 2 detailed in the "Additional disclosures" tab)</t>
  </si>
  <si>
    <t>Access Arrangement costs</t>
  </si>
  <si>
    <t>E10. OVERHEADS</t>
  </si>
  <si>
    <t>E10.1 - NETWORK</t>
  </si>
  <si>
    <t>E10.1.1 - OPEX</t>
  </si>
  <si>
    <t>Reference services</t>
  </si>
  <si>
    <t>Other services provided as a covered pipeline</t>
  </si>
  <si>
    <t>All opex</t>
  </si>
  <si>
    <t>E10.1.2 - CAPEX</t>
  </si>
  <si>
    <t>All capex</t>
  </si>
  <si>
    <t>E10.2 - CORPORATE</t>
  </si>
  <si>
    <t>E10.2.1 - OPEX</t>
  </si>
  <si>
    <t>E10.2.2 - CAPEX</t>
  </si>
  <si>
    <t>E13. OTHER CAPITAL EXPENDITURE</t>
  </si>
  <si>
    <t>E13.1 - OTHER CAPEX</t>
  </si>
  <si>
    <t>E13.1.1 - CAPEX - BY DRIVER</t>
  </si>
  <si>
    <t>E13.1.2 - CAPEX BY PROJECT</t>
  </si>
  <si>
    <t>Project</t>
  </si>
  <si>
    <t>DN400 Oaky to SB MFL (Refer Note 1 detailed in the "Additional disclosures" tab)</t>
  </si>
  <si>
    <t>Note 1</t>
  </si>
  <si>
    <t>Please note that, due to differences in the interpretation of definitions applied across the Access Arrangement periods detailed below, there is an inconsistency in the classification of projects reported across capital expenditure categories.</t>
  </si>
  <si>
    <t xml:space="preserve">- 1 July 2022 to 30 June 2027 (FY23 to FY27) </t>
  </si>
  <si>
    <t>Projects categorised as “replacement capital expenditure” in the earlier Access Arrangement period were subsequently categorised as “other capital expenditure” in the later period.</t>
  </si>
  <si>
    <t>However, for the purposes of this workbook, the categorisation has been aligned to be consistent with prior ARIN reporting, and going forward the classification will be standardised to ensure consistency across all future reporting periods.</t>
  </si>
  <si>
    <t>Note 2</t>
  </si>
  <si>
    <t>Please note that there is an inconsistency in the classification of the Capital Expenditure Driver for AASB 16 Share of Leased Assets – Land &amp; Buildings and Motor Vehicles, as reported over the years in the Annual Regulatory Information Notice (ARIN), namely:</t>
  </si>
  <si>
    <t>- Reported as repex in FY23 and FY24</t>
  </si>
  <si>
    <t>- Reported as non-network capex in FY22 and FY25</t>
  </si>
  <si>
    <t>Both classifications have been used historically and are considered acceptable for reporting purposes.</t>
  </si>
  <si>
    <t>Note 3</t>
  </si>
  <si>
    <t>The information below relates to the Table 2.2.2 - Volume, which forms part of the tab called E2. Repex.</t>
  </si>
  <si>
    <t>In Table 2.2.2 the service provider must report the volume and a unit of measure, for each replacement project reported in Table E2.2.1.</t>
  </si>
  <si>
    <t>In Table E2.2.2 the service provider must report the volume and a unit of measure for all replacement projects in aggregate where the total cumulative capital expenditure over the life of each project is less than $500,000.</t>
  </si>
  <si>
    <t>For the following projects, units of measure have not been provided for the reasons outline below:</t>
  </si>
  <si>
    <t xml:space="preserve">- DN250 Security of supply :  </t>
  </si>
  <si>
    <t>This project does not have an applicable unit of measure, as it does not involve repeatable activities, but instead enhances reliability and safety of existing infrastructure.</t>
  </si>
  <si>
    <t>- Gowrie Cr Wash Out Capex</t>
  </si>
  <si>
    <t>- AASB 16 Share of leased assets</t>
  </si>
  <si>
    <t>Shared leased assets and property were initially classified as replacement assets in FY23 and FY24. Following further review, these costs have been reclassified as non-network expenditure. As this category does not require a unit of measure, no metric has been reported.</t>
  </si>
  <si>
    <t>- Aggregate of other projects with total expenditure of less than $500,000</t>
  </si>
  <si>
    <t>As this category comprises projects with a total expenditure of less than $500,000, many reported projects consist of multiple individual programs that do not share a common unit of measurement. For these projects, a unit of measurement has not been provided.</t>
  </si>
  <si>
    <t>XX</t>
  </si>
  <si>
    <t>VOLUMES</t>
  </si>
  <si>
    <t>0's</t>
  </si>
  <si>
    <t>AER CONDITIONAL FORMATTING</t>
  </si>
  <si>
    <t>CONDITIONAL FORMATTING MAP</t>
  </si>
  <si>
    <t>=INDEX(dms_CF_3.6.1, MATCH(dms_TradingName,dms_CF_TradingName))="Y"</t>
  </si>
  <si>
    <t>=INDEX(dms_CF_3.6.5, MATCH(dms_TradingName,dms_CF_TradingName))="Y"</t>
  </si>
  <si>
    <t>=INDEX(dms_CF_3.6.6, MATCH(dms_TradingName,dms_CF_TradingName))="Y"</t>
  </si>
  <si>
    <t>=INDEX(dms_CF_3.6.7.1, MATCH(dms_TradingName,dms_CF_TradingName))="Y"</t>
  </si>
  <si>
    <t>=INDEX(dms_CF_3.6.7.2, MATCH(dms_TradingName,dms_CF_TradingName))="Y"</t>
  </si>
  <si>
    <t>=INDEX(dms_CF_3.6.7.3, MATCH(dms_TradingName,dms_CF_TradingName))="Y"</t>
  </si>
  <si>
    <t>=INDEX(dms_CF_3.6.7.4, MATCH(dms_TradingName,dms_CF_TradingName))="Y"</t>
  </si>
  <si>
    <t>=INDEX(dms_CF_3.6.8, MATCH(dms_TradingName,dms_CF_TradingName))="Y"</t>
  </si>
  <si>
    <t>=INDEX(dms_CF_4.1, MATCH(dms_TradingName,dms_CF_TradingName))="Y"</t>
  </si>
  <si>
    <t>=INDEX(dms_CF_6.6.1, MATCH(dms_TradingName,dms_CF_TradingName))="Y"</t>
  </si>
  <si>
    <t>=INDEX(dms_CF_6.8, MATCH(dms_TradingName,dms_CF_TradingName))="Y"</t>
  </si>
  <si>
    <t>=INDEX(dms_CF_7.12, MATCH(dms_TradingName,dms_CF_TradingName))="Y"</t>
  </si>
  <si>
    <t>=INDEX(dms_CF_8.1_A, MATCH(dms_TradingName,dms_CF_TradingName))="Y"</t>
  </si>
  <si>
    <t>=INDEX(dms_CF_8.1_B, MATCH(dms_TradingName,dms_CF_TradingName))="Y"</t>
  </si>
  <si>
    <t>=INDEX(dms_CF_8.1_Neg, MATCH(dms_TradingName,dms_CF_TradingName))="Y"</t>
  </si>
  <si>
    <t>=INDEX(dms_CF_4.4.1_Neg, MATCH(dms_TradingName,dms_CF_TradingName))="Y"</t>
  </si>
  <si>
    <t>dms_CF_TradingName</t>
  </si>
  <si>
    <t>JurisdictionList</t>
  </si>
  <si>
    <t>Sector</t>
  </si>
  <si>
    <t>Segment</t>
  </si>
  <si>
    <t>dms_CF_3.6.1</t>
  </si>
  <si>
    <t>dms_CF_3.6.5</t>
  </si>
  <si>
    <t>dms_CF_3.6.6</t>
  </si>
  <si>
    <t>dms_CF_3.6.7.1</t>
  </si>
  <si>
    <t>dms_CF_3.6.7.2</t>
  </si>
  <si>
    <t>dms_CF_3.6.7.3</t>
  </si>
  <si>
    <t>dms_CF_3.6.7.4</t>
  </si>
  <si>
    <t>dms_CF_3.6.8</t>
  </si>
  <si>
    <t>dms_CF_4.1</t>
  </si>
  <si>
    <t>dms_CF_6.6.1</t>
  </si>
  <si>
    <t>dms_CF_6.8</t>
  </si>
  <si>
    <t>dms_CF_7.12</t>
  </si>
  <si>
    <t>dms_CF_8.1_A</t>
  </si>
  <si>
    <t>dms_CF_8.1_B</t>
  </si>
  <si>
    <t>dms_CF_8.1_Neg</t>
  </si>
  <si>
    <t>dms_CF_4.4.1</t>
  </si>
  <si>
    <t>dms_CF_MAIFI_flag</t>
  </si>
  <si>
    <t>Spare1</t>
  </si>
  <si>
    <t>Spare2</t>
  </si>
  <si>
    <t>ActewAGL Distribution</t>
  </si>
  <si>
    <t>ACT</t>
  </si>
  <si>
    <t>Electricity</t>
  </si>
  <si>
    <t>Distribution</t>
  </si>
  <si>
    <t>Y</t>
  </si>
  <si>
    <t>N</t>
  </si>
  <si>
    <t>Ausgrid</t>
  </si>
  <si>
    <t>AusNet (D)</t>
  </si>
  <si>
    <t>Vic</t>
  </si>
  <si>
    <t>AusNet (T)</t>
  </si>
  <si>
    <t>Transmission</t>
  </si>
  <si>
    <t>CitiPower</t>
  </si>
  <si>
    <t>Directlink</t>
  </si>
  <si>
    <t>Qld</t>
  </si>
  <si>
    <t>ElectraNet</t>
  </si>
  <si>
    <t>SA</t>
  </si>
  <si>
    <t>Endeavour Energy</t>
  </si>
  <si>
    <t>Energex</t>
  </si>
  <si>
    <t>Ergon Energy</t>
  </si>
  <si>
    <t>Essential Energy</t>
  </si>
  <si>
    <t>Jemena Electricity</t>
  </si>
  <si>
    <t>Murraylink</t>
  </si>
  <si>
    <t>Power and Water</t>
  </si>
  <si>
    <t>NT</t>
  </si>
  <si>
    <t>Powercor Australia</t>
  </si>
  <si>
    <t>Powerlink</t>
  </si>
  <si>
    <t>SA Power Networks</t>
  </si>
  <si>
    <t>TasNetworks (D)</t>
  </si>
  <si>
    <t>Tas</t>
  </si>
  <si>
    <t>TasNetworks (T)</t>
  </si>
  <si>
    <t>TransGrid</t>
  </si>
  <si>
    <t>United Energy</t>
  </si>
  <si>
    <t>Worksheet 6.2 STPIS reliability</t>
  </si>
  <si>
    <t>Formula</t>
  </si>
  <si>
    <t>Applied to:</t>
  </si>
  <si>
    <t>=INDEX(dms_CBD_flag,MATCH(dms_TradingName,dms_TradingName_List))="NO"</t>
  </si>
  <si>
    <t>$D$11,$D$17,$D$23,$D$33,$D$39,$D$45,$D$55,$D$61,$D$67,$D$77,$D$83,$D$89</t>
  </si>
  <si>
    <t>=INDEX(dms_Urban_flag,MATCH(dms_TradingName,dms_TradingName_List))="NO"</t>
  </si>
  <si>
    <t>$D$12,$D$18,$D$24,$D$56,$D$62,$D$78,$D$68,$D$84</t>
  </si>
  <si>
    <t>=INDEX(dms_ShortRural_flag,MATCH(dms_TradingName,dms_TradingName_List))="NO"</t>
  </si>
  <si>
    <t>$D$13,$D$19,$D$25,$D$57,$D$63,$D$69,$D$79,$D$85</t>
  </si>
  <si>
    <t>=INDEX(dms_LongRural_flag,MATCH(dms_TradingName,dms_TradingName_List))="NO"</t>
  </si>
  <si>
    <t>$D$14,$D$20,$D$26,$D$58,$D$64,$D$65,$D$70,$D$71,$D$80,$D$86</t>
  </si>
  <si>
    <t>=INDEX(dms_FeederType_5_flag,MATCH(dms_TradingName,dms_TradingName_List))="NO"</t>
  </si>
  <si>
    <t>$D$87,$D$81,$D$71,$D$65,$D$59,$D$49,$D$43,$D$37,$D$21,$D$15</t>
  </si>
  <si>
    <t>=dms_MAIFI_Flag="No"</t>
  </si>
  <si>
    <t>$D$55:$D$72</t>
  </si>
  <si>
    <t>=(INDEX(dms_Model_Span,MATCH(dms_Model,dms_Model_List))&gt;1)</t>
  </si>
  <si>
    <t>=(INDEX(dms_Model_Span,MATCH(dms_Model,dms_Model_List))=1)</t>
  </si>
  <si>
    <t>STYLES IN USE</t>
  </si>
  <si>
    <t>dms_1</t>
  </si>
  <si>
    <t>dms_2</t>
  </si>
  <si>
    <t>dms_3</t>
  </si>
  <si>
    <t>dms_4</t>
  </si>
  <si>
    <t>dms_5</t>
  </si>
  <si>
    <t>dms_NUM</t>
  </si>
  <si>
    <t>dms_NUM%</t>
  </si>
  <si>
    <t>dms_Row_Locked</t>
  </si>
  <si>
    <t>dms_Row1</t>
  </si>
  <si>
    <t>dms_Row2</t>
  </si>
  <si>
    <t>dms_T1</t>
  </si>
  <si>
    <t>dms_T2</t>
  </si>
  <si>
    <t>dms_BH</t>
  </si>
  <si>
    <t>dms_BY1</t>
  </si>
  <si>
    <t>dms_BY2</t>
  </si>
  <si>
    <t>dms_GH</t>
  </si>
  <si>
    <t>dms_GY1</t>
  </si>
  <si>
    <t>dms_GY2</t>
  </si>
  <si>
    <t>0</t>
  </si>
  <si>
    <t>AER NAMED RANGES</t>
  </si>
  <si>
    <t>DROP DOWN SELECTORS USED IN WORKBOOKS</t>
  </si>
  <si>
    <t>COVER SHEET</t>
  </si>
  <si>
    <t>dms_DataQuality_List</t>
  </si>
  <si>
    <t>dms_Confid_status_List</t>
  </si>
  <si>
    <t>-- select --</t>
  </si>
  <si>
    <t>Actual</t>
  </si>
  <si>
    <t>Estimate</t>
  </si>
  <si>
    <t>For all files either AER or business needs to be able to specify the type of submission</t>
  </si>
  <si>
    <t>For PTRM &amp; RFM templates we must provide a choice in case they change their form of control - otherwise it is drawn from the business specific lookup table above.</t>
  </si>
  <si>
    <t>dms_SourceList</t>
  </si>
  <si>
    <t>dms_FormControl_Choices</t>
  </si>
  <si>
    <t>Revenue cap</t>
  </si>
  <si>
    <t>After appeal</t>
  </si>
  <si>
    <t>Revenue yield</t>
  </si>
  <si>
    <t>Draft decision</t>
  </si>
  <si>
    <t>Weighted average price cap</t>
  </si>
  <si>
    <t>Final decision</t>
  </si>
  <si>
    <t>PTRM update 1</t>
  </si>
  <si>
    <t>PTRM update 2</t>
  </si>
  <si>
    <t>PTRM update 3</t>
  </si>
  <si>
    <t>PTRM update 4</t>
  </si>
  <si>
    <t>PTRM update 5</t>
  </si>
  <si>
    <t>PTRM update 6</t>
  </si>
  <si>
    <t>PTRM update 7</t>
  </si>
  <si>
    <t>Regulatory proposal</t>
  </si>
  <si>
    <t>Revised regulatory proposal</t>
  </si>
  <si>
    <t>This is used to create an image to insert on 6.3 STPIS sheet - not for dropdown lists.</t>
  </si>
  <si>
    <t>GAS</t>
  </si>
  <si>
    <t>CA &amp; RESET RINS 
DNSP</t>
  </si>
  <si>
    <t>dms_DNSP_020301_SubstationType</t>
  </si>
  <si>
    <t>dms_DNSP_020301_ProjectType</t>
  </si>
  <si>
    <t>dms_DNSP_020301_ProjectTrigger</t>
  </si>
  <si>
    <t>dms_DNSP_020302_ProjectType</t>
  </si>
  <si>
    <t>dms_DNSP_020302_ProjectTrigger</t>
  </si>
  <si>
    <t>dms_STPIS_Exclusion_List</t>
  </si>
  <si>
    <t>dms_Reason_Interruption</t>
  </si>
  <si>
    <t>dms_Reason_Interruption_Detailed</t>
  </si>
  <si>
    <t>Reason for interruption</t>
  </si>
  <si>
    <t>dms_N0205_AssetType</t>
  </si>
  <si>
    <t>Subtransmission substation</t>
  </si>
  <si>
    <t>New substation establishment</t>
  </si>
  <si>
    <t>Demand growth</t>
  </si>
  <si>
    <t>New line on new route - single circuit</t>
  </si>
  <si>
    <t>Weather</t>
  </si>
  <si>
    <t>Animal</t>
  </si>
  <si>
    <t>Animal impact</t>
  </si>
  <si>
    <t>Cast Iron</t>
  </si>
  <si>
    <t>Zone substation</t>
  </si>
  <si>
    <t>Substation upgrade - capacity</t>
  </si>
  <si>
    <t xml:space="preserve"> Voltage issues</t>
  </si>
  <si>
    <t>New line on new route - dual circuit</t>
  </si>
  <si>
    <t>Equipment failure</t>
  </si>
  <si>
    <t>Asset failure</t>
  </si>
  <si>
    <t>Animal nesting/burrowing, etc and other</t>
  </si>
  <si>
    <t>PVC</t>
  </si>
  <si>
    <t>Switching station</t>
  </si>
  <si>
    <t>Substation upgrade - voltage</t>
  </si>
  <si>
    <t xml:space="preserve"> Reactive power issue</t>
  </si>
  <si>
    <t>New line on new route - other</t>
  </si>
  <si>
    <t>Operational error</t>
  </si>
  <si>
    <t>Other</t>
  </si>
  <si>
    <t>Polyamide</t>
  </si>
  <si>
    <t xml:space="preserve"> Fault level issues</t>
  </si>
  <si>
    <t>Line rebuild over existing route - single circuit</t>
  </si>
  <si>
    <t>Vegetation</t>
  </si>
  <si>
    <t>Overloads</t>
  </si>
  <si>
    <t>LV</t>
  </si>
  <si>
    <t>High density polyethylene (80)</t>
  </si>
  <si>
    <t xml:space="preserve"> Safety</t>
  </si>
  <si>
    <t>Line rebuild over existing route - dual circuit</t>
  </si>
  <si>
    <t xml:space="preserve"> Net market benefit</t>
  </si>
  <si>
    <t>Animals</t>
  </si>
  <si>
    <t>Planned</t>
  </si>
  <si>
    <t>Distribution substation</t>
  </si>
  <si>
    <t>High density polyethylene (100)</t>
  </si>
  <si>
    <t xml:space="preserve"> Environment</t>
  </si>
  <si>
    <t>Reconductor - Single circuit</t>
  </si>
  <si>
    <t>Third party impacts</t>
  </si>
  <si>
    <t>Network business</t>
  </si>
  <si>
    <t>HV</t>
  </si>
  <si>
    <t>High density polyethylene (250)</t>
  </si>
  <si>
    <t xml:space="preserve"> Other</t>
  </si>
  <si>
    <t>Reconductor - Dual circuit</t>
  </si>
  <si>
    <t>Transmission failure</t>
  </si>
  <si>
    <t>Third party</t>
  </si>
  <si>
    <t>High density polyethylene (575)</t>
  </si>
  <si>
    <t>Reconductor - Other</t>
  </si>
  <si>
    <t>Load shedding</t>
  </si>
  <si>
    <t>Unknown</t>
  </si>
  <si>
    <t>Subtransmission</t>
  </si>
  <si>
    <t>Medium density polyethylene</t>
  </si>
  <si>
    <t>Line upgrade - raising/retensoring</t>
  </si>
  <si>
    <t>Inter-distributor connection failure</t>
  </si>
  <si>
    <t>insert description of 'other'</t>
  </si>
  <si>
    <t>Unprotected steel</t>
  </si>
  <si>
    <t>Line upgrade - voltage upgrade</t>
  </si>
  <si>
    <t>Network error</t>
  </si>
  <si>
    <t>Protected steel</t>
  </si>
  <si>
    <t>Line upgrade - capacity</t>
  </si>
  <si>
    <t>2 - STPIS Exclusion (3.3)(a)</t>
  </si>
  <si>
    <t>Switching and protection error</t>
  </si>
  <si>
    <t>String spare circuit</t>
  </si>
  <si>
    <t>3 - STPIS Exclusion (3.3)(a)</t>
  </si>
  <si>
    <t>Fire</t>
  </si>
  <si>
    <t>4 - STPIS Exclusion (3.3)(a)</t>
  </si>
  <si>
    <t>5 - STPIS Exclusion (3.3)(a)</t>
  </si>
  <si>
    <t>Dig-in</t>
  </si>
  <si>
    <t>6 - STPIS Exclusion (3.3)(a)</t>
  </si>
  <si>
    <t>Unauthorised access</t>
  </si>
  <si>
    <t>7 - STPIS Exclusion (3.3)(a)</t>
  </si>
  <si>
    <t>Vehicle impact</t>
  </si>
  <si>
    <t>Blow-in/Fall-in - NSP responsibility</t>
  </si>
  <si>
    <t>Grow-in - NSP responsibility</t>
  </si>
  <si>
    <t>Blow-in/Fall-in - Other responsible party</t>
  </si>
  <si>
    <t>Grow-in - Other responsible party</t>
  </si>
  <si>
    <t xml:space="preserve">CA &amp; RESET RINS 
TNSP </t>
  </si>
  <si>
    <t>dms_TNSP_0203_SubstationType</t>
  </si>
  <si>
    <t>dms_TNSP_020301_ProjectType</t>
  </si>
  <si>
    <t>dms_TNSP_020301_ProjectTrigger</t>
  </si>
  <si>
    <t>dms_TNSP_020302_ProjectType</t>
  </si>
  <si>
    <t>dms_TNSP_0203_ProjectTrigger</t>
  </si>
  <si>
    <t>Terminal station</t>
  </si>
  <si>
    <t>Capacity upgrade</t>
  </si>
  <si>
    <t>Transmission substation</t>
  </si>
  <si>
    <t>Voltage upgrade</t>
  </si>
  <si>
    <t>Net market benefit</t>
  </si>
  <si>
    <t>NAMED RANGES USED IN ETL PROCESS</t>
  </si>
  <si>
    <t>CA &amp; RESET RINS 
DNSP ONLY</t>
  </si>
  <si>
    <t>dms_020303_01_UOM</t>
  </si>
  <si>
    <t>dms_020501_01_UOM</t>
  </si>
  <si>
    <t>dms_020501_02_UOM</t>
  </si>
  <si>
    <t>dms_020501_03_UOM</t>
  </si>
  <si>
    <t>dms_020501_04_UOM</t>
  </si>
  <si>
    <t>dms_020701_01_UOM</t>
  </si>
  <si>
    <t>dms_020701_02_UOM</t>
  </si>
  <si>
    <t>dms_020701_01_Rows</t>
  </si>
  <si>
    <t>dms_040102_01_UOM</t>
  </si>
  <si>
    <t>dms_040102_04_UOM</t>
  </si>
  <si>
    <t>dms_S140101_UOM</t>
  </si>
  <si>
    <t>dms_S140102_UOM</t>
  </si>
  <si>
    <t>dms_S140201_UOM</t>
  </si>
  <si>
    <t>Circuit line length in km</t>
  </si>
  <si>
    <t>km</t>
  </si>
  <si>
    <t>Route line length within zone</t>
  </si>
  <si>
    <t>days</t>
  </si>
  <si>
    <t>number</t>
  </si>
  <si>
    <t>number per km</t>
  </si>
  <si>
    <t>Number of maintenance spans</t>
  </si>
  <si>
    <t>MVA added</t>
  </si>
  <si>
    <t>Total length of maintenance spans</t>
  </si>
  <si>
    <t>$0s</t>
  </si>
  <si>
    <t>Length of vegetation corridors</t>
  </si>
  <si>
    <t>Number</t>
  </si>
  <si>
    <t>total spend $0s</t>
  </si>
  <si>
    <t>Average number of trees per maintenance span</t>
  </si>
  <si>
    <t>net circuit km added</t>
  </si>
  <si>
    <t>years</t>
  </si>
  <si>
    <t>Average frequency of cutting cycle</t>
  </si>
  <si>
    <t>CA &amp; RESET RINS 
TNSP ONLY</t>
  </si>
  <si>
    <t>metres</t>
  </si>
  <si>
    <t>CA &amp; RESET RINS 
DNSP &amp; TNSP</t>
  </si>
  <si>
    <t>dms_020603_01_UOM</t>
  </si>
  <si>
    <t>(per cent)</t>
  </si>
  <si>
    <r>
      <t xml:space="preserve">EB &amp; RESET RINS 
</t>
    </r>
    <r>
      <rPr>
        <sz val="26"/>
        <color rgb="FFFF0000"/>
        <rFont val="Calibri"/>
        <family val="2"/>
        <scheme val="minor"/>
      </rPr>
      <t>DNSP ONLY</t>
    </r>
  </si>
  <si>
    <t>dms_030601_01_UOM</t>
  </si>
  <si>
    <t>dms_030601_02_UOM</t>
  </si>
  <si>
    <t>dms_030701_01_UOM</t>
  </si>
  <si>
    <t>dms_030702_01_UOM</t>
  </si>
  <si>
    <t>dms_030703_01_UOM</t>
  </si>
  <si>
    <t>minutes/customer</t>
  </si>
  <si>
    <t>Customer / km</t>
  </si>
  <si>
    <t>%</t>
  </si>
  <si>
    <t>MWh/customer</t>
  </si>
  <si>
    <t>Number of spans</t>
  </si>
  <si>
    <t>interruptions/customer</t>
  </si>
  <si>
    <t>kVA / customer</t>
  </si>
  <si>
    <t>Years</t>
  </si>
  <si>
    <t>Trees</t>
  </si>
  <si>
    <t>Defects</t>
  </si>
  <si>
    <t>Spans</t>
  </si>
  <si>
    <t>WHEN INSERTING COVER SHEET INTO A TNSP FILE - APPLY THESE NAMED RANGES</t>
  </si>
  <si>
    <r>
      <t xml:space="preserve">EB &amp; RESET RINS 
</t>
    </r>
    <r>
      <rPr>
        <sz val="26"/>
        <color rgb="FFFF0000"/>
        <rFont val="Calibri"/>
        <family val="2"/>
        <scheme val="minor"/>
      </rPr>
      <t>TNSP ONLY</t>
    </r>
  </si>
  <si>
    <t>EB &amp; RESET RINS 
DNSP &amp; TNSP</t>
  </si>
  <si>
    <t>dms_EB_RAB_PIT</t>
  </si>
  <si>
    <t>Beginning of year</t>
  </si>
  <si>
    <t>End of year</t>
  </si>
  <si>
    <t>ARR 
DNSP ONLY</t>
  </si>
  <si>
    <t>dms_030605_UOM</t>
  </si>
  <si>
    <t>dms_03060703_UOM</t>
  </si>
  <si>
    <t>Spare</t>
  </si>
  <si>
    <t/>
  </si>
  <si>
    <t>RFM</t>
  </si>
  <si>
    <t>dms_Beg</t>
  </si>
  <si>
    <t>dms_Mid</t>
  </si>
  <si>
    <t>dms_End</t>
  </si>
  <si>
    <t>Mid year</t>
  </si>
  <si>
    <t>End of Year</t>
  </si>
  <si>
    <t>PTRM</t>
  </si>
  <si>
    <t>dms_PTRM_RAB_PIT</t>
  </si>
  <si>
    <t>dms_PTRM_TAB_PIT</t>
  </si>
  <si>
    <t>DMS_Xfactor</t>
  </si>
  <si>
    <t>x factors</t>
  </si>
  <si>
    <t xml:space="preserve">STPIS &amp; MIC NAMED RANGES </t>
  </si>
  <si>
    <t>These "row descriptions" are the column headings in the various templates but become row descriptions in the ETL process</t>
  </si>
  <si>
    <t>Table 6.3 sustained interruptions - row descriptions</t>
  </si>
  <si>
    <t>dms_060301_CustNo_Affected_Row</t>
  </si>
  <si>
    <t>dms_060301_Avg_Duration_Sustained_Int_Row</t>
  </si>
  <si>
    <t>dms_060301_Effect_unplanned_SAIDI_Row</t>
  </si>
  <si>
    <t>dms_060301_Effect_unplanned_SAIFI_Row</t>
  </si>
  <si>
    <t>Number of customers affected by the interruption</t>
  </si>
  <si>
    <t>Average duration of sustained customer interruption</t>
  </si>
  <si>
    <t>Effect on unplanned SAIDI</t>
  </si>
  <si>
    <t>Effect on unplanned SAIFI</t>
  </si>
  <si>
    <t>Table 6.1 telephone answering - row descriptions and start date</t>
  </si>
  <si>
    <t>dms_060101_Rows</t>
  </si>
  <si>
    <t>dms_060102_Rows</t>
  </si>
  <si>
    <t>dms_060101_StartDateTxt</t>
  </si>
  <si>
    <t>Total number of calls 
(after removing excluded events)</t>
  </si>
  <si>
    <t xml:space="preserve">Number of calls answered within 30 seconds 
(after excluding excluded events) </t>
  </si>
  <si>
    <t>Table 6.8.1 - row descriptions</t>
  </si>
  <si>
    <t>dms_060801_01_Rows</t>
  </si>
  <si>
    <t>dms_060801_02_Rows</t>
  </si>
  <si>
    <t>dms_060801_03_Rows</t>
  </si>
  <si>
    <t>dms_060801_04_Rows</t>
  </si>
  <si>
    <t>Number of interruptions</t>
  </si>
  <si>
    <t>Duration of interruptions</t>
  </si>
  <si>
    <t>Total unplanned minutes off supply</t>
  </si>
  <si>
    <t>Effect on unplanned MAIFI</t>
  </si>
  <si>
    <t>Table 7.9.4 - market impact component - row descriptions</t>
  </si>
  <si>
    <t>dms_070904_01_Rows</t>
  </si>
  <si>
    <t>without exclusions</t>
  </si>
  <si>
    <t>with exclusions</t>
  </si>
  <si>
    <t>These headings (Lists) are determined from the INDEX/MATCH function on the NSP selected on the Business &amp; other details sheet</t>
  </si>
  <si>
    <t>Table 6.7.1 - daily performance data - unplanned - MAIFI  -- row descriptions and header named range values</t>
  </si>
  <si>
    <t>dms_060701_Feeder_Header_Lvl4</t>
  </si>
  <si>
    <t>Network</t>
  </si>
  <si>
    <t>dms_060701_Rows</t>
  </si>
  <si>
    <t>All events</t>
  </si>
  <si>
    <t>After removing excluded events</t>
  </si>
  <si>
    <t>the number of column headings changes from 10 to 12 depending on the number of feeder categories for the NSP</t>
  </si>
  <si>
    <t>dms_0603_FeederList</t>
  </si>
  <si>
    <t>Use these to add to specific worksheets in existing files</t>
  </si>
  <si>
    <t>ARRs 6.7 STPIS daily performance</t>
  </si>
  <si>
    <t>dms_060101_Values</t>
  </si>
  <si>
    <t>dms_060102_Values</t>
  </si>
  <si>
    <t>dms_060701_Values</t>
  </si>
  <si>
    <t>dms_LeapYear</t>
  </si>
  <si>
    <t>ARR's  6.8 STPIS exclusions</t>
  </si>
  <si>
    <t>dms_060801_Event_Date</t>
  </si>
  <si>
    <t>dms_060801_OutageID</t>
  </si>
  <si>
    <t>dms_060801_FeederID</t>
  </si>
  <si>
    <t>dms_060801_FeederClass</t>
  </si>
  <si>
    <t>dms_060801_CauseID</t>
  </si>
  <si>
    <t>dms_060801_01_Values</t>
  </si>
  <si>
    <t>dms_060801_02_Values</t>
  </si>
  <si>
    <t>dms_060801_03_Values</t>
  </si>
  <si>
    <t>dms_060801_Excl_Cat</t>
  </si>
  <si>
    <t>dms_060801_04_Values</t>
  </si>
  <si>
    <t>dms_060801_StartCell</t>
  </si>
  <si>
    <t>CA 6.3 sustained interruptions</t>
  </si>
  <si>
    <t>dms_060301_Event_Date</t>
  </si>
  <si>
    <t>dms_060301_Event_Time</t>
  </si>
  <si>
    <t>dms_060301_AssetID</t>
  </si>
  <si>
    <t>dms_060301_FeederClass</t>
  </si>
  <si>
    <t>dms_060301_Reason</t>
  </si>
  <si>
    <t>dms_060301_DetailedReason</t>
  </si>
  <si>
    <t>dms_060301_CustNo_Affected_Values</t>
  </si>
  <si>
    <t>dms_060301_Avg_Duration_Sustained_Int_Values</t>
  </si>
  <si>
    <t>dms_060301_Effect_unplanned_SAIDI_Values</t>
  </si>
  <si>
    <t>dms_060301_Effect_unplanned_SAIFI_Values</t>
  </si>
  <si>
    <t>dms_060301_MED</t>
  </si>
  <si>
    <t>AER LOOKUP TABLES</t>
  </si>
  <si>
    <t>Data in these columns used for data validation and database purposes.</t>
  </si>
  <si>
    <t>Date last modified:</t>
  </si>
  <si>
    <t>added (Albury and Victora) for AGN</t>
  </si>
  <si>
    <t>updated TransGrid's correct legal name, corrected TasNetworks (T) to June financial year</t>
  </si>
  <si>
    <t>inserted Power and Water, added NRs (dms_FeederCat_1 and dms_FeederCat_2)</t>
  </si>
  <si>
    <t>inserted AEMO as a business</t>
  </si>
  <si>
    <t>major changes to accommodate STPIS</t>
  </si>
  <si>
    <t>Template Version</t>
  </si>
  <si>
    <t>FOR ELECTRICITY BUSINESSES ONLY</t>
  </si>
  <si>
    <t>Feeder Types</t>
  </si>
  <si>
    <t>Feeder Names</t>
  </si>
  <si>
    <t>MAIFI flag</t>
  </si>
  <si>
    <t>CBD</t>
  </si>
  <si>
    <t>Urban</t>
  </si>
  <si>
    <t>Short rural</t>
  </si>
  <si>
    <t>long rural</t>
  </si>
  <si>
    <t>EXTRA</t>
  </si>
  <si>
    <t>dms_TradingName_List</t>
  </si>
  <si>
    <t>dms_TradingNameFull_List</t>
  </si>
  <si>
    <t>dms_ABN_List</t>
  </si>
  <si>
    <t>dms_UID_List</t>
  </si>
  <si>
    <t>dms_JurisdictionList</t>
  </si>
  <si>
    <t>dms_Sector_List</t>
  </si>
  <si>
    <t>dms_Segment_List</t>
  </si>
  <si>
    <t>dms_FormControl_List</t>
  </si>
  <si>
    <t>dms_RPT_List</t>
  </si>
  <si>
    <t>dms_RPTMonth_List</t>
  </si>
  <si>
    <t>dms_CRCPlength_List</t>
  </si>
  <si>
    <t>dms_FRCPlength_List</t>
  </si>
  <si>
    <t>dms_PRCPlength_List</t>
  </si>
  <si>
    <t>dms_663_List</t>
  </si>
  <si>
    <t>dms_Addr1_List</t>
  </si>
  <si>
    <t>dms_Addr2_List</t>
  </si>
  <si>
    <t>dms_Suburb_List</t>
  </si>
  <si>
    <t>dms_State_List</t>
  </si>
  <si>
    <t>dms_PostCode_List</t>
  </si>
  <si>
    <t>dms_PAddr1_List</t>
  </si>
  <si>
    <t>dms_PAddr2_List</t>
  </si>
  <si>
    <t>dms_PSuburb_List</t>
  </si>
  <si>
    <t>dms_PState_List</t>
  </si>
  <si>
    <t>dms_PPostCode_List</t>
  </si>
  <si>
    <t>dms_CBD_flag</t>
  </si>
  <si>
    <t>dms_Urban_flag</t>
  </si>
  <si>
    <t>dms_ShortRural_flag</t>
  </si>
  <si>
    <t>dms_LongRural_flag</t>
  </si>
  <si>
    <t>dms_FeederType_5_flag</t>
  </si>
  <si>
    <t>dms_FeederName_1</t>
  </si>
  <si>
    <t>dms_FeederName_2</t>
  </si>
  <si>
    <t>dms_FeederName_3</t>
  </si>
  <si>
    <t>dms_FeederName_4</t>
  </si>
  <si>
    <t>dms_FeederName_5</t>
  </si>
  <si>
    <t>dms_MAIFI_flag_List</t>
  </si>
  <si>
    <t>dms_Public_Lighting_List</t>
  </si>
  <si>
    <t>Column1</t>
  </si>
  <si>
    <t>Amadeus</t>
  </si>
  <si>
    <t>APT Pipelines (NT) Pty Ltd</t>
  </si>
  <si>
    <t>40 075 733 336</t>
  </si>
  <si>
    <t>GTTNTY100</t>
  </si>
  <si>
    <t>Gas</t>
  </si>
  <si>
    <t>Tariff cap</t>
  </si>
  <si>
    <t>Financial</t>
  </si>
  <si>
    <t>June</t>
  </si>
  <si>
    <t>x</t>
  </si>
  <si>
    <t>Level 19, HSBC Building</t>
  </si>
  <si>
    <t>580 George Street</t>
  </si>
  <si>
    <t>NO</t>
  </si>
  <si>
    <t>Long rural</t>
  </si>
  <si>
    <t>YES</t>
  </si>
  <si>
    <t>APA GasNet</t>
  </si>
  <si>
    <t>APA GasNet Australia (Operations) Pty Ltd</t>
  </si>
  <si>
    <t>065 083 009</t>
  </si>
  <si>
    <t>GNTNSW100</t>
  </si>
  <si>
    <t>Calendar</t>
  </si>
  <si>
    <t>December</t>
  </si>
  <si>
    <t>PO Box R41</t>
  </si>
  <si>
    <t>ROYAL EXCHANGE</t>
  </si>
  <si>
    <t>APA VTS</t>
  </si>
  <si>
    <t>APA VTS Australia (Operations) Pty Ltd</t>
  </si>
  <si>
    <t>GTTVIC100</t>
  </si>
  <si>
    <t>Australian Transmission Co. (Gas)</t>
  </si>
  <si>
    <t>UID_123</t>
  </si>
  <si>
    <t>123 Straight Street</t>
  </si>
  <si>
    <t>PO Box 123</t>
  </si>
  <si>
    <t>APT Petroleum Pipelines Limited t/a Roma to Brisbane Pipeline</t>
  </si>
  <si>
    <t>009 737 393</t>
  </si>
  <si>
    <t>GTTQLD100</t>
  </si>
  <si>
    <t>The Reg Year Ending (dms_RYE) must be set to the last year of the regulatory period. For forecast data is is usually (FRCP_y5) for actual it is a single year (CRY). For historical actual data the RYE will need to be set manually in the business details sheet by setting the dms_Multiyear_flag to 1 and putting the correct value in 'dms_Specified_FinalYear. See cells C67:C68</t>
  </si>
  <si>
    <t xml:space="preserve">dms_Model_List </t>
  </si>
  <si>
    <t>dms_Model_Name_Format1</t>
  </si>
  <si>
    <t>dms_Worksheet_List</t>
  </si>
  <si>
    <t>dms_Model_Span_List</t>
  </si>
  <si>
    <t>ARR</t>
  </si>
  <si>
    <t>Annual Reporting</t>
  </si>
  <si>
    <t>REGULATORY REPORTING STATEMENT - HISTORICAL</t>
  </si>
  <si>
    <t>CA</t>
  </si>
  <si>
    <t>Category Analysis</t>
  </si>
  <si>
    <t>CESS</t>
  </si>
  <si>
    <t>Capitlal Expenditure</t>
  </si>
  <si>
    <t>CAPITLAL EXPENDITURE SHARING SCHEMING</t>
  </si>
  <si>
    <t>CPI</t>
  </si>
  <si>
    <t>EB</t>
  </si>
  <si>
    <t>Economic Benchmarking</t>
  </si>
  <si>
    <t>Pricing</t>
  </si>
  <si>
    <t>Pricing Proposal</t>
  </si>
  <si>
    <t>PRICING PROPOSAL</t>
  </si>
  <si>
    <t>Post Tax Revenue Model</t>
  </si>
  <si>
    <t>POST TAX REVENUE MODEL</t>
  </si>
  <si>
    <t>Reset</t>
  </si>
  <si>
    <t>Regulatory Reporting (Reset)</t>
  </si>
  <si>
    <t>REGULATORY REPORTING STATEMENT</t>
  </si>
  <si>
    <t>Roll Forward Model</t>
  </si>
  <si>
    <t>ROLL FORWARD MODEL</t>
  </si>
  <si>
    <t>WACC</t>
  </si>
  <si>
    <t>Weighted Average Cost of Capital</t>
  </si>
  <si>
    <t>WEIGHTED AVERAGE COST OF CAPITAL</t>
  </si>
  <si>
    <t>PREVIOUS</t>
  </si>
  <si>
    <t>CURRENT</t>
  </si>
  <si>
    <t>FORTHCOMING</t>
  </si>
  <si>
    <t>1987-88</t>
  </si>
  <si>
    <t>1988</t>
  </si>
  <si>
    <t>PRCP_y1</t>
  </si>
  <si>
    <t>CRCP_y1</t>
  </si>
  <si>
    <t>1988-89</t>
  </si>
  <si>
    <t>1989</t>
  </si>
  <si>
    <t>PRCP_y2</t>
  </si>
  <si>
    <t>CRCP_y2</t>
  </si>
  <si>
    <t>FRCP_y2</t>
  </si>
  <si>
    <t>1989-90</t>
  </si>
  <si>
    <t>1990</t>
  </si>
  <si>
    <t>PRCP_y3</t>
  </si>
  <si>
    <t>CRCP_y3</t>
  </si>
  <si>
    <t>FRCP_y3</t>
  </si>
  <si>
    <t>1990-91</t>
  </si>
  <si>
    <t>1991</t>
  </si>
  <si>
    <t>PRCP_y4</t>
  </si>
  <si>
    <t>CRCP_y4</t>
  </si>
  <si>
    <t>FRCP_y4</t>
  </si>
  <si>
    <t>1991-92</t>
  </si>
  <si>
    <t>1992</t>
  </si>
  <si>
    <t>PRCP_y5</t>
  </si>
  <si>
    <t>CRCP_y5</t>
  </si>
  <si>
    <t>FRCP_y5</t>
  </si>
  <si>
    <t>1992-93</t>
  </si>
  <si>
    <t>1993</t>
  </si>
  <si>
    <t>PRCP_y6</t>
  </si>
  <si>
    <t>CRCP_y6</t>
  </si>
  <si>
    <t>FRCP_y6</t>
  </si>
  <si>
    <t>1993-94</t>
  </si>
  <si>
    <t>1994</t>
  </si>
  <si>
    <t>PRCP_y7</t>
  </si>
  <si>
    <t>CRCP_y7</t>
  </si>
  <si>
    <t>FRCP_y7</t>
  </si>
  <si>
    <t>1994-95</t>
  </si>
  <si>
    <t>1995</t>
  </si>
  <si>
    <t>PRCP_y8</t>
  </si>
  <si>
    <t>CRCP_y8</t>
  </si>
  <si>
    <t>FRCP_y8</t>
  </si>
  <si>
    <t>1995-96</t>
  </si>
  <si>
    <t>1996</t>
  </si>
  <si>
    <t>PRCP_y9</t>
  </si>
  <si>
    <t>CRCP_y9</t>
  </si>
  <si>
    <t>FRCP_y9</t>
  </si>
  <si>
    <t>1996-97</t>
  </si>
  <si>
    <t>1997</t>
  </si>
  <si>
    <t>PRCP_y10</t>
  </si>
  <si>
    <t>CRCP_y10</t>
  </si>
  <si>
    <t>FRCP_y10</t>
  </si>
  <si>
    <t>1997-98</t>
  </si>
  <si>
    <t>1998</t>
  </si>
  <si>
    <t>PRCP_y11</t>
  </si>
  <si>
    <t>CRCP_y11</t>
  </si>
  <si>
    <t>FRCP_y11</t>
  </si>
  <si>
    <t>1998-99</t>
  </si>
  <si>
    <t>1999</t>
  </si>
  <si>
    <t>PRCP_y12</t>
  </si>
  <si>
    <t>CRCP_y12</t>
  </si>
  <si>
    <t>FRCP_y12</t>
  </si>
  <si>
    <t>1999-00</t>
  </si>
  <si>
    <t>2000</t>
  </si>
  <si>
    <t>PRCP_y13</t>
  </si>
  <si>
    <t>CRCP_y13</t>
  </si>
  <si>
    <t>FRCP_y13</t>
  </si>
  <si>
    <t>2000-01</t>
  </si>
  <si>
    <t>2001</t>
  </si>
  <si>
    <t>PRCP_y14</t>
  </si>
  <si>
    <t>CRCP_y14</t>
  </si>
  <si>
    <t>FRCP_y14</t>
  </si>
  <si>
    <t>2001-02</t>
  </si>
  <si>
    <t>2002</t>
  </si>
  <si>
    <t>PRCP_y15</t>
  </si>
  <si>
    <t>CRCP_y15</t>
  </si>
  <si>
    <t>FRCP_y15</t>
  </si>
  <si>
    <t>2002-03</t>
  </si>
  <si>
    <t>2003</t>
  </si>
  <si>
    <t>PRCP_y16</t>
  </si>
  <si>
    <t>CRCP_y16</t>
  </si>
  <si>
    <t>FRCP_y16</t>
  </si>
  <si>
    <t>2003-04</t>
  </si>
  <si>
    <t>2004</t>
  </si>
  <si>
    <t>2004-05</t>
  </si>
  <si>
    <t>2005</t>
  </si>
  <si>
    <t>2005-06</t>
  </si>
  <si>
    <t>2006</t>
  </si>
  <si>
    <t>CRY - FRY</t>
  </si>
  <si>
    <t>2006-07</t>
  </si>
  <si>
    <t>2007</t>
  </si>
  <si>
    <t>dms_y1</t>
  </si>
  <si>
    <t>2007-08</t>
  </si>
  <si>
    <t>2008</t>
  </si>
  <si>
    <t>dms_y2</t>
  </si>
  <si>
    <t>2008-09</t>
  </si>
  <si>
    <t>2009</t>
  </si>
  <si>
    <t>dms_y3</t>
  </si>
  <si>
    <t>2009-10</t>
  </si>
  <si>
    <t>dms_y4</t>
  </si>
  <si>
    <t>2010-11</t>
  </si>
  <si>
    <t>dms_y5</t>
  </si>
  <si>
    <t>2011-12</t>
  </si>
  <si>
    <t>dms_y6</t>
  </si>
  <si>
    <t>2012-13</t>
  </si>
  <si>
    <t>dms_y7</t>
  </si>
  <si>
    <t>2013-14</t>
  </si>
  <si>
    <t>dms_y8</t>
  </si>
  <si>
    <t>2014-15</t>
  </si>
  <si>
    <t>dms_y9</t>
  </si>
  <si>
    <t>2015-16</t>
  </si>
  <si>
    <t>dms_y10</t>
  </si>
  <si>
    <t>2016-17</t>
  </si>
  <si>
    <t>dms_y11</t>
  </si>
  <si>
    <t>2017-18</t>
  </si>
  <si>
    <t>dms_y12</t>
  </si>
  <si>
    <t>2018-19</t>
  </si>
  <si>
    <t>dms_y13</t>
  </si>
  <si>
    <t>2019-20</t>
  </si>
  <si>
    <t>dms_y14</t>
  </si>
  <si>
    <t>2020-21</t>
  </si>
  <si>
    <t>dms_y15</t>
  </si>
  <si>
    <t>dms_y16</t>
  </si>
  <si>
    <t>2022-23</t>
  </si>
  <si>
    <t>2023-24</t>
  </si>
  <si>
    <t>2025-26</t>
  </si>
  <si>
    <t>2026-27</t>
  </si>
  <si>
    <t>2027-28</t>
  </si>
  <si>
    <t>2028-29</t>
  </si>
  <si>
    <t>2029-30</t>
  </si>
  <si>
    <t>2030-31</t>
  </si>
  <si>
    <t>2031-32</t>
  </si>
  <si>
    <t>2032-33</t>
  </si>
  <si>
    <t>2033-34</t>
  </si>
  <si>
    <t>2034-35</t>
  </si>
  <si>
    <t>2035-36</t>
  </si>
  <si>
    <t>2036-37</t>
  </si>
  <si>
    <t>2037</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</si>
  <si>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</si>
  <si>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</si>
  <si>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</si>
  <si>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</si>
  <si>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</si>
  <si>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</si>
  <si>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</si>
  <si>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</si>
  <si>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</si>
  <si>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</si>
  <si>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Unique ID</t>
  </si>
  <si>
    <t>Selected here</t>
  </si>
  <si>
    <t>Model / RIN</t>
  </si>
  <si>
    <t>dms_Model</t>
  </si>
  <si>
    <r>
      <t xml:space="preserve">Read from </t>
    </r>
    <r>
      <rPr>
        <i/>
        <sz val="11"/>
        <color theme="1"/>
        <rFont val="Calibri"/>
        <family val="2"/>
        <scheme val="minor"/>
      </rPr>
      <t>Business &amp; other details</t>
    </r>
  </si>
  <si>
    <t>dms_Source</t>
  </si>
  <si>
    <t>Data quality</t>
  </si>
  <si>
    <t>dms_DQ_1</t>
  </si>
  <si>
    <t>Data status</t>
  </si>
  <si>
    <t>dms_DQ_2</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</si>
  <si>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</si>
  <si>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</si>
  <si>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</si>
  <si>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</si>
  <si>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</si>
  <si>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</si>
  <si>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</si>
  <si>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</si>
  <si>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</si>
  <si>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</si>
  <si>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=IF(dms_DQ_2="Confidential","Consolidated","Public")</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</si>
  <si>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</si>
  <si>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</si>
  <si>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</si>
  <si>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</si>
  <si>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</si>
  <si>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</si>
  <si>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=IF(dms_MultiYear_Flag=1,LEFT(dms_Specified_FinalYear,2)&amp;RIGHT(dms_Specified_FinalYear,2),INDEX(dms_RYE_Formula_Result,MATCH(dms_Model,dms_Model_List)))</t>
  </si>
  <si>
    <t>Reporting Period Type</t>
  </si>
  <si>
    <t>dms_RPT</t>
  </si>
  <si>
    <t>=INDEX(dms_RPT_List,MATCH(dms_TradingName,dms_TradingName_List))</t>
  </si>
  <si>
    <t>EB/CA Unit of Measure for Monetary Values</t>
  </si>
  <si>
    <t>dms_dollar_nom_UOM</t>
  </si>
  <si>
    <t>If the cover sheet is attached to an ABC RIN apply the NAMED RANGE to the cell</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</si>
  <si>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</si>
  <si>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</si>
  <si>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</si>
  <si>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</si>
  <si>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</si>
  <si>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</si>
  <si>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</si>
  <si>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</si>
  <si>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</si>
  <si>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</si>
  <si>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</si>
  <si>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</si>
  <si>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</si>
  <si>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</si>
  <si>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</si>
  <si>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</si>
  <si>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</si>
  <si>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=IF(SUM(dms_SingleYear_Model)&gt;0,CONCATENATE(dms_RPTMonth)&amp;" "&amp;VALUE((LEFT(CRY,2))&amp;RIGHT(CRY,2)),CONCATENATE(dms_RPTMonth)&amp;" "&amp;VALUE((LEFT(dms_RYE,2)&amp;RIGHT(dms_RYE,2))))</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</si>
  <si>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</si>
  <si>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</si>
  <si>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</si>
  <si>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</si>
  <si>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</si>
  <si>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</si>
  <si>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</si>
  <si>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</si>
  <si>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</si>
  <si>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</si>
  <si>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r>
      <rPr>
        <b/>
        <sz val="11"/>
        <color theme="1"/>
        <rFont val="Calibri"/>
        <family val="2"/>
        <scheme val="minor"/>
      </rPr>
      <t>FRCP_y1</t>
    </r>
    <r>
      <rPr>
        <sz val="11"/>
        <color theme="1"/>
        <rFont val="Calibri"/>
        <family val="2"/>
        <scheme val="minor"/>
      </rPr>
      <t xml:space="preserve"> from cover sheet</t>
    </r>
  </si>
  <si>
    <t>dms_CRY_start_year</t>
  </si>
  <si>
    <t>dms_CRY_start_row</t>
  </si>
  <si>
    <t>dms_FRCP_start_row</t>
  </si>
  <si>
    <r>
      <t xml:space="preserve">Uses </t>
    </r>
    <r>
      <rPr>
        <b/>
        <sz val="11"/>
        <color theme="1"/>
        <rFont val="Calibri"/>
        <family val="2"/>
        <scheme val="minor"/>
      </rPr>
      <t>FRCP_y1</t>
    </r>
    <r>
      <rPr>
        <sz val="11"/>
        <color theme="1"/>
        <rFont val="Calibri"/>
        <family val="2"/>
        <scheme val="minor"/>
      </rPr>
      <t xml:space="preserve"> as a start reference</t>
    </r>
  </si>
  <si>
    <t>dms_CRCP_start_row</t>
  </si>
  <si>
    <r>
      <t xml:space="preserve">Uses the value in </t>
    </r>
    <r>
      <rPr>
        <b/>
        <sz val="11"/>
        <color theme="1"/>
        <rFont val="Calibri"/>
        <family val="2"/>
        <scheme val="minor"/>
      </rPr>
      <t>dms_CRCPlength_Num</t>
    </r>
  </si>
  <si>
    <t>dms_PRCP_start_row</t>
  </si>
  <si>
    <r>
      <t xml:space="preserve">Uses the value in </t>
    </r>
    <r>
      <rPr>
        <b/>
        <sz val="11"/>
        <color theme="1"/>
        <rFont val="Calibri"/>
        <family val="2"/>
        <scheme val="minor"/>
      </rPr>
      <t>dms_CRCPlength_Num</t>
    </r>
    <r>
      <rPr>
        <sz val="11"/>
        <color theme="1"/>
        <rFont val="Calibri"/>
        <family val="2"/>
        <scheme val="minor"/>
      </rPr>
      <t xml:space="preserve"> and </t>
    </r>
    <r>
      <rPr>
        <b/>
        <sz val="11"/>
        <color theme="1"/>
        <rFont val="Calibri"/>
        <family val="2"/>
        <scheme val="minor"/>
      </rPr>
      <t>dms_PRCPlength_Num</t>
    </r>
  </si>
  <si>
    <t>dms_RYE_start_row</t>
  </si>
  <si>
    <r>
      <t xml:space="preserve">Uses the value in </t>
    </r>
    <r>
      <rPr>
        <b/>
        <sz val="11"/>
        <color theme="1"/>
        <rFont val="Calibri"/>
        <family val="2"/>
        <scheme val="minor"/>
      </rPr>
      <t>dms_FRCPlength_Num-1</t>
    </r>
  </si>
  <si>
    <t>FRCP_start_year</t>
  </si>
  <si>
    <t>Converts the FRCP start row to display the year</t>
  </si>
  <si>
    <t>CRCP_start_year</t>
  </si>
  <si>
    <t>Converts the CRCP start row to display the year</t>
  </si>
  <si>
    <t>PRCP_start_year</t>
  </si>
  <si>
    <t>Converts the PRCP start row to display the year</t>
  </si>
  <si>
    <t>FRCP_final_year</t>
  </si>
  <si>
    <t>Finds the FRCP final year</t>
  </si>
  <si>
    <t>CRCP_final_year</t>
  </si>
  <si>
    <t>Finds the CRCP final year</t>
  </si>
  <si>
    <t>PRCP_final_year</t>
  </si>
  <si>
    <t>Finds the PRCP final year</t>
  </si>
  <si>
    <t>dms_Reset_final_year</t>
  </si>
  <si>
    <t>For Resets and PTRM/RFMs (same as FRCP_final_year)</t>
  </si>
  <si>
    <t>dms_SpecifiedYear_final_year</t>
  </si>
  <si>
    <r>
      <rPr>
        <b/>
        <sz val="11"/>
        <color theme="1"/>
        <rFont val="Calibri"/>
        <family val="2"/>
        <scheme val="minor"/>
      </rPr>
      <t xml:space="preserve">FRY </t>
    </r>
    <r>
      <rPr>
        <sz val="11"/>
        <color theme="1"/>
        <rFont val="Calibri"/>
        <family val="2"/>
        <scheme val="minor"/>
      </rPr>
      <t>from cover sheet</t>
    </r>
  </si>
  <si>
    <t>dms_DollarReal_year</t>
  </si>
  <si>
    <r>
      <t xml:space="preserve">Uses the value in </t>
    </r>
    <r>
      <rPr>
        <b/>
        <sz val="11"/>
        <color theme="1"/>
        <rFont val="Calibri"/>
        <family val="2"/>
        <scheme val="minor"/>
      </rPr>
      <t>CRCP_final_year</t>
    </r>
  </si>
  <si>
    <t>dms_Previous_DollarReal_year</t>
  </si>
  <si>
    <r>
      <t>Uses the value in P</t>
    </r>
    <r>
      <rPr>
        <b/>
        <sz val="11"/>
        <color theme="1"/>
        <rFont val="Calibri"/>
        <family val="2"/>
        <scheme val="minor"/>
      </rPr>
      <t>RCP_final_year</t>
    </r>
  </si>
  <si>
    <t>dms_CRY_RYE</t>
  </si>
  <si>
    <t>For ABC single year RINS</t>
  </si>
  <si>
    <t>dms_Reset_RYE</t>
  </si>
  <si>
    <r>
      <t xml:space="preserve">If model span &gt; 1 then uses </t>
    </r>
    <r>
      <rPr>
        <b/>
        <sz val="11"/>
        <color theme="1"/>
        <rFont val="Calibri"/>
        <family val="2"/>
        <scheme val="minor"/>
      </rPr>
      <t xml:space="preserve">dms_Reset_RYE </t>
    </r>
    <r>
      <rPr>
        <sz val="11"/>
        <color theme="1"/>
        <rFont val="Calibri"/>
        <family val="2"/>
        <scheme val="minor"/>
      </rPr>
      <t>otherwise it's a multi year ABC and uses</t>
    </r>
    <r>
      <rPr>
        <b/>
        <sz val="11"/>
        <color theme="1"/>
        <rFont val="Calibri"/>
        <family val="2"/>
        <scheme val="minor"/>
      </rPr>
      <t xml:space="preserve"> dms_Specified_RYE</t>
    </r>
  </si>
  <si>
    <t>dms_Specified_RYE</t>
  </si>
  <si>
    <r>
      <t xml:space="preserve">If multi year ABC - uses </t>
    </r>
    <r>
      <rPr>
        <b/>
        <sz val="11"/>
        <color theme="1"/>
        <rFont val="Calibri"/>
        <family val="2"/>
        <scheme val="minor"/>
      </rPr>
      <t>dms_Specified_FinalYear</t>
    </r>
  </si>
  <si>
    <t>dms_Model_Span</t>
  </si>
  <si>
    <t>A result of 5 is used to signify that it is more than 1 year span</t>
  </si>
  <si>
    <t>dms_RYE_result</t>
  </si>
  <si>
    <r>
      <t xml:space="preserve">Nested IF - feeds into </t>
    </r>
    <r>
      <rPr>
        <b/>
        <sz val="11"/>
        <color theme="1"/>
        <rFont val="Calibri"/>
        <family val="2"/>
        <scheme val="minor"/>
      </rPr>
      <t>dms_RYE</t>
    </r>
  </si>
  <si>
    <t>dms_Reset_Span</t>
  </si>
  <si>
    <t>Reset span of years as text</t>
  </si>
  <si>
    <t>dms_SpecifiedYear_Span</t>
  </si>
  <si>
    <t>Multi year ABC span of years as text</t>
  </si>
  <si>
    <t>dms_Header_Span</t>
  </si>
  <si>
    <r>
      <t xml:space="preserve">NESTED IF - for </t>
    </r>
    <r>
      <rPr>
        <b/>
        <sz val="11"/>
        <color theme="1"/>
        <rFont val="Calibri"/>
        <family val="2"/>
        <scheme val="minor"/>
      </rPr>
      <t>Sheet Headers</t>
    </r>
  </si>
  <si>
    <t>ABC RINS THAT SPAN MULTIPLE YEARS</t>
  </si>
  <si>
    <t>This is a multi year ABC RIN?</t>
  </si>
  <si>
    <t>Yes</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</si>
  <si>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</si>
  <si>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</si>
  <si>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</si>
  <si>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</si>
  <si>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</si>
  <si>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</si>
  <si>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</si>
  <si>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</si>
  <si>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</si>
  <si>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</si>
  <si>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</si>
  <si>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</si>
  <si>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</si>
  <si>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</si>
  <si>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</si>
  <si>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</si>
  <si>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</si>
  <si>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</si>
  <si>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</si>
  <si>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</si>
  <si>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</si>
  <si>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</si>
  <si>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</si>
  <si>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</si>
  <si>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</si>
  <si>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</si>
  <si>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</si>
  <si>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</si>
  <si>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</si>
  <si>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</si>
  <si>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</si>
  <si>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</si>
  <si>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</si>
  <si>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</si>
  <si>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</si>
  <si>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</si>
  <si>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</si>
  <si>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</si>
  <si>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</si>
  <si>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</si>
  <si>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</si>
  <si>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</si>
  <si>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</si>
  <si>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</si>
  <si>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</si>
  <si>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</si>
  <si>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</si>
  <si>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</si>
  <si>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</si>
  <si>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</si>
  <si>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</si>
  <si>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</si>
  <si>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</si>
  <si>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</si>
  <si>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</si>
  <si>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</si>
  <si>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</si>
  <si>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</si>
  <si>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</si>
  <si>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</si>
  <si>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</si>
  <si>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r>
      <t xml:space="preserve">insert </t>
    </r>
    <r>
      <rPr>
        <i/>
        <u/>
        <sz val="10"/>
        <color theme="0" tint="-0.499984740745262"/>
        <rFont val="Arial"/>
        <family val="2"/>
      </rPr>
      <t>dms_LeapYear</t>
    </r>
    <r>
      <rPr>
        <i/>
        <sz val="10"/>
        <color theme="0" tint="-0.499984740745262"/>
        <rFont val="Arial"/>
        <family val="2"/>
      </rPr>
      <t xml:space="preserve"> NR if required</t>
    </r>
  </si>
  <si>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</si>
  <si>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</si>
  <si>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</si>
  <si>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</si>
  <si>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</si>
  <si>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</si>
  <si>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</si>
  <si>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</si>
  <si>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</si>
  <si>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</si>
  <si>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</si>
  <si>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</si>
  <si>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</si>
  <si>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</si>
  <si>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</si>
  <si>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</si>
  <si>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</si>
  <si>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</si>
  <si>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</si>
  <si>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</si>
  <si>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</si>
  <si>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</si>
  <si>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</si>
  <si>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</si>
  <si>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r>
      <t>Using</t>
    </r>
    <r>
      <rPr>
        <i/>
        <sz val="10"/>
        <color theme="4" tint="-0.499984740745262"/>
        <rFont val="Arial"/>
        <family val="2"/>
      </rPr>
      <t xml:space="preserve"> 060101</t>
    </r>
    <r>
      <rPr>
        <sz val="10"/>
        <color theme="4" tint="-0.499984740745262"/>
        <rFont val="Arial"/>
        <family val="2"/>
      </rPr>
      <t xml:space="preserve"> as naming standard not 060701 for start dates</t>
    </r>
  </si>
  <si>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</si>
  <si>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</si>
  <si>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</si>
  <si>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</si>
  <si>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</si>
  <si>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ARRs</t>
  </si>
  <si>
    <t>How many rows in table 6.8?</t>
  </si>
  <si>
    <t>insert dms_060801_StartCell NR if required</t>
  </si>
  <si>
    <r>
      <t xml:space="preserve">dms_060801_StartCell </t>
    </r>
    <r>
      <rPr>
        <i/>
        <sz val="10"/>
        <color theme="0" tint="-0.499984740745262"/>
        <rFont val="Arial"/>
        <family val="2"/>
      </rPr>
      <t>is only found on worksheet 6.8 and is used to determine the starting date for the date range</t>
    </r>
  </si>
  <si>
    <t>Is dms_060801_StartCell named range present?</t>
  </si>
  <si>
    <t>=IFERROR(IF((ROW(dms_060801_StartCell)-1)=1,"yes","yes"),"no")</t>
  </si>
  <si>
    <t>Table 6.8 - Number of offset rows</t>
  </si>
  <si>
    <t>dms_0608_OffsetRows</t>
  </si>
  <si>
    <t>=IFERROR(IF(dms_Model="ARR",(ROW(dms_060801_StartCell)-1),"not an ARR"),"6.8 error")</t>
  </si>
  <si>
    <t>Table 6.8 - Last row</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</si>
  <si>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</si>
  <si>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</si>
  <si>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</si>
  <si>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</si>
  <si>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</si>
  <si>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</si>
  <si>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</si>
  <si>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</si>
  <si>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</si>
  <si>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</si>
  <si>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</si>
  <si>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</si>
  <si>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</si>
  <si>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</si>
  <si>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</si>
  <si>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</si>
  <si>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</si>
  <si>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</si>
  <si>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</si>
  <si>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</si>
  <si>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</si>
  <si>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</si>
  <si>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</si>
  <si>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</si>
  <si>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</si>
  <si>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</si>
  <si>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</si>
  <si>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</si>
  <si>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</si>
  <si>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</si>
  <si>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</si>
  <si>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</si>
  <si>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</si>
  <si>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</si>
  <si>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</si>
  <si>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</si>
  <si>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</si>
  <si>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</si>
  <si>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</si>
  <si>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</si>
  <si>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</si>
  <si>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</si>
  <si>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</si>
  <si>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</si>
  <si>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</si>
  <si>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</si>
  <si>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</si>
  <si>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</si>
  <si>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 xml:space="preserve">- 1 July 2018 to 30 June 2022 (FY18 to FY22) </t>
  </si>
  <si>
    <t>Therefore the information for the projects/categories above have been left as 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</si>
</sst>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 ###\ ###\ ##0"/>
    <numFmt numFmtId="165" formatCode="#,##0.00000"/>
    <numFmt numFmtId="166" formatCode="#,##0.0000"/>
    <numFmt numFmtId="167" formatCode="_-* #,##0_-;[Red]\(#,##0\)_-;_-* &quot;-&quot;??_-;_-@_-"/>
    <numFmt numFmtId="168" formatCode="_-* #,##0_-;\-* #,##0_-;_-* &quot;-&quot;??_-;_-@_-"/>
    <numFmt numFmtId="169" formatCode="0#\ ####\ ####"/>
    <numFmt numFmtId="170" formatCode="0000"/>
    <numFmt numFmtId="171" formatCode="#,##0.000_ ;[Red]\-#,##0.000\ "/>
  </numFmts>
  <fonts count="129"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sz val="14"/>
      <color rgb="FFFF0000"/>
      <name val="Arial"/>
      <family val="2"/>
    </font>
    <font>
      <sz val="11"/>
      <color theme="1"/>
      <name val="Arial"/>
      <family val="2"/>
    </font>
    <font>
      <b/>
      <sz val="10"/>
      <color rgb="FFFF0000"/>
      <name val="Arial"/>
      <family val="2"/>
    </font>
    <font>
      <b/>
      <sz val="12"/>
      <color theme="1"/>
      <name val="Calibri"/>
      <family val="2"/>
      <scheme val="minor"/>
    </font>
    <font>
      <b/>
      <sz val="10"/>
      <name val="Arial"/>
      <family val="2"/>
    </font>
    <font>
      <b/>
      <sz val="11"/>
      <name val="Calibri"/>
      <family val="2"/>
      <scheme val="minor"/>
    </font>
    <font>
      <sz val="10"/>
      <color theme="1"/>
      <name val="Arial"/>
      <family val="2"/>
    </font>
    <font>
      <sz val="11"/>
      <color theme="4" tint="-0.249977111117893"/>
      <name val="Calibri"/>
      <family val="2"/>
      <scheme val="minor"/>
    </font>
    <font>
      <sz val="11"/>
      <color theme="8" tint="-0.249977111117893"/>
      <name val="Arial"/>
      <family val="2"/>
    </font>
    <font>
      <sz val="10"/>
      <color rgb="FFFF0000"/>
      <name val="Arial"/>
      <family val="2"/>
    </font>
    <font>
      <b/>
      <sz val="11"/>
      <color rgb="FFFF0000"/>
      <name val="Arial"/>
      <family val="2"/>
    </font>
    <font>
      <sz val="11"/>
      <name val="Calibri"/>
      <family val="2"/>
      <scheme val="minor"/>
    </font>
    <font>
      <sz val="11"/>
      <color theme="1"/>
      <name val="Calibri"/>
      <family val="2"/>
    </font>
    <font>
      <sz val="9"/>
      <name val="Arial"/>
      <family val="2"/>
    </font>
    <font>
      <sz val="10"/>
      <color rgb="FF000000"/>
      <name val="Arial"/>
      <family val="2"/>
    </font>
    <font>
      <b/>
      <sz val="11"/>
      <name val="Arial"/>
      <family val="2"/>
    </font>
    <font>
      <b/>
      <sz val="11"/>
      <color rgb="FF000000"/>
      <name val="Arial"/>
      <family val="2"/>
    </font>
    <font>
      <sz val="11"/>
      <color rgb="FF000000"/>
      <name val="Arial"/>
      <family val="2"/>
    </font>
    <font>
      <sz val="10"/>
      <color rgb="FF808080"/>
      <name val="Arial"/>
      <family val="2"/>
    </font>
    <font>
      <sz val="10"/>
      <color theme="4"/>
      <name val="Arial"/>
      <family val="2"/>
    </font>
    <font>
      <i/>
      <sz val="10"/>
      <name val="Arial"/>
      <family val="2"/>
    </font>
    <font>
      <b/>
      <sz val="9"/>
      <color rgb="FF000000"/>
      <name val="Tahoma"/>
      <family val="2"/>
    </font>
    <font>
      <sz val="9"/>
      <color rgb="FF000000"/>
      <name val="Tahoma"/>
      <family val="2"/>
    </font>
    <font>
      <b/>
      <sz val="16"/>
      <color theme="0"/>
      <name val="Arial"/>
      <family val="2"/>
    </font>
    <font>
      <b/>
      <sz val="12"/>
      <color theme="0"/>
      <name val="Arial"/>
      <family val="2"/>
    </font>
    <font>
      <b/>
      <sz val="10"/>
      <color theme="1"/>
      <name val="Arial"/>
      <family val="2"/>
    </font>
    <font>
      <b/>
      <sz val="10"/>
      <color theme="1" tint="0.14999847407452621"/>
      <name val="Arial"/>
      <family val="2"/>
    </font>
    <font>
      <sz val="10"/>
      <color theme="4" tint="0.59999389629810485"/>
      <name val="Arial"/>
      <family val="2"/>
    </font>
    <font>
      <sz val="10"/>
      <color theme="0" tint="-0.499984740745262"/>
      <name val="Arial"/>
      <family val="2"/>
    </font>
    <font>
      <b/>
      <sz val="10"/>
      <color theme="0" tint="-0.499984740745262"/>
      <name val="Arial"/>
      <family val="2"/>
    </font>
    <font>
      <sz val="11"/>
      <color theme="5" tint="-0.249977111117893"/>
      <name val="Arial"/>
      <family val="2"/>
    </font>
    <font>
      <sz val="10"/>
      <color theme="5" tint="-0.249977111117893"/>
      <name val="Arial"/>
      <family val="2"/>
    </font>
    <font>
      <sz val="10"/>
      <color theme="4" tint="-0.499984740745262"/>
      <name val="Arial"/>
      <family val="2"/>
    </font>
    <font>
      <b/>
      <sz val="10"/>
      <color rgb="FF808080"/>
      <name val="Arial"/>
      <family val="2"/>
    </font>
    <font>
      <sz val="11"/>
      <color rgb="FFFF0000"/>
      <name val="Arial"/>
      <family val="2"/>
    </font>
    <font>
      <sz val="10"/>
      <color theme="4" tint="-0.249977111117893"/>
      <name val="Arial"/>
      <family val="2"/>
    </font>
    <font>
      <i/>
      <sz val="10"/>
      <color theme="4" tint="-0.249977111117893"/>
      <name val="Arial"/>
      <family val="2"/>
    </font>
    <font>
      <i/>
      <sz val="10"/>
      <color theme="0" tint="-0.499984740745262"/>
      <name val="Arial"/>
      <family val="2"/>
    </font>
    <font>
      <i/>
      <sz val="11"/>
      <color theme="1"/>
      <name val="Arial"/>
      <family val="2"/>
    </font>
    <font>
      <i/>
      <u/>
      <sz val="10"/>
      <color theme="0" tint="-0.499984740745262"/>
      <name val="Arial"/>
      <family val="2"/>
    </font>
    <font>
      <sz val="16"/>
      <color rgb="FFFF0000"/>
      <name val="Arial"/>
      <family val="2"/>
    </font>
    <font>
      <sz val="11"/>
      <name val="Arial"/>
      <family val="2"/>
    </font>
    <font>
      <i/>
      <sz val="10"/>
      <color theme="4" tint="-0.499984740745262"/>
      <name val="Arial"/>
      <family val="2"/>
    </font>
    <font>
      <b/>
      <i/>
      <sz val="10"/>
      <name val="Arial"/>
      <family val="2"/>
    </font>
    <font>
      <b/>
      <i/>
      <sz val="11"/>
      <color theme="1"/>
      <name val="Calibri"/>
      <family val="2"/>
      <scheme val="minor"/>
    </font>
    <font>
      <sz val="11"/>
      <color theme="1" tint="0.34998626667073579"/>
      <name val="Calibri"/>
      <family val="2"/>
      <scheme val="minor"/>
    </font>
    <font>
      <sz val="14"/>
      <color theme="1"/>
      <name val="Arial"/>
      <family val="2"/>
    </font>
    <font>
      <b/>
      <sz val="12"/>
      <name val="Arial"/>
      <family val="2"/>
    </font>
    <font>
      <b/>
      <sz val="1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indexed="8"/>
      <name val="Arial"/>
      <family val="2"/>
    </font>
    <font>
      <b/>
      <sz val="10"/>
      <color theme="0"/>
      <name val="Arial"/>
      <family val="2"/>
    </font>
    <font>
      <b/>
      <sz val="14"/>
      <name val="Arial"/>
      <family val="2"/>
    </font>
    <font>
      <sz val="12"/>
      <name val="Arial"/>
      <family val="2"/>
    </font>
    <font>
      <sz val="12"/>
      <color rgb="FFFF0000"/>
      <name val="Arial"/>
      <family val="2"/>
    </font>
    <font>
      <b/>
      <sz val="11"/>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b/>
      <sz val="18"/>
      <color theme="0"/>
      <name val="Arial"/>
      <family val="2"/>
    </font>
    <font>
      <b/>
      <sz val="20"/>
      <color theme="0"/>
      <name val="Arial"/>
      <family val="2"/>
    </font>
    <font>
      <sz val="11"/>
      <color theme="0"/>
      <name val="Arial"/>
      <family val="2"/>
    </font>
    <font>
      <b/>
      <sz val="11"/>
      <color theme="4" tint="-0.499984740745262"/>
      <name val="Arial"/>
      <family val="2"/>
    </font>
    <font>
      <b/>
      <sz val="12"/>
      <color theme="4" tint="-0.499984740745262"/>
      <name val="Arial"/>
      <family val="2"/>
    </font>
    <font>
      <b/>
      <sz val="14"/>
      <color theme="4" tint="-0.499984740745262"/>
      <name val="Arial"/>
      <family val="2"/>
    </font>
    <font>
      <i/>
      <sz val="11"/>
      <color theme="1"/>
      <name val="Calibri"/>
      <family val="2"/>
      <scheme val="minor"/>
    </font>
    <font>
      <b/>
      <sz val="11"/>
      <color theme="3" tint="0.39994506668294322"/>
      <name val="Calibri"/>
      <family val="2"/>
      <scheme val="minor"/>
    </font>
    <font>
      <sz val="22"/>
      <color theme="0"/>
      <name val="Calibri"/>
      <family val="2"/>
      <scheme val="minor"/>
    </font>
    <font>
      <sz val="24"/>
      <color theme="0"/>
      <name val="Calibri"/>
      <family val="2"/>
      <scheme val="minor"/>
    </font>
    <font>
      <sz val="22"/>
      <color theme="1"/>
      <name val="Calibri"/>
      <family val="2"/>
      <scheme val="minor"/>
    </font>
    <font>
      <b/>
      <sz val="22"/>
      <color theme="1"/>
      <name val="Calibri"/>
      <family val="2"/>
      <scheme val="minor"/>
    </font>
    <font>
      <b/>
      <sz val="11"/>
      <color theme="3" tint="0.39997558519241921"/>
      <name val="Calibri"/>
      <family val="2"/>
      <scheme val="minor"/>
    </font>
    <font>
      <b/>
      <i/>
      <sz val="12"/>
      <name val="Arial"/>
      <family val="2"/>
    </font>
    <font>
      <b/>
      <sz val="11"/>
      <color theme="4"/>
      <name val="Arial"/>
      <family val="2"/>
    </font>
    <font>
      <b/>
      <sz val="36"/>
      <color theme="0"/>
      <name val="Calibri"/>
      <family val="2"/>
      <scheme val="minor"/>
    </font>
    <font>
      <sz val="26"/>
      <color theme="0"/>
      <name val="Calibri"/>
      <family val="2"/>
      <scheme val="minor"/>
    </font>
    <font>
      <sz val="26"/>
      <name val="Calibri"/>
      <family val="2"/>
      <scheme val="minor"/>
    </font>
    <font>
      <sz val="26"/>
      <color rgb="FFFF0000"/>
      <name val="Calibri"/>
      <family val="2"/>
      <scheme val="minor"/>
    </font>
    <font>
      <b/>
      <sz val="16"/>
      <name val="Arial"/>
      <family val="2"/>
    </font>
    <font>
      <b/>
      <sz val="36"/>
      <color theme="0"/>
      <name val="Arial"/>
      <family val="2"/>
    </font>
    <font>
      <b/>
      <sz val="22"/>
      <color theme="0"/>
      <name val="Calibri"/>
      <family val="2"/>
      <scheme val="minor"/>
    </font>
    <font>
      <sz val="14"/>
      <name val="Arial"/>
      <family val="2"/>
    </font>
    <font>
      <b/>
      <i/>
      <sz val="14"/>
      <name val="Arial"/>
      <family val="2"/>
    </font>
    <font>
      <b/>
      <sz val="14"/>
      <color indexed="10"/>
      <name val="Arial"/>
      <family val="2"/>
    </font>
    <font>
      <sz val="16"/>
      <name val="Arial"/>
      <family val="2"/>
    </font>
    <font>
      <sz val="11"/>
      <color indexed="18"/>
      <name val="Calibri"/>
      <family val="2"/>
      <scheme val="minor"/>
    </font>
    <font>
      <u/>
      <sz val="11"/>
      <color theme="10"/>
      <name val="Calibri"/>
      <family val="2"/>
      <scheme val="minor"/>
    </font>
    <font>
      <sz val="12"/>
      <color indexed="18"/>
      <name val="Calibri"/>
      <family val="2"/>
      <scheme val="minor"/>
    </font>
    <font>
      <b/>
      <sz val="12"/>
      <color indexed="18"/>
      <name val="Calibri"/>
      <family val="2"/>
      <scheme val="minor"/>
    </font>
    <font>
      <b/>
      <sz val="18"/>
      <color indexed="18"/>
      <name val="Calibri"/>
      <family val="2"/>
      <scheme val="minor"/>
    </font>
    <font>
      <u/>
      <sz val="12"/>
      <color theme="10"/>
      <name val="Calibri"/>
      <family val="2"/>
      <scheme val="minor"/>
    </font>
    <font>
      <sz val="12"/>
      <name val="Calibri"/>
      <family val="2"/>
      <scheme val="minor"/>
    </font>
    <font>
      <b/>
      <sz val="12"/>
      <color theme="0"/>
      <name val="Calibri"/>
      <family val="2"/>
      <scheme val="minor"/>
    </font>
    <font>
      <sz val="12"/>
      <color theme="0"/>
      <name val="Calibri"/>
      <family val="2"/>
      <scheme val="minor"/>
    </font>
    <font>
      <sz val="9"/>
      <color indexed="10"/>
      <name val="Arial"/>
      <family val="2"/>
    </font>
    <font>
      <b/>
      <sz val="11"/>
      <name val="Calibri"/>
      <family val="2"/>
    </font>
    <font>
      <b/>
      <sz val="16"/>
      <color indexed="9"/>
      <name val="Arial"/>
      <family val="2"/>
    </font>
    <font>
      <b/>
      <sz val="10"/>
      <color theme="1"/>
      <name val="Calibri"/>
      <family val="2"/>
      <scheme val="minor"/>
    </font>
    <font>
      <b/>
      <sz val="10"/>
      <color indexed="10"/>
      <name val="Arial"/>
      <family val="2"/>
    </font>
    <font>
      <b/>
      <sz val="10"/>
      <color indexed="8"/>
      <name val="Calibri"/>
      <family val="2"/>
      <scheme val="minor"/>
    </font>
    <font>
      <b/>
      <i/>
      <sz val="10"/>
      <color theme="1" tint="0.499984740745262"/>
      <name val="Calibri"/>
      <family val="2"/>
      <scheme val="minor"/>
    </font>
    <font>
      <b/>
      <sz val="9"/>
      <color theme="1"/>
      <name val="Calibri"/>
      <family val="2"/>
      <scheme val="minor"/>
    </font>
    <font>
      <b/>
      <sz val="14"/>
      <color rgb="FFFF0000"/>
      <name val="Arial"/>
      <family val="2"/>
    </font>
    <font>
      <sz val="9"/>
      <name val="Calibri"/>
      <family val="2"/>
      <scheme val="minor"/>
    </font>
    <font>
      <b/>
      <sz val="9"/>
      <color theme="1"/>
      <name val="Arial"/>
      <family val="2"/>
    </font>
    <font>
      <b/>
      <sz val="9"/>
      <name val="Arial"/>
      <family val="2"/>
    </font>
    <font>
      <sz val="7"/>
      <name val="Arial"/>
      <family val="2"/>
    </font>
    <font>
      <sz val="11"/>
      <color rgb="FF000000"/>
      <name val="Calibri"/>
      <family val="2"/>
      <scheme val="minor"/>
    </font>
    <font>
      <sz val="8"/>
      <name val="Arial"/>
      <family val="2"/>
    </font>
  </fonts>
  <fills count="99">
    <fill>
      <patternFill patternType="none"/>
    </fill>
    <fill>
      <patternFill patternType="gray125"/>
    </fill>
    <fill>
      <patternFill patternType="solid">
        <fgColor theme="7" tint="0.59999389629810485"/>
        <bgColor indexed="64"/>
      </patternFill>
    </fill>
    <fill>
      <patternFill patternType="solid">
        <fgColor theme="0" tint="-0.249977111117893"/>
        <bgColor indexed="64"/>
      </patternFill>
    </fill>
    <fill>
      <patternFill patternType="solid">
        <fgColor theme="0"/>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4" tint="0.79998168889431442"/>
        <bgColor theme="4" tint="0.79998168889431442"/>
      </patternFill>
    </fill>
    <fill>
      <patternFill patternType="solid">
        <fgColor theme="8" tint="0.79998168889431442"/>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rgb="FFFFFFFF"/>
        <bgColor rgb="FF000000"/>
      </patternFill>
    </fill>
    <fill>
      <patternFill patternType="solid">
        <fgColor theme="4" tint="0.79998168889431442"/>
        <bgColor indexed="64"/>
      </patternFill>
    </fill>
    <fill>
      <patternFill patternType="solid">
        <fgColor theme="1"/>
        <bgColor indexed="64"/>
      </patternFill>
    </fill>
    <fill>
      <patternFill patternType="solid">
        <fgColor rgb="FFB8CCE4"/>
        <bgColor rgb="FF000000"/>
      </patternFill>
    </fill>
    <fill>
      <patternFill patternType="solid">
        <fgColor theme="9" tint="0.59999389629810485"/>
        <bgColor indexed="64"/>
      </patternFill>
    </fill>
    <fill>
      <patternFill patternType="solid">
        <fgColor rgb="FFFABF8F"/>
        <bgColor rgb="FF000000"/>
      </patternFill>
    </fill>
    <fill>
      <patternFill patternType="solid">
        <fgColor theme="0" tint="-0.14999847407452621"/>
        <bgColor rgb="FF000000"/>
      </patternFill>
    </fill>
    <fill>
      <patternFill patternType="solid">
        <fgColor theme="0" tint="-0.34998626667073579"/>
        <bgColor indexed="64"/>
      </patternFill>
    </fill>
    <fill>
      <patternFill patternType="solid">
        <fgColor rgb="FFFFFFCC"/>
        <bgColor indexed="64"/>
      </patternFill>
    </fill>
    <fill>
      <patternFill patternType="solid">
        <fgColor rgb="FFFFFFCC"/>
        <bgColor rgb="FF000000"/>
      </patternFill>
    </fill>
    <fill>
      <patternFill patternType="solid">
        <fgColor theme="4" tint="-0.499984740745262"/>
        <bgColor indexed="64"/>
      </patternFill>
    </fill>
    <fill>
      <patternFill patternType="solid">
        <fgColor rgb="FFBFBFBF"/>
        <bgColor rgb="FF000000"/>
      </patternFill>
    </fill>
    <fill>
      <patternFill patternType="solid">
        <fgColor rgb="FFCCCCFF"/>
        <bgColor indexed="64"/>
      </patternFill>
    </fill>
    <fill>
      <patternFill patternType="solid">
        <fgColor rgb="FFFFFF99"/>
        <bgColor indexed="64"/>
      </patternFill>
    </fill>
    <fill>
      <patternFill patternType="solid">
        <fgColor theme="4" tint="0.39997558519241921"/>
        <bgColor indexed="64"/>
      </patternFill>
    </fill>
    <fill>
      <patternFill patternType="solid">
        <fgColor theme="4" tint="0.39997558519241921"/>
        <bgColor theme="4" tint="0.79998168889431442"/>
      </patternFill>
    </fill>
    <fill>
      <patternFill patternType="solid">
        <fgColor theme="6" tint="0.39997558519241921"/>
        <bgColor theme="4" tint="0.79998168889431442"/>
      </patternFill>
    </fill>
    <fill>
      <patternFill patternType="solid">
        <fgColor theme="3" tint="0.59999389629810485"/>
        <bgColor indexed="64"/>
      </patternFill>
    </fill>
    <fill>
      <patternFill patternType="solid">
        <fgColor theme="8" tint="-0.249977111117893"/>
        <bgColor indexed="64"/>
      </patternFill>
    </fill>
    <fill>
      <patternFill patternType="solid">
        <fgColor theme="0" tint="-0.499984740745262"/>
        <bgColor indexed="64"/>
      </patternFill>
    </fill>
    <fill>
      <patternFill patternType="solid">
        <fgColor rgb="FFD9D9D9"/>
        <bgColor rgb="FF000000"/>
      </patternFill>
    </fill>
    <fill>
      <patternFill patternType="solid">
        <fgColor rgb="FFEEECE1"/>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6" tint="0.39994506668294322"/>
        <bgColor indexed="64"/>
      </patternFill>
    </fill>
    <fill>
      <patternFill patternType="solid">
        <fgColor theme="6" tint="0.59996337778862885"/>
        <bgColor indexed="64"/>
      </patternFill>
    </fill>
    <fill>
      <patternFill patternType="solid">
        <fgColor theme="4"/>
        <bgColor indexed="64"/>
      </patternFill>
    </fill>
    <fill>
      <patternFill patternType="solid">
        <fgColor theme="0" tint="-0.249977111117893"/>
        <bgColor rgb="FF000000"/>
      </patternFill>
    </fill>
    <fill>
      <patternFill patternType="solid">
        <fgColor rgb="FFFFCCCC"/>
        <bgColor indexed="64"/>
      </patternFill>
    </fill>
    <fill>
      <patternFill patternType="gray125">
        <fgColor theme="3" tint="0.39991454817346722"/>
        <bgColor rgb="FFFFFFCC"/>
      </patternFill>
    </fill>
    <fill>
      <patternFill patternType="solid">
        <fgColor theme="6"/>
        <bgColor indexed="64"/>
      </patternFill>
    </fill>
    <fill>
      <patternFill patternType="solid">
        <fgColor theme="7"/>
        <bgColor indexed="64"/>
      </patternFill>
    </fill>
    <fill>
      <patternFill patternType="solid">
        <fgColor theme="7" tint="0.79998168889431442"/>
        <bgColor indexed="64"/>
      </patternFill>
    </fill>
    <fill>
      <patternFill patternType="solid">
        <fgColor theme="3"/>
        <bgColor indexed="64"/>
      </patternFill>
    </fill>
    <fill>
      <patternFill patternType="solid">
        <fgColor theme="9"/>
        <bgColor indexed="64"/>
      </patternFill>
    </fill>
    <fill>
      <patternFill patternType="solid">
        <fgColor theme="5" tint="-0.249977111117893"/>
        <bgColor indexed="64"/>
      </patternFill>
    </fill>
    <fill>
      <patternFill patternType="solid">
        <fgColor rgb="FFFF0000"/>
        <bgColor indexed="64"/>
      </patternFill>
    </fill>
    <fill>
      <patternFill patternType="solid">
        <fgColor theme="9" tint="0.39997558519241921"/>
        <bgColor rgb="FF000000"/>
      </patternFill>
    </fill>
    <fill>
      <patternFill patternType="solid">
        <fgColor theme="2" tint="-0.749992370372631"/>
        <bgColor indexed="64"/>
      </patternFill>
    </fill>
    <fill>
      <patternFill patternType="solid">
        <fgColor theme="0" tint="-0.14999847407452621"/>
        <bgColor theme="0" tint="-0.14999847407452621"/>
      </patternFill>
    </fill>
    <fill>
      <patternFill patternType="solid">
        <fgColor theme="3" tint="-0.249977111117893"/>
        <bgColor indexed="64"/>
      </patternFill>
    </fill>
    <fill>
      <patternFill patternType="solid">
        <fgColor indexed="8"/>
        <bgColor indexed="64"/>
      </patternFill>
    </fill>
    <fill>
      <patternFill patternType="solid">
        <fgColor theme="4"/>
        <bgColor theme="4"/>
      </patternFill>
    </fill>
    <fill>
      <patternFill patternType="gray125">
        <fgColor rgb="FF000000"/>
        <bgColor rgb="FFFFCCCC"/>
      </patternFill>
    </fill>
    <fill>
      <patternFill patternType="solid">
        <fgColor rgb="FFFFCCCC"/>
        <bgColor rgb="FF000000"/>
      </patternFill>
    </fill>
    <fill>
      <patternFill patternType="solid">
        <fgColor rgb="FF25C6FF"/>
        <bgColor rgb="FF000000"/>
      </patternFill>
    </fill>
    <fill>
      <patternFill patternType="solid">
        <fgColor theme="0" tint="-0.34998626667073579"/>
        <bgColor rgb="FF000000"/>
      </patternFill>
    </fill>
    <fill>
      <patternFill patternType="solid">
        <fgColor theme="0" tint="-0.24994659260841701"/>
        <bgColor indexed="64"/>
      </patternFill>
    </fill>
    <fill>
      <patternFill patternType="solid">
        <fgColor rgb="FF25C6FF"/>
        <bgColor indexed="64"/>
      </patternFill>
    </fill>
    <fill>
      <patternFill patternType="gray125">
        <fgColor theme="3"/>
        <bgColor rgb="FFFFFFCC"/>
      </patternFill>
    </fill>
    <fill>
      <patternFill patternType="gray125">
        <fgColor theme="3" tint="0.39991454817346722"/>
        <bgColor rgb="FFFFCCCC"/>
      </patternFill>
    </fill>
    <fill>
      <patternFill patternType="gray125">
        <fgColor theme="3"/>
        <bgColor rgb="FFFFCCCC"/>
      </patternFill>
    </fill>
  </fills>
  <borders count="2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thin">
        <color theme="0" tint="-0.24994659260841701"/>
      </left>
      <right/>
      <top style="medium">
        <color indexed="64"/>
      </top>
      <bottom/>
      <diagonal/>
    </border>
    <border>
      <left style="medium">
        <color indexed="64"/>
      </left>
      <right/>
      <top style="thin">
        <color theme="0" tint="-0.34998626667073579"/>
      </top>
      <bottom/>
      <diagonal/>
    </border>
    <border>
      <left style="thin">
        <color theme="0" tint="-0.34998626667073579"/>
      </left>
      <right/>
      <top style="thin">
        <color theme="0" tint="-0.34998626667073579"/>
      </top>
      <bottom/>
      <diagonal/>
    </border>
    <border>
      <left style="medium">
        <color indexed="64"/>
      </left>
      <right/>
      <top style="thin">
        <color theme="0" tint="-0.24994659260841701"/>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style="medium">
        <color indexed="64"/>
      </left>
      <right/>
      <top style="thin">
        <color theme="0" tint="-0.24994659260841701"/>
      </top>
      <bottom style="medium">
        <color indexed="64"/>
      </bottom>
      <diagonal/>
    </border>
    <border>
      <left style="thin">
        <color theme="0" tint="-0.24994659260841701"/>
      </left>
      <right/>
      <top style="thin">
        <color theme="0" tint="-0.2499465926084170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rgb="FFBFBFBF"/>
      </right>
      <top style="medium">
        <color indexed="64"/>
      </top>
      <bottom style="medium">
        <color auto="1"/>
      </bottom>
      <diagonal/>
    </border>
    <border>
      <left style="thin">
        <color rgb="FFBFBFBF"/>
      </left>
      <right style="thin">
        <color rgb="FFBFBFBF"/>
      </right>
      <top style="medium">
        <color indexed="64"/>
      </top>
      <bottom style="medium">
        <color auto="1"/>
      </bottom>
      <diagonal/>
    </border>
    <border>
      <left style="medium">
        <color indexed="64"/>
      </left>
      <right/>
      <top style="thin">
        <color indexed="64"/>
      </top>
      <bottom/>
      <diagonal/>
    </border>
    <border>
      <left style="medium">
        <color auto="1"/>
      </left>
      <right style="medium">
        <color indexed="64"/>
      </right>
      <top style="medium">
        <color auto="1"/>
      </top>
      <bottom style="thin">
        <color theme="0" tint="-0.24994659260841701"/>
      </bottom>
      <diagonal/>
    </border>
    <border>
      <left style="medium">
        <color indexed="64"/>
      </left>
      <right style="thin">
        <color theme="0" tint="-0.24994659260841701"/>
      </right>
      <top style="medium">
        <color indexed="64"/>
      </top>
      <bottom style="thin">
        <color theme="0" tint="-0.24994659260841701"/>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medium">
        <color rgb="FFFF0000"/>
      </right>
      <top/>
      <bottom style="thin">
        <color theme="0" tint="-0.24994659260841701"/>
      </bottom>
      <diagonal/>
    </border>
    <border>
      <left style="medium">
        <color rgb="FFFF0000"/>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medium">
        <color rgb="FFFF0000"/>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FF0000"/>
      </right>
      <top style="thin">
        <color theme="0" tint="-0.24994659260841701"/>
      </top>
      <bottom style="thin">
        <color theme="0" tint="-0.24994659260841701"/>
      </bottom>
      <diagonal/>
    </border>
    <border>
      <left style="medium">
        <color indexed="64"/>
      </left>
      <right/>
      <top/>
      <bottom style="thin">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style="thin">
        <color theme="0" tint="-0.24994659260841701"/>
      </right>
      <top style="thin">
        <color theme="0" tint="-0.24994659260841701"/>
      </top>
      <bottom style="medium">
        <color indexed="64"/>
      </bottom>
      <diagonal/>
    </border>
    <border>
      <left style="medium">
        <color indexed="64"/>
      </left>
      <right style="medium">
        <color auto="1"/>
      </right>
      <top/>
      <bottom style="thin">
        <color auto="1"/>
      </bottom>
      <diagonal/>
    </border>
    <border>
      <left style="medium">
        <color auto="1"/>
      </left>
      <right style="medium">
        <color indexed="64"/>
      </right>
      <top style="thin">
        <color auto="1"/>
      </top>
      <bottom style="thin">
        <color auto="1"/>
      </bottom>
      <diagonal/>
    </border>
    <border>
      <left style="medium">
        <color indexed="64"/>
      </left>
      <right style="medium">
        <color indexed="64"/>
      </right>
      <top style="thin">
        <color indexed="64"/>
      </top>
      <bottom/>
      <diagonal/>
    </border>
    <border>
      <left style="medium">
        <color auto="1"/>
      </left>
      <right style="thin">
        <color auto="1"/>
      </right>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indexed="64"/>
      </left>
      <right style="thin">
        <color indexed="64"/>
      </right>
      <top style="thin">
        <color theme="0" tint="-0.24994659260841701"/>
      </top>
      <bottom style="medium">
        <color indexed="64"/>
      </bottom>
      <diagonal/>
    </border>
    <border>
      <left style="medium">
        <color indexed="64"/>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right style="medium">
        <color indexed="64"/>
      </right>
      <top style="medium">
        <color indexed="64"/>
      </top>
      <bottom style="thin">
        <color theme="0" tint="-0.34998626667073579"/>
      </bottom>
      <diagonal/>
    </border>
    <border>
      <left style="thin">
        <color theme="0" tint="-0.24994659260841701"/>
      </left>
      <right style="thin">
        <color theme="0" tint="-0.24994659260841701"/>
      </right>
      <top style="medium">
        <color indexed="64"/>
      </top>
      <bottom style="thin">
        <color theme="0" tint="-0.24994659260841701"/>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style="medium">
        <color indexed="64"/>
      </left>
      <right style="thin">
        <color theme="0" tint="-0.24994659260841701"/>
      </right>
      <top style="medium">
        <color indexed="64"/>
      </top>
      <bottom style="medium">
        <color indexed="64"/>
      </bottom>
      <diagonal/>
    </border>
    <border>
      <left style="medium">
        <color indexed="64"/>
      </left>
      <right style="thin">
        <color theme="0" tint="-0.24994659260841701"/>
      </right>
      <top/>
      <bottom style="thin">
        <color theme="0" tint="-0.24994659260841701"/>
      </bottom>
      <diagonal/>
    </border>
    <border>
      <left style="medium">
        <color indexed="64"/>
      </left>
      <right style="thin">
        <color rgb="FFA6A6A6"/>
      </right>
      <top style="thin">
        <color rgb="FFA6A6A6"/>
      </top>
      <bottom style="thin">
        <color rgb="FFA6A6A6"/>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bottom style="thin">
        <color indexed="64"/>
      </bottom>
      <diagonal/>
    </border>
    <border>
      <left/>
      <right style="medium">
        <color indexed="64"/>
      </right>
      <top/>
      <bottom style="thin">
        <color indexed="64"/>
      </bottom>
      <diagonal/>
    </border>
    <border>
      <left style="thin">
        <color theme="0" tint="-0.24994659260841701"/>
      </left>
      <right/>
      <top style="medium">
        <color indexed="64"/>
      </top>
      <bottom style="thin">
        <color theme="0" tint="-0.24994659260841701"/>
      </bottom>
      <diagonal/>
    </border>
    <border>
      <left/>
      <right style="medium">
        <color indexed="64"/>
      </right>
      <top style="medium">
        <color auto="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medium">
        <color auto="1"/>
      </right>
      <top style="thin">
        <color theme="0" tint="-0.24994659260841701"/>
      </top>
      <bottom style="thin">
        <color theme="0" tint="-0.24994659260841701"/>
      </bottom>
      <diagonal/>
    </border>
    <border>
      <left/>
      <right/>
      <top style="thin">
        <color theme="0" tint="-0.24994659260841701"/>
      </top>
      <bottom style="medium">
        <color indexed="64"/>
      </bottom>
      <diagonal/>
    </border>
    <border>
      <left/>
      <right style="medium">
        <color auto="1"/>
      </right>
      <top style="thin">
        <color theme="0" tint="-0.24994659260841701"/>
      </top>
      <bottom style="medium">
        <color auto="1"/>
      </bottom>
      <diagonal/>
    </border>
    <border>
      <left style="medium">
        <color indexed="64"/>
      </left>
      <right style="thin">
        <color theme="0" tint="-0.24994659260841701"/>
      </right>
      <top/>
      <bottom style="thin">
        <color indexed="64"/>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medium">
        <color indexed="64"/>
      </right>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right style="medium">
        <color indexed="64"/>
      </right>
      <top style="thin">
        <color theme="0" tint="-0.24994659260841701"/>
      </top>
      <bottom/>
      <diagonal/>
    </border>
    <border>
      <left style="medium">
        <color indexed="64"/>
      </left>
      <right style="thin">
        <color theme="0" tint="-0.24994659260841701"/>
      </right>
      <top/>
      <bottom style="medium">
        <color indexed="64"/>
      </bottom>
      <diagonal/>
    </border>
    <border>
      <left style="thin">
        <color theme="0" tint="-0.24994659260841701"/>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bottom style="medium">
        <color indexed="64"/>
      </bottom>
      <diagonal/>
    </border>
    <border>
      <left style="thin">
        <color rgb="FFBFBFBF"/>
      </left>
      <right style="medium">
        <color indexed="64"/>
      </right>
      <top style="medium">
        <color indexed="64"/>
      </top>
      <bottom style="medium">
        <color indexed="64"/>
      </bottom>
      <diagonal/>
    </border>
    <border>
      <left style="thin">
        <color rgb="FFBFBFBF"/>
      </left>
      <right style="medium">
        <color indexed="64"/>
      </right>
      <top/>
      <bottom style="thin">
        <color rgb="FFBFBFBF"/>
      </bottom>
      <diagonal/>
    </border>
    <border>
      <left style="thin">
        <color rgb="FFBFBFBF"/>
      </left>
      <right style="medium">
        <color indexed="64"/>
      </right>
      <top style="thin">
        <color rgb="FFBFBFBF"/>
      </top>
      <bottom style="thin">
        <color rgb="FFBFBFBF"/>
      </bottom>
      <diagonal/>
    </border>
    <border>
      <left style="thin">
        <color rgb="FFBFBFBF"/>
      </left>
      <right style="medium">
        <color indexed="64"/>
      </right>
      <top style="thin">
        <color rgb="FFBFBFBF"/>
      </top>
      <bottom style="medium">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right style="medium">
        <color indexed="64"/>
      </right>
      <top/>
      <bottom style="mediumDashed">
        <color theme="0" tint="-0.34998626667073579"/>
      </bottom>
      <diagonal/>
    </border>
    <border>
      <left style="thin">
        <color theme="0" tint="-0.24994659260841701"/>
      </left>
      <right/>
      <top style="medium">
        <color indexed="64"/>
      </top>
      <bottom style="medium">
        <color indexed="64"/>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style="thin">
        <color rgb="FFBFBFBF"/>
      </left>
      <right style="medium">
        <color indexed="64"/>
      </right>
      <top style="medium">
        <color indexed="64"/>
      </top>
      <bottom style="mediumDashed">
        <color indexed="64"/>
      </bottom>
      <diagonal/>
    </border>
    <border>
      <left style="thin">
        <color indexed="64"/>
      </left>
      <right style="medium">
        <color indexed="64"/>
      </right>
      <top style="medium">
        <color indexed="64"/>
      </top>
      <bottom style="medium">
        <color indexed="64"/>
      </bottom>
      <diagonal/>
    </border>
    <border>
      <left style="thin">
        <color theme="0" tint="-0.24994659260841701"/>
      </left>
      <right style="medium">
        <color indexed="64"/>
      </right>
      <top/>
      <bottom style="thin">
        <color theme="0" tint="-0.24994659260841701"/>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medium">
        <color auto="1"/>
      </left>
      <right/>
      <top style="medium">
        <color auto="1"/>
      </top>
      <bottom style="thin">
        <color theme="0" tint="-0.24994659260841701"/>
      </bottom>
      <diagonal/>
    </border>
    <border>
      <left style="medium">
        <color indexed="64"/>
      </left>
      <right/>
      <top style="thin">
        <color theme="0" tint="-0.24994659260841701"/>
      </top>
      <bottom style="thin">
        <color theme="0" tint="-0.24994659260841701"/>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rgb="FFA6A6A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style="thin">
        <color theme="0" tint="-0.24994659260841701"/>
      </right>
      <top style="medium">
        <color auto="1"/>
      </top>
      <bottom style="thin">
        <color indexed="64"/>
      </bottom>
      <diagonal/>
    </border>
    <border>
      <left style="thin">
        <color theme="0" tint="-0.24994659260841701"/>
      </left>
      <right style="thin">
        <color theme="0" tint="-0.24994659260841701"/>
      </right>
      <top style="thin">
        <color auto="1"/>
      </top>
      <bottom style="medium">
        <color indexed="64"/>
      </bottom>
      <diagonal/>
    </border>
    <border>
      <left/>
      <right/>
      <top style="thin">
        <color indexed="64"/>
      </top>
      <bottom style="medium">
        <color indexed="64"/>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style="medium">
        <color auto="1"/>
      </left>
      <right style="medium">
        <color indexed="64"/>
      </right>
      <top/>
      <bottom style="thin">
        <color theme="0" tint="-0.24994659260841701"/>
      </bottom>
      <diagonal/>
    </border>
    <border>
      <left/>
      <right style="thin">
        <color theme="0" tint="-0.24994659260841701"/>
      </right>
      <top/>
      <bottom style="thin">
        <color theme="0" tint="-0.24994659260841701"/>
      </bottom>
      <diagonal/>
    </border>
    <border>
      <left/>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indexed="64"/>
      </bottom>
      <diagonal/>
    </border>
    <border>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bottom style="thin">
        <color theme="0" tint="-0.24994659260841701"/>
      </bottom>
      <diagonal/>
    </border>
    <border>
      <left style="medium">
        <color indexed="64"/>
      </left>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bottom/>
      <diagonal/>
    </border>
    <border>
      <left style="medium">
        <color indexed="64"/>
      </left>
      <right style="thin">
        <color indexed="64"/>
      </right>
      <top style="medium">
        <color indexed="64"/>
      </top>
      <bottom/>
      <diagonal/>
    </border>
    <border>
      <left/>
      <right style="thin">
        <color indexed="64"/>
      </right>
      <top/>
      <bottom style="medium">
        <color auto="1"/>
      </bottom>
      <diagonal/>
    </border>
    <border>
      <left style="thin">
        <color theme="0" tint="-0.24994659260841701"/>
      </left>
      <right style="thin">
        <color theme="0" tint="-0.24994659260841701"/>
      </right>
      <top style="medium">
        <color indexed="64"/>
      </top>
      <bottom/>
      <diagonal/>
    </border>
    <border>
      <left style="thin">
        <color rgb="FFBFBFBF"/>
      </left>
      <right style="thin">
        <color indexed="64"/>
      </right>
      <top style="medium">
        <color indexed="64"/>
      </top>
      <bottom/>
      <diagonal/>
    </border>
    <border>
      <left style="thin">
        <color rgb="FFBFBFBF"/>
      </left>
      <right style="medium">
        <color indexed="64"/>
      </right>
      <top style="medium">
        <color indexed="64"/>
      </top>
      <bottom/>
      <diagonal/>
    </border>
    <border>
      <left style="thin">
        <color rgb="FFBFBFBF"/>
      </left>
      <right style="thin">
        <color rgb="FFBFBFBF"/>
      </right>
      <top style="medium">
        <color indexed="64"/>
      </top>
      <bottom/>
      <diagonal/>
    </border>
    <border>
      <left style="dotted">
        <color rgb="FFFF0000"/>
      </left>
      <right style="medium">
        <color indexed="64"/>
      </right>
      <top style="dotted">
        <color rgb="FFFF0000"/>
      </top>
      <bottom/>
      <diagonal/>
    </border>
    <border>
      <left style="medium">
        <color indexed="64"/>
      </left>
      <right style="thin">
        <color indexed="64"/>
      </right>
      <top style="dotted">
        <color rgb="FFFF0000"/>
      </top>
      <bottom style="medium">
        <color indexed="64"/>
      </bottom>
      <diagonal/>
    </border>
    <border>
      <left style="thin">
        <color rgb="FFBFBFBF"/>
      </left>
      <right style="thin">
        <color indexed="64"/>
      </right>
      <top style="dotted">
        <color rgb="FFFF0000"/>
      </top>
      <bottom style="medium">
        <color auto="1"/>
      </bottom>
      <diagonal/>
    </border>
    <border>
      <left style="thin">
        <color rgb="FFBFBFBF"/>
      </left>
      <right style="dotted">
        <color rgb="FFFF0000"/>
      </right>
      <top style="dotted">
        <color rgb="FFFF0000"/>
      </top>
      <bottom style="medium">
        <color indexed="64"/>
      </bottom>
      <diagonal/>
    </border>
    <border>
      <left style="dotted">
        <color rgb="FFFF0000"/>
      </left>
      <right style="medium">
        <color indexed="64"/>
      </right>
      <top/>
      <bottom/>
      <diagonal/>
    </border>
    <border>
      <left style="thin">
        <color theme="0" tint="-0.24994659260841701"/>
      </left>
      <right style="dotted">
        <color rgb="FFFF0000"/>
      </right>
      <top/>
      <bottom style="thin">
        <color theme="0" tint="-0.24994659260841701"/>
      </bottom>
      <diagonal/>
    </border>
    <border>
      <left style="thin">
        <color theme="0" tint="-0.24994659260841701"/>
      </left>
      <right style="dotted">
        <color rgb="FFFF0000"/>
      </right>
      <top style="thin">
        <color theme="0" tint="-0.24994659260841701"/>
      </top>
      <bottom style="thin">
        <color theme="0" tint="-0.24994659260841701"/>
      </bottom>
      <diagonal/>
    </border>
    <border>
      <left style="thin">
        <color theme="0" tint="-0.24994659260841701"/>
      </left>
      <right style="dotted">
        <color rgb="FFFF0000"/>
      </right>
      <top style="thin">
        <color theme="0" tint="-0.24994659260841701"/>
      </top>
      <bottom style="medium">
        <color indexed="64"/>
      </bottom>
      <diagonal/>
    </border>
    <border>
      <left style="dotted">
        <color rgb="FFFF0000"/>
      </left>
      <right/>
      <top/>
      <bottom/>
      <diagonal/>
    </border>
    <border>
      <left/>
      <right style="dotted">
        <color rgb="FFFF0000"/>
      </right>
      <top/>
      <bottom/>
      <diagonal/>
    </border>
    <border>
      <left style="dotted">
        <color rgb="FFFF0000"/>
      </left>
      <right style="medium">
        <color rgb="FFFF0000"/>
      </right>
      <top/>
      <bottom/>
      <diagonal/>
    </border>
    <border>
      <left style="dotted">
        <color rgb="FFFF0000"/>
      </left>
      <right style="medium">
        <color rgb="FFFF0000"/>
      </right>
      <top/>
      <bottom style="dotted">
        <color rgb="FFFF0000"/>
      </bottom>
      <diagonal/>
    </border>
    <border>
      <left style="medium">
        <color rgb="FFFF0000"/>
      </left>
      <right style="thin">
        <color theme="0" tint="-0.24994659260841701"/>
      </right>
      <top style="thin">
        <color theme="0" tint="-0.24994659260841701"/>
      </top>
      <bottom style="dotted">
        <color rgb="FFFF0000"/>
      </bottom>
      <diagonal/>
    </border>
    <border>
      <left style="thin">
        <color theme="0" tint="-0.24994659260841701"/>
      </left>
      <right style="thin">
        <color theme="0" tint="-0.24994659260841701"/>
      </right>
      <top style="thin">
        <color theme="0" tint="-0.24994659260841701"/>
      </top>
      <bottom style="dotted">
        <color rgb="FFFF0000"/>
      </bottom>
      <diagonal/>
    </border>
    <border>
      <left style="thin">
        <color theme="0" tint="-0.24994659260841701"/>
      </left>
      <right style="medium">
        <color rgb="FFFF0000"/>
      </right>
      <top style="thin">
        <color theme="0" tint="-0.24994659260841701"/>
      </top>
      <bottom style="dotted">
        <color rgb="FFFF0000"/>
      </bottom>
      <diagonal/>
    </border>
    <border>
      <left/>
      <right style="dotted">
        <color rgb="FFFF0000"/>
      </right>
      <top/>
      <bottom style="dotted">
        <color rgb="FFFF0000"/>
      </bottom>
      <diagonal/>
    </border>
    <border>
      <left style="medium">
        <color rgb="FFFF0000"/>
      </left>
      <right style="thin">
        <color theme="0" tint="-0.24994659260841701"/>
      </right>
      <top style="medium">
        <color rgb="FFFF0000"/>
      </top>
      <bottom style="medium">
        <color rgb="FFFF0000"/>
      </bottom>
      <diagonal/>
    </border>
    <border>
      <left style="thin">
        <color theme="0" tint="-0.24994659260841701"/>
      </left>
      <right style="thin">
        <color theme="0" tint="-0.24994659260841701"/>
      </right>
      <top style="medium">
        <color rgb="FFFF0000"/>
      </top>
      <bottom style="medium">
        <color rgb="FFFF0000"/>
      </bottom>
      <diagonal/>
    </border>
    <border>
      <left style="thin">
        <color theme="0" tint="-0.24994659260841701"/>
      </left>
      <right style="medium">
        <color rgb="FFFF0000"/>
      </right>
      <top style="medium">
        <color rgb="FFFF0000"/>
      </top>
      <bottom style="medium">
        <color rgb="FFFF0000"/>
      </bottom>
      <diagonal/>
    </border>
    <border>
      <left/>
      <right style="thin">
        <color indexed="64"/>
      </right>
      <top style="thin">
        <color indexed="64"/>
      </top>
      <bottom style="thin">
        <color indexed="64"/>
      </bottom>
      <diagonal/>
    </border>
    <border>
      <left/>
      <right style="thin">
        <color theme="0" tint="-0.24994659260841701"/>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theme="0" tint="-0.24994659260841701"/>
      </left>
      <right style="medium">
        <color indexed="64"/>
      </right>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theme="0" tint="-0.24994659260841701"/>
      </left>
      <right style="medium">
        <color indexed="64"/>
      </right>
      <top style="thin">
        <color indexed="64"/>
      </top>
      <bottom style="thin">
        <color theme="0" tint="-0.24994659260841701"/>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right/>
      <top style="thin">
        <color indexed="64"/>
      </top>
      <bottom/>
      <diagonal/>
    </border>
    <border>
      <left style="thin">
        <color indexed="64"/>
      </left>
      <right style="thin">
        <color rgb="FFBFBFBF"/>
      </right>
      <top style="medium">
        <color indexed="64"/>
      </top>
      <bottom style="medium">
        <color indexed="64"/>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top style="thin">
        <color theme="4" tint="0.39997558519241921"/>
      </top>
      <bottom style="medium">
        <color auto="1"/>
      </bottom>
      <diagonal/>
    </border>
    <border>
      <left style="thin">
        <color indexed="64"/>
      </left>
      <right/>
      <top style="medium">
        <color indexed="64"/>
      </top>
      <bottom/>
      <diagonal/>
    </border>
    <border>
      <left style="medium">
        <color indexed="64"/>
      </left>
      <right/>
      <top style="thin">
        <color theme="4" tint="0.39997558519241921"/>
      </top>
      <bottom/>
      <diagonal/>
    </border>
    <border>
      <left/>
      <right/>
      <top style="thin">
        <color theme="4" tint="0.39997558519241921"/>
      </top>
      <bottom/>
      <diagonal/>
    </border>
    <border>
      <left/>
      <right style="medium">
        <color indexed="64"/>
      </right>
      <top style="thin">
        <color theme="4" tint="0.39997558519241921"/>
      </top>
      <bottom/>
      <diagonal/>
    </border>
    <border>
      <left style="medium">
        <color indexed="64"/>
      </left>
      <right style="medium">
        <color indexed="64"/>
      </right>
      <top style="thin">
        <color theme="0" tint="-0.24994659260841701"/>
      </top>
      <bottom/>
      <diagonal/>
    </border>
    <border>
      <left style="medium">
        <color indexed="64"/>
      </left>
      <right/>
      <top style="thin">
        <color indexed="64"/>
      </top>
      <bottom style="thin">
        <color indexed="64"/>
      </bottom>
      <diagonal/>
    </border>
    <border>
      <left style="medium">
        <color auto="1"/>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medium">
        <color auto="1"/>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style="medium">
        <color auto="1"/>
      </left>
      <right style="thin">
        <color theme="0" tint="-0.34998626667073579"/>
      </right>
      <top/>
      <bottom/>
      <diagonal/>
    </border>
    <border>
      <left style="thin">
        <color theme="0" tint="-0.34998626667073579"/>
      </left>
      <right style="thin">
        <color theme="0" tint="-0.34998626667073579"/>
      </right>
      <top/>
      <bottom/>
      <diagonal/>
    </border>
    <border>
      <left style="thin">
        <color theme="0" tint="-0.34998626667073579"/>
      </left>
      <right style="medium">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thin">
        <color theme="0" tint="-0.34998626667073579"/>
      </bottom>
      <diagonal/>
    </border>
    <border>
      <left style="medium">
        <color indexed="64"/>
      </left>
      <right style="medium">
        <color indexed="64"/>
      </right>
      <top style="thin">
        <color theme="0" tint="-0.34998626667073579"/>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rgb="FFA6A6A6"/>
      </top>
      <bottom style="thin">
        <color rgb="FFA6A6A6"/>
      </bottom>
      <diagonal/>
    </border>
    <border>
      <left style="medium">
        <color indexed="64"/>
      </left>
      <right style="thin">
        <color theme="0" tint="-0.24994659260841701"/>
      </right>
      <top style="thin">
        <color indexed="64"/>
      </top>
      <bottom style="medium">
        <color indexed="64"/>
      </bottom>
      <diagonal/>
    </border>
    <border>
      <left/>
      <right style="thin">
        <color theme="0" tint="-0.24994659260841701"/>
      </right>
      <top style="medium">
        <color indexed="64"/>
      </top>
      <bottom style="thin">
        <color theme="0" tint="-0.24994659260841701"/>
      </bottom>
      <diagonal/>
    </border>
    <border>
      <left style="medium">
        <color indexed="64"/>
      </left>
      <right style="thin">
        <color rgb="FFA6A6A6"/>
      </right>
      <top style="medium">
        <color indexed="64"/>
      </top>
      <bottom style="thin">
        <color rgb="FFA6A6A6"/>
      </bottom>
      <diagonal/>
    </border>
    <border>
      <left style="medium">
        <color indexed="64"/>
      </left>
      <right/>
      <top style="thin">
        <color rgb="FFA6A6A6"/>
      </top>
      <bottom style="medium">
        <color indexed="64"/>
      </bottom>
      <diagonal/>
    </border>
    <border>
      <left style="medium">
        <color indexed="64"/>
      </left>
      <right style="thin">
        <color indexed="64"/>
      </right>
      <top style="thin">
        <color rgb="FFA6A6A6"/>
      </top>
      <bottom style="thin">
        <color rgb="FFA6A6A6"/>
      </bottom>
      <diagonal/>
    </border>
    <border>
      <left/>
      <right style="thin">
        <color theme="0" tint="-0.24994659260841701"/>
      </right>
      <top style="thin">
        <color theme="0" tint="-0.24994659260841701"/>
      </top>
      <bottom style="thin">
        <color indexed="64"/>
      </bottom>
      <diagonal/>
    </border>
    <border>
      <left/>
      <right style="thin">
        <color theme="0" tint="-0.24994659260841701"/>
      </right>
      <top/>
      <bottom style="medium">
        <color indexed="64"/>
      </bottom>
      <diagonal/>
    </border>
    <border>
      <left style="medium">
        <color indexed="64"/>
      </left>
      <right style="thin">
        <color indexed="64"/>
      </right>
      <top style="thin">
        <color rgb="FFA6A6A6"/>
      </top>
      <bottom style="thin">
        <color indexed="64"/>
      </bottom>
      <diagonal/>
    </border>
    <border>
      <left style="medium">
        <color indexed="64"/>
      </left>
      <right style="thin">
        <color rgb="FFA6A6A6"/>
      </right>
      <top/>
      <bottom style="thin">
        <color rgb="FFA6A6A6"/>
      </bottom>
      <diagonal/>
    </border>
    <border>
      <left style="medium">
        <color indexed="64"/>
      </left>
      <right style="thin">
        <color rgb="FFA6A6A6"/>
      </right>
      <top/>
      <bottom style="medium">
        <color indexed="64"/>
      </bottom>
      <diagonal/>
    </border>
    <border>
      <left style="medium">
        <color indexed="64"/>
      </left>
      <right/>
      <top/>
      <bottom style="thin">
        <color rgb="FFA6A6A6"/>
      </bottom>
      <diagonal/>
    </border>
    <border>
      <left style="medium">
        <color indexed="64"/>
      </left>
      <right/>
      <top style="thin">
        <color theme="0" tint="-0.34998626667073579"/>
      </top>
      <bottom style="medium">
        <color indexed="64"/>
      </bottom>
      <diagonal/>
    </border>
    <border>
      <left style="thin">
        <color theme="0" tint="-0.34998626667073579"/>
      </left>
      <right/>
      <top style="thin">
        <color theme="0" tint="-0.34998626667073579"/>
      </top>
      <bottom style="medium">
        <color indexed="64"/>
      </bottom>
      <diagonal/>
    </border>
    <border>
      <left style="medium">
        <color indexed="64"/>
      </left>
      <right style="medium">
        <color indexed="64"/>
      </right>
      <top style="thin">
        <color theme="0" tint="-0.34998626667073579"/>
      </top>
      <bottom/>
      <diagonal/>
    </border>
    <border>
      <left/>
      <right style="thin">
        <color theme="0" tint="-0.34998626667073579"/>
      </right>
      <top style="thin">
        <color theme="0" tint="-0.34998626667073579"/>
      </top>
      <bottom style="thin">
        <color theme="0" tint="-0.34998626667073579"/>
      </bottom>
      <diagonal/>
    </border>
    <border>
      <left style="medium">
        <color indexed="64"/>
      </left>
      <right style="medium">
        <color indexed="64"/>
      </right>
      <top style="thin">
        <color theme="0" tint="-0.24994659260841701"/>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diagonal/>
    </border>
    <border>
      <left style="thin">
        <color theme="0" tint="-0.14996795556505021"/>
      </left>
      <right style="thin">
        <color theme="0" tint="-0.14996795556505021"/>
      </right>
      <top style="thin">
        <color theme="0" tint="-0.14996795556505021"/>
      </top>
      <bottom/>
      <diagonal/>
    </border>
  </borders>
  <cellStyleXfs count="74">
    <xf numFmtId="0" fontId="0" fillId="0" borderId="0"/>
    <xf numFmtId="49" fontId="20" fillId="11" borderId="141" applyBorder="0">
      <alignment horizontal="centerContinuous" vertical="center" wrapText="1"/>
    </xf>
    <xf numFmtId="168" fontId="69" fillId="94" borderId="20" applyBorder="0">
      <alignment horizontal="right" vertical="center"/>
      <protection locked="0"/>
    </xf>
    <xf numFmtId="0" fontId="10" fillId="31" borderId="79">
      <alignment horizontal="centerContinuous" vertical="center" wrapText="1"/>
    </xf>
    <xf numFmtId="0" fontId="28" fillId="36" borderId="0">
      <alignment vertical="center"/>
    </xf>
    <xf numFmtId="0" fontId="29" fillId="19" borderId="19">
      <alignment vertical="center"/>
    </xf>
    <xf numFmtId="0" fontId="52" fillId="93" borderId="19" applyBorder="0">
      <alignment vertical="center"/>
    </xf>
    <xf numFmtId="0" fontId="9" fillId="28" borderId="19" applyBorder="0" applyProtection="0">
      <alignment vertical="center"/>
    </xf>
    <xf numFmtId="0" fontId="53" fillId="37" borderId="130" applyBorder="0">
      <alignment vertical="center"/>
    </xf>
    <xf numFmtId="0" fontId="53" fillId="38" borderId="130" applyBorder="0">
      <alignment horizontal="left" vertical="center"/>
    </xf>
    <xf numFmtId="167" fontId="16" fillId="26" borderId="131" applyBorder="0">
      <alignment horizontal="right"/>
      <protection locked="0"/>
    </xf>
    <xf numFmtId="49" fontId="3" fillId="25" borderId="38" applyBorder="0" applyAlignment="0">
      <alignment horizontal="left" vertical="center" wrapText="1"/>
      <protection locked="0"/>
    </xf>
    <xf numFmtId="0" fontId="54" fillId="0" borderId="0" applyNumberFormat="0" applyFill="0" applyBorder="0" applyAlignment="0" applyProtection="0"/>
    <xf numFmtId="0" fontId="55" fillId="0" borderId="132" applyNumberFormat="0" applyFill="0" applyAlignment="0" applyProtection="0"/>
    <xf numFmtId="0" fontId="56" fillId="0" borderId="133" applyNumberFormat="0" applyFill="0" applyAlignment="0" applyProtection="0"/>
    <xf numFmtId="0" fontId="57" fillId="0" borderId="134" applyNumberFormat="0" applyFill="0" applyAlignment="0" applyProtection="0"/>
    <xf numFmtId="0" fontId="57" fillId="0" borderId="0" applyNumberFormat="0" applyFill="0" applyBorder="0" applyAlignment="0" applyProtection="0"/>
    <xf numFmtId="0" fontId="58" fillId="39" borderId="0" applyNumberFormat="0" applyBorder="0" applyAlignment="0" applyProtection="0"/>
    <xf numFmtId="0" fontId="59" fillId="40" borderId="0" applyNumberFormat="0" applyBorder="0" applyAlignment="0" applyProtection="0"/>
    <xf numFmtId="0" fontId="60" fillId="41" borderId="0" applyNumberFormat="0" applyBorder="0" applyAlignment="0" applyProtection="0"/>
    <xf numFmtId="0" fontId="61" fillId="42" borderId="135" applyNumberFormat="0" applyAlignment="0" applyProtection="0"/>
    <xf numFmtId="0" fontId="62" fillId="43" borderId="136" applyNumberFormat="0" applyAlignment="0" applyProtection="0"/>
    <xf numFmtId="0" fontId="63" fillId="43" borderId="135" applyNumberFormat="0" applyAlignment="0" applyProtection="0"/>
    <xf numFmtId="0" fontId="64" fillId="0" borderId="137" applyNumberFormat="0" applyFill="0" applyAlignment="0" applyProtection="0"/>
    <xf numFmtId="0" fontId="65" fillId="44" borderId="138" applyNumberFormat="0" applyAlignment="0" applyProtection="0"/>
    <xf numFmtId="0" fontId="66" fillId="0" borderId="0" applyNumberFormat="0" applyFill="0" applyBorder="0" applyAlignment="0" applyProtection="0"/>
    <xf numFmtId="0" fontId="1" fillId="45" borderId="139" applyNumberFormat="0" applyFont="0" applyAlignment="0" applyProtection="0"/>
    <xf numFmtId="0" fontId="67" fillId="0" borderId="0" applyNumberFormat="0" applyFill="0" applyBorder="0" applyAlignment="0" applyProtection="0"/>
    <xf numFmtId="0" fontId="2" fillId="0" borderId="140" applyNumberFormat="0" applyFill="0" applyAlignment="0" applyProtection="0"/>
    <xf numFmtId="0" fontId="68"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68" fillId="49" borderId="0" applyNumberFormat="0" applyBorder="0" applyAlignment="0" applyProtection="0"/>
    <xf numFmtId="0" fontId="68" fillId="50" borderId="0" applyNumberFormat="0" applyBorder="0" applyAlignment="0" applyProtection="0"/>
    <xf numFmtId="0" fontId="1" fillId="51" borderId="0" applyNumberFormat="0" applyBorder="0" applyAlignment="0" applyProtection="0"/>
    <xf numFmtId="0" fontId="1" fillId="52" borderId="0" applyNumberFormat="0" applyBorder="0" applyAlignment="0" applyProtection="0"/>
    <xf numFmtId="0" fontId="68" fillId="53" borderId="0" applyNumberFormat="0" applyBorder="0" applyAlignment="0" applyProtection="0"/>
    <xf numFmtId="0" fontId="68" fillId="54"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68" fillId="57" borderId="0" applyNumberFormat="0" applyBorder="0" applyAlignment="0" applyProtection="0"/>
    <xf numFmtId="0" fontId="68" fillId="58"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68" fillId="61" borderId="0" applyNumberFormat="0" applyBorder="0" applyAlignment="0" applyProtection="0"/>
    <xf numFmtId="0" fontId="68" fillId="62" borderId="0" applyNumberFormat="0" applyBorder="0" applyAlignment="0" applyProtection="0"/>
    <xf numFmtId="0" fontId="1" fillId="63" borderId="0" applyNumberFormat="0" applyBorder="0" applyAlignment="0" applyProtection="0"/>
    <xf numFmtId="0" fontId="1" fillId="64" borderId="0" applyNumberFormat="0" applyBorder="0" applyAlignment="0" applyProtection="0"/>
    <xf numFmtId="0" fontId="68" fillId="65" borderId="0" applyNumberFormat="0" applyBorder="0" applyAlignment="0" applyProtection="0"/>
    <xf numFmtId="0" fontId="68" fillId="66" borderId="0" applyNumberFormat="0" applyBorder="0" applyAlignment="0" applyProtection="0"/>
    <xf numFmtId="0" fontId="1" fillId="67" borderId="0" applyNumberFormat="0" applyBorder="0" applyAlignment="0" applyProtection="0"/>
    <xf numFmtId="0" fontId="1" fillId="68" borderId="0" applyNumberFormat="0" applyBorder="0" applyAlignment="0" applyProtection="0"/>
    <xf numFmtId="0" fontId="68" fillId="69" borderId="0" applyNumberFormat="0" applyBorder="0" applyAlignment="0" applyProtection="0"/>
    <xf numFmtId="0" fontId="10" fillId="71" borderId="5" applyBorder="0">
      <alignment horizontal="right" vertical="center" wrapText="1" indent="1"/>
    </xf>
    <xf numFmtId="0" fontId="115" fillId="72" borderId="5" applyBorder="0">
      <alignment horizontal="right" vertical="center" wrapText="1" indent="1"/>
    </xf>
    <xf numFmtId="0" fontId="10" fillId="31" borderId="142">
      <alignment horizontal="right" vertical="center" wrapText="1" indent="1"/>
    </xf>
    <xf numFmtId="0" fontId="10" fillId="5" borderId="142">
      <alignment horizontal="right" vertical="center" wrapText="1" indent="1"/>
    </xf>
    <xf numFmtId="168" fontId="69" fillId="70" borderId="143">
      <alignment horizontal="right" vertical="center"/>
      <protection locked="0"/>
    </xf>
    <xf numFmtId="49" fontId="3" fillId="30" borderId="38" applyAlignment="0" applyProtection="0">
      <alignment horizontal="left" vertical="center" wrapText="1"/>
      <protection locked="0"/>
    </xf>
    <xf numFmtId="0" fontId="3" fillId="0" borderId="60" applyBorder="0">
      <alignment horizontal="left" vertical="center" wrapText="1" indent="1"/>
    </xf>
    <xf numFmtId="0" fontId="68" fillId="19" borderId="0" applyNumberFormat="0" applyBorder="0" applyAlignment="0" applyProtection="0"/>
    <xf numFmtId="10" fontId="16" fillId="26" borderId="131" applyBorder="0">
      <alignment horizontal="right"/>
      <protection locked="0"/>
    </xf>
    <xf numFmtId="49" fontId="28" fillId="19" borderId="0">
      <alignment vertical="center"/>
    </xf>
    <xf numFmtId="0" fontId="106" fillId="0" borderId="0" applyNumberFormat="0" applyFill="0" applyBorder="0" applyAlignment="0" applyProtection="0"/>
    <xf numFmtId="49" fontId="115" fillId="31" borderId="63">
      <alignment horizontal="center" vertical="center" wrapText="1"/>
    </xf>
    <xf numFmtId="0" fontId="106" fillId="0" borderId="0" applyNumberFormat="0" applyFill="0" applyBorder="0" applyAlignment="0" applyProtection="0"/>
    <xf numFmtId="168" fontId="69" fillId="70" borderId="143">
      <alignment horizontal="right" vertical="center"/>
      <protection locked="0"/>
    </xf>
    <xf numFmtId="0" fontId="86" fillId="76" borderId="38" applyNumberFormat="0" applyFont="0" applyBorder="0" applyAlignment="0" applyProtection="0"/>
    <xf numFmtId="167" fontId="16" fillId="90" borderId="243" applyNumberFormat="0" applyFont="0" applyBorder="0" applyAlignment="0" applyProtection="0">
      <alignment horizontal="right"/>
      <protection locked="0"/>
    </xf>
    <xf numFmtId="167" fontId="16" fillId="91" borderId="243" applyNumberFormat="0" applyFont="0" applyBorder="0" applyAlignment="0" applyProtection="0">
      <alignment horizontal="right"/>
      <protection locked="0"/>
    </xf>
    <xf numFmtId="167" fontId="16" fillId="92" borderId="243" applyNumberFormat="0" applyFont="0" applyBorder="0" applyAlignment="0" applyProtection="0">
      <alignment horizontal="right"/>
      <protection locked="0"/>
    </xf>
    <xf numFmtId="167" fontId="16" fillId="26" borderId="131" applyNumberFormat="0" applyFont="0" applyBorder="0" applyAlignment="0" applyProtection="0">
      <alignment horizontal="right"/>
      <protection locked="0"/>
    </xf>
    <xf numFmtId="171" fontId="1" fillId="3" borderId="38" applyBorder="0"/>
    <xf numFmtId="0" fontId="11" fillId="0" borderId="0"/>
  </cellStyleXfs>
  <cellXfs count="1276">
    <xf numFmtId="0" fontId="0" fillId="0" borderId="0" xfId="0"/>
    <xf numFmtId="168" fontId="69" fillId="94" borderId="20" xfId="2">
      <alignment horizontal="right" vertical="center"/>
      <protection locked="0"/>
    </xf>
    <xf numFmtId="0" fontId="10" fillId="31" borderId="27" xfId="3" applyBorder="1" applyAlignment="1">
      <alignment vertical="center" wrapText="1"/>
    </xf>
    <xf numFmtId="0" fontId="0" fillId="0" borderId="0" xfId="0" applyAlignment="1">
      <alignment vertical="center"/>
    </xf>
    <xf numFmtId="0" fontId="6" fillId="4" borderId="0" xfId="0" applyFont="1" applyFill="1"/>
    <xf numFmtId="0" fontId="6" fillId="4" borderId="0" xfId="0" applyFont="1" applyFill="1" applyAlignment="1">
      <alignment horizontal="center"/>
    </xf>
    <xf numFmtId="1" fontId="6" fillId="4" borderId="0" xfId="0" applyNumberFormat="1" applyFont="1" applyFill="1"/>
    <xf numFmtId="0" fontId="2" fillId="5" borderId="3" xfId="0" applyFont="1" applyFill="1" applyBorder="1" applyAlignment="1">
      <alignment horizontal="center"/>
    </xf>
    <xf numFmtId="0" fontId="10" fillId="6" borderId="4" xfId="0" applyFont="1" applyFill="1" applyBorder="1" applyAlignment="1">
      <alignment horizontal="center"/>
    </xf>
    <xf numFmtId="49" fontId="6" fillId="4" borderId="0" xfId="0" applyNumberFormat="1" applyFont="1" applyFill="1"/>
    <xf numFmtId="0" fontId="2" fillId="5" borderId="5" xfId="0" applyFont="1" applyFill="1" applyBorder="1"/>
    <xf numFmtId="0" fontId="2" fillId="5" borderId="6" xfId="0" applyFont="1" applyFill="1" applyBorder="1"/>
    <xf numFmtId="0" fontId="2" fillId="5" borderId="7" xfId="0" applyFont="1" applyFill="1" applyBorder="1" applyAlignment="1">
      <alignment horizontal="center"/>
    </xf>
    <xf numFmtId="0" fontId="10" fillId="6" borderId="8" xfId="0" applyFont="1" applyFill="1" applyBorder="1" applyAlignment="1">
      <alignment horizontal="center"/>
    </xf>
    <xf numFmtId="0" fontId="0" fillId="2" borderId="9" xfId="0" applyFill="1" applyBorder="1"/>
    <xf numFmtId="0" fontId="0" fillId="2" borderId="0" xfId="0" applyFill="1"/>
    <xf numFmtId="0" fontId="0" fillId="2" borderId="10" xfId="0" applyFill="1" applyBorder="1"/>
    <xf numFmtId="0" fontId="3" fillId="0" borderId="15" xfId="0" applyFont="1" applyBorder="1" applyAlignment="1">
      <alignment vertical="top"/>
    </xf>
    <xf numFmtId="0" fontId="11" fillId="4" borderId="15" xfId="0" applyFont="1" applyFill="1" applyBorder="1" applyAlignment="1">
      <alignment vertical="top"/>
    </xf>
    <xf numFmtId="0" fontId="11" fillId="4" borderId="15" xfId="0" applyFont="1" applyFill="1" applyBorder="1" applyAlignment="1">
      <alignment horizontal="center" vertical="top"/>
    </xf>
    <xf numFmtId="0" fontId="3" fillId="0" borderId="14" xfId="0" applyFont="1" applyBorder="1" applyAlignment="1">
      <alignment vertical="center"/>
    </xf>
    <xf numFmtId="0" fontId="3" fillId="13" borderId="15" xfId="0" applyFont="1" applyFill="1" applyBorder="1" applyAlignment="1">
      <alignment vertical="top"/>
    </xf>
    <xf numFmtId="0" fontId="3" fillId="13" borderId="14" xfId="0" applyFont="1" applyFill="1" applyBorder="1" applyAlignment="1">
      <alignment vertical="center"/>
    </xf>
    <xf numFmtId="0" fontId="3" fillId="0" borderId="15" xfId="0" applyFont="1" applyBorder="1" applyAlignment="1">
      <alignment vertical="center"/>
    </xf>
    <xf numFmtId="0" fontId="3" fillId="13" borderId="15" xfId="0" applyFont="1" applyFill="1" applyBorder="1" applyAlignment="1">
      <alignment vertical="center"/>
    </xf>
    <xf numFmtId="0" fontId="11" fillId="0" borderId="15" xfId="0" applyFont="1" applyBorder="1" applyAlignment="1">
      <alignment vertical="top"/>
    </xf>
    <xf numFmtId="0" fontId="6" fillId="4" borderId="12" xfId="0" applyFont="1" applyFill="1" applyBorder="1" applyAlignment="1">
      <alignment vertical="top"/>
    </xf>
    <xf numFmtId="164" fontId="3" fillId="4" borderId="13" xfId="0" applyNumberFormat="1" applyFont="1" applyFill="1" applyBorder="1" applyAlignment="1">
      <alignment horizontal="right" vertical="top" indent="1"/>
    </xf>
    <xf numFmtId="0" fontId="6" fillId="3" borderId="12" xfId="0" applyFont="1" applyFill="1" applyBorder="1" applyAlignment="1">
      <alignment vertical="top"/>
    </xf>
    <xf numFmtId="164" fontId="3" fillId="3" borderId="13" xfId="0" applyNumberFormat="1" applyFont="1" applyFill="1" applyBorder="1" applyAlignment="1">
      <alignment horizontal="right" vertical="top" indent="1"/>
    </xf>
    <xf numFmtId="0" fontId="3" fillId="3" borderId="15" xfId="0" applyFont="1" applyFill="1" applyBorder="1" applyAlignment="1">
      <alignment vertical="top"/>
    </xf>
    <xf numFmtId="0" fontId="3" fillId="3" borderId="15" xfId="0" applyFont="1" applyFill="1" applyBorder="1" applyAlignment="1">
      <alignment horizontal="center" vertical="top"/>
    </xf>
    <xf numFmtId="0" fontId="3" fillId="3" borderId="14" xfId="0" applyFont="1" applyFill="1" applyBorder="1" applyAlignment="1">
      <alignment vertical="center"/>
    </xf>
    <xf numFmtId="0" fontId="3" fillId="3" borderId="15" xfId="0" applyFont="1" applyFill="1" applyBorder="1" applyAlignment="1">
      <alignment vertical="center"/>
    </xf>
    <xf numFmtId="0" fontId="0" fillId="0" borderId="2" xfId="0" applyBorder="1"/>
    <xf numFmtId="0" fontId="6" fillId="4" borderId="0" xfId="0" applyFont="1" applyFill="1" applyAlignment="1">
      <alignment vertical="center"/>
    </xf>
    <xf numFmtId="1" fontId="6" fillId="4" borderId="0" xfId="0" applyNumberFormat="1" applyFont="1" applyFill="1" applyAlignment="1">
      <alignment vertical="center"/>
    </xf>
    <xf numFmtId="0" fontId="0" fillId="0" borderId="0" xfId="0" applyAlignment="1">
      <alignment horizontal="center"/>
    </xf>
    <xf numFmtId="0" fontId="0" fillId="0" borderId="39" xfId="0" applyBorder="1"/>
    <xf numFmtId="0" fontId="0" fillId="0" borderId="38" xfId="0" applyBorder="1"/>
    <xf numFmtId="0" fontId="1" fillId="0" borderId="0" xfId="0" applyFont="1" applyAlignment="1">
      <alignment horizontal="left" indent="2"/>
    </xf>
    <xf numFmtId="0" fontId="0" fillId="0" borderId="50" xfId="0" applyBorder="1"/>
    <xf numFmtId="0" fontId="0" fillId="0" borderId="55" xfId="0" applyBorder="1"/>
    <xf numFmtId="0" fontId="9" fillId="21" borderId="20" xfId="0" applyFont="1" applyFill="1" applyBorder="1" applyAlignment="1">
      <alignment vertical="center"/>
    </xf>
    <xf numFmtId="0" fontId="9" fillId="21" borderId="21" xfId="0" applyFont="1" applyFill="1"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24" fillId="0" borderId="0" xfId="0" applyFont="1" applyAlignment="1">
      <alignment vertical="center"/>
    </xf>
    <xf numFmtId="0" fontId="10" fillId="11" borderId="61" xfId="0" applyFont="1" applyFill="1" applyBorder="1" applyAlignment="1">
      <alignment horizontal="center" vertical="center" wrapText="1"/>
    </xf>
    <xf numFmtId="0" fontId="9" fillId="11" borderId="62" xfId="0" applyFont="1" applyFill="1" applyBorder="1" applyAlignment="1">
      <alignment horizontal="center" vertical="center" wrapText="1"/>
    </xf>
    <xf numFmtId="0" fontId="3" fillId="0" borderId="0" xfId="0" applyFont="1"/>
    <xf numFmtId="0" fontId="25" fillId="0" borderId="0" xfId="0" applyFont="1"/>
    <xf numFmtId="166" fontId="9" fillId="11" borderId="63" xfId="0" applyNumberFormat="1" applyFont="1" applyFill="1" applyBorder="1" applyAlignment="1">
      <alignment horizontal="center" vertical="center" wrapText="1"/>
    </xf>
    <xf numFmtId="166" fontId="9" fillId="10" borderId="63" xfId="0" applyNumberFormat="1" applyFont="1" applyFill="1" applyBorder="1" applyAlignment="1">
      <alignment horizontal="center" vertical="center" wrapText="1"/>
    </xf>
    <xf numFmtId="0" fontId="3" fillId="17" borderId="0" xfId="0" applyFont="1" applyFill="1" applyAlignment="1">
      <alignment vertical="top"/>
    </xf>
    <xf numFmtId="166" fontId="9" fillId="10" borderId="64" xfId="0" applyNumberFormat="1" applyFont="1" applyFill="1" applyBorder="1" applyAlignment="1">
      <alignment horizontal="center" vertical="center" wrapText="1"/>
    </xf>
    <xf numFmtId="166" fontId="9" fillId="10" borderId="65" xfId="0" applyNumberFormat="1" applyFont="1" applyFill="1" applyBorder="1" applyAlignment="1">
      <alignment horizontal="center" vertical="center" wrapText="1"/>
    </xf>
    <xf numFmtId="0" fontId="3" fillId="17" borderId="0" xfId="0" applyFont="1" applyFill="1"/>
    <xf numFmtId="0" fontId="3" fillId="0" borderId="0" xfId="0" quotePrefix="1" applyFont="1"/>
    <xf numFmtId="0" fontId="0" fillId="0" borderId="0" xfId="0" applyAlignment="1">
      <alignment horizontal="right" indent="1"/>
    </xf>
    <xf numFmtId="49" fontId="3" fillId="23" borderId="27" xfId="0" applyNumberFormat="1" applyFont="1" applyFill="1" applyBorder="1" applyAlignment="1">
      <alignment horizontal="center"/>
    </xf>
    <xf numFmtId="49" fontId="0" fillId="16" borderId="66" xfId="0" applyNumberFormat="1" applyFill="1" applyBorder="1" applyAlignment="1">
      <alignment horizontal="center"/>
    </xf>
    <xf numFmtId="14" fontId="9" fillId="11" borderId="22" xfId="0" applyNumberFormat="1" applyFont="1" applyFill="1" applyBorder="1" applyAlignment="1">
      <alignment vertical="center"/>
    </xf>
    <xf numFmtId="49" fontId="3" fillId="23" borderId="34" xfId="0" applyNumberFormat="1" applyFont="1" applyFill="1" applyBorder="1" applyAlignment="1">
      <alignment horizontal="center"/>
    </xf>
    <xf numFmtId="49" fontId="0" fillId="16" borderId="67" xfId="0" applyNumberFormat="1" applyFill="1" applyBorder="1" applyAlignment="1">
      <alignment horizontal="center"/>
    </xf>
    <xf numFmtId="0" fontId="9" fillId="10" borderId="61" xfId="0" applyFont="1" applyFill="1" applyBorder="1" applyAlignment="1">
      <alignment horizontal="center" vertical="center" wrapText="1"/>
    </xf>
    <xf numFmtId="0" fontId="0" fillId="0" borderId="6" xfId="0" applyBorder="1" applyAlignment="1">
      <alignment vertical="center"/>
    </xf>
    <xf numFmtId="49" fontId="3" fillId="23" borderId="42" xfId="0" applyNumberFormat="1" applyFont="1" applyFill="1" applyBorder="1" applyAlignment="1">
      <alignment horizontal="center"/>
    </xf>
    <xf numFmtId="49" fontId="0" fillId="16" borderId="68" xfId="0" applyNumberFormat="1" applyFill="1" applyBorder="1" applyAlignment="1">
      <alignment horizontal="center"/>
    </xf>
    <xf numFmtId="0" fontId="6" fillId="4" borderId="0" xfId="0" applyFont="1" applyFill="1" applyProtection="1">
      <protection locked="0"/>
    </xf>
    <xf numFmtId="0" fontId="0" fillId="0" borderId="0" xfId="0" quotePrefix="1"/>
    <xf numFmtId="0" fontId="33" fillId="5" borderId="0" xfId="0" applyFont="1" applyFill="1" applyAlignment="1">
      <alignment vertical="top"/>
    </xf>
    <xf numFmtId="0" fontId="33" fillId="5" borderId="10" xfId="0" applyFont="1" applyFill="1" applyBorder="1" applyAlignment="1">
      <alignment vertical="top"/>
    </xf>
    <xf numFmtId="0" fontId="3" fillId="5" borderId="34" xfId="0" applyFont="1" applyFill="1" applyBorder="1" applyAlignment="1">
      <alignment vertical="top"/>
    </xf>
    <xf numFmtId="0" fontId="3" fillId="5" borderId="38" xfId="0" applyFont="1" applyFill="1" applyBorder="1" applyAlignment="1">
      <alignment horizontal="center" vertical="top"/>
    </xf>
    <xf numFmtId="0" fontId="33" fillId="5" borderId="75" xfId="0" quotePrefix="1" applyFont="1" applyFill="1" applyBorder="1" applyAlignment="1">
      <alignment vertical="top"/>
    </xf>
    <xf numFmtId="0" fontId="33" fillId="5" borderId="70" xfId="0" applyFont="1" applyFill="1" applyBorder="1" applyAlignment="1">
      <alignment vertical="top"/>
    </xf>
    <xf numFmtId="0" fontId="9" fillId="5" borderId="38" xfId="0" applyFont="1" applyFill="1" applyBorder="1" applyAlignment="1">
      <alignment horizontal="center" vertical="top"/>
    </xf>
    <xf numFmtId="0" fontId="3" fillId="5" borderId="38" xfId="0" quotePrefix="1" applyFont="1" applyFill="1" applyBorder="1" applyAlignment="1">
      <alignment horizontal="center" vertical="top"/>
    </xf>
    <xf numFmtId="0" fontId="3" fillId="5" borderId="50" xfId="0" applyFont="1" applyFill="1" applyBorder="1" applyAlignment="1">
      <alignment horizontal="center" vertical="top"/>
    </xf>
    <xf numFmtId="0" fontId="33" fillId="5" borderId="18" xfId="0" quotePrefix="1" applyFont="1" applyFill="1" applyBorder="1" applyAlignment="1">
      <alignment vertical="top"/>
    </xf>
    <xf numFmtId="0" fontId="33" fillId="5" borderId="77" xfId="0" applyFont="1" applyFill="1" applyBorder="1" applyAlignment="1">
      <alignment vertical="top"/>
    </xf>
    <xf numFmtId="0" fontId="33" fillId="5" borderId="71" xfId="0" applyFont="1" applyFill="1" applyBorder="1" applyAlignment="1">
      <alignment vertical="top"/>
    </xf>
    <xf numFmtId="0" fontId="33" fillId="5" borderId="72" xfId="0" applyFont="1" applyFill="1" applyBorder="1" applyAlignment="1">
      <alignment vertical="top"/>
    </xf>
    <xf numFmtId="0" fontId="33" fillId="5" borderId="83" xfId="0" quotePrefix="1" applyFont="1" applyFill="1" applyBorder="1" applyAlignment="1">
      <alignment vertical="top"/>
    </xf>
    <xf numFmtId="0" fontId="33" fillId="5" borderId="84" xfId="0" applyFont="1" applyFill="1" applyBorder="1" applyAlignment="1">
      <alignment vertical="top"/>
    </xf>
    <xf numFmtId="0" fontId="3" fillId="5" borderId="59" xfId="0" applyFont="1" applyFill="1" applyBorder="1" applyAlignment="1">
      <alignment horizontal="left" vertical="top" indent="2"/>
    </xf>
    <xf numFmtId="0" fontId="3" fillId="5" borderId="30" xfId="0" applyFont="1" applyFill="1" applyBorder="1" applyAlignment="1">
      <alignment horizontal="center" vertical="top"/>
    </xf>
    <xf numFmtId="0" fontId="3" fillId="5" borderId="34" xfId="0" applyFont="1" applyFill="1" applyBorder="1" applyAlignment="1">
      <alignment horizontal="left" vertical="top" indent="2"/>
    </xf>
    <xf numFmtId="0" fontId="6" fillId="5" borderId="71" xfId="0" applyFont="1" applyFill="1" applyBorder="1" applyAlignment="1">
      <alignment vertical="top"/>
    </xf>
    <xf numFmtId="0" fontId="6" fillId="5" borderId="72" xfId="0" applyFont="1" applyFill="1" applyBorder="1" applyAlignment="1">
      <alignment vertical="top"/>
    </xf>
    <xf numFmtId="0" fontId="6" fillId="5" borderId="0" xfId="0" applyFont="1" applyFill="1" applyAlignment="1">
      <alignment vertical="top"/>
    </xf>
    <xf numFmtId="0" fontId="6" fillId="5" borderId="10" xfId="0" applyFont="1" applyFill="1" applyBorder="1" applyAlignment="1">
      <alignment vertical="top"/>
    </xf>
    <xf numFmtId="0" fontId="3" fillId="5" borderId="88" xfId="0" quotePrefix="1" applyFont="1" applyFill="1" applyBorder="1" applyAlignment="1">
      <alignment horizontal="center" vertical="top"/>
    </xf>
    <xf numFmtId="0" fontId="33" fillId="5" borderId="89" xfId="0" quotePrefix="1" applyFont="1" applyFill="1" applyBorder="1" applyAlignment="1">
      <alignment horizontal="left" vertical="top"/>
    </xf>
    <xf numFmtId="0" fontId="3" fillId="5" borderId="80" xfId="0" quotePrefix="1" applyFont="1" applyFill="1" applyBorder="1" applyAlignment="1">
      <alignment horizontal="center" vertical="top"/>
    </xf>
    <xf numFmtId="0" fontId="33" fillId="5" borderId="89" xfId="0" quotePrefix="1" applyFont="1" applyFill="1" applyBorder="1" applyAlignment="1">
      <alignment vertical="top"/>
    </xf>
    <xf numFmtId="0" fontId="34" fillId="5" borderId="89" xfId="0" quotePrefix="1" applyFont="1" applyFill="1" applyBorder="1" applyAlignment="1">
      <alignment vertical="top"/>
    </xf>
    <xf numFmtId="0" fontId="3" fillId="5" borderId="38" xfId="0" quotePrefix="1" applyFont="1" applyFill="1" applyBorder="1" applyAlignment="1">
      <alignment horizontal="center" vertical="center"/>
    </xf>
    <xf numFmtId="0" fontId="35" fillId="5" borderId="75" xfId="0" quotePrefix="1" applyFont="1" applyFill="1" applyBorder="1" applyAlignment="1">
      <alignment vertical="top"/>
    </xf>
    <xf numFmtId="0" fontId="35" fillId="5" borderId="70" xfId="0" applyFont="1" applyFill="1" applyBorder="1" applyAlignment="1">
      <alignment vertical="top"/>
    </xf>
    <xf numFmtId="0" fontId="35" fillId="5" borderId="76" xfId="0" applyFont="1" applyFill="1" applyBorder="1" applyAlignment="1">
      <alignment vertical="top"/>
    </xf>
    <xf numFmtId="0" fontId="11" fillId="5" borderId="38" xfId="0" quotePrefix="1" applyFont="1" applyFill="1" applyBorder="1" applyAlignment="1">
      <alignment horizontal="center" vertical="center"/>
    </xf>
    <xf numFmtId="0" fontId="33" fillId="5" borderId="38" xfId="0" quotePrefix="1" applyFont="1" applyFill="1" applyBorder="1" applyAlignment="1">
      <alignment vertical="top"/>
    </xf>
    <xf numFmtId="0" fontId="33" fillId="5" borderId="38" xfId="0" applyFont="1" applyFill="1" applyBorder="1" applyAlignment="1">
      <alignment vertical="top"/>
    </xf>
    <xf numFmtId="0" fontId="33" fillId="5" borderId="67" xfId="0" applyFont="1" applyFill="1" applyBorder="1" applyAlignment="1">
      <alignment vertical="top"/>
    </xf>
    <xf numFmtId="0" fontId="3" fillId="5" borderId="91" xfId="0" applyFont="1" applyFill="1" applyBorder="1" applyAlignment="1">
      <alignment horizontal="left" vertical="top" indent="2"/>
    </xf>
    <xf numFmtId="0" fontId="3" fillId="5" borderId="92" xfId="0" applyFont="1" applyFill="1" applyBorder="1" applyAlignment="1">
      <alignment horizontal="center" vertical="top"/>
    </xf>
    <xf numFmtId="0" fontId="33" fillId="5" borderId="93" xfId="0" quotePrefix="1" applyFont="1" applyFill="1" applyBorder="1" applyAlignment="1">
      <alignment horizontal="left" vertical="top"/>
    </xf>
    <xf numFmtId="0" fontId="33" fillId="5" borderId="92" xfId="0" applyFont="1" applyFill="1" applyBorder="1" applyAlignment="1">
      <alignment vertical="top"/>
    </xf>
    <xf numFmtId="0" fontId="33" fillId="5" borderId="94" xfId="0" applyFont="1" applyFill="1" applyBorder="1" applyAlignment="1">
      <alignment vertical="top"/>
    </xf>
    <xf numFmtId="0" fontId="36" fillId="2" borderId="0" xfId="0" quotePrefix="1" applyFont="1" applyFill="1"/>
    <xf numFmtId="0" fontId="6" fillId="2" borderId="0" xfId="0" applyFont="1" applyFill="1"/>
    <xf numFmtId="0" fontId="22" fillId="28" borderId="24" xfId="0" applyFont="1" applyFill="1" applyBorder="1"/>
    <xf numFmtId="0" fontId="3" fillId="20" borderId="28" xfId="0" applyFont="1" applyFill="1" applyBorder="1" applyAlignment="1">
      <alignment vertical="top"/>
    </xf>
    <xf numFmtId="0" fontId="38" fillId="20" borderId="29" xfId="0" quotePrefix="1" applyFont="1" applyFill="1" applyBorder="1" applyAlignment="1">
      <alignment vertical="top"/>
    </xf>
    <xf numFmtId="0" fontId="23" fillId="20" borderId="29" xfId="0" quotePrefix="1" applyFont="1" applyFill="1" applyBorder="1" applyAlignment="1">
      <alignment vertical="top"/>
    </xf>
    <xf numFmtId="0" fontId="23" fillId="20" borderId="29" xfId="0" applyFont="1" applyFill="1" applyBorder="1" applyAlignment="1">
      <alignment vertical="top"/>
    </xf>
    <xf numFmtId="0" fontId="23" fillId="20" borderId="96" xfId="0" applyFont="1" applyFill="1" applyBorder="1" applyAlignment="1">
      <alignment vertical="top"/>
    </xf>
    <xf numFmtId="0" fontId="3" fillId="20" borderId="35" xfId="0" applyFont="1" applyFill="1" applyBorder="1" applyAlignment="1">
      <alignment horizontal="left" vertical="top" indent="2"/>
    </xf>
    <xf numFmtId="0" fontId="9" fillId="20" borderId="36" xfId="0" applyFont="1" applyFill="1" applyBorder="1" applyAlignment="1">
      <alignment horizontal="center" vertical="top"/>
    </xf>
    <xf numFmtId="0" fontId="9" fillId="20" borderId="36" xfId="0" quotePrefix="1" applyFont="1" applyFill="1" applyBorder="1" applyAlignment="1">
      <alignment vertical="top"/>
    </xf>
    <xf numFmtId="0" fontId="3" fillId="20" borderId="36" xfId="0" quotePrefix="1" applyFont="1" applyFill="1" applyBorder="1" applyAlignment="1">
      <alignment vertical="top"/>
    </xf>
    <xf numFmtId="0" fontId="3" fillId="20" borderId="36" xfId="0" applyFont="1" applyFill="1" applyBorder="1" applyAlignment="1">
      <alignment vertical="top"/>
    </xf>
    <xf numFmtId="0" fontId="3" fillId="20" borderId="97" xfId="0" applyFont="1" applyFill="1" applyBorder="1" applyAlignment="1">
      <alignment vertical="top"/>
    </xf>
    <xf numFmtId="0" fontId="3" fillId="20" borderId="36" xfId="0" applyFont="1" applyFill="1" applyBorder="1" applyAlignment="1">
      <alignment horizontal="center" vertical="top"/>
    </xf>
    <xf numFmtId="0" fontId="38" fillId="20" borderId="36" xfId="0" quotePrefix="1" applyFont="1" applyFill="1" applyBorder="1" applyAlignment="1">
      <alignment vertical="top"/>
    </xf>
    <xf numFmtId="0" fontId="23" fillId="20" borderId="36" xfId="0" quotePrefix="1" applyFont="1" applyFill="1" applyBorder="1" applyAlignment="1">
      <alignment vertical="top"/>
    </xf>
    <xf numFmtId="0" fontId="23" fillId="20" borderId="36" xfId="0" applyFont="1" applyFill="1" applyBorder="1" applyAlignment="1">
      <alignment vertical="top"/>
    </xf>
    <xf numFmtId="0" fontId="23" fillId="20" borderId="97" xfId="0" applyFont="1" applyFill="1" applyBorder="1" applyAlignment="1">
      <alignment vertical="top"/>
    </xf>
    <xf numFmtId="0" fontId="3" fillId="20" borderId="48" xfId="0" applyFont="1" applyFill="1" applyBorder="1" applyAlignment="1">
      <alignment horizontal="left" vertical="top" indent="2"/>
    </xf>
    <xf numFmtId="0" fontId="3" fillId="20" borderId="49" xfId="0" applyFont="1" applyFill="1" applyBorder="1" applyAlignment="1">
      <alignment horizontal="center" vertical="top"/>
    </xf>
    <xf numFmtId="0" fontId="38" fillId="20" borderId="49" xfId="0" quotePrefix="1" applyFont="1" applyFill="1" applyBorder="1" applyAlignment="1">
      <alignment vertical="top"/>
    </xf>
    <xf numFmtId="0" fontId="23" fillId="20" borderId="49" xfId="0" quotePrefix="1" applyFont="1" applyFill="1" applyBorder="1" applyAlignment="1">
      <alignment vertical="top"/>
    </xf>
    <xf numFmtId="0" fontId="23" fillId="20" borderId="49" xfId="0" applyFont="1" applyFill="1" applyBorder="1" applyAlignment="1">
      <alignment vertical="top"/>
    </xf>
    <xf numFmtId="0" fontId="23" fillId="20" borderId="98" xfId="0" applyFont="1" applyFill="1" applyBorder="1" applyAlignment="1">
      <alignment vertical="top"/>
    </xf>
    <xf numFmtId="0" fontId="33" fillId="5" borderId="88" xfId="0" quotePrefix="1" applyFont="1" applyFill="1" applyBorder="1" applyAlignment="1">
      <alignment vertical="top"/>
    </xf>
    <xf numFmtId="0" fontId="33" fillId="5" borderId="80" xfId="0" quotePrefix="1" applyFont="1" applyFill="1" applyBorder="1" applyAlignment="1">
      <alignment vertical="top"/>
    </xf>
    <xf numFmtId="0" fontId="33" fillId="5" borderId="101" xfId="0" quotePrefix="1" applyFont="1" applyFill="1" applyBorder="1" applyAlignment="1">
      <alignment horizontal="left" vertical="top"/>
    </xf>
    <xf numFmtId="0" fontId="6" fillId="5" borderId="102" xfId="0" applyFont="1" applyFill="1" applyBorder="1" applyAlignment="1">
      <alignment vertical="top"/>
    </xf>
    <xf numFmtId="0" fontId="41" fillId="5" borderId="82" xfId="0" applyFont="1" applyFill="1" applyBorder="1" applyAlignment="1">
      <alignment horizontal="left" vertical="top" indent="1"/>
    </xf>
    <xf numFmtId="0" fontId="40" fillId="5" borderId="82" xfId="0" applyFont="1" applyFill="1" applyBorder="1" applyAlignment="1">
      <alignment horizontal="left" vertical="top" indent="2"/>
    </xf>
    <xf numFmtId="0" fontId="40" fillId="5" borderId="99" xfId="0" applyFont="1" applyFill="1" applyBorder="1" applyAlignment="1">
      <alignment horizontal="left" vertical="top" indent="2"/>
    </xf>
    <xf numFmtId="0" fontId="40" fillId="5" borderId="79" xfId="0" applyFont="1" applyFill="1" applyBorder="1" applyAlignment="1">
      <alignment horizontal="left" vertical="top" indent="2"/>
    </xf>
    <xf numFmtId="0" fontId="9" fillId="5" borderId="88" xfId="0" quotePrefix="1" applyFont="1" applyFill="1" applyBorder="1" applyAlignment="1">
      <alignment horizontal="center" vertical="top"/>
    </xf>
    <xf numFmtId="0" fontId="42" fillId="5" borderId="89" xfId="0" quotePrefix="1" applyFont="1" applyFill="1" applyBorder="1" applyAlignment="1">
      <alignment horizontal="left" vertical="top"/>
    </xf>
    <xf numFmtId="0" fontId="33" fillId="5" borderId="88" xfId="0" quotePrefix="1" applyFont="1" applyFill="1" applyBorder="1" applyAlignment="1">
      <alignment horizontal="left" vertical="top"/>
    </xf>
    <xf numFmtId="0" fontId="42" fillId="5" borderId="88" xfId="0" quotePrefix="1" applyFont="1" applyFill="1" applyBorder="1" applyAlignment="1">
      <alignment horizontal="left" vertical="top" indent="3"/>
    </xf>
    <xf numFmtId="0" fontId="33" fillId="5" borderId="100" xfId="0" quotePrefix="1" applyFont="1" applyFill="1" applyBorder="1" applyAlignment="1">
      <alignment vertical="top"/>
    </xf>
    <xf numFmtId="0" fontId="33" fillId="5" borderId="50" xfId="0" quotePrefix="1" applyFont="1" applyFill="1" applyBorder="1" applyAlignment="1">
      <alignment vertical="top"/>
    </xf>
    <xf numFmtId="0" fontId="33" fillId="5" borderId="30" xfId="0" quotePrefix="1" applyFont="1" applyFill="1" applyBorder="1" applyAlignment="1">
      <alignment vertical="top"/>
    </xf>
    <xf numFmtId="0" fontId="33" fillId="5" borderId="92" xfId="0" quotePrefix="1" applyFont="1" applyFill="1" applyBorder="1" applyAlignment="1">
      <alignment vertical="top"/>
    </xf>
    <xf numFmtId="0" fontId="43" fillId="5" borderId="0" xfId="0" applyFont="1" applyFill="1" applyAlignment="1">
      <alignment vertical="top"/>
    </xf>
    <xf numFmtId="0" fontId="42" fillId="5" borderId="88" xfId="0" quotePrefix="1" applyFont="1" applyFill="1" applyBorder="1" applyAlignment="1">
      <alignment horizontal="left" vertical="top" indent="1"/>
    </xf>
    <xf numFmtId="0" fontId="0" fillId="0" borderId="6" xfId="0" applyBorder="1"/>
    <xf numFmtId="0" fontId="33" fillId="5" borderId="0" xfId="0" quotePrefix="1" applyFont="1" applyFill="1" applyAlignment="1">
      <alignment horizontal="left" vertical="top" indent="1"/>
    </xf>
    <xf numFmtId="0" fontId="0" fillId="0" borderId="0" xfId="0" applyAlignment="1">
      <alignment vertical="top"/>
    </xf>
    <xf numFmtId="0" fontId="0" fillId="0" borderId="0" xfId="0" applyAlignment="1">
      <alignment horizontal="center" vertical="top"/>
    </xf>
    <xf numFmtId="0" fontId="42" fillId="5" borderId="88" xfId="0" applyFont="1" applyFill="1" applyBorder="1" applyAlignment="1">
      <alignment horizontal="center" vertical="top" wrapText="1"/>
    </xf>
    <xf numFmtId="0" fontId="33" fillId="5" borderId="88" xfId="0" quotePrefix="1" applyFont="1" applyFill="1" applyBorder="1" applyAlignment="1">
      <alignment horizontal="left" vertical="top" indent="1"/>
    </xf>
    <xf numFmtId="0" fontId="33" fillId="5" borderId="80" xfId="0" quotePrefix="1" applyFont="1" applyFill="1" applyBorder="1" applyAlignment="1">
      <alignment horizontal="left" vertical="top" indent="1"/>
    </xf>
    <xf numFmtId="0" fontId="3" fillId="5" borderId="0" xfId="0" applyFont="1" applyFill="1" applyAlignment="1">
      <alignment horizontal="center" vertical="top" wrapText="1"/>
    </xf>
    <xf numFmtId="0" fontId="40" fillId="5" borderId="91" xfId="0" applyFont="1" applyFill="1" applyBorder="1" applyAlignment="1">
      <alignment horizontal="left" vertical="top" indent="2"/>
    </xf>
    <xf numFmtId="0" fontId="40" fillId="5" borderId="82" xfId="0" applyFont="1" applyFill="1" applyBorder="1" applyAlignment="1">
      <alignment horizontal="left" vertical="top" indent="1"/>
    </xf>
    <xf numFmtId="0" fontId="3" fillId="5" borderId="88" xfId="0" applyFont="1" applyFill="1" applyBorder="1" applyAlignment="1">
      <alignment horizontal="center" vertical="top"/>
    </xf>
    <xf numFmtId="0" fontId="41" fillId="5" borderId="103" xfId="0" applyFont="1" applyFill="1" applyBorder="1" applyAlignment="1">
      <alignment horizontal="left" vertical="top" indent="1"/>
    </xf>
    <xf numFmtId="0" fontId="6" fillId="5" borderId="104" xfId="0" applyFont="1" applyFill="1" applyBorder="1" applyAlignment="1">
      <alignment vertical="top"/>
    </xf>
    <xf numFmtId="0" fontId="6" fillId="5" borderId="105" xfId="0" applyFont="1" applyFill="1" applyBorder="1" applyAlignment="1">
      <alignment vertical="top"/>
    </xf>
    <xf numFmtId="0" fontId="3" fillId="5" borderId="92" xfId="0" quotePrefix="1" applyFont="1" applyFill="1" applyBorder="1" applyAlignment="1">
      <alignment horizontal="center" vertical="top"/>
    </xf>
    <xf numFmtId="0" fontId="33" fillId="5" borderId="92" xfId="0" quotePrefix="1" applyFont="1" applyFill="1" applyBorder="1" applyAlignment="1">
      <alignment horizontal="left" vertical="top"/>
    </xf>
    <xf numFmtId="0" fontId="6" fillId="5" borderId="6" xfId="0" applyFont="1" applyFill="1" applyBorder="1" applyAlignment="1">
      <alignment vertical="top"/>
    </xf>
    <xf numFmtId="0" fontId="6" fillId="5" borderId="7" xfId="0" applyFont="1" applyFill="1" applyBorder="1" applyAlignment="1">
      <alignment vertical="top"/>
    </xf>
    <xf numFmtId="0" fontId="33" fillId="5" borderId="6" xfId="0" quotePrefix="1" applyFont="1" applyFill="1" applyBorder="1" applyAlignment="1">
      <alignment horizontal="left" vertical="top" indent="1"/>
    </xf>
    <xf numFmtId="0" fontId="0" fillId="5" borderId="70" xfId="0" applyFill="1" applyBorder="1"/>
    <xf numFmtId="0" fontId="0" fillId="5" borderId="76" xfId="0" applyFill="1" applyBorder="1"/>
    <xf numFmtId="0" fontId="0" fillId="5" borderId="77" xfId="0" applyFill="1" applyBorder="1"/>
    <xf numFmtId="0" fontId="0" fillId="5" borderId="78" xfId="0" applyFill="1" applyBorder="1"/>
    <xf numFmtId="0" fontId="0" fillId="5" borderId="84" xfId="0" applyFill="1" applyBorder="1"/>
    <xf numFmtId="0" fontId="0" fillId="5" borderId="85" xfId="0" applyFill="1" applyBorder="1"/>
    <xf numFmtId="0" fontId="6" fillId="5" borderId="106" xfId="0" applyFont="1" applyFill="1" applyBorder="1" applyAlignment="1">
      <alignment vertical="top"/>
    </xf>
    <xf numFmtId="0" fontId="3" fillId="5" borderId="58" xfId="0" applyFont="1" applyFill="1" applyBorder="1" applyAlignment="1">
      <alignment vertical="top"/>
    </xf>
    <xf numFmtId="0" fontId="11" fillId="5" borderId="64" xfId="0" quotePrefix="1" applyFont="1" applyFill="1" applyBorder="1" applyAlignment="1">
      <alignment horizontal="center" vertical="center"/>
    </xf>
    <xf numFmtId="0" fontId="33" fillId="5" borderId="64" xfId="0" quotePrefix="1" applyFont="1" applyFill="1" applyBorder="1" applyAlignment="1">
      <alignment vertical="top"/>
    </xf>
    <xf numFmtId="0" fontId="39" fillId="5" borderId="107" xfId="0" quotePrefix="1" applyFont="1" applyFill="1" applyBorder="1" applyAlignment="1">
      <alignment vertical="top"/>
    </xf>
    <xf numFmtId="0" fontId="35" fillId="5" borderId="20" xfId="0" applyFont="1" applyFill="1" applyBorder="1" applyAlignment="1">
      <alignment vertical="top"/>
    </xf>
    <xf numFmtId="0" fontId="35" fillId="5" borderId="21" xfId="0" applyFont="1" applyFill="1" applyBorder="1" applyAlignment="1">
      <alignment vertical="top"/>
    </xf>
    <xf numFmtId="0" fontId="45" fillId="2" borderId="0" xfId="0" applyFont="1" applyFill="1"/>
    <xf numFmtId="0" fontId="5" fillId="2" borderId="0" xfId="0" applyFont="1" applyFill="1" applyAlignment="1">
      <alignment horizontal="center"/>
    </xf>
    <xf numFmtId="14" fontId="3" fillId="5" borderId="88" xfId="0" quotePrefix="1" applyNumberFormat="1" applyFont="1" applyFill="1" applyBorder="1" applyAlignment="1">
      <alignment horizontal="center" vertical="top" wrapText="1"/>
    </xf>
    <xf numFmtId="0" fontId="21" fillId="28" borderId="108" xfId="0" applyFont="1" applyFill="1" applyBorder="1"/>
    <xf numFmtId="0" fontId="22" fillId="28" borderId="109" xfId="0" applyFont="1" applyFill="1" applyBorder="1"/>
    <xf numFmtId="0" fontId="17" fillId="28" borderId="109" xfId="0" applyFont="1" applyFill="1" applyBorder="1"/>
    <xf numFmtId="0" fontId="17" fillId="28" borderId="110" xfId="0" applyFont="1" applyFill="1" applyBorder="1"/>
    <xf numFmtId="49" fontId="20" fillId="29" borderId="0" xfId="0" applyNumberFormat="1" applyFont="1" applyFill="1" applyAlignment="1">
      <alignment horizontal="right" vertical="top"/>
    </xf>
    <xf numFmtId="0" fontId="46" fillId="29" borderId="0" xfId="0" applyFont="1" applyFill="1" applyAlignment="1">
      <alignment vertical="top"/>
    </xf>
    <xf numFmtId="14" fontId="46" fillId="29" borderId="0" xfId="0" applyNumberFormat="1" applyFont="1" applyFill="1" applyAlignment="1">
      <alignment horizontal="left" vertical="top"/>
    </xf>
    <xf numFmtId="0" fontId="46" fillId="29" borderId="0" xfId="0" applyFont="1" applyFill="1" applyAlignment="1">
      <alignment horizontal="left" vertical="top"/>
    </xf>
    <xf numFmtId="0" fontId="9" fillId="11" borderId="111" xfId="0" applyFont="1" applyFill="1" applyBorder="1" applyAlignment="1">
      <alignment horizontal="center" vertical="center" wrapText="1"/>
    </xf>
    <xf numFmtId="0" fontId="33" fillId="5" borderId="30" xfId="0" applyFont="1" applyFill="1" applyBorder="1" applyAlignment="1">
      <alignment vertical="top"/>
    </xf>
    <xf numFmtId="0" fontId="33" fillId="5" borderId="112" xfId="0" applyFont="1" applyFill="1" applyBorder="1" applyAlignment="1">
      <alignment vertical="top"/>
    </xf>
    <xf numFmtId="0" fontId="3" fillId="5" borderId="113" xfId="0" applyFont="1" applyFill="1" applyBorder="1" applyAlignment="1">
      <alignment vertical="top"/>
    </xf>
    <xf numFmtId="0" fontId="33" fillId="5" borderId="114" xfId="0" quotePrefix="1" applyFont="1" applyFill="1" applyBorder="1" applyAlignment="1">
      <alignment horizontal="left" vertical="top"/>
    </xf>
    <xf numFmtId="0" fontId="6" fillId="5" borderId="115" xfId="0" applyFont="1" applyFill="1" applyBorder="1" applyAlignment="1">
      <alignment vertical="top"/>
    </xf>
    <xf numFmtId="0" fontId="6" fillId="5" borderId="116" xfId="0" applyFont="1" applyFill="1" applyBorder="1" applyAlignment="1">
      <alignment vertical="top"/>
    </xf>
    <xf numFmtId="0" fontId="6" fillId="5" borderId="117" xfId="0" applyFont="1" applyFill="1" applyBorder="1" applyAlignment="1">
      <alignment vertical="top"/>
    </xf>
    <xf numFmtId="0" fontId="3" fillId="5" borderId="118" xfId="0" applyFont="1" applyFill="1" applyBorder="1" applyAlignment="1">
      <alignment horizontal="left" vertical="top" indent="2"/>
    </xf>
    <xf numFmtId="0" fontId="3" fillId="5" borderId="119" xfId="0" applyFont="1" applyFill="1" applyBorder="1" applyAlignment="1">
      <alignment horizontal="center" vertical="top"/>
    </xf>
    <xf numFmtId="0" fontId="33" fillId="5" borderId="119" xfId="0" quotePrefix="1" applyFont="1" applyFill="1" applyBorder="1" applyAlignment="1">
      <alignment vertical="top"/>
    </xf>
    <xf numFmtId="0" fontId="33" fillId="5" borderId="119" xfId="0" applyFont="1" applyFill="1" applyBorder="1" applyAlignment="1">
      <alignment vertical="top"/>
    </xf>
    <xf numFmtId="0" fontId="33" fillId="5" borderId="120" xfId="0" applyFont="1" applyFill="1" applyBorder="1" applyAlignment="1">
      <alignment vertical="top"/>
    </xf>
    <xf numFmtId="0" fontId="3" fillId="5" borderId="114" xfId="0" applyFont="1" applyFill="1" applyBorder="1" applyAlignment="1">
      <alignment horizontal="center" vertical="top"/>
    </xf>
    <xf numFmtId="0" fontId="4" fillId="16" borderId="4" xfId="0" applyFont="1" applyFill="1" applyBorder="1" applyAlignment="1">
      <alignment horizontal="center" vertical="center" wrapText="1"/>
    </xf>
    <xf numFmtId="166" fontId="33" fillId="4" borderId="64" xfId="0" applyNumberFormat="1" applyFont="1" applyFill="1" applyBorder="1"/>
    <xf numFmtId="0" fontId="0" fillId="0" borderId="65" xfId="0" applyBorder="1"/>
    <xf numFmtId="0" fontId="3" fillId="5" borderId="123" xfId="0" applyFont="1" applyFill="1" applyBorder="1" applyAlignment="1">
      <alignment vertical="top"/>
    </xf>
    <xf numFmtId="0" fontId="3" fillId="5" borderId="124" xfId="0" quotePrefix="1" applyFont="1" applyFill="1" applyBorder="1" applyAlignment="1">
      <alignment horizontal="center" vertical="top"/>
    </xf>
    <xf numFmtId="0" fontId="33" fillId="5" borderId="124" xfId="0" quotePrefix="1" applyFont="1" applyFill="1" applyBorder="1" applyAlignment="1">
      <alignment horizontal="left" vertical="top"/>
    </xf>
    <xf numFmtId="0" fontId="6" fillId="5" borderId="69" xfId="0" applyFont="1" applyFill="1" applyBorder="1" applyAlignment="1">
      <alignment vertical="top"/>
    </xf>
    <xf numFmtId="0" fontId="6" fillId="5" borderId="126" xfId="0" applyFont="1" applyFill="1" applyBorder="1" applyAlignment="1">
      <alignment vertical="top"/>
    </xf>
    <xf numFmtId="0" fontId="8" fillId="3" borderId="0" xfId="0" applyFont="1" applyFill="1"/>
    <xf numFmtId="0" fontId="9" fillId="21" borderId="0" xfId="0" applyFont="1" applyFill="1"/>
    <xf numFmtId="0" fontId="33" fillId="5" borderId="125" xfId="0" quotePrefix="1" applyFont="1" applyFill="1" applyBorder="1" applyAlignment="1">
      <alignment vertical="top"/>
    </xf>
    <xf numFmtId="0" fontId="3" fillId="20" borderId="127" xfId="0" applyFont="1" applyFill="1" applyBorder="1" applyAlignment="1">
      <alignment horizontal="left" vertical="top" indent="2"/>
    </xf>
    <xf numFmtId="0" fontId="3" fillId="20" borderId="128" xfId="0" applyFont="1" applyFill="1" applyBorder="1" applyAlignment="1">
      <alignment horizontal="center" vertical="top"/>
    </xf>
    <xf numFmtId="0" fontId="38" fillId="20" borderId="128" xfId="0" quotePrefix="1" applyFont="1" applyFill="1" applyBorder="1" applyAlignment="1">
      <alignment vertical="top"/>
    </xf>
    <xf numFmtId="0" fontId="23" fillId="20" borderId="128" xfId="0" quotePrefix="1" applyFont="1" applyFill="1" applyBorder="1" applyAlignment="1">
      <alignment vertical="top"/>
    </xf>
    <xf numFmtId="0" fontId="23" fillId="20" borderId="128" xfId="0" applyFont="1" applyFill="1" applyBorder="1" applyAlignment="1">
      <alignment vertical="top"/>
    </xf>
    <xf numFmtId="0" fontId="23" fillId="20" borderId="129" xfId="0" applyFont="1" applyFill="1" applyBorder="1" applyAlignment="1">
      <alignment vertical="top"/>
    </xf>
    <xf numFmtId="0" fontId="0" fillId="0" borderId="10" xfId="0" applyBorder="1"/>
    <xf numFmtId="0" fontId="20" fillId="5" borderId="88" xfId="0" quotePrefix="1" applyFont="1" applyFill="1" applyBorder="1" applyAlignment="1">
      <alignment horizontal="center" vertical="top"/>
    </xf>
    <xf numFmtId="0" fontId="20" fillId="5" borderId="100" xfId="0" quotePrefix="1" applyFont="1" applyFill="1" applyBorder="1" applyAlignment="1">
      <alignment horizontal="center" vertical="top"/>
    </xf>
    <xf numFmtId="0" fontId="9" fillId="5" borderId="9" xfId="0" applyFont="1" applyFill="1" applyBorder="1" applyAlignment="1">
      <alignment horizontal="center"/>
    </xf>
    <xf numFmtId="0" fontId="9" fillId="5" borderId="0" xfId="0" applyFont="1" applyFill="1" applyAlignment="1">
      <alignment horizontal="center"/>
    </xf>
    <xf numFmtId="0" fontId="2" fillId="5" borderId="10" xfId="0" applyFont="1" applyFill="1" applyBorder="1" applyAlignment="1">
      <alignment horizontal="center"/>
    </xf>
    <xf numFmtId="0" fontId="2" fillId="2" borderId="9" xfId="0" applyFont="1" applyFill="1" applyBorder="1" applyAlignment="1">
      <alignment horizontal="center"/>
    </xf>
    <xf numFmtId="0" fontId="2" fillId="2" borderId="0" xfId="0" applyFont="1" applyFill="1" applyAlignment="1">
      <alignment horizontal="center"/>
    </xf>
    <xf numFmtId="0" fontId="2" fillId="2" borderId="10" xfId="0" applyFont="1" applyFill="1" applyBorder="1" applyAlignment="1">
      <alignment horizontal="center"/>
    </xf>
    <xf numFmtId="0" fontId="33" fillId="5" borderId="89" xfId="0" quotePrefix="1" applyFont="1" applyFill="1" applyBorder="1" applyAlignment="1">
      <alignment horizontal="center" vertical="center"/>
    </xf>
    <xf numFmtId="0" fontId="40" fillId="5" borderId="82" xfId="0" applyFont="1" applyFill="1" applyBorder="1" applyAlignment="1">
      <alignment horizontal="left" vertical="top" indent="4"/>
    </xf>
    <xf numFmtId="0" fontId="41" fillId="5" borderId="82" xfId="0" applyFont="1" applyFill="1" applyBorder="1" applyAlignment="1">
      <alignment horizontal="left"/>
    </xf>
    <xf numFmtId="0" fontId="25" fillId="5" borderId="88" xfId="0" quotePrefix="1" applyFont="1" applyFill="1" applyBorder="1" applyAlignment="1">
      <alignment horizontal="left"/>
    </xf>
    <xf numFmtId="0" fontId="33" fillId="5" borderId="88" xfId="0" quotePrefix="1" applyFont="1" applyFill="1" applyBorder="1"/>
    <xf numFmtId="0" fontId="33" fillId="5" borderId="89" xfId="0" quotePrefix="1" applyFont="1" applyFill="1" applyBorder="1" applyAlignment="1">
      <alignment horizontal="left"/>
    </xf>
    <xf numFmtId="0" fontId="6" fillId="5" borderId="0" xfId="0" applyFont="1" applyFill="1"/>
    <xf numFmtId="0" fontId="6" fillId="5" borderId="10" xfId="0" applyFont="1" applyFill="1" applyBorder="1"/>
    <xf numFmtId="0" fontId="41" fillId="5" borderId="82" xfId="0" applyFont="1" applyFill="1" applyBorder="1" applyAlignment="1">
      <alignment horizontal="left" vertical="top" indent="2"/>
    </xf>
    <xf numFmtId="0" fontId="33" fillId="5" borderId="81" xfId="0" quotePrefix="1" applyFont="1" applyFill="1" applyBorder="1" applyAlignment="1">
      <alignment horizontal="left" vertical="top"/>
    </xf>
    <xf numFmtId="0" fontId="39" fillId="5" borderId="75" xfId="0" quotePrefix="1" applyFont="1" applyFill="1" applyBorder="1" applyAlignment="1">
      <alignment horizontal="left" vertical="top" indent="4"/>
    </xf>
    <xf numFmtId="0" fontId="37" fillId="5" borderId="75" xfId="0" applyFont="1" applyFill="1" applyBorder="1" applyAlignment="1">
      <alignment horizontal="left" vertical="top" indent="3"/>
    </xf>
    <xf numFmtId="0" fontId="47" fillId="5" borderId="89" xfId="0" quotePrefix="1" applyFont="1" applyFill="1" applyBorder="1" applyAlignment="1">
      <alignment horizontal="left" vertical="top" indent="2"/>
    </xf>
    <xf numFmtId="0" fontId="33" fillId="5" borderId="87" xfId="0" quotePrefix="1" applyFont="1" applyFill="1" applyBorder="1" applyAlignment="1">
      <alignment horizontal="left" vertical="top"/>
    </xf>
    <xf numFmtId="0" fontId="9" fillId="5" borderId="80" xfId="0" quotePrefix="1" applyFont="1" applyFill="1" applyBorder="1" applyAlignment="1">
      <alignment horizontal="center" wrapText="1"/>
    </xf>
    <xf numFmtId="0" fontId="9" fillId="5" borderId="30" xfId="0" quotePrefix="1" applyFont="1" applyFill="1" applyBorder="1" applyAlignment="1">
      <alignment horizontal="center" wrapText="1"/>
    </xf>
    <xf numFmtId="0" fontId="37" fillId="5" borderId="89" xfId="0" applyFont="1" applyFill="1" applyBorder="1" applyAlignment="1">
      <alignment horizontal="left" vertical="top" indent="3"/>
    </xf>
    <xf numFmtId="0" fontId="9" fillId="0" borderId="0" xfId="0" applyFont="1"/>
    <xf numFmtId="0" fontId="1" fillId="0" borderId="0" xfId="0" applyFont="1"/>
    <xf numFmtId="0" fontId="0" fillId="0" borderId="0" xfId="0" applyAlignment="1">
      <alignment vertical="top" wrapText="1"/>
    </xf>
    <xf numFmtId="0" fontId="3" fillId="0" borderId="0" xfId="0" applyFont="1" applyAlignment="1">
      <alignment horizontal="left"/>
    </xf>
    <xf numFmtId="0" fontId="6" fillId="31" borderId="1" xfId="0" applyFont="1" applyFill="1" applyBorder="1" applyAlignment="1">
      <alignment vertical="top"/>
    </xf>
    <xf numFmtId="0" fontId="3" fillId="32" borderId="11" xfId="0" applyFont="1" applyFill="1" applyBorder="1" applyAlignment="1">
      <alignment vertical="top"/>
    </xf>
    <xf numFmtId="0" fontId="6" fillId="31" borderId="14" xfId="0" applyFont="1" applyFill="1" applyBorder="1" applyAlignment="1">
      <alignment vertical="top"/>
    </xf>
    <xf numFmtId="0" fontId="3" fillId="32" borderId="15" xfId="0" applyFont="1" applyFill="1" applyBorder="1" applyAlignment="1">
      <alignment vertical="top"/>
    </xf>
    <xf numFmtId="0" fontId="6" fillId="11" borderId="14" xfId="0" applyFont="1" applyFill="1" applyBorder="1" applyAlignment="1">
      <alignment vertical="top"/>
    </xf>
    <xf numFmtId="0" fontId="3" fillId="33" borderId="15" xfId="0" applyFont="1" applyFill="1" applyBorder="1" applyAlignment="1">
      <alignment vertical="top"/>
    </xf>
    <xf numFmtId="0" fontId="3" fillId="11" borderId="15" xfId="0" applyFont="1" applyFill="1" applyBorder="1" applyAlignment="1">
      <alignment vertical="top"/>
    </xf>
    <xf numFmtId="0" fontId="3" fillId="31" borderId="15" xfId="0" applyFont="1" applyFill="1" applyBorder="1" applyAlignment="1">
      <alignment vertical="top"/>
    </xf>
    <xf numFmtId="0" fontId="6" fillId="31" borderId="17" xfId="0" applyFont="1" applyFill="1" applyBorder="1" applyAlignment="1">
      <alignment vertical="top"/>
    </xf>
    <xf numFmtId="0" fontId="3" fillId="31" borderId="18" xfId="0" applyFont="1" applyFill="1" applyBorder="1" applyAlignment="1">
      <alignment vertical="top"/>
    </xf>
    <xf numFmtId="0" fontId="2" fillId="2" borderId="5" xfId="0" applyFont="1" applyFill="1" applyBorder="1" applyAlignment="1">
      <alignment horizontal="center" vertical="top"/>
    </xf>
    <xf numFmtId="0" fontId="2" fillId="2" borderId="6" xfId="0" applyFont="1" applyFill="1" applyBorder="1" applyAlignment="1">
      <alignment horizontal="center" vertical="top"/>
    </xf>
    <xf numFmtId="0" fontId="33" fillId="5" borderId="89" xfId="0" quotePrefix="1" applyFont="1" applyFill="1" applyBorder="1" applyAlignment="1">
      <alignment horizontal="center" vertical="top"/>
    </xf>
    <xf numFmtId="0" fontId="0" fillId="0" borderId="0" xfId="0" quotePrefix="1" applyAlignment="1">
      <alignment horizontal="center" vertical="top"/>
    </xf>
    <xf numFmtId="0" fontId="33" fillId="5" borderId="93" xfId="0" quotePrefix="1" applyFont="1" applyFill="1" applyBorder="1" applyAlignment="1">
      <alignment horizontal="center" vertical="top"/>
    </xf>
    <xf numFmtId="0" fontId="12" fillId="0" borderId="14" xfId="0" applyFont="1" applyBorder="1"/>
    <xf numFmtId="0" fontId="3" fillId="0" borderId="15" xfId="0" applyFont="1" applyBorder="1"/>
    <xf numFmtId="0" fontId="12" fillId="13" borderId="14" xfId="0" applyFont="1" applyFill="1" applyBorder="1"/>
    <xf numFmtId="0" fontId="3" fillId="13" borderId="15" xfId="0" applyFont="1" applyFill="1" applyBorder="1"/>
    <xf numFmtId="0" fontId="12" fillId="13" borderId="15" xfId="0" applyFont="1" applyFill="1" applyBorder="1"/>
    <xf numFmtId="0" fontId="12" fillId="0" borderId="15" xfId="0" applyFont="1" applyBorder="1"/>
    <xf numFmtId="0" fontId="28" fillId="36" borderId="0" xfId="4">
      <alignment vertical="center"/>
    </xf>
    <xf numFmtId="0" fontId="29" fillId="19" borderId="19" xfId="5">
      <alignment vertical="center"/>
    </xf>
    <xf numFmtId="0" fontId="52" fillId="93" borderId="0" xfId="6" applyBorder="1">
      <alignment vertical="center"/>
    </xf>
    <xf numFmtId="0" fontId="9" fillId="28" borderId="0" xfId="7" applyBorder="1">
      <alignment vertical="center"/>
    </xf>
    <xf numFmtId="0" fontId="53" fillId="37" borderId="0" xfId="8" applyBorder="1">
      <alignment vertical="center"/>
    </xf>
    <xf numFmtId="0" fontId="53" fillId="38" borderId="0" xfId="9" applyBorder="1">
      <alignment horizontal="left" vertical="center"/>
    </xf>
    <xf numFmtId="167" fontId="16" fillId="26" borderId="0" xfId="10" applyBorder="1">
      <alignment horizontal="right"/>
      <protection locked="0"/>
    </xf>
    <xf numFmtId="49" fontId="20" fillId="11" borderId="121" xfId="1" applyBorder="1" applyAlignment="1">
      <alignment vertical="center" wrapText="1"/>
    </xf>
    <xf numFmtId="0" fontId="10" fillId="71" borderId="142" xfId="53" applyBorder="1">
      <alignment horizontal="right" vertical="center" wrapText="1" indent="1"/>
    </xf>
    <xf numFmtId="0" fontId="115" fillId="72" borderId="142" xfId="54" applyBorder="1">
      <alignment horizontal="right" vertical="center" wrapText="1" indent="1"/>
    </xf>
    <xf numFmtId="0" fontId="10" fillId="31" borderId="142" xfId="55">
      <alignment horizontal="right" vertical="center" wrapText="1" indent="1"/>
    </xf>
    <xf numFmtId="0" fontId="10" fillId="5" borderId="142" xfId="56">
      <alignment horizontal="right" vertical="center" wrapText="1" indent="1"/>
    </xf>
    <xf numFmtId="168" fontId="69" fillId="70" borderId="143" xfId="57">
      <alignment horizontal="right" vertical="center"/>
      <protection locked="0"/>
    </xf>
    <xf numFmtId="49" fontId="3" fillId="30" borderId="38" xfId="58" applyAlignment="1" applyProtection="1"/>
    <xf numFmtId="0" fontId="3" fillId="0" borderId="60" xfId="59">
      <alignment horizontal="left" vertical="center" wrapText="1" indent="1"/>
    </xf>
    <xf numFmtId="49" fontId="3" fillId="25" borderId="38" xfId="11" applyAlignment="1">
      <protection locked="0"/>
    </xf>
    <xf numFmtId="10" fontId="16" fillId="26" borderId="0" xfId="61" applyBorder="1">
      <alignment horizontal="right"/>
      <protection locked="0"/>
    </xf>
    <xf numFmtId="0" fontId="0" fillId="19" borderId="0" xfId="60" applyFont="1"/>
    <xf numFmtId="49" fontId="28" fillId="19" borderId="0" xfId="62">
      <alignment vertical="center"/>
    </xf>
    <xf numFmtId="0" fontId="0" fillId="0" borderId="75" xfId="0" applyBorder="1"/>
    <xf numFmtId="0" fontId="1" fillId="2" borderId="6" xfId="0" quotePrefix="1" applyFont="1" applyFill="1" applyBorder="1" applyAlignment="1">
      <alignment horizontal="left" vertical="top"/>
    </xf>
    <xf numFmtId="0" fontId="1" fillId="2" borderId="6" xfId="0" applyFont="1" applyFill="1" applyBorder="1" applyAlignment="1">
      <alignment horizontal="left" vertical="top"/>
    </xf>
    <xf numFmtId="49" fontId="1" fillId="2" borderId="6" xfId="0" quotePrefix="1" applyNumberFormat="1" applyFont="1" applyFill="1" applyBorder="1" applyAlignment="1">
      <alignment horizontal="left" vertical="top"/>
    </xf>
    <xf numFmtId="0" fontId="1" fillId="2" borderId="7" xfId="0" applyFont="1" applyFill="1" applyBorder="1" applyAlignment="1">
      <alignment horizontal="left" vertical="top"/>
    </xf>
    <xf numFmtId="0" fontId="50" fillId="30" borderId="1" xfId="0" applyFont="1" applyFill="1" applyBorder="1" applyAlignment="1">
      <alignment horizontal="center"/>
    </xf>
    <xf numFmtId="0" fontId="50" fillId="30" borderId="11" xfId="0" applyFont="1" applyFill="1" applyBorder="1" applyAlignment="1">
      <alignment horizontal="center"/>
    </xf>
    <xf numFmtId="0" fontId="50" fillId="30" borderId="14" xfId="0" applyFont="1" applyFill="1" applyBorder="1" applyAlignment="1">
      <alignment horizontal="center"/>
    </xf>
    <xf numFmtId="0" fontId="50" fillId="30" borderId="15" xfId="0" applyFont="1" applyFill="1" applyBorder="1" applyAlignment="1">
      <alignment horizontal="center"/>
    </xf>
    <xf numFmtId="0" fontId="50" fillId="30" borderId="17" xfId="0" applyFont="1" applyFill="1" applyBorder="1" applyAlignment="1">
      <alignment horizontal="center"/>
    </xf>
    <xf numFmtId="0" fontId="50" fillId="30" borderId="18" xfId="0" applyFont="1" applyFill="1" applyBorder="1" applyAlignment="1">
      <alignment horizontal="center"/>
    </xf>
    <xf numFmtId="0" fontId="0" fillId="2" borderId="6" xfId="0" quotePrefix="1" applyFill="1" applyBorder="1" applyAlignment="1">
      <alignment horizontal="left" vertical="top"/>
    </xf>
    <xf numFmtId="0" fontId="2" fillId="0" borderId="0" xfId="0" applyFont="1"/>
    <xf numFmtId="0" fontId="1" fillId="0" borderId="0" xfId="0" quotePrefix="1" applyFont="1"/>
    <xf numFmtId="0" fontId="28" fillId="4" borderId="0" xfId="4" applyFill="1">
      <alignment vertical="center"/>
    </xf>
    <xf numFmtId="0" fontId="0" fillId="4" borderId="0" xfId="0" applyFill="1"/>
    <xf numFmtId="0" fontId="0" fillId="27" borderId="0" xfId="0" applyFill="1"/>
    <xf numFmtId="0" fontId="6" fillId="27" borderId="0" xfId="0" applyFont="1" applyFill="1"/>
    <xf numFmtId="0" fontId="74" fillId="27" borderId="0" xfId="0" applyFont="1" applyFill="1"/>
    <xf numFmtId="0" fontId="74" fillId="27" borderId="0" xfId="0" applyFont="1" applyFill="1" applyAlignment="1">
      <alignment wrapText="1"/>
    </xf>
    <xf numFmtId="0" fontId="6" fillId="27" borderId="0" xfId="0" applyFont="1" applyFill="1" applyAlignment="1">
      <alignment horizontal="left"/>
    </xf>
    <xf numFmtId="0" fontId="74" fillId="27" borderId="0" xfId="0" applyFont="1" applyFill="1" applyAlignment="1">
      <alignment horizontal="right"/>
    </xf>
    <xf numFmtId="0" fontId="70" fillId="27" borderId="0" xfId="0" applyFont="1" applyFill="1" applyAlignment="1">
      <alignment horizontal="right"/>
    </xf>
    <xf numFmtId="0" fontId="6" fillId="27" borderId="0" xfId="0" applyFont="1" applyFill="1" applyAlignment="1">
      <alignment vertical="center"/>
    </xf>
    <xf numFmtId="0" fontId="51" fillId="27" borderId="0" xfId="0" applyFont="1" applyFill="1" applyAlignment="1">
      <alignment vertical="center"/>
    </xf>
    <xf numFmtId="0" fontId="77" fillId="0" borderId="0" xfId="0" applyFont="1" applyAlignment="1">
      <alignment vertical="center"/>
    </xf>
    <xf numFmtId="0" fontId="78" fillId="27" borderId="0" xfId="0" applyFont="1" applyFill="1"/>
    <xf numFmtId="0" fontId="72" fillId="4" borderId="0" xfId="4" applyFont="1" applyFill="1" applyAlignment="1">
      <alignment horizontal="justify" vertical="center" wrapText="1"/>
    </xf>
    <xf numFmtId="0" fontId="6" fillId="27" borderId="0" xfId="0" applyFont="1" applyFill="1" applyAlignment="1">
      <alignment vertical="top"/>
    </xf>
    <xf numFmtId="0" fontId="78" fillId="27" borderId="0" xfId="0" applyFont="1" applyFill="1" applyAlignment="1">
      <alignment vertical="top"/>
    </xf>
    <xf numFmtId="0" fontId="29" fillId="27" borderId="0" xfId="0" applyFont="1" applyFill="1" applyAlignment="1">
      <alignment vertical="top"/>
    </xf>
    <xf numFmtId="0" fontId="76" fillId="27" borderId="0" xfId="0" applyFont="1" applyFill="1" applyAlignment="1">
      <alignment vertical="top" wrapText="1"/>
    </xf>
    <xf numFmtId="0" fontId="75" fillId="27" borderId="0" xfId="0" applyFont="1" applyFill="1" applyAlignment="1">
      <alignment vertical="top"/>
    </xf>
    <xf numFmtId="0" fontId="75" fillId="27" borderId="0" xfId="0" applyFont="1" applyFill="1"/>
    <xf numFmtId="0" fontId="6" fillId="4" borderId="0" xfId="0" applyFont="1" applyFill="1" applyAlignment="1">
      <alignment vertical="top"/>
    </xf>
    <xf numFmtId="0" fontId="78" fillId="4" borderId="0" xfId="0" applyFont="1" applyFill="1" applyAlignment="1">
      <alignment vertical="top"/>
    </xf>
    <xf numFmtId="0" fontId="75" fillId="27" borderId="0" xfId="0" applyFont="1" applyFill="1" applyAlignment="1">
      <alignment horizontal="center" vertical="top"/>
    </xf>
    <xf numFmtId="0" fontId="76" fillId="27" borderId="0" xfId="0" applyFont="1" applyFill="1" applyAlignment="1">
      <alignment horizontal="left"/>
    </xf>
    <xf numFmtId="0" fontId="75" fillId="4" borderId="0" xfId="0" applyFont="1" applyFill="1"/>
    <xf numFmtId="0" fontId="51" fillId="4" borderId="0" xfId="0" applyFont="1" applyFill="1" applyAlignment="1">
      <alignment vertical="center"/>
    </xf>
    <xf numFmtId="0" fontId="75" fillId="4" borderId="0" xfId="0" applyFont="1" applyFill="1" applyAlignment="1">
      <alignment vertical="top"/>
    </xf>
    <xf numFmtId="49" fontId="79" fillId="4" borderId="0" xfId="62" applyFont="1" applyFill="1">
      <alignment vertical="center"/>
    </xf>
    <xf numFmtId="0" fontId="28" fillId="16" borderId="0" xfId="4" applyFill="1">
      <alignment vertical="center"/>
    </xf>
    <xf numFmtId="0" fontId="71" fillId="16" borderId="0" xfId="4" applyFont="1" applyFill="1">
      <alignment vertical="center"/>
    </xf>
    <xf numFmtId="0" fontId="39" fillId="27" borderId="0" xfId="0" applyFont="1" applyFill="1" applyAlignment="1">
      <alignment vertical="top"/>
    </xf>
    <xf numFmtId="0" fontId="81" fillId="27" borderId="0" xfId="0" applyFont="1" applyFill="1" applyAlignment="1">
      <alignment vertical="top"/>
    </xf>
    <xf numFmtId="0" fontId="75" fillId="27" borderId="0" xfId="0" applyFont="1" applyFill="1" applyAlignment="1">
      <alignment horizontal="centerContinuous" vertical="top"/>
    </xf>
    <xf numFmtId="0" fontId="4" fillId="27" borderId="0" xfId="0" applyFont="1" applyFill="1" applyAlignment="1">
      <alignment horizontal="center" vertical="top"/>
    </xf>
    <xf numFmtId="0" fontId="74" fillId="27" borderId="0" xfId="0" applyFont="1" applyFill="1" applyAlignment="1">
      <alignment vertical="top"/>
    </xf>
    <xf numFmtId="0" fontId="15" fillId="27" borderId="0" xfId="0" applyFont="1" applyFill="1" applyAlignment="1">
      <alignment vertical="top"/>
    </xf>
    <xf numFmtId="0" fontId="3" fillId="25" borderId="64" xfId="0" applyFont="1" applyFill="1" applyBorder="1" applyAlignment="1" applyProtection="1">
      <alignment horizontal="center"/>
      <protection locked="0"/>
    </xf>
    <xf numFmtId="0" fontId="6" fillId="5" borderId="64" xfId="0" applyFont="1" applyFill="1" applyBorder="1"/>
    <xf numFmtId="0" fontId="82" fillId="27" borderId="0" xfId="0" applyFont="1" applyFill="1" applyAlignment="1">
      <alignment horizontal="center" vertical="top"/>
    </xf>
    <xf numFmtId="0" fontId="83" fillId="27" borderId="0" xfId="0" applyFont="1" applyFill="1" applyAlignment="1">
      <alignment horizontal="center" vertical="top"/>
    </xf>
    <xf numFmtId="0" fontId="82" fillId="27" borderId="0" xfId="0" applyFont="1" applyFill="1" applyAlignment="1">
      <alignment vertical="top"/>
    </xf>
    <xf numFmtId="0" fontId="82" fillId="27" borderId="0" xfId="0" applyFont="1" applyFill="1" applyAlignment="1">
      <alignment horizontal="left" vertical="top"/>
    </xf>
    <xf numFmtId="0" fontId="84" fillId="27" borderId="0" xfId="0" applyFont="1" applyFill="1" applyAlignment="1">
      <alignment vertical="top"/>
    </xf>
    <xf numFmtId="0" fontId="0" fillId="0" borderId="0" xfId="0" applyAlignment="1">
      <alignment vertical="center" wrapText="1"/>
    </xf>
    <xf numFmtId="0" fontId="0" fillId="75" borderId="0" xfId="0" applyFill="1"/>
    <xf numFmtId="0" fontId="76" fillId="27" borderId="0" xfId="0" applyFont="1" applyFill="1"/>
    <xf numFmtId="14" fontId="0" fillId="0" borderId="0" xfId="0" applyNumberFormat="1"/>
    <xf numFmtId="14" fontId="0" fillId="0" borderId="0" xfId="0" applyNumberFormat="1" applyAlignment="1">
      <alignment vertical="center" wrapText="1"/>
    </xf>
    <xf numFmtId="0" fontId="0" fillId="0" borderId="0" xfId="0" quotePrefix="1" applyAlignment="1">
      <alignment horizontal="left"/>
    </xf>
    <xf numFmtId="0" fontId="0" fillId="0" borderId="0" xfId="0" applyAlignment="1">
      <alignment horizontal="left"/>
    </xf>
    <xf numFmtId="0" fontId="3" fillId="0" borderId="14" xfId="0" applyFont="1" applyBorder="1" applyAlignment="1">
      <alignment horizontal="left" vertical="top"/>
    </xf>
    <xf numFmtId="0" fontId="3" fillId="13" borderId="14" xfId="0" applyFont="1" applyFill="1" applyBorder="1" applyAlignment="1">
      <alignment horizontal="left" vertical="top"/>
    </xf>
    <xf numFmtId="0" fontId="0" fillId="3" borderId="14" xfId="0" applyFill="1" applyBorder="1" applyAlignment="1">
      <alignment horizontal="left" vertical="top"/>
    </xf>
    <xf numFmtId="0" fontId="0" fillId="0" borderId="0" xfId="0" applyAlignment="1">
      <alignment horizontal="left" vertical="center"/>
    </xf>
    <xf numFmtId="0" fontId="4" fillId="16" borderId="4" xfId="0" applyFont="1" applyFill="1" applyBorder="1" applyAlignment="1">
      <alignment horizontal="left" vertical="center" wrapText="1"/>
    </xf>
    <xf numFmtId="14" fontId="0" fillId="11" borderId="22" xfId="0" applyNumberFormat="1" applyFill="1" applyBorder="1" applyAlignment="1">
      <alignment horizontal="left" vertical="center"/>
    </xf>
    <xf numFmtId="166" fontId="9" fillId="10" borderId="63" xfId="0" applyNumberFormat="1" applyFont="1" applyFill="1" applyBorder="1" applyAlignment="1">
      <alignment horizontal="left" vertical="center" wrapText="1"/>
    </xf>
    <xf numFmtId="166" fontId="9" fillId="10" borderId="64" xfId="0" applyNumberFormat="1" applyFont="1" applyFill="1" applyBorder="1" applyAlignment="1">
      <alignment horizontal="left" vertical="center" wrapText="1"/>
    </xf>
    <xf numFmtId="14" fontId="9" fillId="11" borderId="22" xfId="0" applyNumberFormat="1" applyFont="1" applyFill="1" applyBorder="1" applyAlignment="1">
      <alignment horizontal="left" vertical="center"/>
    </xf>
    <xf numFmtId="0" fontId="0" fillId="0" borderId="0" xfId="0" applyAlignment="1">
      <alignment horizontal="left" vertical="top"/>
    </xf>
    <xf numFmtId="0" fontId="6" fillId="4" borderId="0" xfId="0" applyFont="1" applyFill="1" applyAlignment="1">
      <alignment horizontal="left"/>
    </xf>
    <xf numFmtId="0" fontId="0" fillId="0" borderId="0" xfId="0" quotePrefix="1" applyAlignment="1">
      <alignment horizontal="center"/>
    </xf>
    <xf numFmtId="0" fontId="2" fillId="0" borderId="0" xfId="0" quotePrefix="1" applyFont="1" applyAlignment="1">
      <alignment horizontal="left"/>
    </xf>
    <xf numFmtId="0" fontId="2" fillId="0" borderId="0" xfId="0" quotePrefix="1" applyFont="1"/>
    <xf numFmtId="0" fontId="6" fillId="4" borderId="0" xfId="0" quotePrefix="1" applyFont="1" applyFill="1" applyAlignment="1">
      <alignment horizontal="left"/>
    </xf>
    <xf numFmtId="1" fontId="4" fillId="4" borderId="0" xfId="0" applyNumberFormat="1" applyFont="1" applyFill="1" applyAlignment="1">
      <alignment horizontal="center"/>
    </xf>
    <xf numFmtId="0" fontId="9" fillId="0" borderId="0" xfId="0" applyFont="1" applyAlignment="1">
      <alignment horizontal="center"/>
    </xf>
    <xf numFmtId="0" fontId="0" fillId="0" borderId="148" xfId="0" applyBorder="1" applyAlignment="1">
      <alignment horizontal="right"/>
    </xf>
    <xf numFmtId="0" fontId="0" fillId="0" borderId="70" xfId="0" applyBorder="1" applyAlignment="1">
      <alignment horizontal="right"/>
    </xf>
    <xf numFmtId="0" fontId="0" fillId="0" borderId="77" xfId="0" applyBorder="1" applyAlignment="1">
      <alignment horizontal="right"/>
    </xf>
    <xf numFmtId="0" fontId="15" fillId="22" borderId="20" xfId="0" applyFont="1" applyFill="1" applyBorder="1" applyAlignment="1">
      <alignment horizontal="center"/>
    </xf>
    <xf numFmtId="0" fontId="0" fillId="0" borderId="84" xfId="0" applyBorder="1" applyAlignment="1">
      <alignment horizontal="right"/>
    </xf>
    <xf numFmtId="0" fontId="0" fillId="31" borderId="26" xfId="0" applyFill="1" applyBorder="1" applyAlignment="1">
      <alignment horizontal="left"/>
    </xf>
    <xf numFmtId="0" fontId="0" fillId="31" borderId="33" xfId="0" applyFill="1" applyBorder="1" applyAlignment="1">
      <alignment horizontal="left"/>
    </xf>
    <xf numFmtId="0" fontId="0" fillId="31" borderId="33" xfId="0" quotePrefix="1" applyFill="1" applyBorder="1" applyAlignment="1">
      <alignment horizontal="left"/>
    </xf>
    <xf numFmtId="0" fontId="0" fillId="31" borderId="41" xfId="0" quotePrefix="1" applyFill="1" applyBorder="1" applyAlignment="1">
      <alignment horizontal="left"/>
    </xf>
    <xf numFmtId="0" fontId="3" fillId="12" borderId="0" xfId="0" applyFont="1" applyFill="1" applyAlignment="1">
      <alignment horizontal="center"/>
    </xf>
    <xf numFmtId="0" fontId="33" fillId="12" borderId="30" xfId="0" quotePrefix="1" applyFont="1" applyFill="1" applyBorder="1" applyAlignment="1">
      <alignment vertical="top"/>
    </xf>
    <xf numFmtId="0" fontId="33" fillId="12" borderId="83" xfId="0" quotePrefix="1" applyFont="1" applyFill="1" applyBorder="1" applyAlignment="1">
      <alignment vertical="top"/>
    </xf>
    <xf numFmtId="0" fontId="33" fillId="12" borderId="84" xfId="0" applyFont="1" applyFill="1" applyBorder="1" applyAlignment="1">
      <alignment vertical="top"/>
    </xf>
    <xf numFmtId="0" fontId="0" fillId="12" borderId="84" xfId="0" applyFill="1" applyBorder="1"/>
    <xf numFmtId="0" fontId="0" fillId="12" borderId="85" xfId="0" applyFill="1" applyBorder="1"/>
    <xf numFmtId="0" fontId="33" fillId="12" borderId="38" xfId="0" quotePrefix="1" applyFont="1" applyFill="1" applyBorder="1" applyAlignment="1">
      <alignment vertical="top"/>
    </xf>
    <xf numFmtId="0" fontId="33" fillId="12" borderId="75" xfId="0" quotePrefix="1" applyFont="1" applyFill="1" applyBorder="1" applyAlignment="1">
      <alignment vertical="top"/>
    </xf>
    <xf numFmtId="0" fontId="33" fillId="12" borderId="70" xfId="0" applyFont="1" applyFill="1" applyBorder="1" applyAlignment="1">
      <alignment vertical="top"/>
    </xf>
    <xf numFmtId="0" fontId="0" fillId="12" borderId="70" xfId="0" applyFill="1" applyBorder="1"/>
    <xf numFmtId="0" fontId="0" fillId="12" borderId="76" xfId="0" applyFill="1" applyBorder="1"/>
    <xf numFmtId="0" fontId="33" fillId="12" borderId="0" xfId="0" applyFont="1" applyFill="1" applyAlignment="1">
      <alignment vertical="top"/>
    </xf>
    <xf numFmtId="0" fontId="6" fillId="12" borderId="0" xfId="0" applyFont="1" applyFill="1"/>
    <xf numFmtId="0" fontId="33" fillId="12" borderId="86" xfId="0" quotePrefix="1" applyFont="1" applyFill="1" applyBorder="1" applyAlignment="1">
      <alignment vertical="top"/>
    </xf>
    <xf numFmtId="0" fontId="33" fillId="12" borderId="87" xfId="0" quotePrefix="1" applyFont="1" applyFill="1" applyBorder="1" applyAlignment="1">
      <alignment vertical="top"/>
    </xf>
    <xf numFmtId="0" fontId="6" fillId="12" borderId="71" xfId="0" applyFont="1" applyFill="1" applyBorder="1"/>
    <xf numFmtId="0" fontId="6" fillId="12" borderId="72" xfId="0" applyFont="1" applyFill="1" applyBorder="1"/>
    <xf numFmtId="0" fontId="33" fillId="12" borderId="88" xfId="0" quotePrefix="1" applyFont="1" applyFill="1" applyBorder="1" applyAlignment="1">
      <alignment vertical="top"/>
    </xf>
    <xf numFmtId="0" fontId="33" fillId="12" borderId="89" xfId="0" quotePrefix="1" applyFont="1" applyFill="1" applyBorder="1" applyAlignment="1">
      <alignment vertical="top"/>
    </xf>
    <xf numFmtId="0" fontId="6" fillId="12" borderId="10" xfId="0" applyFont="1" applyFill="1" applyBorder="1"/>
    <xf numFmtId="0" fontId="33" fillId="12" borderId="85" xfId="0" applyFont="1" applyFill="1" applyBorder="1" applyAlignment="1">
      <alignment vertical="top"/>
    </xf>
    <xf numFmtId="0" fontId="3" fillId="12" borderId="30" xfId="0" applyFont="1" applyFill="1" applyBorder="1" applyAlignment="1">
      <alignment horizontal="center" vertical="top"/>
    </xf>
    <xf numFmtId="0" fontId="33" fillId="12" borderId="30" xfId="0" quotePrefix="1" applyFont="1" applyFill="1" applyBorder="1" applyAlignment="1">
      <alignment horizontal="left" vertical="top"/>
    </xf>
    <xf numFmtId="0" fontId="33" fillId="12" borderId="83" xfId="0" quotePrefix="1" applyFont="1" applyFill="1" applyBorder="1" applyAlignment="1">
      <alignment horizontal="left" vertical="top"/>
    </xf>
    <xf numFmtId="0" fontId="3" fillId="12" borderId="38" xfId="0" applyFont="1" applyFill="1" applyBorder="1" applyAlignment="1">
      <alignment horizontal="center" vertical="top"/>
    </xf>
    <xf numFmtId="0" fontId="33" fillId="12" borderId="0" xfId="0" quotePrefix="1" applyFont="1" applyFill="1" applyAlignment="1">
      <alignment vertical="top"/>
    </xf>
    <xf numFmtId="0" fontId="0" fillId="12" borderId="0" xfId="0" applyFill="1"/>
    <xf numFmtId="0" fontId="0" fillId="12" borderId="10" xfId="0" applyFill="1" applyBorder="1"/>
    <xf numFmtId="0" fontId="5" fillId="12" borderId="38" xfId="0" quotePrefix="1" applyFont="1" applyFill="1" applyBorder="1" applyAlignment="1">
      <alignment horizontal="center" vertical="center"/>
    </xf>
    <xf numFmtId="0" fontId="3" fillId="12" borderId="59" xfId="0" applyFont="1" applyFill="1" applyBorder="1" applyAlignment="1">
      <alignment horizontal="left" vertical="top" indent="4"/>
    </xf>
    <xf numFmtId="0" fontId="3" fillId="12" borderId="9" xfId="0" applyFont="1" applyFill="1" applyBorder="1" applyAlignment="1">
      <alignment horizontal="left" vertical="top" indent="4"/>
    </xf>
    <xf numFmtId="0" fontId="3" fillId="12" borderId="149" xfId="0" applyFont="1" applyFill="1" applyBorder="1" applyAlignment="1">
      <alignment horizontal="left" vertical="top" indent="4"/>
    </xf>
    <xf numFmtId="0" fontId="9" fillId="12" borderId="86" xfId="0" applyFont="1" applyFill="1" applyBorder="1" applyAlignment="1">
      <alignment horizontal="center" vertical="top"/>
    </xf>
    <xf numFmtId="0" fontId="33" fillId="12" borderId="150" xfId="0" applyFont="1" applyFill="1" applyBorder="1" applyAlignment="1">
      <alignment vertical="top"/>
    </xf>
    <xf numFmtId="0" fontId="33" fillId="12" borderId="151" xfId="0" applyFont="1" applyFill="1" applyBorder="1" applyAlignment="1">
      <alignment vertical="top"/>
    </xf>
    <xf numFmtId="0" fontId="9" fillId="12" borderId="59" xfId="0" applyFont="1" applyFill="1" applyBorder="1" applyAlignment="1">
      <alignment horizontal="left" vertical="top"/>
    </xf>
    <xf numFmtId="0" fontId="9" fillId="12" borderId="82" xfId="0" applyFont="1" applyFill="1" applyBorder="1" applyAlignment="1">
      <alignment horizontal="left" vertical="top"/>
    </xf>
    <xf numFmtId="0" fontId="3" fillId="12" borderId="86" xfId="0" applyFont="1" applyFill="1" applyBorder="1" applyAlignment="1">
      <alignment horizontal="center" vertical="top"/>
    </xf>
    <xf numFmtId="0" fontId="33" fillId="12" borderId="86" xfId="0" quotePrefix="1" applyFont="1" applyFill="1" applyBorder="1" applyAlignment="1">
      <alignment horizontal="left" vertical="top"/>
    </xf>
    <xf numFmtId="0" fontId="33" fillId="12" borderId="87" xfId="0" quotePrefix="1" applyFont="1" applyFill="1" applyBorder="1" applyAlignment="1">
      <alignment horizontal="left" vertical="top"/>
    </xf>
    <xf numFmtId="0" fontId="3" fillId="12" borderId="30" xfId="0" quotePrefix="1" applyFont="1" applyFill="1" applyBorder="1" applyAlignment="1">
      <alignment horizontal="center" vertical="top"/>
    </xf>
    <xf numFmtId="0" fontId="11" fillId="12" borderId="40" xfId="0" applyFont="1" applyFill="1" applyBorder="1" applyAlignment="1">
      <alignment horizontal="left" indent="4"/>
    </xf>
    <xf numFmtId="0" fontId="3" fillId="12" borderId="80" xfId="0" quotePrefix="1" applyFont="1" applyFill="1" applyBorder="1" applyAlignment="1">
      <alignment horizontal="center" vertical="top"/>
    </xf>
    <xf numFmtId="0" fontId="33" fillId="12" borderId="30" xfId="0" quotePrefix="1" applyFont="1" applyFill="1" applyBorder="1" applyAlignment="1">
      <alignment horizontal="center" vertical="top"/>
    </xf>
    <xf numFmtId="0" fontId="40" fillId="19" borderId="9" xfId="0" applyFont="1" applyFill="1" applyBorder="1" applyAlignment="1">
      <alignment horizontal="left" vertical="top" indent="2"/>
    </xf>
    <xf numFmtId="0" fontId="3" fillId="19" borderId="0" xfId="0" quotePrefix="1" applyFont="1" applyFill="1" applyAlignment="1">
      <alignment horizontal="center" vertical="top"/>
    </xf>
    <xf numFmtId="0" fontId="33" fillId="19" borderId="0" xfId="0" quotePrefix="1" applyFont="1" applyFill="1" applyAlignment="1">
      <alignment vertical="top"/>
    </xf>
    <xf numFmtId="0" fontId="34" fillId="19" borderId="0" xfId="0" quotePrefix="1" applyFont="1" applyFill="1" applyAlignment="1">
      <alignment vertical="top"/>
    </xf>
    <xf numFmtId="0" fontId="6" fillId="19" borderId="0" xfId="0" applyFont="1" applyFill="1" applyAlignment="1">
      <alignment vertical="top"/>
    </xf>
    <xf numFmtId="0" fontId="6" fillId="19" borderId="10" xfId="0" applyFont="1" applyFill="1" applyBorder="1" applyAlignment="1">
      <alignment vertical="top"/>
    </xf>
    <xf numFmtId="0" fontId="80" fillId="19" borderId="0" xfId="62" quotePrefix="1" applyNumberFormat="1" applyFont="1">
      <alignment vertical="center"/>
    </xf>
    <xf numFmtId="0" fontId="80" fillId="19" borderId="0" xfId="62" applyNumberFormat="1" applyFont="1">
      <alignment vertical="center"/>
    </xf>
    <xf numFmtId="49" fontId="80" fillId="19" borderId="0" xfId="62" applyFont="1">
      <alignment vertical="center"/>
    </xf>
    <xf numFmtId="0" fontId="0" fillId="0" borderId="0" xfId="0" applyAlignment="1">
      <alignment horizontal="right"/>
    </xf>
    <xf numFmtId="0" fontId="86" fillId="76" borderId="0" xfId="0" applyFont="1" applyFill="1"/>
    <xf numFmtId="0" fontId="0" fillId="0" borderId="67" xfId="0" applyBorder="1"/>
    <xf numFmtId="0" fontId="0" fillId="0" borderId="34" xfId="0" applyBorder="1" applyAlignment="1">
      <alignment vertical="center"/>
    </xf>
    <xf numFmtId="0" fontId="0" fillId="0" borderId="34" xfId="0" applyBorder="1"/>
    <xf numFmtId="0" fontId="0" fillId="0" borderId="42" xfId="0" applyBorder="1"/>
    <xf numFmtId="0" fontId="0" fillId="0" borderId="68" xfId="0" applyBorder="1"/>
    <xf numFmtId="0" fontId="0" fillId="0" borderId="0" xfId="0" applyAlignment="1">
      <alignment wrapText="1"/>
    </xf>
    <xf numFmtId="0" fontId="9" fillId="77" borderId="24" xfId="0" applyFont="1" applyFill="1" applyBorder="1" applyAlignment="1">
      <alignment vertical="center" wrapText="1"/>
    </xf>
    <xf numFmtId="0" fontId="9" fillId="77" borderId="24" xfId="0" applyFont="1" applyFill="1" applyBorder="1" applyAlignment="1">
      <alignment horizontal="left" vertical="center" wrapText="1"/>
    </xf>
    <xf numFmtId="0" fontId="9" fillId="81" borderId="52" xfId="0" applyFont="1" applyFill="1" applyBorder="1" applyAlignment="1">
      <alignment horizontal="center" vertical="center" wrapText="1"/>
    </xf>
    <xf numFmtId="0" fontId="74" fillId="80" borderId="4" xfId="0" applyFont="1" applyFill="1" applyBorder="1" applyAlignment="1">
      <alignment horizontal="center" vertical="center" wrapText="1"/>
    </xf>
    <xf numFmtId="0" fontId="87" fillId="82" borderId="0" xfId="0" applyFont="1" applyFill="1" applyAlignment="1">
      <alignment horizontal="left"/>
    </xf>
    <xf numFmtId="0" fontId="89" fillId="0" borderId="0" xfId="0" applyFont="1"/>
    <xf numFmtId="0" fontId="90" fillId="0" borderId="0" xfId="0" applyFont="1" applyAlignment="1">
      <alignment horizontal="right"/>
    </xf>
    <xf numFmtId="0" fontId="88" fillId="82" borderId="0" xfId="0" applyFont="1" applyFill="1" applyAlignment="1">
      <alignment horizontal="left"/>
    </xf>
    <xf numFmtId="0" fontId="0" fillId="0" borderId="67" xfId="0" applyBorder="1" applyAlignment="1">
      <alignment vertical="center"/>
    </xf>
    <xf numFmtId="0" fontId="0" fillId="0" borderId="68" xfId="0" applyBorder="1" applyAlignment="1">
      <alignment vertical="center"/>
    </xf>
    <xf numFmtId="0" fontId="0" fillId="0" borderId="18" xfId="0" applyBorder="1"/>
    <xf numFmtId="0" fontId="0" fillId="0" borderId="38" xfId="0" applyBorder="1" applyAlignment="1">
      <alignment vertical="center"/>
    </xf>
    <xf numFmtId="0" fontId="0" fillId="82" borderId="0" xfId="0" applyFill="1"/>
    <xf numFmtId="0" fontId="6" fillId="4" borderId="6" xfId="0" applyFont="1" applyFill="1" applyBorder="1"/>
    <xf numFmtId="0" fontId="0" fillId="0" borderId="50" xfId="0" applyBorder="1" applyAlignment="1">
      <alignment vertical="center"/>
    </xf>
    <xf numFmtId="1" fontId="6" fillId="4" borderId="38" xfId="0" applyNumberFormat="1" applyFont="1" applyFill="1" applyBorder="1"/>
    <xf numFmtId="0" fontId="6" fillId="4" borderId="38" xfId="0" applyFont="1" applyFill="1" applyBorder="1"/>
    <xf numFmtId="0" fontId="2" fillId="3" borderId="4" xfId="0" applyFont="1" applyFill="1" applyBorder="1" applyAlignment="1">
      <alignment horizontal="left" vertical="top" wrapText="1"/>
    </xf>
    <xf numFmtId="0" fontId="4" fillId="3" borderId="4" xfId="0" applyFont="1" applyFill="1" applyBorder="1" applyAlignment="1">
      <alignment horizontal="left" vertical="top" wrapText="1"/>
    </xf>
    <xf numFmtId="0" fontId="6" fillId="3" borderId="22" xfId="0" applyFont="1" applyFill="1" applyBorder="1" applyAlignment="1">
      <alignment horizontal="left" vertical="top" wrapText="1"/>
    </xf>
    <xf numFmtId="0" fontId="70" fillId="73" borderId="22" xfId="0" applyFont="1" applyFill="1" applyBorder="1" applyAlignment="1">
      <alignment horizontal="center" vertical="center" wrapText="1"/>
    </xf>
    <xf numFmtId="0" fontId="0" fillId="0" borderId="3" xfId="0" applyBorder="1"/>
    <xf numFmtId="0" fontId="70" fillId="78" borderId="161" xfId="0" applyFont="1" applyFill="1" applyBorder="1" applyAlignment="1">
      <alignment vertical="center" wrapText="1"/>
    </xf>
    <xf numFmtId="0" fontId="70" fillId="78" borderId="164" xfId="0" applyFont="1" applyFill="1" applyBorder="1" applyAlignment="1">
      <alignment vertical="center" wrapText="1"/>
    </xf>
    <xf numFmtId="0" fontId="70" fillId="78" borderId="165" xfId="0" applyFont="1" applyFill="1" applyBorder="1" applyAlignment="1">
      <alignment vertical="center" wrapText="1"/>
    </xf>
    <xf numFmtId="0" fontId="0" fillId="0" borderId="66" xfId="0" applyBorder="1"/>
    <xf numFmtId="0" fontId="9" fillId="81" borderId="58" xfId="0" applyFont="1" applyFill="1" applyBorder="1" applyAlignment="1">
      <alignment horizontal="center" vertical="center" wrapText="1"/>
    </xf>
    <xf numFmtId="0" fontId="9" fillId="81" borderId="64" xfId="0" applyFont="1" applyFill="1" applyBorder="1" applyAlignment="1">
      <alignment horizontal="center" vertical="center" wrapText="1"/>
    </xf>
    <xf numFmtId="0" fontId="9" fillId="81" borderId="65" xfId="0" applyFont="1" applyFill="1" applyBorder="1" applyAlignment="1">
      <alignment horizontal="center" vertical="center" wrapText="1"/>
    </xf>
    <xf numFmtId="0" fontId="9" fillId="81" borderId="163" xfId="0" applyFont="1" applyFill="1" applyBorder="1" applyAlignment="1">
      <alignment horizontal="center" vertical="center" wrapText="1"/>
    </xf>
    <xf numFmtId="0" fontId="2" fillId="81" borderId="53" xfId="0" applyFont="1" applyFill="1" applyBorder="1" applyAlignment="1">
      <alignment vertical="center"/>
    </xf>
    <xf numFmtId="0" fontId="0" fillId="5" borderId="34" xfId="0" applyFill="1" applyBorder="1" applyAlignment="1">
      <alignment horizontal="center" vertical="center" wrapText="1"/>
    </xf>
    <xf numFmtId="0" fontId="0" fillId="79" borderId="27" xfId="0" applyFill="1" applyBorder="1" applyAlignment="1">
      <alignment horizontal="center" vertical="center" wrapText="1"/>
    </xf>
    <xf numFmtId="0" fontId="0" fillId="79" borderId="34" xfId="0" applyFill="1" applyBorder="1" applyAlignment="1">
      <alignment horizontal="center" vertical="center" wrapText="1"/>
    </xf>
    <xf numFmtId="0" fontId="0" fillId="79" borderId="42" xfId="0" applyFill="1" applyBorder="1" applyAlignment="1">
      <alignment horizontal="center" vertical="center" wrapText="1"/>
    </xf>
    <xf numFmtId="0" fontId="0" fillId="79" borderId="55" xfId="0" applyFill="1" applyBorder="1" applyAlignment="1">
      <alignment horizontal="center" vertical="center" wrapText="1"/>
    </xf>
    <xf numFmtId="0" fontId="0" fillId="79" borderId="38" xfId="0" applyFill="1" applyBorder="1" applyAlignment="1">
      <alignment horizontal="center" vertical="center" wrapText="1"/>
    </xf>
    <xf numFmtId="0" fontId="3" fillId="0" borderId="38" xfId="0" applyFont="1" applyBorder="1" applyAlignment="1">
      <alignment vertical="center"/>
    </xf>
    <xf numFmtId="0" fontId="3" fillId="0" borderId="34" xfId="0" applyFont="1" applyBorder="1" applyAlignment="1">
      <alignment vertical="center"/>
    </xf>
    <xf numFmtId="0" fontId="3" fillId="0" borderId="42" xfId="0" applyFont="1" applyBorder="1" applyAlignment="1">
      <alignment vertical="center"/>
    </xf>
    <xf numFmtId="0" fontId="3" fillId="0" borderId="50" xfId="0" applyFont="1" applyBorder="1" applyAlignment="1">
      <alignment vertical="center"/>
    </xf>
    <xf numFmtId="0" fontId="3" fillId="0" borderId="38" xfId="0" applyFont="1" applyBorder="1"/>
    <xf numFmtId="0" fontId="3" fillId="0" borderId="67" xfId="0" applyFont="1" applyBorder="1"/>
    <xf numFmtId="0" fontId="3" fillId="0" borderId="50" xfId="0" applyFont="1" applyBorder="1"/>
    <xf numFmtId="0" fontId="3" fillId="0" borderId="68" xfId="0" applyFont="1" applyBorder="1"/>
    <xf numFmtId="0" fontId="17" fillId="10" borderId="27" xfId="0" applyFont="1" applyFill="1" applyBorder="1" applyAlignment="1">
      <alignment wrapText="1"/>
    </xf>
    <xf numFmtId="0" fontId="17" fillId="10" borderId="34" xfId="0" applyFont="1" applyFill="1" applyBorder="1" applyAlignment="1">
      <alignment wrapText="1"/>
    </xf>
    <xf numFmtId="0" fontId="3" fillId="10" borderId="55" xfId="0" applyFont="1" applyFill="1" applyBorder="1" applyAlignment="1">
      <alignment wrapText="1"/>
    </xf>
    <xf numFmtId="0" fontId="3" fillId="10" borderId="38" xfId="0" applyFont="1" applyFill="1" applyBorder="1" applyAlignment="1">
      <alignment wrapText="1"/>
    </xf>
    <xf numFmtId="0" fontId="3" fillId="10" borderId="50" xfId="0" applyFont="1" applyFill="1" applyBorder="1" applyAlignment="1">
      <alignment wrapText="1"/>
    </xf>
    <xf numFmtId="0" fontId="18" fillId="10" borderId="55" xfId="0" applyFont="1" applyFill="1" applyBorder="1" applyAlignment="1">
      <alignment vertical="center"/>
    </xf>
    <xf numFmtId="0" fontId="18" fillId="10" borderId="38" xfId="0" applyFont="1" applyFill="1" applyBorder="1" applyAlignment="1">
      <alignment vertical="center"/>
    </xf>
    <xf numFmtId="0" fontId="19" fillId="10" borderId="55" xfId="0" applyFont="1" applyFill="1" applyBorder="1" applyAlignment="1">
      <alignment vertical="center" wrapText="1"/>
    </xf>
    <xf numFmtId="0" fontId="19" fillId="10" borderId="38" xfId="0" applyFont="1" applyFill="1" applyBorder="1" applyAlignment="1">
      <alignment vertical="center" wrapText="1"/>
    </xf>
    <xf numFmtId="0" fontId="19" fillId="10" borderId="66" xfId="0" applyFont="1" applyFill="1" applyBorder="1" applyAlignment="1">
      <alignment vertical="center" wrapText="1"/>
    </xf>
    <xf numFmtId="0" fontId="19" fillId="10" borderId="67" xfId="0" applyFont="1" applyFill="1" applyBorder="1" applyAlignment="1">
      <alignment vertical="center" wrapText="1"/>
    </xf>
    <xf numFmtId="0" fontId="0" fillId="21" borderId="5" xfId="0" applyFill="1" applyBorder="1"/>
    <xf numFmtId="0" fontId="0" fillId="21" borderId="6" xfId="0" applyFill="1" applyBorder="1"/>
    <xf numFmtId="0" fontId="0" fillId="21" borderId="7" xfId="0" applyFill="1" applyBorder="1"/>
    <xf numFmtId="0" fontId="0" fillId="5" borderId="9" xfId="0" applyFill="1" applyBorder="1" applyAlignment="1">
      <alignment horizontal="center"/>
    </xf>
    <xf numFmtId="0" fontId="0" fillId="5" borderId="0" xfId="0" applyFill="1" applyAlignment="1">
      <alignment horizontal="center"/>
    </xf>
    <xf numFmtId="0" fontId="0" fillId="5" borderId="38" xfId="0" applyFill="1" applyBorder="1" applyAlignment="1">
      <alignment horizontal="center" vertical="center" wrapText="1"/>
    </xf>
    <xf numFmtId="0" fontId="0" fillId="5" borderId="30" xfId="0" applyFill="1" applyBorder="1" applyAlignment="1">
      <alignment horizontal="center" vertical="center" wrapText="1"/>
    </xf>
    <xf numFmtId="0" fontId="0" fillId="5" borderId="50" xfId="0" applyFill="1" applyBorder="1" applyAlignment="1">
      <alignment horizontal="center" vertical="center" wrapText="1"/>
    </xf>
    <xf numFmtId="0" fontId="0" fillId="5" borderId="37" xfId="0" applyFill="1" applyBorder="1" applyAlignment="1">
      <alignment horizontal="center"/>
    </xf>
    <xf numFmtId="0" fontId="0" fillId="5" borderId="39" xfId="0" applyFill="1" applyBorder="1" applyAlignment="1">
      <alignment horizontal="center" vertical="center" wrapText="1"/>
    </xf>
    <xf numFmtId="0" fontId="0" fillId="5" borderId="33" xfId="0" applyFill="1" applyBorder="1" applyAlignment="1">
      <alignment horizontal="center"/>
    </xf>
    <xf numFmtId="0" fontId="0" fillId="5" borderId="41" xfId="0" applyFill="1" applyBorder="1" applyAlignment="1">
      <alignment horizontal="center"/>
    </xf>
    <xf numFmtId="0" fontId="6" fillId="0" borderId="33" xfId="0" applyFont="1" applyBorder="1"/>
    <xf numFmtId="0" fontId="6" fillId="0" borderId="51" xfId="0" applyFont="1" applyBorder="1"/>
    <xf numFmtId="0" fontId="6" fillId="0" borderId="41" xfId="0" applyFont="1" applyBorder="1"/>
    <xf numFmtId="0" fontId="6" fillId="5" borderId="46" xfId="0" quotePrefix="1" applyFont="1" applyFill="1" applyBorder="1"/>
    <xf numFmtId="0" fontId="6" fillId="5" borderId="46" xfId="0" applyFont="1" applyFill="1" applyBorder="1"/>
    <xf numFmtId="0" fontId="6" fillId="5" borderId="47" xfId="0" applyFont="1" applyFill="1" applyBorder="1"/>
    <xf numFmtId="0" fontId="6" fillId="5" borderId="146" xfId="0" applyFont="1" applyFill="1" applyBorder="1"/>
    <xf numFmtId="0" fontId="6" fillId="5" borderId="33" xfId="0" applyFont="1" applyFill="1" applyBorder="1"/>
    <xf numFmtId="0" fontId="6" fillId="5" borderId="26" xfId="0" applyFont="1" applyFill="1" applyBorder="1"/>
    <xf numFmtId="0" fontId="6" fillId="5" borderId="41" xfId="0" applyFont="1" applyFill="1" applyBorder="1"/>
    <xf numFmtId="0" fontId="6" fillId="5" borderId="54" xfId="0" applyFont="1" applyFill="1" applyBorder="1"/>
    <xf numFmtId="0" fontId="6" fillId="5" borderId="56" xfId="0" applyFont="1" applyFill="1" applyBorder="1"/>
    <xf numFmtId="0" fontId="6" fillId="5" borderId="57" xfId="0" applyFont="1" applyFill="1" applyBorder="1"/>
    <xf numFmtId="0" fontId="0" fillId="10" borderId="27" xfId="0" applyFill="1" applyBorder="1"/>
    <xf numFmtId="0" fontId="0" fillId="10" borderId="34" xfId="0" applyFill="1" applyBorder="1"/>
    <xf numFmtId="0" fontId="0" fillId="10" borderId="55" xfId="0" applyFill="1" applyBorder="1" applyProtection="1">
      <protection locked="0"/>
    </xf>
    <xf numFmtId="0" fontId="0" fillId="10" borderId="38" xfId="0" applyFill="1" applyBorder="1" applyProtection="1">
      <protection locked="0"/>
    </xf>
    <xf numFmtId="49" fontId="0" fillId="10" borderId="55" xfId="0" applyNumberFormat="1" applyFill="1" applyBorder="1"/>
    <xf numFmtId="0" fontId="0" fillId="10" borderId="38" xfId="0" applyFill="1" applyBorder="1"/>
    <xf numFmtId="0" fontId="0" fillId="10" borderId="38" xfId="0" applyFill="1" applyBorder="1" applyAlignment="1">
      <alignment vertical="center"/>
    </xf>
    <xf numFmtId="0" fontId="0" fillId="10" borderId="55" xfId="0" applyFill="1" applyBorder="1" applyAlignment="1">
      <alignment vertical="center"/>
    </xf>
    <xf numFmtId="0" fontId="0" fillId="10" borderId="50" xfId="0" applyFill="1" applyBorder="1"/>
    <xf numFmtId="49" fontId="0" fillId="10" borderId="66" xfId="0" applyNumberFormat="1" applyFill="1" applyBorder="1"/>
    <xf numFmtId="0" fontId="0" fillId="10" borderId="67" xfId="0" applyFill="1" applyBorder="1"/>
    <xf numFmtId="0" fontId="0" fillId="10" borderId="67" xfId="0" applyFill="1" applyBorder="1" applyAlignment="1">
      <alignment vertical="center"/>
    </xf>
    <xf numFmtId="0" fontId="9" fillId="11" borderId="166" xfId="0" applyFont="1" applyFill="1" applyBorder="1" applyAlignment="1">
      <alignment vertical="center" wrapText="1"/>
    </xf>
    <xf numFmtId="0" fontId="46" fillId="10" borderId="33" xfId="0" applyFont="1" applyFill="1" applyBorder="1" applyAlignment="1">
      <alignment horizontal="center" vertical="top" wrapText="1"/>
    </xf>
    <xf numFmtId="0" fontId="6" fillId="10" borderId="41" xfId="0" applyFont="1" applyFill="1" applyBorder="1" applyAlignment="1">
      <alignment horizontal="center" vertical="center"/>
    </xf>
    <xf numFmtId="0" fontId="46" fillId="10" borderId="146" xfId="0" applyFont="1" applyFill="1" applyBorder="1" applyAlignment="1">
      <alignment horizontal="center" vertical="top" wrapText="1"/>
    </xf>
    <xf numFmtId="0" fontId="9" fillId="77" borderId="22" xfId="0" applyFont="1" applyFill="1" applyBorder="1" applyAlignment="1">
      <alignment vertical="center" wrapText="1"/>
    </xf>
    <xf numFmtId="0" fontId="18" fillId="10" borderId="26" xfId="0" applyFont="1" applyFill="1" applyBorder="1" applyAlignment="1">
      <alignment horizontal="center" vertical="center"/>
    </xf>
    <xf numFmtId="0" fontId="18" fillId="10" borderId="33" xfId="0" applyFont="1" applyFill="1" applyBorder="1" applyAlignment="1">
      <alignment horizontal="center" vertical="center"/>
    </xf>
    <xf numFmtId="0" fontId="18" fillId="10" borderId="41" xfId="0" applyFont="1" applyFill="1" applyBorder="1" applyAlignment="1">
      <alignment horizontal="center" vertical="center"/>
    </xf>
    <xf numFmtId="0" fontId="9" fillId="11" borderId="23" xfId="0" applyFont="1" applyFill="1" applyBorder="1" applyAlignment="1">
      <alignment vertical="center" wrapText="1"/>
    </xf>
    <xf numFmtId="0" fontId="9" fillId="11" borderId="24" xfId="0" applyFont="1" applyFill="1" applyBorder="1" applyAlignment="1">
      <alignment vertical="center" wrapText="1"/>
    </xf>
    <xf numFmtId="0" fontId="9" fillId="11" borderId="95" xfId="0" applyFont="1" applyFill="1" applyBorder="1" applyAlignment="1">
      <alignment vertical="center" wrapText="1"/>
    </xf>
    <xf numFmtId="0" fontId="70" fillId="73" borderId="168" xfId="0" applyFont="1" applyFill="1" applyBorder="1" applyAlignment="1">
      <alignment horizontal="center" vertical="center" wrapText="1"/>
    </xf>
    <xf numFmtId="0" fontId="70" fillId="73" borderId="169" xfId="0" applyFont="1" applyFill="1" applyBorder="1" applyAlignment="1">
      <alignment horizontal="center" vertical="center" wrapText="1"/>
    </xf>
    <xf numFmtId="0" fontId="70" fillId="73" borderId="170" xfId="0" applyFont="1" applyFill="1" applyBorder="1" applyAlignment="1">
      <alignment horizontal="center" vertical="center" wrapText="1"/>
    </xf>
    <xf numFmtId="0" fontId="0" fillId="5" borderId="172" xfId="0" applyFill="1" applyBorder="1" applyAlignment="1">
      <alignment horizontal="center" vertical="center" wrapText="1"/>
    </xf>
    <xf numFmtId="0" fontId="0" fillId="0" borderId="173" xfId="0" applyBorder="1"/>
    <xf numFmtId="0" fontId="0" fillId="0" borderId="174" xfId="0" applyBorder="1"/>
    <xf numFmtId="0" fontId="89" fillId="0" borderId="175" xfId="0" applyFont="1" applyBorder="1"/>
    <xf numFmtId="0" fontId="0" fillId="0" borderId="176" xfId="0" applyBorder="1"/>
    <xf numFmtId="0" fontId="65" fillId="83" borderId="0" xfId="0" applyFont="1" applyFill="1" applyAlignment="1">
      <alignment horizontal="centerContinuous"/>
    </xf>
    <xf numFmtId="0" fontId="0" fillId="5" borderId="179" xfId="0" applyFill="1" applyBorder="1" applyAlignment="1">
      <alignment horizontal="center"/>
    </xf>
    <xf numFmtId="0" fontId="0" fillId="0" borderId="180" xfId="0" applyBorder="1"/>
    <xf numFmtId="0" fontId="0" fillId="0" borderId="181" xfId="0" applyBorder="1"/>
    <xf numFmtId="0" fontId="0" fillId="0" borderId="182" xfId="0" applyBorder="1"/>
    <xf numFmtId="0" fontId="0" fillId="5" borderId="32" xfId="0" applyFill="1" applyBorder="1" applyAlignment="1">
      <alignment horizontal="center"/>
    </xf>
    <xf numFmtId="0" fontId="0" fillId="0" borderId="30" xfId="0" applyBorder="1"/>
    <xf numFmtId="0" fontId="0" fillId="5" borderId="31" xfId="0" applyFill="1" applyBorder="1" applyAlignment="1">
      <alignment horizontal="center" vertical="center" wrapText="1"/>
    </xf>
    <xf numFmtId="0" fontId="70" fillId="73" borderId="183" xfId="0" applyFont="1" applyFill="1" applyBorder="1" applyAlignment="1">
      <alignment horizontal="center" vertical="center" wrapText="1"/>
    </xf>
    <xf numFmtId="0" fontId="70" fillId="73" borderId="184" xfId="0" applyFont="1" applyFill="1" applyBorder="1" applyAlignment="1">
      <alignment horizontal="center" vertical="center" wrapText="1"/>
    </xf>
    <xf numFmtId="0" fontId="70" fillId="73" borderId="185" xfId="0" applyFont="1" applyFill="1" applyBorder="1" applyAlignment="1">
      <alignment horizontal="center" vertical="center" wrapText="1"/>
    </xf>
    <xf numFmtId="0" fontId="0" fillId="4" borderId="44" xfId="0" applyFill="1" applyBorder="1" applyAlignment="1">
      <alignment vertical="center"/>
    </xf>
    <xf numFmtId="0" fontId="0" fillId="4" borderId="8" xfId="0" applyFill="1" applyBorder="1" applyAlignment="1">
      <alignment vertical="center"/>
    </xf>
    <xf numFmtId="0" fontId="0" fillId="4" borderId="43" xfId="0" applyFill="1" applyBorder="1" applyAlignment="1">
      <alignment vertical="center"/>
    </xf>
    <xf numFmtId="0" fontId="0" fillId="4" borderId="8" xfId="0" applyFill="1" applyBorder="1" applyAlignment="1">
      <alignment vertical="top"/>
    </xf>
    <xf numFmtId="0" fontId="0" fillId="4" borderId="146" xfId="0" applyFill="1" applyBorder="1" applyAlignment="1">
      <alignment vertical="center"/>
    </xf>
    <xf numFmtId="0" fontId="0" fillId="4" borderId="33" xfId="0" applyFill="1" applyBorder="1" applyAlignment="1">
      <alignment vertical="center"/>
    </xf>
    <xf numFmtId="0" fontId="0" fillId="4" borderId="41" xfId="0" applyFill="1" applyBorder="1" applyAlignment="1">
      <alignment vertical="center"/>
    </xf>
    <xf numFmtId="166" fontId="9" fillId="11" borderId="186" xfId="0" applyNumberFormat="1" applyFont="1" applyFill="1" applyBorder="1" applyAlignment="1">
      <alignment horizontal="center" vertical="center" wrapText="1"/>
    </xf>
    <xf numFmtId="166" fontId="9" fillId="10" borderId="187" xfId="0" applyNumberFormat="1" applyFont="1" applyFill="1" applyBorder="1" applyAlignment="1">
      <alignment horizontal="center" vertical="center" wrapText="1"/>
    </xf>
    <xf numFmtId="166" fontId="33" fillId="4" borderId="187" xfId="0" applyNumberFormat="1" applyFont="1" applyFill="1" applyBorder="1"/>
    <xf numFmtId="0" fontId="3" fillId="0" borderId="0" xfId="0" applyFont="1" applyAlignment="1">
      <alignment horizontal="right" vertical="center"/>
    </xf>
    <xf numFmtId="165" fontId="9" fillId="16" borderId="188" xfId="0" applyNumberFormat="1" applyFont="1" applyFill="1" applyBorder="1" applyAlignment="1" applyProtection="1">
      <alignment horizontal="left" vertical="center" wrapText="1"/>
      <protection locked="0"/>
    </xf>
    <xf numFmtId="3" fontId="9" fillId="16" borderId="162" xfId="0" applyNumberFormat="1" applyFont="1" applyFill="1" applyBorder="1" applyAlignment="1">
      <alignment horizontal="left" vertical="center" wrapText="1"/>
    </xf>
    <xf numFmtId="3" fontId="9" fillId="16" borderId="188" xfId="0" applyNumberFormat="1" applyFont="1" applyFill="1" applyBorder="1" applyAlignment="1" applyProtection="1">
      <alignment horizontal="left" vertical="center" wrapText="1"/>
      <protection locked="0"/>
    </xf>
    <xf numFmtId="165" fontId="9" fillId="16" borderId="189" xfId="0" applyNumberFormat="1" applyFont="1" applyFill="1" applyBorder="1" applyAlignment="1" applyProtection="1">
      <alignment horizontal="left" vertical="center" wrapText="1"/>
      <protection locked="0"/>
    </xf>
    <xf numFmtId="0" fontId="91" fillId="0" borderId="19" xfId="0" applyFont="1" applyBorder="1" applyAlignment="1">
      <alignment horizontal="center" vertical="center"/>
    </xf>
    <xf numFmtId="0" fontId="91" fillId="0" borderId="20" xfId="0" applyFont="1" applyBorder="1" applyAlignment="1">
      <alignment horizontal="center" vertical="center"/>
    </xf>
    <xf numFmtId="0" fontId="91" fillId="0" borderId="21" xfId="0" applyFont="1" applyBorder="1" applyAlignment="1">
      <alignment horizontal="center" vertical="center"/>
    </xf>
    <xf numFmtId="0" fontId="9" fillId="77" borderId="0" xfId="0" applyFont="1" applyFill="1" applyAlignment="1">
      <alignment horizontal="right" vertical="center" wrapText="1"/>
    </xf>
    <xf numFmtId="0" fontId="93" fillId="0" borderId="22" xfId="0" applyFont="1" applyBorder="1" applyAlignment="1">
      <alignment horizontal="right"/>
    </xf>
    <xf numFmtId="0" fontId="93" fillId="0" borderId="19" xfId="0" applyFont="1" applyBorder="1" applyAlignment="1">
      <alignment horizontal="right" vertical="center"/>
    </xf>
    <xf numFmtId="0" fontId="92" fillId="0" borderId="0" xfId="0" applyFont="1" applyAlignment="1">
      <alignment vertical="center"/>
    </xf>
    <xf numFmtId="0" fontId="48" fillId="0" borderId="0" xfId="0" applyFont="1"/>
    <xf numFmtId="0" fontId="9" fillId="0" borderId="0" xfId="0" applyFont="1" applyAlignment="1">
      <alignment vertical="center"/>
    </xf>
    <xf numFmtId="0" fontId="3" fillId="0" borderId="0" xfId="0" applyFont="1" applyAlignment="1">
      <alignment horizontal="left" indent="3"/>
    </xf>
    <xf numFmtId="0" fontId="9" fillId="21" borderId="19" xfId="0" applyFont="1" applyFill="1" applyBorder="1" applyAlignment="1">
      <alignment vertical="center"/>
    </xf>
    <xf numFmtId="0" fontId="91" fillId="0" borderId="1" xfId="0" applyFont="1" applyBorder="1" applyAlignment="1">
      <alignment horizontal="center" vertical="center" wrapText="1"/>
    </xf>
    <xf numFmtId="0" fontId="91" fillId="0" borderId="2" xfId="0" applyFont="1" applyBorder="1" applyAlignment="1">
      <alignment horizontal="center" vertical="center" wrapText="1"/>
    </xf>
    <xf numFmtId="0" fontId="91" fillId="0" borderId="3" xfId="0" applyFont="1" applyBorder="1" applyAlignment="1">
      <alignment horizontal="center" vertical="center" wrapText="1"/>
    </xf>
    <xf numFmtId="0" fontId="91" fillId="0" borderId="58" xfId="0" applyFont="1" applyBorder="1" applyAlignment="1">
      <alignment horizontal="center" vertical="center" wrapText="1"/>
    </xf>
    <xf numFmtId="0" fontId="91" fillId="0" borderId="64" xfId="0" applyFont="1" applyBorder="1" applyAlignment="1">
      <alignment horizontal="center" vertical="center" wrapText="1"/>
    </xf>
    <xf numFmtId="0" fontId="91" fillId="0" borderId="65" xfId="0" applyFont="1" applyBorder="1" applyAlignment="1">
      <alignment horizontal="center" vertical="center" wrapText="1"/>
    </xf>
    <xf numFmtId="0" fontId="2" fillId="8" borderId="0" xfId="0" applyFont="1" applyFill="1" applyAlignment="1">
      <alignment vertical="center"/>
    </xf>
    <xf numFmtId="0" fontId="48" fillId="8" borderId="0" xfId="0" applyFont="1" applyFill="1" applyAlignment="1">
      <alignment vertical="center"/>
    </xf>
    <xf numFmtId="0" fontId="48" fillId="10" borderId="0" xfId="0" applyFont="1" applyFill="1"/>
    <xf numFmtId="0" fontId="92" fillId="10" borderId="0" xfId="0" applyFont="1" applyFill="1" applyAlignment="1">
      <alignment vertical="center"/>
    </xf>
    <xf numFmtId="0" fontId="49" fillId="10" borderId="0" xfId="0" applyFont="1" applyFill="1" applyAlignment="1">
      <alignment vertical="top"/>
    </xf>
    <xf numFmtId="49" fontId="0" fillId="10" borderId="73" xfId="0" applyNumberFormat="1" applyFill="1" applyBorder="1"/>
    <xf numFmtId="0" fontId="0" fillId="10" borderId="75" xfId="0" applyFill="1" applyBorder="1"/>
    <xf numFmtId="0" fontId="0" fillId="10" borderId="75" xfId="0" applyFill="1" applyBorder="1" applyAlignment="1">
      <alignment vertical="center"/>
    </xf>
    <xf numFmtId="0" fontId="0" fillId="0" borderId="74" xfId="0" applyBorder="1" applyAlignment="1">
      <alignment horizontal="left" vertical="center"/>
    </xf>
    <xf numFmtId="0" fontId="0" fillId="0" borderId="76" xfId="0" applyBorder="1" applyAlignment="1">
      <alignment horizontal="left" vertical="center"/>
    </xf>
    <xf numFmtId="0" fontId="0" fillId="0" borderId="72" xfId="0" applyBorder="1" applyAlignment="1">
      <alignment horizontal="left" vertical="center"/>
    </xf>
    <xf numFmtId="0" fontId="0" fillId="4" borderId="74" xfId="0" applyFill="1" applyBorder="1" applyAlignment="1">
      <alignment horizontal="left" vertical="center"/>
    </xf>
    <xf numFmtId="0" fontId="0" fillId="4" borderId="76" xfId="0" applyFill="1" applyBorder="1" applyAlignment="1">
      <alignment horizontal="left" vertical="center"/>
    </xf>
    <xf numFmtId="0" fontId="3" fillId="23" borderId="27" xfId="0" applyFont="1" applyFill="1" applyBorder="1" applyAlignment="1">
      <alignment horizontal="left"/>
    </xf>
    <xf numFmtId="0" fontId="3" fillId="23" borderId="34" xfId="0" applyFont="1" applyFill="1" applyBorder="1" applyAlignment="1">
      <alignment horizontal="left"/>
    </xf>
    <xf numFmtId="0" fontId="9" fillId="16" borderId="4" xfId="0" applyFont="1" applyFill="1" applyBorder="1" applyAlignment="1">
      <alignment horizontal="center" vertical="center" wrapText="1"/>
    </xf>
    <xf numFmtId="0" fontId="16" fillId="16" borderId="55" xfId="0" applyFont="1" applyFill="1" applyBorder="1"/>
    <xf numFmtId="0" fontId="16" fillId="16" borderId="38" xfId="0" applyFont="1" applyFill="1" applyBorder="1"/>
    <xf numFmtId="0" fontId="0" fillId="4" borderId="67" xfId="0" applyFill="1" applyBorder="1" applyAlignment="1">
      <alignment horizontal="left" vertical="center"/>
    </xf>
    <xf numFmtId="0" fontId="0" fillId="4" borderId="68" xfId="0" applyFill="1" applyBorder="1" applyAlignment="1">
      <alignment horizontal="left" vertical="center"/>
    </xf>
    <xf numFmtId="0" fontId="0" fillId="16" borderId="66" xfId="0" applyFill="1" applyBorder="1" applyAlignment="1">
      <alignment horizontal="left" vertical="center"/>
    </xf>
    <xf numFmtId="0" fontId="0" fillId="16" borderId="67" xfId="0" applyFill="1" applyBorder="1" applyAlignment="1">
      <alignment horizontal="left" vertical="center"/>
    </xf>
    <xf numFmtId="0" fontId="0" fillId="16" borderId="67" xfId="0" applyFill="1" applyBorder="1"/>
    <xf numFmtId="0" fontId="0" fillId="16" borderId="112" xfId="0" applyFill="1" applyBorder="1"/>
    <xf numFmtId="0" fontId="0" fillId="16" borderId="191" xfId="0" applyFill="1" applyBorder="1" applyAlignment="1">
      <alignment horizontal="left" vertical="center"/>
    </xf>
    <xf numFmtId="0" fontId="0" fillId="16" borderId="112" xfId="0" applyFill="1" applyBorder="1" applyAlignment="1">
      <alignment horizontal="left" vertical="center"/>
    </xf>
    <xf numFmtId="0" fontId="0" fillId="16" borderId="192" xfId="0" applyFill="1" applyBorder="1"/>
    <xf numFmtId="0" fontId="0" fillId="16" borderId="191" xfId="0" applyFill="1" applyBorder="1"/>
    <xf numFmtId="0" fontId="0" fillId="16" borderId="190" xfId="0" applyFill="1" applyBorder="1" applyAlignment="1">
      <alignment horizontal="left" vertical="center"/>
    </xf>
    <xf numFmtId="0" fontId="0" fillId="19" borderId="10" xfId="0" applyFill="1" applyBorder="1"/>
    <xf numFmtId="0" fontId="0" fillId="19" borderId="7" xfId="0" applyFill="1" applyBorder="1"/>
    <xf numFmtId="1" fontId="43" fillId="4" borderId="0" xfId="0" applyNumberFormat="1" applyFont="1" applyFill="1"/>
    <xf numFmtId="0" fontId="0" fillId="0" borderId="85" xfId="0" applyBorder="1"/>
    <xf numFmtId="0" fontId="0" fillId="0" borderId="151" xfId="0" applyBorder="1"/>
    <xf numFmtId="0" fontId="0" fillId="0" borderId="155" xfId="0" applyBorder="1"/>
    <xf numFmtId="0" fontId="0" fillId="4" borderId="85" xfId="0" applyFill="1" applyBorder="1" applyAlignment="1">
      <alignment horizontal="left" vertical="center"/>
    </xf>
    <xf numFmtId="0" fontId="0" fillId="4" borderId="151" xfId="0" applyFill="1" applyBorder="1" applyAlignment="1">
      <alignment horizontal="left" vertical="center"/>
    </xf>
    <xf numFmtId="0" fontId="0" fillId="4" borderId="72" xfId="0" applyFill="1" applyBorder="1" applyAlignment="1">
      <alignment horizontal="left" vertical="center"/>
    </xf>
    <xf numFmtId="0" fontId="0" fillId="4" borderId="43" xfId="0" applyFill="1" applyBorder="1" applyAlignment="1">
      <alignment vertical="top"/>
    </xf>
    <xf numFmtId="0" fontId="80" fillId="19" borderId="0" xfId="62" applyNumberFormat="1" applyFont="1" applyAlignment="1">
      <alignment horizontal="left" vertical="center"/>
    </xf>
    <xf numFmtId="0" fontId="0" fillId="80" borderId="0" xfId="0" applyFill="1"/>
    <xf numFmtId="0" fontId="94" fillId="80" borderId="0" xfId="0" applyFont="1" applyFill="1" applyAlignment="1">
      <alignment vertical="center"/>
    </xf>
    <xf numFmtId="0" fontId="9" fillId="12" borderId="59" xfId="0" applyFont="1" applyFill="1" applyBorder="1" applyAlignment="1">
      <alignment horizontal="left"/>
    </xf>
    <xf numFmtId="0" fontId="3" fillId="12" borderId="75" xfId="0" quotePrefix="1" applyFont="1" applyFill="1" applyBorder="1" applyAlignment="1">
      <alignment horizontal="center" vertical="top"/>
    </xf>
    <xf numFmtId="0" fontId="3" fillId="5" borderId="34" xfId="0" applyFont="1" applyFill="1" applyBorder="1" applyAlignment="1">
      <alignment vertical="center"/>
    </xf>
    <xf numFmtId="0" fontId="33" fillId="5" borderId="38" xfId="0" quotePrefix="1" applyFont="1" applyFill="1" applyBorder="1" applyAlignment="1">
      <alignment vertical="center"/>
    </xf>
    <xf numFmtId="0" fontId="33" fillId="5" borderId="75" xfId="0" quotePrefix="1" applyFont="1" applyFill="1" applyBorder="1" applyAlignment="1">
      <alignment vertical="center"/>
    </xf>
    <xf numFmtId="0" fontId="33" fillId="5" borderId="70" xfId="0" applyFont="1" applyFill="1" applyBorder="1" applyAlignment="1">
      <alignment vertical="center"/>
    </xf>
    <xf numFmtId="0" fontId="0" fillId="5" borderId="70" xfId="0" applyFill="1" applyBorder="1" applyAlignment="1">
      <alignment vertical="center"/>
    </xf>
    <xf numFmtId="0" fontId="0" fillId="5" borderId="76" xfId="0" applyFill="1" applyBorder="1" applyAlignment="1">
      <alignment vertical="center"/>
    </xf>
    <xf numFmtId="0" fontId="9" fillId="25" borderId="0" xfId="0" applyFont="1" applyFill="1" applyAlignment="1" applyProtection="1">
      <alignment horizontal="left"/>
      <protection locked="0"/>
    </xf>
    <xf numFmtId="0" fontId="33" fillId="5" borderId="0" xfId="0" applyFont="1" applyFill="1" applyAlignment="1" applyProtection="1">
      <alignment horizontal="left"/>
      <protection locked="0"/>
    </xf>
    <xf numFmtId="0" fontId="31" fillId="5" borderId="0" xfId="0" applyFont="1" applyFill="1" applyAlignment="1" applyProtection="1">
      <alignment horizontal="left" vertical="top"/>
      <protection locked="0"/>
    </xf>
    <xf numFmtId="0" fontId="6" fillId="5" borderId="0" xfId="0" applyFont="1" applyFill="1" applyAlignment="1" applyProtection="1">
      <alignment horizontal="left"/>
      <protection locked="0"/>
    </xf>
    <xf numFmtId="0" fontId="4" fillId="5" borderId="0" xfId="0" applyFont="1" applyFill="1" applyAlignment="1" applyProtection="1">
      <alignment horizontal="left" wrapText="1"/>
      <protection locked="0"/>
    </xf>
    <xf numFmtId="0" fontId="33" fillId="5" borderId="0" xfId="0" applyFont="1" applyFill="1" applyAlignment="1" applyProtection="1">
      <alignment horizontal="left" vertical="center"/>
      <protection locked="0"/>
    </xf>
    <xf numFmtId="0" fontId="6" fillId="5" borderId="10" xfId="0" applyFont="1" applyFill="1" applyBorder="1" applyAlignment="1" applyProtection="1">
      <alignment horizontal="left"/>
      <protection locked="0"/>
    </xf>
    <xf numFmtId="0" fontId="4" fillId="5" borderId="10" xfId="0" applyFont="1" applyFill="1" applyBorder="1" applyAlignment="1" applyProtection="1">
      <alignment horizontal="left" wrapText="1"/>
      <protection locked="0"/>
    </xf>
    <xf numFmtId="14" fontId="3" fillId="25" borderId="6" xfId="0" quotePrefix="1" applyNumberFormat="1" applyFont="1" applyFill="1" applyBorder="1" applyAlignment="1" applyProtection="1">
      <alignment horizontal="left" vertical="top"/>
      <protection locked="0"/>
    </xf>
    <xf numFmtId="0" fontId="32" fillId="5" borderId="6" xfId="0" applyFont="1" applyFill="1" applyBorder="1" applyAlignment="1" applyProtection="1">
      <alignment horizontal="left"/>
      <protection locked="0"/>
    </xf>
    <xf numFmtId="0" fontId="31" fillId="5" borderId="6" xfId="0" applyFont="1" applyFill="1" applyBorder="1" applyAlignment="1" applyProtection="1">
      <alignment horizontal="left" vertical="top"/>
      <protection locked="0"/>
    </xf>
    <xf numFmtId="0" fontId="33" fillId="5" borderId="6" xfId="0" applyFont="1" applyFill="1" applyBorder="1" applyAlignment="1" applyProtection="1">
      <alignment horizontal="left" vertical="top"/>
      <protection locked="0"/>
    </xf>
    <xf numFmtId="0" fontId="33" fillId="5" borderId="7" xfId="0" applyFont="1" applyFill="1" applyBorder="1" applyAlignment="1" applyProtection="1">
      <alignment horizontal="left" vertical="top"/>
      <protection locked="0"/>
    </xf>
    <xf numFmtId="0" fontId="3" fillId="5" borderId="9" xfId="0" applyFont="1" applyFill="1" applyBorder="1" applyAlignment="1" applyProtection="1">
      <alignment horizontal="left" indent="2"/>
      <protection locked="0"/>
    </xf>
    <xf numFmtId="0" fontId="3" fillId="5" borderId="9" xfId="0" applyFont="1" applyFill="1" applyBorder="1" applyAlignment="1" applyProtection="1">
      <alignment horizontal="left" vertical="center" indent="2"/>
      <protection locked="0"/>
    </xf>
    <xf numFmtId="0" fontId="3" fillId="5" borderId="5" xfId="0" applyFont="1" applyFill="1" applyBorder="1" applyAlignment="1" applyProtection="1">
      <alignment horizontal="left" vertical="top" indent="2"/>
      <protection locked="0"/>
    </xf>
    <xf numFmtId="0" fontId="3" fillId="5" borderId="58" xfId="0" applyFont="1" applyFill="1" applyBorder="1" applyAlignment="1">
      <alignment horizontal="left" indent="2"/>
    </xf>
    <xf numFmtId="0" fontId="3" fillId="5" borderId="147" xfId="0" applyFont="1" applyFill="1" applyBorder="1" applyAlignment="1">
      <alignment horizontal="left" vertical="top" indent="2"/>
    </xf>
    <xf numFmtId="0" fontId="3" fillId="5" borderId="144" xfId="0" applyFont="1" applyFill="1" applyBorder="1" applyAlignment="1">
      <alignment horizontal="left" vertical="top" indent="2"/>
    </xf>
    <xf numFmtId="0" fontId="3" fillId="5" borderId="145" xfId="0" applyFont="1" applyFill="1" applyBorder="1" applyAlignment="1">
      <alignment horizontal="left" vertical="top" indent="2"/>
    </xf>
    <xf numFmtId="0" fontId="3" fillId="5" borderId="34" xfId="0" applyFont="1" applyFill="1" applyBorder="1" applyAlignment="1">
      <alignment horizontal="left" vertical="top" indent="1"/>
    </xf>
    <xf numFmtId="0" fontId="3" fillId="5" borderId="34" xfId="0" applyFont="1" applyFill="1" applyBorder="1" applyAlignment="1">
      <alignment horizontal="left" vertical="center"/>
    </xf>
    <xf numFmtId="0" fontId="3" fillId="5" borderId="38" xfId="0" applyFont="1" applyFill="1" applyBorder="1" applyAlignment="1">
      <alignment horizontal="center" vertical="center"/>
    </xf>
    <xf numFmtId="0" fontId="3" fillId="5" borderId="34" xfId="0" applyFont="1" applyFill="1" applyBorder="1" applyAlignment="1">
      <alignment horizontal="left" vertical="center" indent="2"/>
    </xf>
    <xf numFmtId="0" fontId="0" fillId="14" borderId="1" xfId="0" applyFill="1" applyBorder="1" applyAlignment="1">
      <alignment horizontal="left" indent="1"/>
    </xf>
    <xf numFmtId="0" fontId="0" fillId="14" borderId="154" xfId="0" applyFill="1" applyBorder="1" applyAlignment="1">
      <alignment horizontal="left" indent="1"/>
    </xf>
    <xf numFmtId="0" fontId="0" fillId="14" borderId="122" xfId="0" applyFill="1" applyBorder="1" applyAlignment="1">
      <alignment horizontal="left" indent="1"/>
    </xf>
    <xf numFmtId="0" fontId="0" fillId="14" borderId="14" xfId="0" applyFill="1" applyBorder="1" applyAlignment="1">
      <alignment horizontal="left" indent="1"/>
    </xf>
    <xf numFmtId="0" fontId="0" fillId="14" borderId="153" xfId="0" applyFill="1" applyBorder="1" applyAlignment="1">
      <alignment horizontal="left" indent="1"/>
    </xf>
    <xf numFmtId="0" fontId="0" fillId="14" borderId="152" xfId="0" applyFill="1" applyBorder="1" applyAlignment="1">
      <alignment horizontal="left" indent="1"/>
    </xf>
    <xf numFmtId="0" fontId="0" fillId="14" borderId="17" xfId="0" applyFill="1" applyBorder="1" applyAlignment="1">
      <alignment horizontal="left" indent="1"/>
    </xf>
    <xf numFmtId="0" fontId="3" fillId="5" borderId="50" xfId="0" quotePrefix="1" applyFont="1" applyFill="1" applyBorder="1" applyAlignment="1">
      <alignment horizontal="center" vertical="top"/>
    </xf>
    <xf numFmtId="0" fontId="21" fillId="28" borderId="195" xfId="0" applyFont="1" applyFill="1" applyBorder="1"/>
    <xf numFmtId="0" fontId="22" fillId="28" borderId="196" xfId="0" applyFont="1" applyFill="1" applyBorder="1"/>
    <xf numFmtId="0" fontId="17" fillId="28" borderId="196" xfId="0" applyFont="1" applyFill="1" applyBorder="1"/>
    <xf numFmtId="0" fontId="17" fillId="28" borderId="197" xfId="0" applyFont="1" applyFill="1" applyBorder="1"/>
    <xf numFmtId="0" fontId="22" fillId="28" borderId="166" xfId="0" applyFont="1" applyFill="1" applyBorder="1"/>
    <xf numFmtId="0" fontId="17" fillId="28" borderId="166" xfId="0" applyFont="1" applyFill="1" applyBorder="1"/>
    <xf numFmtId="0" fontId="17" fillId="28" borderId="165" xfId="0" applyFont="1" applyFill="1" applyBorder="1"/>
    <xf numFmtId="0" fontId="0" fillId="5" borderId="38" xfId="0" applyFill="1" applyBorder="1"/>
    <xf numFmtId="0" fontId="0" fillId="5" borderId="67" xfId="0" applyFill="1" applyBorder="1"/>
    <xf numFmtId="0" fontId="33" fillId="5" borderId="50" xfId="0" applyFont="1" applyFill="1" applyBorder="1" applyAlignment="1">
      <alignment vertical="top"/>
    </xf>
    <xf numFmtId="0" fontId="0" fillId="5" borderId="50" xfId="0" applyFill="1" applyBorder="1"/>
    <xf numFmtId="0" fontId="0" fillId="5" borderId="68" xfId="0" applyFill="1" applyBorder="1"/>
    <xf numFmtId="0" fontId="0" fillId="5" borderId="55" xfId="0" applyFill="1" applyBorder="1" applyAlignment="1">
      <alignment vertical="center"/>
    </xf>
    <xf numFmtId="0" fontId="0" fillId="5" borderId="66" xfId="0" applyFill="1" applyBorder="1" applyAlignment="1">
      <alignment vertical="center"/>
    </xf>
    <xf numFmtId="0" fontId="3" fillId="5" borderId="42" xfId="0" applyFont="1" applyFill="1" applyBorder="1" applyAlignment="1">
      <alignment horizontal="left" vertical="top" indent="1"/>
    </xf>
    <xf numFmtId="0" fontId="7" fillId="0" borderId="1" xfId="0" applyFont="1" applyBorder="1" applyAlignment="1">
      <alignment horizontal="left"/>
    </xf>
    <xf numFmtId="0" fontId="6" fillId="4" borderId="2" xfId="0" applyFont="1" applyFill="1" applyBorder="1"/>
    <xf numFmtId="0" fontId="7" fillId="4" borderId="9" xfId="0" applyFont="1" applyFill="1" applyBorder="1"/>
    <xf numFmtId="0" fontId="6" fillId="4" borderId="10" xfId="0" applyFont="1" applyFill="1" applyBorder="1"/>
    <xf numFmtId="0" fontId="7" fillId="0" borderId="5" xfId="0" applyFont="1" applyBorder="1"/>
    <xf numFmtId="0" fontId="6" fillId="4" borderId="7" xfId="0" applyFont="1" applyFill="1" applyBorder="1"/>
    <xf numFmtId="0" fontId="21" fillId="84" borderId="108" xfId="0" applyFont="1" applyFill="1" applyBorder="1"/>
    <xf numFmtId="0" fontId="22" fillId="84" borderId="109" xfId="0" applyFont="1" applyFill="1" applyBorder="1"/>
    <xf numFmtId="0" fontId="17" fillId="84" borderId="109" xfId="0" applyFont="1" applyFill="1" applyBorder="1"/>
    <xf numFmtId="0" fontId="17" fillId="84" borderId="110" xfId="0" applyFont="1" applyFill="1" applyBorder="1"/>
    <xf numFmtId="0" fontId="21" fillId="84" borderId="23" xfId="0" applyFont="1" applyFill="1" applyBorder="1"/>
    <xf numFmtId="0" fontId="22" fillId="84" borderId="24" xfId="0" applyFont="1" applyFill="1" applyBorder="1"/>
    <xf numFmtId="0" fontId="17" fillId="84" borderId="24" xfId="0" applyFont="1" applyFill="1" applyBorder="1"/>
    <xf numFmtId="0" fontId="22" fillId="84" borderId="95" xfId="0" applyFont="1" applyFill="1" applyBorder="1"/>
    <xf numFmtId="0" fontId="0" fillId="31" borderId="154" xfId="0" quotePrefix="1" applyFill="1" applyBorder="1" applyAlignment="1">
      <alignment horizontal="center"/>
    </xf>
    <xf numFmtId="0" fontId="0" fillId="31" borderId="122" xfId="0" applyFill="1" applyBorder="1" applyAlignment="1">
      <alignment horizontal="center"/>
    </xf>
    <xf numFmtId="0" fontId="0" fillId="31" borderId="14" xfId="0" applyFill="1" applyBorder="1" applyAlignment="1">
      <alignment horizontal="center"/>
    </xf>
    <xf numFmtId="0" fontId="0" fillId="31" borderId="154" xfId="0" applyFill="1" applyBorder="1" applyAlignment="1">
      <alignment horizontal="center"/>
    </xf>
    <xf numFmtId="0" fontId="0" fillId="31" borderId="153" xfId="0" applyFill="1" applyBorder="1" applyAlignment="1">
      <alignment horizontal="center"/>
    </xf>
    <xf numFmtId="0" fontId="0" fillId="31" borderId="152" xfId="0" applyFill="1" applyBorder="1" applyAlignment="1">
      <alignment horizontal="center"/>
    </xf>
    <xf numFmtId="0" fontId="0" fillId="31" borderId="17" xfId="0" applyFill="1" applyBorder="1" applyAlignment="1">
      <alignment horizontal="center"/>
    </xf>
    <xf numFmtId="0" fontId="0" fillId="14" borderId="122" xfId="0" applyFill="1" applyBorder="1" applyAlignment="1">
      <alignment horizontal="left"/>
    </xf>
    <xf numFmtId="0" fontId="0" fillId="14" borderId="70" xfId="0" applyFill="1" applyBorder="1"/>
    <xf numFmtId="0" fontId="0" fillId="14" borderId="76" xfId="0" applyFill="1" applyBorder="1"/>
    <xf numFmtId="0" fontId="0" fillId="14" borderId="70" xfId="0" quotePrefix="1" applyFill="1" applyBorder="1"/>
    <xf numFmtId="0" fontId="0" fillId="14" borderId="17" xfId="0" applyFill="1" applyBorder="1" applyAlignment="1">
      <alignment horizontal="left"/>
    </xf>
    <xf numFmtId="0" fontId="0" fillId="14" borderId="77" xfId="0" applyFill="1" applyBorder="1"/>
    <xf numFmtId="0" fontId="0" fillId="14" borderId="78" xfId="0" applyFill="1" applyBorder="1"/>
    <xf numFmtId="0" fontId="0" fillId="14" borderId="152" xfId="0" applyFill="1" applyBorder="1" applyAlignment="1">
      <alignment horizontal="left"/>
    </xf>
    <xf numFmtId="0" fontId="0" fillId="14" borderId="84" xfId="0" applyFill="1" applyBorder="1"/>
    <xf numFmtId="0" fontId="0" fillId="14" borderId="85" xfId="0" applyFill="1" applyBorder="1"/>
    <xf numFmtId="0" fontId="0" fillId="14" borderId="130" xfId="0" applyFill="1" applyBorder="1" applyAlignment="1">
      <alignment horizontal="left"/>
    </xf>
    <xf numFmtId="0" fontId="0" fillId="14" borderId="198" xfId="0" applyFill="1" applyBorder="1"/>
    <xf numFmtId="0" fontId="0" fillId="14" borderId="199" xfId="0" applyFill="1" applyBorder="1"/>
    <xf numFmtId="0" fontId="0" fillId="14" borderId="153" xfId="0" applyFill="1" applyBorder="1" applyAlignment="1">
      <alignment horizontal="left"/>
    </xf>
    <xf numFmtId="0" fontId="0" fillId="14" borderId="150" xfId="0" applyFill="1" applyBorder="1"/>
    <xf numFmtId="0" fontId="0" fillId="14" borderId="151" xfId="0" applyFill="1" applyBorder="1"/>
    <xf numFmtId="0" fontId="0" fillId="14" borderId="9" xfId="0" applyFill="1" applyBorder="1" applyAlignment="1">
      <alignment horizontal="left" indent="1"/>
    </xf>
    <xf numFmtId="0" fontId="0" fillId="31" borderId="9" xfId="0" applyFill="1" applyBorder="1" applyAlignment="1">
      <alignment horizontal="center"/>
    </xf>
    <xf numFmtId="0" fontId="0" fillId="14" borderId="16" xfId="0" applyFill="1" applyBorder="1"/>
    <xf numFmtId="0" fontId="0" fillId="14" borderId="90" xfId="0" applyFill="1" applyBorder="1"/>
    <xf numFmtId="0" fontId="0" fillId="14" borderId="40" xfId="0" applyFill="1" applyBorder="1" applyAlignment="1">
      <alignment horizontal="left" indent="1"/>
    </xf>
    <xf numFmtId="0" fontId="0" fillId="31" borderId="40" xfId="0" applyFill="1" applyBorder="1" applyAlignment="1">
      <alignment horizontal="center"/>
    </xf>
    <xf numFmtId="0" fontId="0" fillId="14" borderId="25" xfId="0" applyFill="1" applyBorder="1" applyAlignment="1">
      <alignment horizontal="left"/>
    </xf>
    <xf numFmtId="0" fontId="0" fillId="14" borderId="200" xfId="0" applyFill="1" applyBorder="1"/>
    <xf numFmtId="0" fontId="66" fillId="31" borderId="1" xfId="0" applyFont="1" applyFill="1" applyBorder="1" applyAlignment="1">
      <alignment horizontal="center"/>
    </xf>
    <xf numFmtId="0" fontId="66" fillId="31" borderId="153" xfId="0" applyFont="1" applyFill="1" applyBorder="1" applyAlignment="1">
      <alignment horizontal="center"/>
    </xf>
    <xf numFmtId="0" fontId="33" fillId="12" borderId="38" xfId="0" quotePrefix="1" applyFont="1" applyFill="1" applyBorder="1" applyAlignment="1">
      <alignment horizontal="center" vertical="top"/>
    </xf>
    <xf numFmtId="0" fontId="33" fillId="5" borderId="38" xfId="0" applyFont="1" applyFill="1" applyBorder="1" applyAlignment="1">
      <alignment vertical="center"/>
    </xf>
    <xf numFmtId="0" fontId="0" fillId="5" borderId="38" xfId="0" applyFill="1" applyBorder="1" applyAlignment="1">
      <alignment vertical="center"/>
    </xf>
    <xf numFmtId="0" fontId="0" fillId="5" borderId="67" xfId="0" applyFill="1" applyBorder="1" applyAlignment="1">
      <alignment vertical="center"/>
    </xf>
    <xf numFmtId="0" fontId="3" fillId="5" borderId="59" xfId="0" applyFont="1" applyFill="1" applyBorder="1" applyAlignment="1" applyProtection="1">
      <alignment horizontal="left" vertical="center"/>
      <protection locked="0"/>
    </xf>
    <xf numFmtId="0" fontId="3" fillId="5" borderId="30" xfId="0" quotePrefix="1" applyFont="1" applyFill="1" applyBorder="1" applyAlignment="1">
      <alignment horizontal="center" vertical="center"/>
    </xf>
    <xf numFmtId="0" fontId="0" fillId="5" borderId="30" xfId="0" applyFill="1" applyBorder="1" applyAlignment="1">
      <alignment vertical="center"/>
    </xf>
    <xf numFmtId="0" fontId="21" fillId="28" borderId="201" xfId="0" applyFont="1" applyFill="1" applyBorder="1"/>
    <xf numFmtId="0" fontId="3" fillId="12" borderId="79" xfId="0" applyFont="1" applyFill="1" applyBorder="1" applyAlignment="1">
      <alignment horizontal="left" vertical="top" indent="4"/>
    </xf>
    <xf numFmtId="0" fontId="3" fillId="12" borderId="84" xfId="0" applyFont="1" applyFill="1" applyBorder="1" applyAlignment="1">
      <alignment horizontal="center" vertical="center" wrapText="1"/>
    </xf>
    <xf numFmtId="0" fontId="33" fillId="12" borderId="30" xfId="0" quotePrefix="1" applyFont="1" applyFill="1" applyBorder="1" applyAlignment="1">
      <alignment vertical="center"/>
    </xf>
    <xf numFmtId="0" fontId="37" fillId="12" borderId="75" xfId="0" applyFont="1" applyFill="1" applyBorder="1" applyAlignment="1">
      <alignment horizontal="left" vertical="center"/>
    </xf>
    <xf numFmtId="0" fontId="33" fillId="12" borderId="84" xfId="0" applyFont="1" applyFill="1" applyBorder="1" applyAlignment="1">
      <alignment vertical="center"/>
    </xf>
    <xf numFmtId="0" fontId="33" fillId="12" borderId="70" xfId="0" applyFont="1" applyFill="1" applyBorder="1" applyAlignment="1">
      <alignment vertical="center"/>
    </xf>
    <xf numFmtId="0" fontId="0" fillId="12" borderId="70" xfId="0" applyFill="1" applyBorder="1" applyAlignment="1">
      <alignment vertical="center"/>
    </xf>
    <xf numFmtId="0" fontId="0" fillId="12" borderId="76" xfId="0" applyFill="1" applyBorder="1" applyAlignment="1">
      <alignment vertical="center"/>
    </xf>
    <xf numFmtId="0" fontId="30" fillId="12" borderId="30" xfId="0" quotePrefix="1" applyFont="1" applyFill="1" applyBorder="1" applyAlignment="1">
      <alignment horizontal="center"/>
    </xf>
    <xf numFmtId="0" fontId="37" fillId="12" borderId="83" xfId="0" applyFont="1" applyFill="1" applyBorder="1" applyAlignment="1">
      <alignment horizontal="left" vertical="center"/>
    </xf>
    <xf numFmtId="0" fontId="0" fillId="12" borderId="84" xfId="0" applyFill="1" applyBorder="1" applyAlignment="1">
      <alignment vertical="center"/>
    </xf>
    <xf numFmtId="0" fontId="0" fillId="12" borderId="85" xfId="0" applyFill="1" applyBorder="1" applyAlignment="1">
      <alignment vertical="center"/>
    </xf>
    <xf numFmtId="0" fontId="33" fillId="12" borderId="202" xfId="0" quotePrefix="1" applyFont="1" applyFill="1" applyBorder="1" applyAlignment="1">
      <alignment vertical="top"/>
    </xf>
    <xf numFmtId="0" fontId="33" fillId="12" borderId="203" xfId="0" applyFont="1" applyFill="1" applyBorder="1" applyAlignment="1">
      <alignment vertical="top"/>
    </xf>
    <xf numFmtId="0" fontId="0" fillId="12" borderId="203" xfId="0" applyFill="1" applyBorder="1"/>
    <xf numFmtId="0" fontId="0" fillId="12" borderId="204" xfId="0" applyFill="1" applyBorder="1"/>
    <xf numFmtId="0" fontId="20" fillId="29" borderId="0" xfId="0" applyFont="1" applyFill="1" applyAlignment="1">
      <alignment horizontal="center" vertical="top"/>
    </xf>
    <xf numFmtId="0" fontId="20" fillId="29" borderId="0" xfId="0" applyFont="1" applyFill="1" applyAlignment="1">
      <alignment horizontal="left" vertical="top"/>
    </xf>
    <xf numFmtId="0" fontId="3" fillId="0" borderId="16" xfId="0" applyFont="1" applyBorder="1" applyAlignment="1">
      <alignment horizontal="center" vertical="top"/>
    </xf>
    <xf numFmtId="0" fontId="3" fillId="13" borderId="16" xfId="0" applyFont="1" applyFill="1" applyBorder="1" applyAlignment="1">
      <alignment horizontal="center" vertical="top"/>
    </xf>
    <xf numFmtId="0" fontId="3" fillId="3" borderId="16" xfId="0" applyFont="1" applyFill="1" applyBorder="1" applyAlignment="1">
      <alignment horizontal="center" vertical="top"/>
    </xf>
    <xf numFmtId="1" fontId="6" fillId="0" borderId="15" xfId="0" applyNumberFormat="1" applyFont="1" applyBorder="1" applyAlignment="1">
      <alignment horizontal="center" vertical="top"/>
    </xf>
    <xf numFmtId="1" fontId="6" fillId="0" borderId="16" xfId="0" applyNumberFormat="1" applyFont="1" applyBorder="1" applyAlignment="1">
      <alignment horizontal="center" vertical="top"/>
    </xf>
    <xf numFmtId="1" fontId="6" fillId="86" borderId="15" xfId="0" applyNumberFormat="1" applyFont="1" applyFill="1" applyBorder="1" applyAlignment="1">
      <alignment horizontal="center" vertical="top"/>
    </xf>
    <xf numFmtId="1" fontId="6" fillId="86" borderId="16" xfId="0" applyNumberFormat="1" applyFont="1" applyFill="1" applyBorder="1" applyAlignment="1">
      <alignment horizontal="center" vertical="top"/>
    </xf>
    <xf numFmtId="0" fontId="3" fillId="86" borderId="14" xfId="0" applyFont="1" applyFill="1" applyBorder="1" applyAlignment="1">
      <alignment horizontal="center" vertical="top"/>
    </xf>
    <xf numFmtId="0" fontId="3" fillId="0" borderId="14" xfId="0" applyFont="1" applyBorder="1" applyAlignment="1">
      <alignment horizontal="center" vertical="top"/>
    </xf>
    <xf numFmtId="0" fontId="14" fillId="86" borderId="14" xfId="0" applyFont="1" applyFill="1" applyBorder="1" applyAlignment="1">
      <alignment horizontal="center" vertical="top"/>
    </xf>
    <xf numFmtId="0" fontId="0" fillId="21" borderId="27" xfId="0" applyFill="1" applyBorder="1" applyAlignment="1">
      <alignment horizontal="left" vertical="center" wrapText="1"/>
    </xf>
    <xf numFmtId="0" fontId="0" fillId="21" borderId="55" xfId="0" applyFill="1" applyBorder="1" applyAlignment="1">
      <alignment horizontal="left"/>
    </xf>
    <xf numFmtId="0" fontId="0" fillId="21" borderId="66" xfId="0" applyFill="1" applyBorder="1" applyAlignment="1">
      <alignment horizontal="left"/>
    </xf>
    <xf numFmtId="0" fontId="0" fillId="21" borderId="34" xfId="0" applyFill="1" applyBorder="1" applyAlignment="1">
      <alignment horizontal="left" vertical="center" wrapText="1"/>
    </xf>
    <xf numFmtId="0" fontId="0" fillId="21" borderId="38" xfId="0" applyFill="1" applyBorder="1" applyAlignment="1">
      <alignment horizontal="left" vertical="top"/>
    </xf>
    <xf numFmtId="0" fontId="0" fillId="0" borderId="67" xfId="0" applyBorder="1" applyAlignment="1">
      <alignment horizontal="left"/>
    </xf>
    <xf numFmtId="0" fontId="0" fillId="21" borderId="42" xfId="0" applyFill="1" applyBorder="1" applyAlignment="1">
      <alignment horizontal="left" vertical="center" wrapText="1"/>
    </xf>
    <xf numFmtId="0" fontId="0" fillId="0" borderId="50" xfId="0" applyBorder="1" applyAlignment="1">
      <alignment horizontal="left" vertical="top"/>
    </xf>
    <xf numFmtId="0" fontId="0" fillId="0" borderId="68" xfId="0" applyBorder="1" applyAlignment="1">
      <alignment horizontal="left"/>
    </xf>
    <xf numFmtId="0" fontId="13" fillId="4" borderId="12" xfId="0" applyFont="1" applyFill="1" applyBorder="1" applyAlignment="1">
      <alignment vertical="top"/>
    </xf>
    <xf numFmtId="0" fontId="20" fillId="18" borderId="207" xfId="0" applyFont="1" applyFill="1" applyBorder="1" applyAlignment="1">
      <alignment vertical="center" wrapText="1"/>
    </xf>
    <xf numFmtId="0" fontId="20" fillId="18" borderId="208" xfId="0" applyFont="1" applyFill="1" applyBorder="1" applyAlignment="1">
      <alignment vertical="center" wrapText="1"/>
    </xf>
    <xf numFmtId="49" fontId="20" fillId="18" borderId="2" xfId="0" applyNumberFormat="1" applyFont="1" applyFill="1" applyBorder="1" applyAlignment="1">
      <alignment vertical="center" wrapText="1"/>
    </xf>
    <xf numFmtId="49" fontId="20" fillId="18" borderId="209" xfId="0" applyNumberFormat="1" applyFont="1" applyFill="1" applyBorder="1" applyAlignment="1">
      <alignment vertical="center" wrapText="1"/>
    </xf>
    <xf numFmtId="49" fontId="6" fillId="18" borderId="1" xfId="0" applyNumberFormat="1" applyFont="1" applyFill="1" applyBorder="1"/>
    <xf numFmtId="49" fontId="11" fillId="18" borderId="1" xfId="0" applyNumberFormat="1" applyFont="1" applyFill="1" applyBorder="1"/>
    <xf numFmtId="0" fontId="6" fillId="18" borderId="4" xfId="0" applyFont="1" applyFill="1" applyBorder="1" applyAlignment="1">
      <alignment vertical="center"/>
    </xf>
    <xf numFmtId="49" fontId="6" fillId="18" borderId="207" xfId="0" applyNumberFormat="1" applyFont="1" applyFill="1" applyBorder="1"/>
    <xf numFmtId="49" fontId="11" fillId="18" borderId="207" xfId="0" applyNumberFormat="1" applyFont="1" applyFill="1" applyBorder="1"/>
    <xf numFmtId="0" fontId="0" fillId="18" borderId="210" xfId="0" applyFill="1" applyBorder="1"/>
    <xf numFmtId="0" fontId="6" fillId="18" borderId="210" xfId="0" applyFont="1" applyFill="1" applyBorder="1" applyAlignment="1">
      <alignment vertical="center"/>
    </xf>
    <xf numFmtId="49" fontId="6" fillId="18" borderId="205" xfId="0" applyNumberFormat="1" applyFont="1" applyFill="1" applyBorder="1"/>
    <xf numFmtId="49" fontId="11" fillId="18" borderId="205" xfId="0" applyNumberFormat="1" applyFont="1" applyFill="1" applyBorder="1"/>
    <xf numFmtId="0" fontId="6" fillId="18" borderId="41" xfId="0" applyFont="1" applyFill="1" applyBorder="1" applyAlignment="1">
      <alignment vertical="center"/>
    </xf>
    <xf numFmtId="0" fontId="66" fillId="31" borderId="9" xfId="0" applyFont="1" applyFill="1" applyBorder="1" applyAlignment="1">
      <alignment horizontal="center"/>
    </xf>
    <xf numFmtId="0" fontId="0" fillId="14" borderId="9" xfId="0" applyFill="1" applyBorder="1" applyAlignment="1">
      <alignment horizontal="left"/>
    </xf>
    <xf numFmtId="0" fontId="0" fillId="14" borderId="0" xfId="0" applyFill="1"/>
    <xf numFmtId="0" fontId="0" fillId="14" borderId="10" xfId="0" applyFill="1" applyBorder="1"/>
    <xf numFmtId="0" fontId="0" fillId="0" borderId="27" xfId="0" applyBorder="1"/>
    <xf numFmtId="0" fontId="2" fillId="0" borderId="66" xfId="0" applyFont="1" applyBorder="1"/>
    <xf numFmtId="0" fontId="0" fillId="0" borderId="34" xfId="0" applyBorder="1" applyAlignment="1">
      <alignment horizontal="right"/>
    </xf>
    <xf numFmtId="0" fontId="0" fillId="10" borderId="67" xfId="0" quotePrefix="1" applyFill="1" applyBorder="1" applyAlignment="1">
      <alignment horizontal="left"/>
    </xf>
    <xf numFmtId="0" fontId="0" fillId="0" borderId="42" xfId="0" applyBorder="1" applyAlignment="1">
      <alignment horizontal="right"/>
    </xf>
    <xf numFmtId="0" fontId="0" fillId="10" borderId="68" xfId="0" quotePrefix="1" applyFill="1" applyBorder="1" applyAlignment="1">
      <alignment horizontal="left"/>
    </xf>
    <xf numFmtId="0" fontId="0" fillId="0" borderId="20" xfId="0" applyBorder="1"/>
    <xf numFmtId="0" fontId="0" fillId="0" borderId="72" xfId="0" applyBorder="1"/>
    <xf numFmtId="0" fontId="3" fillId="5" borderId="211" xfId="0" applyFont="1" applyFill="1" applyBorder="1" applyAlignment="1" applyProtection="1">
      <alignment horizontal="left" indent="2"/>
      <protection locked="0"/>
    </xf>
    <xf numFmtId="0" fontId="9" fillId="30" borderId="69" xfId="0" applyFont="1" applyFill="1" applyBorder="1" applyAlignment="1" applyProtection="1">
      <alignment horizontal="left"/>
      <protection locked="0"/>
    </xf>
    <xf numFmtId="0" fontId="33" fillId="5" borderId="69" xfId="0" applyFont="1" applyFill="1" applyBorder="1" applyAlignment="1" applyProtection="1">
      <alignment horizontal="left"/>
      <protection locked="0"/>
    </xf>
    <xf numFmtId="0" fontId="31" fillId="5" borderId="69" xfId="0" applyFont="1" applyFill="1" applyBorder="1" applyAlignment="1" applyProtection="1">
      <alignment horizontal="left" vertical="top"/>
      <protection locked="0"/>
    </xf>
    <xf numFmtId="0" fontId="6" fillId="5" borderId="69" xfId="0" applyFont="1" applyFill="1" applyBorder="1" applyAlignment="1" applyProtection="1">
      <alignment horizontal="left"/>
      <protection locked="0"/>
    </xf>
    <xf numFmtId="0" fontId="6" fillId="5" borderId="126" xfId="0" applyFont="1" applyFill="1" applyBorder="1" applyAlignment="1" applyProtection="1">
      <alignment horizontal="left"/>
      <protection locked="0"/>
    </xf>
    <xf numFmtId="0" fontId="6" fillId="5" borderId="65" xfId="0" applyFont="1" applyFill="1" applyBorder="1"/>
    <xf numFmtId="0" fontId="76" fillId="27" borderId="0" xfId="0" applyFont="1" applyFill="1" applyAlignment="1">
      <alignment horizontal="right" vertical="center"/>
    </xf>
    <xf numFmtId="0" fontId="9" fillId="3" borderId="0" xfId="0" applyFont="1" applyFill="1" applyAlignment="1" applyProtection="1">
      <alignment horizontal="left"/>
      <protection locked="0"/>
    </xf>
    <xf numFmtId="0" fontId="33" fillId="3" borderId="0" xfId="0" applyFont="1" applyFill="1" applyAlignment="1" applyProtection="1">
      <alignment horizontal="left"/>
      <protection locked="0"/>
    </xf>
    <xf numFmtId="0" fontId="65" fillId="9" borderId="1" xfId="0" applyFont="1" applyFill="1" applyBorder="1" applyAlignment="1">
      <alignment vertical="top" wrapText="1"/>
    </xf>
    <xf numFmtId="0" fontId="9" fillId="9" borderId="1" xfId="0" applyFont="1" applyFill="1" applyBorder="1" applyAlignment="1">
      <alignment horizontal="center" vertical="top" wrapText="1"/>
    </xf>
    <xf numFmtId="0" fontId="9" fillId="9" borderId="206" xfId="0" applyFont="1" applyFill="1" applyBorder="1" applyAlignment="1">
      <alignment horizontal="center" vertical="top" wrapText="1"/>
    </xf>
    <xf numFmtId="0" fontId="10" fillId="14" borderId="2" xfId="0" applyFont="1" applyFill="1" applyBorder="1" applyAlignment="1">
      <alignment horizontal="right" vertical="top" wrapText="1"/>
    </xf>
    <xf numFmtId="0" fontId="9" fillId="35" borderId="2" xfId="0" applyFont="1" applyFill="1" applyBorder="1" applyAlignment="1">
      <alignment horizontal="right" vertical="top" wrapText="1"/>
    </xf>
    <xf numFmtId="0" fontId="9" fillId="9" borderId="2" xfId="0" applyFont="1" applyFill="1" applyBorder="1" applyAlignment="1">
      <alignment horizontal="right" vertical="top" wrapText="1"/>
    </xf>
    <xf numFmtId="0" fontId="9" fillId="34" borderId="2" xfId="0" applyFont="1" applyFill="1" applyBorder="1" applyAlignment="1">
      <alignment horizontal="right" vertical="top" wrapText="1"/>
    </xf>
    <xf numFmtId="0" fontId="9" fillId="34" borderId="2" xfId="0" applyFont="1" applyFill="1" applyBorder="1" applyAlignment="1">
      <alignment vertical="top" wrapText="1"/>
    </xf>
    <xf numFmtId="0" fontId="9" fillId="34" borderId="1" xfId="0" applyFont="1" applyFill="1" applyBorder="1" applyAlignment="1">
      <alignment vertical="top" wrapText="1"/>
    </xf>
    <xf numFmtId="0" fontId="9" fillId="34" borderId="4" xfId="0" applyFont="1" applyFill="1" applyBorder="1" applyAlignment="1">
      <alignment vertical="top" wrapText="1"/>
    </xf>
    <xf numFmtId="0" fontId="50" fillId="30" borderId="4" xfId="0" applyFont="1" applyFill="1" applyBorder="1" applyAlignment="1">
      <alignment horizontal="center"/>
    </xf>
    <xf numFmtId="0" fontId="50" fillId="30" borderId="210" xfId="0" applyFont="1" applyFill="1" applyBorder="1" applyAlignment="1">
      <alignment horizontal="center"/>
    </xf>
    <xf numFmtId="0" fontId="50" fillId="30" borderId="41" xfId="0" applyFont="1" applyFill="1" applyBorder="1" applyAlignment="1">
      <alignment horizontal="center"/>
    </xf>
    <xf numFmtId="0" fontId="10" fillId="12" borderId="2" xfId="0" applyFont="1" applyFill="1" applyBorder="1" applyAlignment="1">
      <alignment horizontal="right" vertical="top" wrapText="1"/>
    </xf>
    <xf numFmtId="0" fontId="10" fillId="15" borderId="2" xfId="0" applyFont="1" applyFill="1" applyBorder="1" applyAlignment="1">
      <alignment horizontal="right" vertical="top" wrapText="1"/>
    </xf>
    <xf numFmtId="0" fontId="9" fillId="3" borderId="19" xfId="0" applyFont="1" applyFill="1" applyBorder="1" applyAlignment="1">
      <alignment horizontal="centerContinuous" vertical="center" wrapText="1"/>
    </xf>
    <xf numFmtId="0" fontId="9" fillId="3" borderId="21" xfId="0" applyFont="1" applyFill="1" applyBorder="1" applyAlignment="1">
      <alignment horizontal="centerContinuous" vertical="center" wrapText="1"/>
    </xf>
    <xf numFmtId="0" fontId="16" fillId="5" borderId="55" xfId="0" applyFont="1" applyFill="1" applyBorder="1"/>
    <xf numFmtId="0" fontId="16" fillId="5" borderId="38" xfId="0" applyFont="1" applyFill="1" applyBorder="1"/>
    <xf numFmtId="170" fontId="3" fillId="0" borderId="15" xfId="0" applyNumberFormat="1" applyFont="1" applyBorder="1" applyAlignment="1">
      <alignment horizontal="center" vertical="center"/>
    </xf>
    <xf numFmtId="170" fontId="3" fillId="13" borderId="15" xfId="0" applyNumberFormat="1" applyFont="1" applyFill="1" applyBorder="1" applyAlignment="1">
      <alignment horizontal="center" vertical="center"/>
    </xf>
    <xf numFmtId="170" fontId="3" fillId="3" borderId="15" xfId="0" applyNumberFormat="1" applyFont="1" applyFill="1" applyBorder="1" applyAlignment="1">
      <alignment horizontal="center" vertical="center"/>
    </xf>
    <xf numFmtId="0" fontId="18" fillId="10" borderId="27" xfId="0" applyFont="1" applyFill="1" applyBorder="1" applyAlignment="1">
      <alignment vertical="center"/>
    </xf>
    <xf numFmtId="0" fontId="18" fillId="10" borderId="66" xfId="0" applyFont="1" applyFill="1" applyBorder="1" applyAlignment="1">
      <alignment vertical="center"/>
    </xf>
    <xf numFmtId="0" fontId="18" fillId="10" borderId="34" xfId="0" applyFont="1" applyFill="1" applyBorder="1" applyAlignment="1">
      <alignment vertical="center"/>
    </xf>
    <xf numFmtId="0" fontId="18" fillId="10" borderId="67" xfId="0" applyFont="1" applyFill="1" applyBorder="1" applyAlignment="1">
      <alignment vertical="center"/>
    </xf>
    <xf numFmtId="0" fontId="18" fillId="0" borderId="67" xfId="0" applyFont="1" applyBorder="1" applyAlignment="1">
      <alignment vertical="center"/>
    </xf>
    <xf numFmtId="0" fontId="18" fillId="0" borderId="34" xfId="0" applyFont="1" applyBorder="1" applyAlignment="1">
      <alignment vertical="center"/>
    </xf>
    <xf numFmtId="0" fontId="18" fillId="0" borderId="38" xfId="0" applyFont="1" applyBorder="1" applyAlignment="1">
      <alignment vertical="center"/>
    </xf>
    <xf numFmtId="0" fontId="18" fillId="0" borderId="42" xfId="0" applyFont="1" applyBorder="1" applyAlignment="1">
      <alignment vertical="center"/>
    </xf>
    <xf numFmtId="0" fontId="18" fillId="0" borderId="50" xfId="0" applyFont="1" applyBorder="1" applyAlignment="1">
      <alignment vertical="center"/>
    </xf>
    <xf numFmtId="0" fontId="18" fillId="0" borderId="68" xfId="0" applyFont="1" applyBorder="1" applyAlignment="1">
      <alignment vertical="center"/>
    </xf>
    <xf numFmtId="167" fontId="16" fillId="26" borderId="38" xfId="10" applyBorder="1">
      <alignment horizontal="right"/>
      <protection locked="0"/>
    </xf>
    <xf numFmtId="49" fontId="3" fillId="25" borderId="34" xfId="11" applyBorder="1" applyAlignment="1">
      <protection locked="0"/>
    </xf>
    <xf numFmtId="167" fontId="16" fillId="26" borderId="67" xfId="10" applyBorder="1">
      <alignment horizontal="right"/>
      <protection locked="0"/>
    </xf>
    <xf numFmtId="0" fontId="90" fillId="0" borderId="0" xfId="0" applyFont="1" applyAlignment="1">
      <alignment vertical="top"/>
    </xf>
    <xf numFmtId="0" fontId="3" fillId="0" borderId="0" xfId="0" applyFont="1" applyAlignment="1">
      <alignment vertical="center"/>
    </xf>
    <xf numFmtId="0" fontId="98" fillId="0" borderId="0" xfId="0" applyFont="1" applyAlignment="1" applyProtection="1">
      <alignment vertical="center"/>
      <protection locked="0"/>
    </xf>
    <xf numFmtId="0" fontId="98" fillId="0" borderId="0" xfId="0" applyFont="1" applyAlignment="1" applyProtection="1">
      <alignment horizontal="center" vertical="center"/>
      <protection locked="0"/>
    </xf>
    <xf numFmtId="0" fontId="0" fillId="0" borderId="0" xfId="0" applyProtection="1">
      <protection locked="0"/>
    </xf>
    <xf numFmtId="0" fontId="100" fillId="19" borderId="19" xfId="0" applyFont="1" applyFill="1" applyBorder="1" applyAlignment="1">
      <alignment horizontal="right" vertical="center" indent="2"/>
    </xf>
    <xf numFmtId="0" fontId="3" fillId="0" borderId="0" xfId="0" quotePrefix="1" applyFont="1" applyAlignment="1">
      <alignment vertical="center"/>
    </xf>
    <xf numFmtId="0" fontId="3" fillId="4" borderId="160" xfId="0" applyFont="1" applyFill="1" applyBorder="1" applyAlignment="1">
      <alignment vertical="center"/>
    </xf>
    <xf numFmtId="0" fontId="72" fillId="25" borderId="224" xfId="0" applyFont="1" applyFill="1" applyBorder="1" applyAlignment="1">
      <alignment horizontal="left" vertical="center" indent="2"/>
    </xf>
    <xf numFmtId="0" fontId="0" fillId="4" borderId="10" xfId="0" applyFill="1" applyBorder="1"/>
    <xf numFmtId="0" fontId="72" fillId="30" borderId="8" xfId="0" applyFont="1" applyFill="1" applyBorder="1" applyAlignment="1">
      <alignment horizontal="left" vertical="center" indent="2"/>
    </xf>
    <xf numFmtId="0" fontId="72" fillId="16" borderId="225" xfId="0" applyFont="1" applyFill="1" applyBorder="1" applyAlignment="1">
      <alignment horizontal="left" vertical="center" indent="2"/>
    </xf>
    <xf numFmtId="0" fontId="3" fillId="4" borderId="222" xfId="0" applyFont="1" applyFill="1" applyBorder="1" applyAlignment="1">
      <alignment vertical="center"/>
    </xf>
    <xf numFmtId="0" fontId="0" fillId="4" borderId="6" xfId="0" applyFill="1" applyBorder="1"/>
    <xf numFmtId="0" fontId="0" fillId="4" borderId="7" xfId="0" applyFill="1" applyBorder="1"/>
    <xf numFmtId="168" fontId="69" fillId="70" borderId="226" xfId="57" applyBorder="1">
      <alignment horizontal="right" vertical="center"/>
      <protection locked="0"/>
    </xf>
    <xf numFmtId="168" fontId="69" fillId="70" borderId="227" xfId="57" applyBorder="1">
      <alignment horizontal="right" vertical="center"/>
      <protection locked="0"/>
    </xf>
    <xf numFmtId="49" fontId="3" fillId="25" borderId="27" xfId="11" applyBorder="1" applyAlignment="1">
      <protection locked="0"/>
    </xf>
    <xf numFmtId="167" fontId="16" fillId="26" borderId="55" xfId="10" applyBorder="1">
      <alignment horizontal="right"/>
      <protection locked="0"/>
    </xf>
    <xf numFmtId="167" fontId="16" fillId="26" borderId="66" xfId="10" applyBorder="1">
      <alignment horizontal="right"/>
      <protection locked="0"/>
    </xf>
    <xf numFmtId="49" fontId="3" fillId="25" borderId="42" xfId="11" applyBorder="1" applyAlignment="1">
      <protection locked="0"/>
    </xf>
    <xf numFmtId="167" fontId="16" fillId="26" borderId="50" xfId="10" applyBorder="1">
      <alignment horizontal="right"/>
      <protection locked="0"/>
    </xf>
    <xf numFmtId="167" fontId="16" fillId="26" borderId="68" xfId="10" applyBorder="1">
      <alignment horizontal="right"/>
      <protection locked="0"/>
    </xf>
    <xf numFmtId="0" fontId="10" fillId="71" borderId="219" xfId="53" applyBorder="1">
      <alignment horizontal="right" vertical="center" wrapText="1" indent="1"/>
    </xf>
    <xf numFmtId="0" fontId="10" fillId="71" borderId="220" xfId="53" applyBorder="1">
      <alignment horizontal="right" vertical="center" wrapText="1" indent="1"/>
    </xf>
    <xf numFmtId="0" fontId="115" fillId="72" borderId="219" xfId="54" applyBorder="1">
      <alignment horizontal="right" vertical="center" wrapText="1" indent="1"/>
    </xf>
    <xf numFmtId="0" fontId="115" fillId="72" borderId="218" xfId="54" applyBorder="1">
      <alignment horizontal="right" vertical="center" wrapText="1" indent="1"/>
    </xf>
    <xf numFmtId="0" fontId="9" fillId="28" borderId="1" xfId="7" applyBorder="1">
      <alignment vertical="center"/>
    </xf>
    <xf numFmtId="0" fontId="9" fillId="28" borderId="2" xfId="7" applyBorder="1">
      <alignment vertical="center"/>
    </xf>
    <xf numFmtId="0" fontId="9" fillId="28" borderId="3" xfId="7" applyBorder="1">
      <alignment vertical="center"/>
    </xf>
    <xf numFmtId="168" fontId="69" fillId="94" borderId="5" xfId="2" applyBorder="1">
      <alignment horizontal="right" vertical="center"/>
      <protection locked="0"/>
    </xf>
    <xf numFmtId="168" fontId="69" fillId="94" borderId="6" xfId="2" applyBorder="1">
      <alignment horizontal="right" vertical="center"/>
      <protection locked="0"/>
    </xf>
    <xf numFmtId="168" fontId="69" fillId="94" borderId="7" xfId="2" applyBorder="1">
      <alignment horizontal="right" vertical="center"/>
      <protection locked="0"/>
    </xf>
    <xf numFmtId="0" fontId="52" fillId="93" borderId="20" xfId="6" applyBorder="1">
      <alignment vertical="center"/>
    </xf>
    <xf numFmtId="0" fontId="105" fillId="0" borderId="0" xfId="0" applyFont="1"/>
    <xf numFmtId="0" fontId="107" fillId="0" borderId="1" xfId="0" applyFont="1" applyBorder="1"/>
    <xf numFmtId="0" fontId="107" fillId="0" borderId="2" xfId="0" applyFont="1" applyBorder="1"/>
    <xf numFmtId="0" fontId="107" fillId="0" borderId="3" xfId="0" applyFont="1" applyBorder="1"/>
    <xf numFmtId="0" fontId="107" fillId="0" borderId="0" xfId="0" applyFont="1"/>
    <xf numFmtId="0" fontId="105" fillId="0" borderId="0" xfId="0" applyFont="1" applyAlignment="1">
      <alignment vertical="center"/>
    </xf>
    <xf numFmtId="0" fontId="108" fillId="0" borderId="9" xfId="0" applyFont="1" applyBorder="1" applyAlignment="1">
      <alignment vertical="center"/>
    </xf>
    <xf numFmtId="0" fontId="107" fillId="0" borderId="10" xfId="0" applyFont="1" applyBorder="1" applyAlignment="1">
      <alignment vertical="center"/>
    </xf>
    <xf numFmtId="0" fontId="110" fillId="0" borderId="9" xfId="63" quotePrefix="1" applyFont="1" applyBorder="1" applyAlignment="1">
      <alignment vertical="center"/>
    </xf>
    <xf numFmtId="0" fontId="107" fillId="0" borderId="0" xfId="0" applyFont="1" applyAlignment="1">
      <alignment vertical="center"/>
    </xf>
    <xf numFmtId="0" fontId="107" fillId="0" borderId="9" xfId="0" applyFont="1" applyBorder="1" applyAlignment="1">
      <alignment vertical="center"/>
    </xf>
    <xf numFmtId="0" fontId="111" fillId="5" borderId="0" xfId="63" quotePrefix="1" applyFont="1" applyFill="1" applyBorder="1" applyAlignment="1">
      <alignment vertical="center"/>
    </xf>
    <xf numFmtId="0" fontId="113" fillId="87" borderId="0" xfId="63" quotePrefix="1" applyFont="1" applyFill="1" applyBorder="1" applyAlignment="1">
      <alignment vertical="center"/>
    </xf>
    <xf numFmtId="0" fontId="107" fillId="0" borderId="5" xfId="0" applyFont="1" applyBorder="1" applyAlignment="1">
      <alignment vertical="center"/>
    </xf>
    <xf numFmtId="0" fontId="107" fillId="0" borderId="6" xfId="0" applyFont="1" applyBorder="1" applyAlignment="1">
      <alignment vertical="center"/>
    </xf>
    <xf numFmtId="0" fontId="107" fillId="0" borderId="7" xfId="0" applyFont="1" applyBorder="1" applyAlignment="1">
      <alignment vertical="center"/>
    </xf>
    <xf numFmtId="0" fontId="3" fillId="0" borderId="228" xfId="59" applyBorder="1">
      <alignment horizontal="left" vertical="center" wrapText="1" indent="1"/>
    </xf>
    <xf numFmtId="0" fontId="9" fillId="5" borderId="220" xfId="0" applyFont="1" applyFill="1" applyBorder="1" applyAlignment="1">
      <alignment horizontal="center" vertical="center" wrapText="1"/>
    </xf>
    <xf numFmtId="0" fontId="9" fillId="5" borderId="219" xfId="0" applyFont="1" applyFill="1" applyBorder="1" applyAlignment="1">
      <alignment horizontal="center" vertical="center" wrapText="1"/>
    </xf>
    <xf numFmtId="0" fontId="9" fillId="18" borderId="219" xfId="0" applyFont="1" applyFill="1" applyBorder="1" applyAlignment="1">
      <alignment horizontal="center" vertical="center" wrapText="1"/>
    </xf>
    <xf numFmtId="0" fontId="9" fillId="18" borderId="218" xfId="0" applyFont="1" applyFill="1" applyBorder="1" applyAlignment="1">
      <alignment horizontal="center" vertical="center" wrapText="1"/>
    </xf>
    <xf numFmtId="0" fontId="6" fillId="19" borderId="0" xfId="0" applyFont="1" applyFill="1"/>
    <xf numFmtId="0" fontId="116" fillId="88" borderId="0" xfId="0" applyFont="1" applyFill="1" applyAlignment="1">
      <alignment horizontal="left" vertical="center"/>
    </xf>
    <xf numFmtId="0" fontId="116" fillId="88" borderId="0" xfId="0" applyFont="1" applyFill="1" applyAlignment="1">
      <alignment vertical="center"/>
    </xf>
    <xf numFmtId="0" fontId="28" fillId="24" borderId="0" xfId="0" applyFont="1" applyFill="1" applyAlignment="1">
      <alignment vertical="center"/>
    </xf>
    <xf numFmtId="0" fontId="28" fillId="24" borderId="0" xfId="0" applyFont="1" applyFill="1"/>
    <xf numFmtId="0" fontId="118" fillId="0" borderId="0" xfId="0" applyFont="1"/>
    <xf numFmtId="0" fontId="114" fillId="0" borderId="0" xfId="0" applyFont="1"/>
    <xf numFmtId="0" fontId="0" fillId="0" borderId="7" xfId="0" applyBorder="1"/>
    <xf numFmtId="49" fontId="119" fillId="70" borderId="19" xfId="66" applyNumberFormat="1" applyFont="1" applyBorder="1">
      <alignment horizontal="right" vertical="center"/>
      <protection locked="0"/>
    </xf>
    <xf numFmtId="0" fontId="3" fillId="4" borderId="0" xfId="0" applyFont="1" applyFill="1"/>
    <xf numFmtId="168" fontId="69" fillId="70" borderId="19" xfId="66" applyBorder="1">
      <alignment horizontal="right" vertical="center"/>
      <protection locked="0"/>
    </xf>
    <xf numFmtId="0" fontId="14" fillId="0" borderId="0" xfId="0" applyFont="1"/>
    <xf numFmtId="0" fontId="106" fillId="0" borderId="0" xfId="63" quotePrefix="1"/>
    <xf numFmtId="0" fontId="9" fillId="28" borderId="19" xfId="7" applyBorder="1">
      <alignment vertical="center"/>
    </xf>
    <xf numFmtId="0" fontId="11" fillId="0" borderId="0" xfId="0" applyFont="1"/>
    <xf numFmtId="0" fontId="3" fillId="0" borderId="232" xfId="59" applyBorder="1" applyAlignment="1">
      <alignment horizontal="left" vertical="center" indent="1"/>
    </xf>
    <xf numFmtId="0" fontId="9" fillId="28" borderId="20" xfId="7" applyBorder="1" applyAlignment="1">
      <alignment horizontal="center" vertical="center"/>
    </xf>
    <xf numFmtId="0" fontId="29" fillId="19" borderId="19" xfId="5" applyAlignment="1">
      <alignment horizontal="center" vertical="center"/>
    </xf>
    <xf numFmtId="168" fontId="69" fillId="70" borderId="143" xfId="66" applyAlignment="1">
      <alignment horizontal="center" vertical="center"/>
      <protection locked="0"/>
    </xf>
    <xf numFmtId="168" fontId="69" fillId="70" borderId="226" xfId="66" applyBorder="1">
      <alignment horizontal="right" vertical="center"/>
      <protection locked="0"/>
    </xf>
    <xf numFmtId="168" fontId="69" fillId="70" borderId="20" xfId="66" applyBorder="1" applyAlignment="1">
      <alignment horizontal="center" vertical="center"/>
      <protection locked="0"/>
    </xf>
    <xf numFmtId="0" fontId="116" fillId="4" borderId="0" xfId="0" applyFont="1" applyFill="1" applyAlignment="1">
      <alignment horizontal="center"/>
    </xf>
    <xf numFmtId="0" fontId="70" fillId="4" borderId="0" xfId="0" applyFont="1" applyFill="1" applyAlignment="1" applyProtection="1">
      <alignment horizontal="center" vertical="center" wrapText="1"/>
      <protection locked="0"/>
    </xf>
    <xf numFmtId="0" fontId="70" fillId="4" borderId="0" xfId="0" applyFont="1" applyFill="1" applyAlignment="1" applyProtection="1">
      <alignment horizontal="left" vertical="center" wrapText="1"/>
      <protection locked="0"/>
    </xf>
    <xf numFmtId="167" fontId="16" fillId="26" borderId="149" xfId="10" applyBorder="1" applyAlignment="1">
      <alignment horizontal="center"/>
      <protection locked="0"/>
    </xf>
    <xf numFmtId="0" fontId="3" fillId="0" borderId="60" xfId="59" applyBorder="1">
      <alignment horizontal="left" vertical="center" wrapText="1" indent="1"/>
    </xf>
    <xf numFmtId="167" fontId="16" fillId="26" borderId="27" xfId="10" applyBorder="1" applyAlignment="1">
      <alignment horizontal="center"/>
      <protection locked="0"/>
    </xf>
    <xf numFmtId="0" fontId="9" fillId="28" borderId="6" xfId="7" applyBorder="1" applyAlignment="1">
      <alignment horizontal="center" vertical="center"/>
    </xf>
    <xf numFmtId="167" fontId="16" fillId="26" borderId="38" xfId="10" applyBorder="1" applyAlignment="1">
      <alignment horizontal="center"/>
      <protection locked="0"/>
    </xf>
    <xf numFmtId="0" fontId="52" fillId="93" borderId="19" xfId="6" applyBorder="1">
      <alignment vertical="center"/>
    </xf>
    <xf numFmtId="0" fontId="3" fillId="0" borderId="131" xfId="59" applyBorder="1">
      <alignment horizontal="left" vertical="center" wrapText="1" indent="1"/>
    </xf>
    <xf numFmtId="0" fontId="3" fillId="0" borderId="233" xfId="59" applyBorder="1">
      <alignment horizontal="left" vertical="center" wrapText="1" indent="1"/>
    </xf>
    <xf numFmtId="0" fontId="10" fillId="31" borderId="91" xfId="55" applyBorder="1" applyAlignment="1">
      <alignment horizontal="center" vertical="center" wrapText="1"/>
    </xf>
    <xf numFmtId="0" fontId="10" fillId="31" borderId="92" xfId="55" applyBorder="1" applyAlignment="1">
      <alignment horizontal="center" vertical="center" wrapText="1"/>
    </xf>
    <xf numFmtId="167" fontId="16" fillId="26" borderId="55" xfId="10" applyBorder="1" applyAlignment="1">
      <alignment horizontal="center"/>
      <protection locked="0"/>
    </xf>
    <xf numFmtId="167" fontId="16" fillId="26" borderId="34" xfId="10" applyBorder="1" applyAlignment="1">
      <alignment horizontal="center"/>
      <protection locked="0"/>
    </xf>
    <xf numFmtId="167" fontId="16" fillId="26" borderId="42" xfId="10" applyBorder="1" applyAlignment="1">
      <alignment horizontal="center"/>
      <protection locked="0"/>
    </xf>
    <xf numFmtId="167" fontId="16" fillId="26" borderId="50" xfId="10" applyBorder="1" applyAlignment="1">
      <alignment horizontal="center"/>
      <protection locked="0"/>
    </xf>
    <xf numFmtId="0" fontId="3" fillId="0" borderId="231" xfId="59" applyBorder="1">
      <alignment horizontal="left" vertical="center" wrapText="1" indent="1"/>
    </xf>
    <xf numFmtId="0" fontId="3" fillId="0" borderId="40" xfId="59" applyBorder="1" applyAlignment="1">
      <alignment horizontal="left" vertical="center" indent="1"/>
    </xf>
    <xf numFmtId="49" fontId="3" fillId="25" borderId="26" xfId="11" applyBorder="1" applyAlignment="1">
      <alignment horizontal="left" vertical="center" indent="1"/>
      <protection locked="0"/>
    </xf>
    <xf numFmtId="49" fontId="3" fillId="25" borderId="33" xfId="11" applyBorder="1" applyAlignment="1">
      <alignment horizontal="left" vertical="center" indent="1"/>
      <protection locked="0"/>
    </xf>
    <xf numFmtId="0" fontId="29" fillId="19" borderId="1" xfId="5" applyBorder="1">
      <alignment vertical="center"/>
    </xf>
    <xf numFmtId="0" fontId="29" fillId="19" borderId="1" xfId="5" applyBorder="1" applyAlignment="1">
      <alignment horizontal="center" vertical="center"/>
    </xf>
    <xf numFmtId="0" fontId="3" fillId="0" borderId="236" xfId="59" applyBorder="1">
      <alignment horizontal="left" vertical="center" wrapText="1" indent="1"/>
    </xf>
    <xf numFmtId="0" fontId="25" fillId="4" borderId="221" xfId="0" applyFont="1" applyFill="1" applyBorder="1" applyAlignment="1">
      <alignment horizontal="left" vertical="center" wrapText="1" indent="1"/>
    </xf>
    <xf numFmtId="167" fontId="16" fillId="26" borderId="86" xfId="10" applyBorder="1" applyAlignment="1">
      <alignment horizontal="center"/>
      <protection locked="0"/>
    </xf>
    <xf numFmtId="0" fontId="121" fillId="0" borderId="0" xfId="0" applyFont="1" applyAlignment="1">
      <alignment horizontal="center"/>
    </xf>
    <xf numFmtId="0" fontId="79" fillId="19" borderId="0" xfId="62" quotePrefix="1" applyNumberFormat="1" applyFont="1">
      <alignment vertical="center"/>
    </xf>
    <xf numFmtId="49" fontId="79" fillId="19" borderId="0" xfId="62" applyFont="1">
      <alignment vertical="center"/>
    </xf>
    <xf numFmtId="0" fontId="79" fillId="19" borderId="0" xfId="62" applyNumberFormat="1" applyFont="1" applyAlignment="1">
      <alignment horizontal="left" vertical="center"/>
    </xf>
    <xf numFmtId="0" fontId="16" fillId="16" borderId="0" xfId="63" applyFont="1" applyFill="1" applyBorder="1" applyAlignment="1">
      <alignment vertical="center"/>
    </xf>
    <xf numFmtId="167" fontId="16" fillId="26" borderId="82" xfId="10" applyBorder="1" applyAlignment="1">
      <alignment horizontal="center"/>
      <protection locked="0"/>
    </xf>
    <xf numFmtId="167" fontId="16" fillId="26" borderId="88" xfId="10" applyBorder="1" applyAlignment="1">
      <alignment horizontal="center"/>
      <protection locked="0"/>
    </xf>
    <xf numFmtId="0" fontId="3" fillId="0" borderId="237" xfId="59" applyBorder="1">
      <alignment horizontal="left" vertical="center" wrapText="1" indent="1"/>
    </xf>
    <xf numFmtId="0" fontId="3" fillId="0" borderId="238" xfId="59" applyBorder="1">
      <alignment horizontal="left" vertical="center" wrapText="1" indent="1"/>
    </xf>
    <xf numFmtId="168" fontId="69" fillId="70" borderId="20" xfId="66" applyBorder="1">
      <alignment horizontal="right" vertical="center"/>
      <protection locked="0"/>
    </xf>
    <xf numFmtId="0" fontId="2" fillId="0" borderId="7" xfId="0" applyFont="1" applyBorder="1" applyAlignment="1">
      <alignment horizontal="center"/>
    </xf>
    <xf numFmtId="0" fontId="3" fillId="0" borderId="239" xfId="59" applyBorder="1">
      <alignment horizontal="left" vertical="center" wrapText="1" indent="1"/>
    </xf>
    <xf numFmtId="49" fontId="3" fillId="25" borderId="38" xfId="11" applyAlignment="1">
      <alignment horizontal="left" vertical="center" wrapText="1" indent="1"/>
      <protection locked="0"/>
    </xf>
    <xf numFmtId="49" fontId="3" fillId="25" borderId="38" xfId="11" applyAlignment="1">
      <alignment horizontal="left" vertical="center" indent="1"/>
      <protection locked="0"/>
    </xf>
    <xf numFmtId="168" fontId="69" fillId="94" borderId="20" xfId="2" applyBorder="1">
      <alignment horizontal="right" vertical="center"/>
      <protection locked="0"/>
    </xf>
    <xf numFmtId="0" fontId="0" fillId="0" borderId="55" xfId="0" applyBorder="1" applyProtection="1">
      <protection locked="0"/>
    </xf>
    <xf numFmtId="0" fontId="0" fillId="0" borderId="66" xfId="0" applyBorder="1" applyProtection="1">
      <protection locked="0"/>
    </xf>
    <xf numFmtId="0" fontId="0" fillId="0" borderId="34" xfId="0" applyBorder="1" applyProtection="1">
      <protection locked="0"/>
    </xf>
    <xf numFmtId="0" fontId="0" fillId="0" borderId="38" xfId="0" applyBorder="1" applyProtection="1">
      <protection locked="0"/>
    </xf>
    <xf numFmtId="0" fontId="0" fillId="0" borderId="67" xfId="0" applyBorder="1" applyProtection="1">
      <protection locked="0"/>
    </xf>
    <xf numFmtId="0" fontId="0" fillId="0" borderId="42" xfId="0" applyBorder="1" applyProtection="1">
      <protection locked="0"/>
    </xf>
    <xf numFmtId="0" fontId="0" fillId="0" borderId="50" xfId="0" applyBorder="1" applyProtection="1">
      <protection locked="0"/>
    </xf>
    <xf numFmtId="0" fontId="0" fillId="0" borderId="68" xfId="0" applyBorder="1" applyProtection="1">
      <protection locked="0"/>
    </xf>
    <xf numFmtId="0" fontId="108" fillId="7" borderId="0" xfId="0" applyFont="1" applyFill="1" applyAlignment="1">
      <alignment horizontal="right" vertical="center" indent="2"/>
    </xf>
    <xf numFmtId="0" fontId="107" fillId="0" borderId="0" xfId="0" applyFont="1" applyAlignment="1">
      <alignment horizontal="right" vertical="center" indent="2"/>
    </xf>
    <xf numFmtId="0" fontId="108" fillId="5" borderId="0" xfId="0" applyFont="1" applyFill="1" applyAlignment="1">
      <alignment horizontal="right" vertical="center" indent="2"/>
    </xf>
    <xf numFmtId="0" fontId="112" fillId="87" borderId="0" xfId="0" applyFont="1" applyFill="1" applyAlignment="1">
      <alignment horizontal="right" vertical="center" indent="2"/>
    </xf>
    <xf numFmtId="0" fontId="0" fillId="0" borderId="0" xfId="0" applyAlignment="1">
      <alignment horizontal="right" indent="2"/>
    </xf>
    <xf numFmtId="0" fontId="8" fillId="16" borderId="0" xfId="0" applyFont="1" applyFill="1" applyAlignment="1">
      <alignment horizontal="right" vertical="center" indent="2"/>
    </xf>
    <xf numFmtId="0" fontId="0" fillId="7" borderId="0" xfId="0" quotePrefix="1" applyFill="1" applyAlignment="1">
      <alignment vertical="center"/>
    </xf>
    <xf numFmtId="167" fontId="16" fillId="26" borderId="27" xfId="10" applyBorder="1">
      <alignment horizontal="right"/>
      <protection locked="0"/>
    </xf>
    <xf numFmtId="167" fontId="16" fillId="26" borderId="34" xfId="10" applyBorder="1">
      <alignment horizontal="right"/>
      <protection locked="0"/>
    </xf>
    <xf numFmtId="167" fontId="16" fillId="26" borderId="149" xfId="10" applyBorder="1">
      <alignment horizontal="right"/>
      <protection locked="0"/>
    </xf>
    <xf numFmtId="167" fontId="16" fillId="26" borderId="86" xfId="10" applyBorder="1">
      <alignment horizontal="right"/>
      <protection locked="0"/>
    </xf>
    <xf numFmtId="167" fontId="16" fillId="26" borderId="229" xfId="10" applyBorder="1">
      <alignment horizontal="right"/>
      <protection locked="0"/>
    </xf>
    <xf numFmtId="167" fontId="16" fillId="26" borderId="92" xfId="10" applyBorder="1">
      <alignment horizontal="right"/>
      <protection locked="0"/>
    </xf>
    <xf numFmtId="167" fontId="16" fillId="26" borderId="59" xfId="10" applyBorder="1">
      <alignment horizontal="right"/>
      <protection locked="0"/>
    </xf>
    <xf numFmtId="167" fontId="16" fillId="26" borderId="30" xfId="10" applyBorder="1">
      <alignment horizontal="right"/>
      <protection locked="0"/>
    </xf>
    <xf numFmtId="167" fontId="16" fillId="26" borderId="42" xfId="10" applyBorder="1">
      <alignment horizontal="right"/>
      <protection locked="0"/>
    </xf>
    <xf numFmtId="167" fontId="16" fillId="26" borderId="91" xfId="10" applyBorder="1">
      <alignment horizontal="right"/>
      <protection locked="0"/>
    </xf>
    <xf numFmtId="167" fontId="16" fillId="26" borderId="234" xfId="10" applyBorder="1">
      <alignment horizontal="right"/>
      <protection locked="0"/>
    </xf>
    <xf numFmtId="167" fontId="16" fillId="26" borderId="235" xfId="10" applyBorder="1">
      <alignment horizontal="right"/>
      <protection locked="0"/>
    </xf>
    <xf numFmtId="167" fontId="16" fillId="26" borderId="230" xfId="10" applyBorder="1">
      <alignment horizontal="right"/>
      <protection locked="0"/>
    </xf>
    <xf numFmtId="167" fontId="16" fillId="26" borderId="144" xfId="10" applyBorder="1">
      <alignment horizontal="right"/>
      <protection locked="0"/>
    </xf>
    <xf numFmtId="0" fontId="9" fillId="8" borderId="1" xfId="0" applyFont="1" applyFill="1" applyBorder="1" applyAlignment="1">
      <alignment horizontal="left" vertical="center" wrapText="1"/>
    </xf>
    <xf numFmtId="0" fontId="9" fillId="8" borderId="206" xfId="0" applyFont="1" applyFill="1" applyBorder="1" applyAlignment="1">
      <alignment horizontal="center" vertical="center" wrapText="1"/>
    </xf>
    <xf numFmtId="0" fontId="70" fillId="85" borderId="206" xfId="0" applyFont="1" applyFill="1" applyBorder="1" applyAlignment="1">
      <alignment horizontal="center" vertical="center" wrapText="1"/>
    </xf>
    <xf numFmtId="1" fontId="70" fillId="85" borderId="206" xfId="0" applyNumberFormat="1" applyFont="1" applyFill="1" applyBorder="1" applyAlignment="1">
      <alignment horizontal="center" vertical="center" wrapText="1"/>
    </xf>
    <xf numFmtId="0" fontId="9" fillId="9" borderId="1" xfId="0" applyFont="1" applyFill="1" applyBorder="1" applyAlignment="1">
      <alignment horizontal="center" vertical="center" wrapText="1"/>
    </xf>
    <xf numFmtId="0" fontId="9" fillId="10" borderId="206" xfId="0" applyFont="1" applyFill="1" applyBorder="1" applyAlignment="1">
      <alignment vertical="center" wrapText="1"/>
    </xf>
    <xf numFmtId="0" fontId="9" fillId="10" borderId="11" xfId="0" applyFont="1" applyFill="1" applyBorder="1" applyAlignment="1">
      <alignment vertical="center" wrapText="1"/>
    </xf>
    <xf numFmtId="0" fontId="9" fillId="11" borderId="11" xfId="0" applyFont="1" applyFill="1" applyBorder="1" applyAlignment="1">
      <alignment vertical="center" wrapText="1"/>
    </xf>
    <xf numFmtId="0" fontId="9" fillId="12" borderId="1" xfId="0" applyFont="1" applyFill="1" applyBorder="1" applyAlignment="1">
      <alignment vertical="center" wrapText="1"/>
    </xf>
    <xf numFmtId="0" fontId="9" fillId="12" borderId="2" xfId="0" applyFont="1" applyFill="1" applyBorder="1" applyAlignment="1">
      <alignment vertical="center" wrapText="1"/>
    </xf>
    <xf numFmtId="0" fontId="9" fillId="89" borderId="4" xfId="0" applyFont="1" applyFill="1" applyBorder="1" applyAlignment="1">
      <alignment vertical="center" wrapText="1"/>
    </xf>
    <xf numFmtId="0" fontId="3" fillId="13" borderId="15" xfId="0" applyFont="1" applyFill="1" applyBorder="1" applyAlignment="1">
      <alignment horizontal="center"/>
    </xf>
    <xf numFmtId="0" fontId="13" fillId="4" borderId="242" xfId="0" applyFont="1" applyFill="1" applyBorder="1" applyAlignment="1">
      <alignment vertical="top"/>
    </xf>
    <xf numFmtId="0" fontId="3" fillId="0" borderId="15" xfId="0" applyFont="1" applyBorder="1" applyAlignment="1">
      <alignment horizontal="center"/>
    </xf>
    <xf numFmtId="0" fontId="6" fillId="3" borderId="242" xfId="0" applyFont="1" applyFill="1" applyBorder="1" applyAlignment="1">
      <alignment vertical="top"/>
    </xf>
    <xf numFmtId="0" fontId="13" fillId="4" borderId="240" xfId="0" applyFont="1" applyFill="1" applyBorder="1" applyAlignment="1">
      <alignment vertical="top"/>
    </xf>
    <xf numFmtId="0" fontId="6" fillId="4" borderId="240" xfId="0" applyFont="1" applyFill="1" applyBorder="1" applyAlignment="1">
      <alignment vertical="top"/>
    </xf>
    <xf numFmtId="164" fontId="3" fillId="4" borderId="241" xfId="0" applyNumberFormat="1" applyFont="1" applyFill="1" applyBorder="1" applyAlignment="1">
      <alignment horizontal="right" vertical="top" indent="1"/>
    </xf>
    <xf numFmtId="0" fontId="3" fillId="13" borderId="17" xfId="0" applyFont="1" applyFill="1" applyBorder="1" applyAlignment="1">
      <alignment horizontal="left" vertical="top"/>
    </xf>
    <xf numFmtId="0" fontId="3" fillId="13" borderId="18" xfId="0" applyFont="1" applyFill="1" applyBorder="1" applyAlignment="1">
      <alignment vertical="top"/>
    </xf>
    <xf numFmtId="0" fontId="11" fillId="13" borderId="18" xfId="0" applyFont="1" applyFill="1" applyBorder="1" applyAlignment="1">
      <alignment vertical="top"/>
    </xf>
    <xf numFmtId="0" fontId="11" fillId="4" borderId="18" xfId="0" applyFont="1" applyFill="1" applyBorder="1" applyAlignment="1">
      <alignment horizontal="center" vertical="top"/>
    </xf>
    <xf numFmtId="0" fontId="11" fillId="4" borderId="18" xfId="0" applyFont="1" applyFill="1" applyBorder="1" applyAlignment="1">
      <alignment vertical="top"/>
    </xf>
    <xf numFmtId="0" fontId="3" fillId="13" borderId="17" xfId="0" applyFont="1" applyFill="1" applyBorder="1" applyAlignment="1">
      <alignment horizontal="center" vertical="top"/>
    </xf>
    <xf numFmtId="1" fontId="6" fillId="13" borderId="18" xfId="0" applyNumberFormat="1" applyFont="1" applyFill="1" applyBorder="1" applyAlignment="1">
      <alignment horizontal="center" vertical="top"/>
    </xf>
    <xf numFmtId="1" fontId="6" fillId="13" borderId="77" xfId="0" applyNumberFormat="1" applyFont="1" applyFill="1" applyBorder="1" applyAlignment="1">
      <alignment horizontal="center" vertical="top"/>
    </xf>
    <xf numFmtId="0" fontId="3" fillId="13" borderId="77" xfId="0" applyFont="1" applyFill="1" applyBorder="1" applyAlignment="1">
      <alignment horizontal="center" vertical="top"/>
    </xf>
    <xf numFmtId="0" fontId="3" fillId="13" borderId="17" xfId="0" applyFont="1" applyFill="1" applyBorder="1" applyAlignment="1">
      <alignment vertical="center"/>
    </xf>
    <xf numFmtId="0" fontId="3" fillId="13" borderId="18" xfId="0" applyFont="1" applyFill="1" applyBorder="1" applyAlignment="1">
      <alignment vertical="center"/>
    </xf>
    <xf numFmtId="170" fontId="3" fillId="13" borderId="18" xfId="0" applyNumberFormat="1" applyFont="1" applyFill="1" applyBorder="1" applyAlignment="1">
      <alignment horizontal="center" vertical="center"/>
    </xf>
    <xf numFmtId="0" fontId="12" fillId="13" borderId="17" xfId="0" applyFont="1" applyFill="1" applyBorder="1"/>
    <xf numFmtId="0" fontId="12" fillId="13" borderId="18" xfId="0" applyFont="1" applyFill="1" applyBorder="1"/>
    <xf numFmtId="0" fontId="3" fillId="13" borderId="18" xfId="0" applyFont="1" applyFill="1" applyBorder="1"/>
    <xf numFmtId="0" fontId="3" fillId="13" borderId="18" xfId="0" applyFont="1" applyFill="1" applyBorder="1" applyAlignment="1">
      <alignment horizontal="center"/>
    </xf>
    <xf numFmtId="0" fontId="13" fillId="4" borderId="225" xfId="0" applyFont="1" applyFill="1" applyBorder="1" applyAlignment="1">
      <alignment vertical="top"/>
    </xf>
    <xf numFmtId="0" fontId="0" fillId="0" borderId="71" xfId="0" applyBorder="1"/>
    <xf numFmtId="164" fontId="3" fillId="4" borderId="0" xfId="0" applyNumberFormat="1" applyFont="1" applyFill="1" applyAlignment="1">
      <alignment horizontal="right" vertical="top" indent="1"/>
    </xf>
    <xf numFmtId="164" fontId="3" fillId="3" borderId="0" xfId="0" applyNumberFormat="1" applyFont="1" applyFill="1" applyAlignment="1">
      <alignment horizontal="right" vertical="top" indent="1"/>
    </xf>
    <xf numFmtId="164" fontId="3" fillId="4" borderId="6" xfId="0" applyNumberFormat="1" applyFont="1" applyFill="1" applyBorder="1" applyAlignment="1">
      <alignment horizontal="right" vertical="top" indent="1"/>
    </xf>
    <xf numFmtId="0" fontId="8" fillId="3" borderId="0" xfId="0" applyFont="1" applyFill="1" applyAlignment="1">
      <alignment horizontal="centerContinuous"/>
    </xf>
    <xf numFmtId="0" fontId="9" fillId="21" borderId="9" xfId="0" applyFont="1" applyFill="1" applyBorder="1" applyAlignment="1">
      <alignment horizontal="center" vertical="center" wrapText="1"/>
    </xf>
    <xf numFmtId="0" fontId="9" fillId="21" borderId="11" xfId="0" applyFont="1" applyFill="1" applyBorder="1" applyAlignment="1">
      <alignment vertical="center" wrapText="1"/>
    </xf>
    <xf numFmtId="0" fontId="6" fillId="25" borderId="0" xfId="0" applyFont="1" applyFill="1" applyAlignment="1" applyProtection="1">
      <alignment horizontal="left"/>
      <protection locked="0"/>
    </xf>
    <xf numFmtId="0" fontId="101" fillId="0" borderId="3" xfId="0" applyFont="1" applyBorder="1" applyAlignment="1">
      <alignment vertical="top" wrapText="1"/>
    </xf>
    <xf numFmtId="0" fontId="72" fillId="4" borderId="10" xfId="0" quotePrefix="1" applyFont="1" applyFill="1" applyBorder="1" applyAlignment="1">
      <alignment horizontal="left" vertical="top" wrapText="1" indent="1"/>
    </xf>
    <xf numFmtId="2" fontId="122" fillId="6" borderId="158" xfId="0" applyNumberFormat="1" applyFont="1" applyFill="1" applyBorder="1" applyAlignment="1">
      <alignment horizontal="left" vertical="center" wrapText="1" indent="1"/>
    </xf>
    <xf numFmtId="167" fontId="16" fillId="26" borderId="73" xfId="10" applyBorder="1">
      <alignment horizontal="right"/>
      <protection locked="0"/>
    </xf>
    <xf numFmtId="167" fontId="16" fillId="26" borderId="83" xfId="10" applyBorder="1">
      <alignment horizontal="right"/>
      <protection locked="0"/>
    </xf>
    <xf numFmtId="167" fontId="16" fillId="26" borderId="75" xfId="10" applyBorder="1">
      <alignment horizontal="right"/>
      <protection locked="0"/>
    </xf>
    <xf numFmtId="167" fontId="16" fillId="26" borderId="18" xfId="10" applyBorder="1">
      <alignment horizontal="right"/>
      <protection locked="0"/>
    </xf>
    <xf numFmtId="167" fontId="16" fillId="26" borderId="26" xfId="10" applyBorder="1">
      <alignment horizontal="right"/>
      <protection locked="0"/>
    </xf>
    <xf numFmtId="167" fontId="16" fillId="26" borderId="146" xfId="10" applyBorder="1">
      <alignment horizontal="right"/>
      <protection locked="0"/>
    </xf>
    <xf numFmtId="167" fontId="16" fillId="26" borderId="33" xfId="10" applyBorder="1">
      <alignment horizontal="right"/>
      <protection locked="0"/>
    </xf>
    <xf numFmtId="167" fontId="16" fillId="26" borderId="41" xfId="10" applyBorder="1">
      <alignment horizontal="right"/>
      <protection locked="0"/>
    </xf>
    <xf numFmtId="168" fontId="69" fillId="70" borderId="22" xfId="66" applyBorder="1" applyAlignment="1">
      <alignment horizontal="center" vertical="center"/>
      <protection locked="0"/>
    </xf>
    <xf numFmtId="0" fontId="10" fillId="31" borderId="93" xfId="55" applyBorder="1" applyAlignment="1">
      <alignment horizontal="center" vertical="center" wrapText="1"/>
    </xf>
    <xf numFmtId="167" fontId="16" fillId="26" borderId="87" xfId="10" applyBorder="1">
      <alignment horizontal="right"/>
      <protection locked="0"/>
    </xf>
    <xf numFmtId="167" fontId="16" fillId="26" borderId="93" xfId="10" applyBorder="1">
      <alignment horizontal="right"/>
      <protection locked="0"/>
    </xf>
    <xf numFmtId="0" fontId="10" fillId="31" borderId="22" xfId="55" applyBorder="1" applyAlignment="1">
      <alignment horizontal="center" vertical="center" wrapText="1"/>
    </xf>
    <xf numFmtId="167" fontId="16" fillId="26" borderId="244" xfId="10" applyBorder="1">
      <alignment horizontal="right"/>
      <protection locked="0"/>
    </xf>
    <xf numFmtId="167" fontId="16" fillId="26" borderId="245" xfId="10" applyBorder="1">
      <alignment horizontal="right"/>
      <protection locked="0"/>
    </xf>
    <xf numFmtId="168" fontId="69" fillId="94" borderId="22" xfId="2" applyBorder="1">
      <alignment horizontal="right" vertical="center"/>
      <protection locked="0"/>
    </xf>
    <xf numFmtId="167" fontId="16" fillId="26" borderId="73" xfId="10" applyBorder="1" applyAlignment="1">
      <alignment horizontal="center"/>
      <protection locked="0"/>
    </xf>
    <xf numFmtId="167" fontId="16" fillId="26" borderId="75" xfId="10" applyBorder="1" applyAlignment="1">
      <alignment horizontal="center"/>
      <protection locked="0"/>
    </xf>
    <xf numFmtId="167" fontId="16" fillId="26" borderId="26" xfId="10" applyBorder="1" applyAlignment="1">
      <alignment horizontal="center"/>
      <protection locked="0"/>
    </xf>
    <xf numFmtId="167" fontId="16" fillId="26" borderId="33" xfId="10" applyBorder="1" applyAlignment="1">
      <alignment horizontal="center"/>
      <protection locked="0"/>
    </xf>
    <xf numFmtId="168" fontId="69" fillId="70" borderId="246" xfId="66" applyBorder="1" applyAlignment="1">
      <alignment horizontal="center" vertical="center"/>
      <protection locked="0"/>
    </xf>
    <xf numFmtId="0" fontId="10" fillId="31" borderId="245" xfId="55" applyBorder="1" applyAlignment="1">
      <alignment horizontal="center" vertical="center" wrapText="1"/>
    </xf>
    <xf numFmtId="0" fontId="10" fillId="71" borderId="91" xfId="53" applyBorder="1" applyAlignment="1">
      <alignment horizontal="center" vertical="center" wrapText="1"/>
    </xf>
    <xf numFmtId="0" fontId="10" fillId="71" borderId="92" xfId="53" applyBorder="1" applyAlignment="1">
      <alignment horizontal="center" vertical="center" wrapText="1"/>
    </xf>
    <xf numFmtId="0" fontId="10" fillId="71" borderId="93" xfId="53" applyBorder="1" applyAlignment="1">
      <alignment horizontal="center" vertical="center" wrapText="1"/>
    </xf>
    <xf numFmtId="167" fontId="16" fillId="26" borderId="89" xfId="10" applyBorder="1" applyAlignment="1">
      <alignment horizontal="center"/>
      <protection locked="0"/>
    </xf>
    <xf numFmtId="167" fontId="16" fillId="26" borderId="87" xfId="10" applyBorder="1" applyAlignment="1">
      <alignment horizontal="center"/>
      <protection locked="0"/>
    </xf>
    <xf numFmtId="167" fontId="16" fillId="26" borderId="18" xfId="10" applyBorder="1" applyAlignment="1">
      <alignment horizontal="center"/>
      <protection locked="0"/>
    </xf>
    <xf numFmtId="0" fontId="9" fillId="28" borderId="22" xfId="7" applyBorder="1" applyAlignment="1">
      <alignment horizontal="center" vertical="center"/>
    </xf>
    <xf numFmtId="167" fontId="16" fillId="26" borderId="8" xfId="10" applyBorder="1" applyAlignment="1">
      <alignment horizontal="center"/>
      <protection locked="0"/>
    </xf>
    <xf numFmtId="167" fontId="16" fillId="26" borderId="244" xfId="10" applyBorder="1" applyAlignment="1">
      <alignment horizontal="center"/>
      <protection locked="0"/>
    </xf>
    <xf numFmtId="0" fontId="9" fillId="28" borderId="245" xfId="7" applyBorder="1" applyAlignment="1">
      <alignment horizontal="center" vertical="center"/>
    </xf>
    <xf numFmtId="167" fontId="16" fillId="26" borderId="41" xfId="10" applyBorder="1" applyAlignment="1">
      <alignment horizontal="center"/>
      <protection locked="0"/>
    </xf>
    <xf numFmtId="0" fontId="10" fillId="31" borderId="58" xfId="55" applyBorder="1" applyAlignment="1">
      <alignment horizontal="center" vertical="center" wrapText="1"/>
    </xf>
    <xf numFmtId="0" fontId="10" fillId="31" borderId="64" xfId="55" applyBorder="1" applyAlignment="1">
      <alignment horizontal="center" vertical="center" wrapText="1"/>
    </xf>
    <xf numFmtId="0" fontId="10" fillId="71" borderId="22" xfId="53" applyBorder="1" applyAlignment="1">
      <alignment horizontal="center" vertical="center" wrapText="1"/>
    </xf>
    <xf numFmtId="0" fontId="52" fillId="93" borderId="21" xfId="6" applyBorder="1">
      <alignment vertical="center"/>
    </xf>
    <xf numFmtId="0" fontId="29" fillId="19" borderId="22" xfId="5" applyBorder="1" applyAlignment="1">
      <alignment horizontal="center" vertical="center"/>
    </xf>
    <xf numFmtId="0" fontId="10" fillId="31" borderId="107" xfId="55" applyBorder="1" applyAlignment="1">
      <alignment horizontal="center" vertical="center" wrapText="1"/>
    </xf>
    <xf numFmtId="0" fontId="123" fillId="95" borderId="247" xfId="0" applyFont="1" applyFill="1" applyBorder="1" applyAlignment="1">
      <alignment vertical="center"/>
    </xf>
    <xf numFmtId="0" fontId="124" fillId="95" borderId="247" xfId="0" applyFont="1" applyFill="1" applyBorder="1" applyAlignment="1">
      <alignment vertical="center"/>
    </xf>
    <xf numFmtId="0" fontId="123" fillId="75" borderId="247" xfId="0" applyFont="1" applyFill="1" applyBorder="1" applyAlignment="1">
      <alignment vertical="center"/>
    </xf>
    <xf numFmtId="0" fontId="125" fillId="75" borderId="247" xfId="0" applyFont="1" applyFill="1" applyBorder="1" applyAlignment="1">
      <alignment vertical="center"/>
    </xf>
    <xf numFmtId="0" fontId="123" fillId="76" borderId="247" xfId="0" applyFont="1" applyFill="1" applyBorder="1" applyAlignment="1">
      <alignment vertical="center"/>
    </xf>
    <xf numFmtId="0" fontId="125" fillId="96" borderId="247" xfId="0" applyFont="1" applyFill="1" applyBorder="1" applyAlignment="1">
      <alignment vertical="center"/>
    </xf>
    <xf numFmtId="0" fontId="123" fillId="97" borderId="248" xfId="0" applyFont="1" applyFill="1" applyBorder="1" applyAlignment="1">
      <alignment vertical="center"/>
    </xf>
    <xf numFmtId="0" fontId="125" fillId="98" borderId="249" xfId="0" applyFont="1" applyFill="1" applyBorder="1" applyAlignment="1">
      <alignment vertical="center"/>
    </xf>
    <xf numFmtId="49" fontId="3" fillId="25" borderId="122" xfId="11" quotePrefix="1" applyBorder="1" applyAlignment="1">
      <alignment horizontal="left" vertical="center" indent="1"/>
      <protection locked="0"/>
    </xf>
    <xf numFmtId="49" fontId="3" fillId="25" borderId="76" xfId="11" quotePrefix="1" applyBorder="1" applyAlignment="1">
      <alignment horizontal="left" vertical="center" indent="1"/>
      <protection locked="0"/>
    </xf>
    <xf numFmtId="0" fontId="2" fillId="0" borderId="34" xfId="0" applyFont="1" applyBorder="1" applyProtection="1">
      <protection locked="0"/>
    </xf>
    <xf numFmtId="0" fontId="0" fillId="0" borderId="38" xfId="0" quotePrefix="1" applyBorder="1" applyProtection="1">
      <protection locked="0"/>
    </xf>
    <xf numFmtId="0" fontId="0" fillId="0" borderId="30" xfId="0" applyBorder="1" applyProtection="1">
      <protection locked="0"/>
    </xf>
    <xf numFmtId="49" fontId="126" fillId="25" borderId="38" xfId="11" applyFont="1" applyAlignment="1">
      <alignment horizontal="left" vertical="center" wrapText="1" indent="1"/>
      <protection locked="0"/>
    </xf>
    <xf numFmtId="49" fontId="3" fillId="25" borderId="38" xfId="11" applyAlignment="1">
      <alignment horizontal="center" vertical="center" wrapText="1"/>
      <protection locked="0"/>
    </xf>
    <xf numFmtId="0" fontId="127" fillId="0" borderId="0" xfId="0" applyFont="1" applyProtection="1">
      <protection locked="0"/>
    </xf>
    <xf numFmtId="0" fontId="127" fillId="0" borderId="36" xfId="0" applyFont="1" applyBorder="1" applyProtection="1">
      <protection locked="0"/>
    </xf>
    <xf numFmtId="49" fontId="3" fillId="25" borderId="26" xfId="11" quotePrefix="1" applyBorder="1" applyAlignment="1">
      <alignment horizontal="left" vertical="center" indent="1"/>
      <protection locked="0"/>
    </xf>
    <xf numFmtId="49" fontId="3" fillId="25" borderId="33" xfId="11" quotePrefix="1" applyBorder="1" applyAlignment="1">
      <alignment horizontal="left" vertical="center" indent="1"/>
      <protection locked="0"/>
    </xf>
    <xf numFmtId="49" fontId="126" fillId="25" borderId="38" xfId="11" applyFont="1" applyAlignment="1">
      <alignment horizontal="center" vertical="center" wrapText="1"/>
      <protection locked="0"/>
    </xf>
    <xf numFmtId="49" fontId="128" fillId="25" borderId="38" xfId="11" applyFont="1" applyAlignment="1">
      <alignment horizontal="center" vertical="center" wrapText="1"/>
      <protection locked="0"/>
    </xf>
    <xf numFmtId="0" fontId="0" fillId="0" borderId="38" xfId="0" applyBorder="1" applyAlignment="1" applyProtection="1">
      <alignment wrapText="1"/>
      <protection locked="0"/>
    </xf>
    <xf numFmtId="0" fontId="0" fillId="0" borderId="38" xfId="0" quotePrefix="1" applyBorder="1" applyAlignment="1" applyProtection="1">
      <alignment vertical="center"/>
      <protection locked="0"/>
    </xf>
    <xf numFmtId="0" fontId="127" fillId="0" borderId="36" xfId="0" quotePrefix="1" applyFont="1" applyBorder="1" applyProtection="1">
      <protection locked="0"/>
    </xf>
    <xf numFmtId="0" fontId="0" fillId="0" borderId="38" xfId="0" applyBorder="1" applyAlignment="1" applyProtection="1">
      <alignment vertical="center" wrapText="1"/>
      <protection locked="0"/>
    </xf>
    <xf numFmtId="0" fontId="100" fillId="19" borderId="161" xfId="0" applyFont="1" applyFill="1" applyBorder="1" applyAlignment="1">
      <alignment horizontal="right" vertical="center" indent="2"/>
    </xf>
    <xf numFmtId="0" fontId="100" fillId="19" borderId="221" xfId="0" applyFont="1" applyFill="1" applyBorder="1" applyAlignment="1">
      <alignment horizontal="right" vertical="center" indent="2"/>
    </xf>
    <xf numFmtId="0" fontId="104" fillId="0" borderId="206" xfId="0" applyFont="1" applyBorder="1" applyAlignment="1">
      <alignment horizontal="left" vertical="top" wrapText="1" indent="1"/>
    </xf>
    <xf numFmtId="0" fontId="104" fillId="0" borderId="2" xfId="0" applyFont="1" applyBorder="1" applyAlignment="1">
      <alignment horizontal="left" vertical="top" wrapText="1" indent="1"/>
    </xf>
    <xf numFmtId="0" fontId="72" fillId="0" borderId="222" xfId="0" quotePrefix="1" applyFont="1" applyBorder="1" applyAlignment="1">
      <alignment horizontal="left" vertical="center" wrapText="1" indent="1"/>
    </xf>
    <xf numFmtId="0" fontId="72" fillId="0" borderId="6" xfId="0" quotePrefix="1" applyFont="1" applyBorder="1" applyAlignment="1">
      <alignment horizontal="left" vertical="center" wrapText="1" indent="1"/>
    </xf>
    <xf numFmtId="0" fontId="72" fillId="0" borderId="7" xfId="0" quotePrefix="1" applyFont="1" applyBorder="1" applyAlignment="1">
      <alignment horizontal="left" vertical="center" wrapText="1" indent="1"/>
    </xf>
    <xf numFmtId="0" fontId="98" fillId="0" borderId="1" xfId="0" quotePrefix="1" applyFont="1" applyBorder="1" applyAlignment="1">
      <alignment horizontal="center" vertical="center"/>
    </xf>
    <xf numFmtId="0" fontId="98" fillId="0" borderId="2" xfId="0" applyFont="1" applyBorder="1" applyAlignment="1">
      <alignment horizontal="center" vertical="center"/>
    </xf>
    <xf numFmtId="0" fontId="98" fillId="0" borderId="3" xfId="0" applyFont="1" applyBorder="1" applyAlignment="1">
      <alignment horizontal="center" vertical="center"/>
    </xf>
    <xf numFmtId="0" fontId="98" fillId="0" borderId="9" xfId="0" applyFont="1" applyBorder="1" applyAlignment="1">
      <alignment horizontal="center" vertical="center"/>
    </xf>
    <xf numFmtId="0" fontId="98" fillId="0" borderId="0" xfId="0" applyFont="1" applyAlignment="1">
      <alignment horizontal="center" vertical="center"/>
    </xf>
    <xf numFmtId="0" fontId="98" fillId="0" borderId="10" xfId="0" applyFont="1" applyBorder="1" applyAlignment="1">
      <alignment horizontal="center" vertical="center"/>
    </xf>
    <xf numFmtId="0" fontId="71" fillId="0" borderId="5" xfId="0" applyFont="1" applyBorder="1" applyAlignment="1">
      <alignment horizontal="center" vertical="center" wrapText="1"/>
    </xf>
    <xf numFmtId="0" fontId="71" fillId="0" borderId="6" xfId="0" applyFont="1" applyBorder="1" applyAlignment="1">
      <alignment horizontal="center" vertical="center" wrapText="1"/>
    </xf>
    <xf numFmtId="0" fontId="71" fillId="0" borderId="7" xfId="0" applyFont="1" applyBorder="1" applyAlignment="1">
      <alignment horizontal="center" vertical="center" wrapText="1"/>
    </xf>
    <xf numFmtId="0" fontId="99" fillId="19" borderId="19" xfId="0" applyFont="1" applyFill="1" applyBorder="1" applyAlignment="1" applyProtection="1">
      <alignment horizontal="center" vertical="center"/>
      <protection locked="0"/>
    </xf>
    <xf numFmtId="0" fontId="99" fillId="19" borderId="20" xfId="0" applyFont="1" applyFill="1" applyBorder="1" applyAlignment="1" applyProtection="1">
      <alignment horizontal="center" vertical="center"/>
      <protection locked="0"/>
    </xf>
    <xf numFmtId="0" fontId="99" fillId="19" borderId="21" xfId="0" applyFont="1" applyFill="1" applyBorder="1" applyAlignment="1" applyProtection="1">
      <alignment horizontal="center" vertical="center"/>
      <protection locked="0"/>
    </xf>
    <xf numFmtId="0" fontId="101" fillId="0" borderId="62" xfId="0" applyFont="1" applyBorder="1" applyAlignment="1">
      <alignment horizontal="left" vertical="center" wrapText="1" indent="1"/>
    </xf>
    <xf numFmtId="0" fontId="101" fillId="0" borderId="20" xfId="0" applyFont="1" applyBorder="1" applyAlignment="1">
      <alignment horizontal="left" vertical="center" wrapText="1" indent="1"/>
    </xf>
    <xf numFmtId="0" fontId="101" fillId="0" borderId="21" xfId="0" applyFont="1" applyBorder="1" applyAlignment="1">
      <alignment horizontal="left" vertical="center" wrapText="1" indent="1"/>
    </xf>
    <xf numFmtId="0" fontId="100" fillId="19" borderId="223" xfId="0" applyFont="1" applyFill="1" applyBorder="1" applyAlignment="1">
      <alignment horizontal="right" vertical="center" indent="2"/>
    </xf>
    <xf numFmtId="0" fontId="71" fillId="4" borderId="206" xfId="0" quotePrefix="1" applyFont="1" applyFill="1" applyBorder="1" applyAlignment="1">
      <alignment horizontal="left" vertical="top" wrapText="1"/>
    </xf>
    <xf numFmtId="0" fontId="52" fillId="4" borderId="2" xfId="0" quotePrefix="1" applyFont="1" applyFill="1" applyBorder="1" applyAlignment="1">
      <alignment horizontal="left" vertical="top" wrapText="1"/>
    </xf>
    <xf numFmtId="0" fontId="52" fillId="4" borderId="3" xfId="0" quotePrefix="1" applyFont="1" applyFill="1" applyBorder="1" applyAlignment="1">
      <alignment horizontal="left" vertical="top" wrapText="1"/>
    </xf>
    <xf numFmtId="0" fontId="101" fillId="4" borderId="62" xfId="0" applyFont="1" applyFill="1" applyBorder="1" applyAlignment="1">
      <alignment horizontal="left" vertical="top" wrapText="1" indent="1"/>
    </xf>
    <xf numFmtId="0" fontId="101" fillId="4" borderId="20" xfId="0" applyFont="1" applyFill="1" applyBorder="1" applyAlignment="1">
      <alignment horizontal="left" vertical="top" wrapText="1" indent="1"/>
    </xf>
    <xf numFmtId="0" fontId="101" fillId="4" borderId="21" xfId="0" applyFont="1" applyFill="1" applyBorder="1" applyAlignment="1">
      <alignment horizontal="left" vertical="top" wrapText="1" indent="1"/>
    </xf>
    <xf numFmtId="0" fontId="52" fillId="4" borderId="206" xfId="0" quotePrefix="1" applyFont="1" applyFill="1" applyBorder="1" applyAlignment="1">
      <alignment horizontal="left" vertical="top" wrapText="1" indent="1"/>
    </xf>
    <xf numFmtId="0" fontId="52" fillId="4" borderId="2" xfId="0" quotePrefix="1" applyFont="1" applyFill="1" applyBorder="1" applyAlignment="1">
      <alignment horizontal="left" vertical="top" wrapText="1" indent="1"/>
    </xf>
    <xf numFmtId="0" fontId="52" fillId="4" borderId="3" xfId="0" quotePrefix="1" applyFont="1" applyFill="1" applyBorder="1" applyAlignment="1">
      <alignment horizontal="left" vertical="top" wrapText="1" indent="1"/>
    </xf>
    <xf numFmtId="0" fontId="72" fillId="4" borderId="160" xfId="0" quotePrefix="1" applyFont="1" applyFill="1" applyBorder="1" applyAlignment="1">
      <alignment horizontal="left" vertical="center" wrapText="1" indent="1"/>
    </xf>
    <xf numFmtId="0" fontId="72" fillId="4" borderId="0" xfId="0" quotePrefix="1" applyFont="1" applyFill="1" applyAlignment="1">
      <alignment horizontal="left" vertical="center" wrapText="1" indent="1"/>
    </xf>
    <xf numFmtId="0" fontId="101" fillId="4" borderId="222" xfId="0" quotePrefix="1" applyFont="1" applyFill="1" applyBorder="1" applyAlignment="1">
      <alignment horizontal="left" vertical="center" wrapText="1" indent="1"/>
    </xf>
    <xf numFmtId="0" fontId="101" fillId="4" borderId="6" xfId="0" quotePrefix="1" applyFont="1" applyFill="1" applyBorder="1" applyAlignment="1">
      <alignment horizontal="left" vertical="center" wrapText="1" indent="1"/>
    </xf>
    <xf numFmtId="0" fontId="101" fillId="4" borderId="7" xfId="0" quotePrefix="1" applyFont="1" applyFill="1" applyBorder="1" applyAlignment="1">
      <alignment horizontal="left" vertical="center" wrapText="1" indent="1"/>
    </xf>
    <xf numFmtId="0" fontId="71" fillId="0" borderId="62" xfId="0" quotePrefix="1" applyFont="1" applyBorder="1" applyAlignment="1">
      <alignment horizontal="left" vertical="top" wrapText="1" indent="1"/>
    </xf>
    <xf numFmtId="0" fontId="71" fillId="0" borderId="20" xfId="0" quotePrefix="1" applyFont="1" applyBorder="1" applyAlignment="1">
      <alignment horizontal="left" vertical="top" wrapText="1" indent="1"/>
    </xf>
    <xf numFmtId="0" fontId="71" fillId="0" borderId="21" xfId="0" quotePrefix="1" applyFont="1" applyBorder="1" applyAlignment="1">
      <alignment horizontal="left" vertical="top" wrapText="1" indent="1"/>
    </xf>
    <xf numFmtId="0" fontId="109" fillId="7" borderId="0" xfId="0" applyFont="1" applyFill="1" applyAlignment="1">
      <alignment horizontal="center" vertical="center"/>
    </xf>
    <xf numFmtId="0" fontId="52" fillId="25" borderId="0" xfId="0" applyFont="1" applyFill="1" applyAlignment="1" applyProtection="1">
      <alignment horizontal="center" vertical="top"/>
      <protection locked="0"/>
    </xf>
    <xf numFmtId="0" fontId="52" fillId="3" borderId="0" xfId="0" applyFont="1" applyFill="1" applyAlignment="1">
      <alignment horizontal="center" vertical="top"/>
    </xf>
    <xf numFmtId="0" fontId="6" fillId="24" borderId="0" xfId="0" quotePrefix="1" applyFont="1" applyFill="1" applyProtection="1">
      <protection locked="0"/>
    </xf>
    <xf numFmtId="169" fontId="6" fillId="24" borderId="0" xfId="0" quotePrefix="1" applyNumberFormat="1" applyFont="1" applyFill="1" applyAlignment="1" applyProtection="1">
      <alignment horizontal="left"/>
      <protection locked="0"/>
    </xf>
    <xf numFmtId="0" fontId="52" fillId="74" borderId="0" xfId="0" quotePrefix="1" applyFont="1" applyFill="1" applyAlignment="1">
      <alignment horizontal="center" vertical="center"/>
    </xf>
    <xf numFmtId="0" fontId="29" fillId="27" borderId="0" xfId="0" applyFont="1" applyFill="1" applyAlignment="1">
      <alignment horizontal="right" vertical="top"/>
    </xf>
    <xf numFmtId="0" fontId="74" fillId="27" borderId="0" xfId="0" applyFont="1" applyFill="1" applyAlignment="1">
      <alignment horizontal="right"/>
    </xf>
    <xf numFmtId="0" fontId="6" fillId="25" borderId="0" xfId="0" applyFont="1" applyFill="1" applyAlignment="1" applyProtection="1">
      <alignment horizontal="left"/>
      <protection locked="0"/>
    </xf>
    <xf numFmtId="14" fontId="4" fillId="25" borderId="0" xfId="0" quotePrefix="1" applyNumberFormat="1" applyFont="1" applyFill="1" applyAlignment="1" applyProtection="1">
      <alignment horizontal="left" vertical="top" indent="1"/>
      <protection locked="0"/>
    </xf>
    <xf numFmtId="14" fontId="4" fillId="25" borderId="0" xfId="0" applyNumberFormat="1" applyFont="1" applyFill="1" applyAlignment="1" applyProtection="1">
      <alignment horizontal="left" vertical="top" indent="1"/>
      <protection locked="0"/>
    </xf>
    <xf numFmtId="0" fontId="4" fillId="3" borderId="0" xfId="0" applyFont="1" applyFill="1" applyAlignment="1">
      <alignment horizontal="left" vertical="top" indent="1"/>
    </xf>
    <xf numFmtId="0" fontId="6" fillId="25" borderId="0" xfId="0" applyFont="1" applyFill="1" applyAlignment="1" applyProtection="1">
      <alignment horizontal="left" vertical="top" indent="1"/>
      <protection locked="0"/>
    </xf>
    <xf numFmtId="0" fontId="29" fillId="27" borderId="0" xfId="0" applyFont="1" applyFill="1" applyAlignment="1">
      <alignment horizontal="right" vertical="top" wrapText="1"/>
    </xf>
    <xf numFmtId="0" fontId="4" fillId="25" borderId="0" xfId="0" applyFont="1" applyFill="1" applyAlignment="1" applyProtection="1">
      <alignment horizontal="left" vertical="top" indent="1"/>
      <protection locked="0"/>
    </xf>
    <xf numFmtId="0" fontId="6" fillId="25" borderId="147" xfId="0" applyFont="1" applyFill="1" applyBorder="1" applyAlignment="1" applyProtection="1">
      <alignment horizontal="left"/>
      <protection locked="0"/>
    </xf>
    <xf numFmtId="0" fontId="6" fillId="25" borderId="30" xfId="0" applyFont="1" applyFill="1" applyBorder="1" applyAlignment="1" applyProtection="1">
      <alignment horizontal="left"/>
      <protection locked="0"/>
    </xf>
    <xf numFmtId="49" fontId="28" fillId="19" borderId="0" xfId="62" applyAlignment="1">
      <alignment horizontal="center" vertical="center"/>
    </xf>
    <xf numFmtId="0" fontId="72" fillId="16" borderId="0" xfId="4" applyFont="1" applyFill="1" applyAlignment="1">
      <alignment horizontal="justify" vertical="center" wrapText="1"/>
    </xf>
    <xf numFmtId="0" fontId="28" fillId="36" borderId="0" xfId="4">
      <alignment vertical="center"/>
    </xf>
    <xf numFmtId="49" fontId="79" fillId="19" borderId="0" xfId="62" applyFont="1" applyAlignment="1">
      <alignment horizontal="center" vertical="center"/>
    </xf>
    <xf numFmtId="0" fontId="6" fillId="25" borderId="83" xfId="0" applyFont="1" applyFill="1" applyBorder="1" applyAlignment="1" applyProtection="1">
      <alignment horizontal="left"/>
      <protection locked="0"/>
    </xf>
    <xf numFmtId="0" fontId="76" fillId="27" borderId="0" xfId="0" quotePrefix="1" applyFont="1" applyFill="1" applyAlignment="1">
      <alignment horizontal="right" vertical="center"/>
    </xf>
    <xf numFmtId="0" fontId="76" fillId="27" borderId="0" xfId="0" applyFont="1" applyFill="1" applyAlignment="1">
      <alignment horizontal="right" vertical="center"/>
    </xf>
    <xf numFmtId="164" fontId="51" fillId="3" borderId="0" xfId="0" applyNumberFormat="1" applyFont="1" applyFill="1" applyAlignment="1">
      <alignment horizontal="left" vertical="center" wrapText="1"/>
    </xf>
    <xf numFmtId="0" fontId="74" fillId="27" borderId="0" xfId="0" applyFont="1" applyFill="1" applyAlignment="1">
      <alignment horizontal="right" vertical="center"/>
    </xf>
    <xf numFmtId="0" fontId="51" fillId="25" borderId="0" xfId="0" applyFont="1" applyFill="1" applyAlignment="1" applyProtection="1">
      <alignment vertical="center"/>
      <protection locked="0"/>
    </xf>
    <xf numFmtId="0" fontId="3" fillId="0" borderId="27" xfId="59" applyBorder="1">
      <alignment horizontal="left" vertical="center" wrapText="1" indent="1"/>
    </xf>
    <xf numFmtId="0" fontId="3" fillId="0" borderId="73" xfId="59" applyBorder="1">
      <alignment horizontal="left" vertical="center" wrapText="1" indent="1"/>
    </xf>
    <xf numFmtId="0" fontId="3" fillId="0" borderId="34" xfId="59" applyBorder="1">
      <alignment horizontal="left" vertical="center" wrapText="1" indent="1"/>
    </xf>
    <xf numFmtId="0" fontId="3" fillId="0" borderId="75" xfId="59" applyBorder="1">
      <alignment horizontal="left" vertical="center" wrapText="1" indent="1"/>
    </xf>
    <xf numFmtId="0" fontId="3" fillId="0" borderId="149" xfId="59" applyBorder="1">
      <alignment horizontal="left" vertical="center" wrapText="1" indent="1"/>
    </xf>
    <xf numFmtId="0" fontId="3" fillId="0" borderId="191" xfId="59" applyBorder="1">
      <alignment horizontal="left" vertical="center" wrapText="1" indent="1"/>
    </xf>
    <xf numFmtId="0" fontId="3" fillId="0" borderId="9" xfId="59" applyBorder="1">
      <alignment horizontal="left" vertical="center" wrapText="1" indent="1"/>
    </xf>
    <xf numFmtId="0" fontId="3" fillId="0" borderId="0" xfId="59" applyBorder="1">
      <alignment horizontal="left" vertical="center" wrapText="1" indent="1"/>
    </xf>
    <xf numFmtId="49" fontId="3" fillId="25" borderId="122" xfId="11" quotePrefix="1" applyBorder="1" applyAlignment="1">
      <alignment horizontal="left" vertical="center" indent="1"/>
      <protection locked="0"/>
    </xf>
    <xf numFmtId="49" fontId="3" fillId="25" borderId="76" xfId="11" quotePrefix="1" applyBorder="1" applyAlignment="1">
      <alignment horizontal="left" vertical="center" indent="1"/>
      <protection locked="0"/>
    </xf>
    <xf numFmtId="168" fontId="69" fillId="70" borderId="19" xfId="66" applyBorder="1" applyAlignment="1">
      <alignment horizontal="right" vertical="center" indent="2"/>
      <protection locked="0"/>
    </xf>
    <xf numFmtId="168" fontId="69" fillId="70" borderId="20" xfId="66" applyBorder="1" applyAlignment="1">
      <alignment horizontal="right" vertical="center" indent="2"/>
      <protection locked="0"/>
    </xf>
    <xf numFmtId="49" fontId="119" fillId="70" borderId="19" xfId="66" applyNumberFormat="1" applyFont="1" applyBorder="1" applyAlignment="1">
      <alignment horizontal="right" vertical="center" indent="2"/>
      <protection locked="0"/>
    </xf>
    <xf numFmtId="49" fontId="119" fillId="70" borderId="20" xfId="66" applyNumberFormat="1" applyFont="1" applyBorder="1" applyAlignment="1">
      <alignment horizontal="right" vertical="center" indent="2"/>
      <protection locked="0"/>
    </xf>
    <xf numFmtId="0" fontId="117" fillId="0" borderId="6" xfId="0" applyFont="1" applyBorder="1" applyAlignment="1">
      <alignment horizontal="center"/>
    </xf>
    <xf numFmtId="0" fontId="117" fillId="0" borderId="7" xfId="0" applyFont="1" applyBorder="1" applyAlignment="1">
      <alignment horizontal="center"/>
    </xf>
    <xf numFmtId="0" fontId="20" fillId="11" borderId="1" xfId="0" applyFont="1" applyFill="1" applyBorder="1" applyAlignment="1">
      <alignment horizontal="center" vertical="center" wrapText="1"/>
    </xf>
    <xf numFmtId="0" fontId="20" fillId="11" borderId="2" xfId="0" applyFont="1" applyFill="1" applyBorder="1" applyAlignment="1">
      <alignment horizontal="center" vertical="center" wrapText="1"/>
    </xf>
    <xf numFmtId="0" fontId="20" fillId="11" borderId="3" xfId="0" applyFont="1" applyFill="1" applyBorder="1" applyAlignment="1">
      <alignment horizontal="center" vertical="center" wrapText="1"/>
    </xf>
    <xf numFmtId="0" fontId="20" fillId="11" borderId="5" xfId="0" applyFont="1" applyFill="1" applyBorder="1" applyAlignment="1">
      <alignment horizontal="center" vertical="center" wrapText="1"/>
    </xf>
    <xf numFmtId="0" fontId="20" fillId="11" borderId="6" xfId="0" applyFont="1" applyFill="1" applyBorder="1" applyAlignment="1">
      <alignment horizontal="center" vertical="center" wrapText="1"/>
    </xf>
    <xf numFmtId="0" fontId="20" fillId="11" borderId="7" xfId="0" applyFont="1" applyFill="1" applyBorder="1" applyAlignment="1">
      <alignment horizontal="center" vertical="center" wrapText="1"/>
    </xf>
    <xf numFmtId="49" fontId="115" fillId="31" borderId="19" xfId="64" applyBorder="1">
      <alignment horizontal="center" vertical="center" wrapText="1"/>
    </xf>
    <xf numFmtId="49" fontId="115" fillId="31" borderId="20" xfId="64" applyBorder="1">
      <alignment horizontal="center" vertical="center" wrapText="1"/>
    </xf>
    <xf numFmtId="49" fontId="115" fillId="31" borderId="21" xfId="64" applyBorder="1">
      <alignment horizontal="center" vertical="center" wrapText="1"/>
    </xf>
    <xf numFmtId="0" fontId="3" fillId="0" borderId="5" xfId="59" applyBorder="1" applyAlignment="1">
      <alignment horizontal="left" vertical="center" indent="1"/>
    </xf>
    <xf numFmtId="0" fontId="3" fillId="0" borderId="7" xfId="59" applyBorder="1" applyAlignment="1">
      <alignment horizontal="left" vertical="center" indent="1"/>
    </xf>
    <xf numFmtId="49" fontId="3" fillId="25" borderId="122" xfId="11" applyBorder="1" applyAlignment="1">
      <alignment horizontal="left" vertical="center" indent="1"/>
      <protection locked="0"/>
    </xf>
    <xf numFmtId="49" fontId="3" fillId="25" borderId="76" xfId="11" applyBorder="1" applyAlignment="1">
      <alignment horizontal="left" vertical="center" indent="1"/>
      <protection locked="0"/>
    </xf>
    <xf numFmtId="0" fontId="3" fillId="0" borderId="87" xfId="59" applyBorder="1">
      <alignment horizontal="left" vertical="center" wrapText="1" indent="1"/>
    </xf>
    <xf numFmtId="49" fontId="119" fillId="70" borderId="19" xfId="66" applyNumberFormat="1" applyFont="1" applyBorder="1">
      <alignment horizontal="right" vertical="center"/>
      <protection locked="0"/>
    </xf>
    <xf numFmtId="49" fontId="119" fillId="70" borderId="20" xfId="66" applyNumberFormat="1" applyFont="1" applyBorder="1">
      <alignment horizontal="right" vertical="center"/>
      <protection locked="0"/>
    </xf>
    <xf numFmtId="0" fontId="2" fillId="5" borderId="212" xfId="0" applyFont="1" applyFill="1" applyBorder="1" applyAlignment="1">
      <alignment horizontal="center" vertical="center" wrapText="1"/>
    </xf>
    <xf numFmtId="0" fontId="2" fillId="5" borderId="213" xfId="0" applyFont="1" applyFill="1" applyBorder="1" applyAlignment="1">
      <alignment horizontal="center" vertical="center" wrapText="1"/>
    </xf>
    <xf numFmtId="0" fontId="2" fillId="5" borderId="214" xfId="0" applyFont="1" applyFill="1" applyBorder="1" applyAlignment="1">
      <alignment horizontal="center" vertical="center" wrapText="1"/>
    </xf>
    <xf numFmtId="0" fontId="2" fillId="5" borderId="215" xfId="0" applyFont="1" applyFill="1" applyBorder="1" applyAlignment="1">
      <alignment horizontal="center" vertical="center" wrapText="1"/>
    </xf>
    <xf numFmtId="0" fontId="2" fillId="5" borderId="216" xfId="0" applyFont="1" applyFill="1" applyBorder="1" applyAlignment="1">
      <alignment horizontal="center" vertical="center" wrapText="1"/>
    </xf>
    <xf numFmtId="0" fontId="2" fillId="5" borderId="217" xfId="0" applyFont="1" applyFill="1" applyBorder="1" applyAlignment="1">
      <alignment horizontal="center" vertical="center" wrapText="1"/>
    </xf>
    <xf numFmtId="49" fontId="20" fillId="11" borderId="212" xfId="1" applyBorder="1" applyAlignment="1">
      <alignment horizontal="center" vertical="center" wrapText="1"/>
    </xf>
    <xf numFmtId="49" fontId="20" fillId="11" borderId="213" xfId="1" applyBorder="1" applyAlignment="1">
      <alignment horizontal="center" vertical="center" wrapText="1"/>
    </xf>
    <xf numFmtId="49" fontId="20" fillId="11" borderId="214" xfId="1" applyBorder="1" applyAlignment="1">
      <alignment horizontal="center" vertical="center" wrapText="1"/>
    </xf>
    <xf numFmtId="49" fontId="20" fillId="11" borderId="215" xfId="1" applyBorder="1" applyAlignment="1">
      <alignment horizontal="center" vertical="center" wrapText="1"/>
    </xf>
    <xf numFmtId="49" fontId="20" fillId="11" borderId="216" xfId="1" applyBorder="1" applyAlignment="1">
      <alignment horizontal="center" vertical="center" wrapText="1"/>
    </xf>
    <xf numFmtId="49" fontId="20" fillId="11" borderId="217" xfId="1" applyBorder="1" applyAlignment="1">
      <alignment horizontal="center" vertical="center" wrapText="1"/>
    </xf>
    <xf numFmtId="0" fontId="2" fillId="2" borderId="9" xfId="0" applyFont="1" applyFill="1" applyBorder="1" applyAlignment="1">
      <alignment horizontal="center" vertical="top"/>
    </xf>
    <xf numFmtId="0" fontId="2" fillId="2" borderId="0" xfId="0" applyFont="1" applyFill="1" applyAlignment="1">
      <alignment horizontal="center" vertical="top"/>
    </xf>
    <xf numFmtId="0" fontId="0" fillId="0" borderId="0" xfId="0"/>
    <xf numFmtId="0" fontId="0" fillId="4" borderId="45" xfId="0" applyFill="1" applyBorder="1" applyAlignment="1">
      <alignment vertical="center"/>
    </xf>
    <xf numFmtId="0" fontId="0" fillId="4" borderId="8" xfId="0" applyFill="1" applyBorder="1" applyAlignment="1">
      <alignment vertical="center"/>
    </xf>
    <xf numFmtId="0" fontId="0" fillId="4" borderId="43" xfId="0" applyFill="1" applyBorder="1" applyAlignment="1">
      <alignment vertical="center"/>
    </xf>
    <xf numFmtId="0" fontId="0" fillId="4" borderId="4" xfId="0" applyFill="1" applyBorder="1" applyAlignment="1">
      <alignment vertical="center"/>
    </xf>
    <xf numFmtId="0" fontId="9" fillId="77" borderId="0" xfId="0" applyFont="1" applyFill="1" applyAlignment="1">
      <alignment horizontal="right" vertical="center" wrapText="1"/>
    </xf>
    <xf numFmtId="0" fontId="96" fillId="77" borderId="0" xfId="0" applyFont="1" applyFill="1" applyAlignment="1">
      <alignment horizontal="right" vertical="center" wrapText="1"/>
    </xf>
    <xf numFmtId="0" fontId="95" fillId="78" borderId="10" xfId="0" applyFont="1" applyFill="1" applyBorder="1" applyAlignment="1">
      <alignment horizontal="right" vertical="center" wrapText="1"/>
    </xf>
    <xf numFmtId="0" fontId="95" fillId="78" borderId="0" xfId="0" applyFont="1" applyFill="1" applyAlignment="1">
      <alignment horizontal="right" vertical="center" wrapText="1"/>
    </xf>
    <xf numFmtId="0" fontId="95" fillId="80" borderId="0" xfId="0" applyFont="1" applyFill="1" applyAlignment="1">
      <alignment horizontal="right" vertical="center" wrapText="1"/>
    </xf>
    <xf numFmtId="0" fontId="95" fillId="81" borderId="0" xfId="0" applyFont="1" applyFill="1" applyAlignment="1">
      <alignment horizontal="right" vertical="center"/>
    </xf>
    <xf numFmtId="0" fontId="95" fillId="81" borderId="10" xfId="0" applyFont="1" applyFill="1" applyBorder="1" applyAlignment="1">
      <alignment horizontal="right" vertical="center"/>
    </xf>
    <xf numFmtId="0" fontId="96" fillId="77" borderId="10" xfId="0" applyFont="1" applyFill="1" applyBorder="1" applyAlignment="1">
      <alignment horizontal="right" vertical="center" wrapText="1"/>
    </xf>
    <xf numFmtId="0" fontId="95" fillId="73" borderId="175" xfId="0" applyFont="1" applyFill="1" applyBorder="1" applyAlignment="1">
      <alignment horizontal="right" vertical="center" wrapText="1"/>
    </xf>
    <xf numFmtId="0" fontId="95" fillId="73" borderId="177" xfId="0" applyFont="1" applyFill="1" applyBorder="1" applyAlignment="1">
      <alignment horizontal="right" vertical="center" wrapText="1"/>
    </xf>
    <xf numFmtId="0" fontId="95" fillId="73" borderId="178" xfId="0" applyFont="1" applyFill="1" applyBorder="1" applyAlignment="1">
      <alignment horizontal="right" vertical="center" wrapText="1"/>
    </xf>
    <xf numFmtId="0" fontId="95" fillId="73" borderId="10" xfId="0" applyFont="1" applyFill="1" applyBorder="1" applyAlignment="1">
      <alignment horizontal="right" vertical="center" wrapText="1"/>
    </xf>
    <xf numFmtId="0" fontId="95" fillId="73" borderId="167" xfId="0" applyFont="1" applyFill="1" applyBorder="1" applyAlignment="1">
      <alignment horizontal="right" vertical="center" wrapText="1"/>
    </xf>
    <xf numFmtId="0" fontId="95" fillId="73" borderId="171" xfId="0" applyFont="1" applyFill="1" applyBorder="1" applyAlignment="1">
      <alignment horizontal="right" vertical="center" wrapText="1"/>
    </xf>
    <xf numFmtId="0" fontId="6" fillId="18" borderId="19" xfId="0" applyFont="1" applyFill="1" applyBorder="1" applyAlignment="1">
      <alignment horizontal="left" vertical="top" wrapText="1"/>
    </xf>
    <xf numFmtId="0" fontId="6" fillId="18" borderId="20" xfId="0" applyFont="1" applyFill="1" applyBorder="1" applyAlignment="1">
      <alignment horizontal="left" vertical="top" wrapText="1"/>
    </xf>
    <xf numFmtId="0" fontId="9" fillId="5" borderId="1" xfId="0" applyFont="1" applyFill="1" applyBorder="1" applyAlignment="1">
      <alignment horizontal="center"/>
    </xf>
    <xf numFmtId="0" fontId="9" fillId="5" borderId="2"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2" fillId="2" borderId="3" xfId="0" applyFont="1" applyFill="1" applyBorder="1" applyAlignment="1">
      <alignment horizontal="center"/>
    </xf>
    <xf numFmtId="0" fontId="4" fillId="5" borderId="0" xfId="0" applyFont="1" applyFill="1" applyAlignment="1" applyProtection="1">
      <alignment horizontal="left" wrapText="1"/>
      <protection locked="0"/>
    </xf>
    <xf numFmtId="0" fontId="4" fillId="5" borderId="10" xfId="0" applyFont="1" applyFill="1" applyBorder="1" applyAlignment="1" applyProtection="1">
      <alignment horizontal="left" wrapText="1"/>
      <protection locked="0"/>
    </xf>
    <xf numFmtId="0" fontId="3" fillId="12" borderId="82" xfId="0" applyFont="1" applyFill="1" applyBorder="1" applyAlignment="1">
      <alignment horizontal="left" vertical="center" indent="4"/>
    </xf>
    <xf numFmtId="0" fontId="3" fillId="12" borderId="59" xfId="0" applyFont="1" applyFill="1" applyBorder="1" applyAlignment="1">
      <alignment horizontal="left" vertical="center" indent="4"/>
    </xf>
    <xf numFmtId="0" fontId="0" fillId="0" borderId="193" xfId="0" applyBorder="1" applyAlignment="1">
      <alignment horizontal="right" vertical="center"/>
    </xf>
    <xf numFmtId="0" fontId="0" fillId="0" borderId="160" xfId="0" applyBorder="1" applyAlignment="1">
      <alignment horizontal="right" vertical="center"/>
    </xf>
    <xf numFmtId="0" fontId="0" fillId="0" borderId="194" xfId="0" applyBorder="1" applyAlignment="1">
      <alignment horizontal="right" vertical="center"/>
    </xf>
    <xf numFmtId="0" fontId="0" fillId="0" borderId="156" xfId="0" applyBorder="1" applyAlignment="1">
      <alignment horizontal="right" vertical="center"/>
    </xf>
    <xf numFmtId="0" fontId="0" fillId="0" borderId="157" xfId="0" applyBorder="1" applyAlignment="1">
      <alignment horizontal="right" vertical="center"/>
    </xf>
    <xf numFmtId="0" fontId="0" fillId="0" borderId="158" xfId="0" applyBorder="1" applyAlignment="1">
      <alignment horizontal="right" vertical="center"/>
    </xf>
    <xf numFmtId="0" fontId="0" fillId="0" borderId="156" xfId="0" applyBorder="1" applyAlignment="1">
      <alignment horizontal="right" vertical="center" wrapText="1"/>
    </xf>
    <xf numFmtId="0" fontId="0" fillId="0" borderId="160" xfId="0" applyBorder="1" applyAlignment="1">
      <alignment horizontal="right" vertical="center" wrapText="1"/>
    </xf>
    <xf numFmtId="0" fontId="0" fillId="0" borderId="194" xfId="0" applyBorder="1" applyAlignment="1">
      <alignment horizontal="right" vertical="center" wrapText="1"/>
    </xf>
    <xf numFmtId="0" fontId="0" fillId="0" borderId="159" xfId="0" applyBorder="1" applyAlignment="1">
      <alignment horizontal="right" vertical="center" wrapText="1"/>
    </xf>
    <xf numFmtId="0" fontId="0" fillId="0" borderId="10" xfId="0" applyBorder="1" applyAlignment="1">
      <alignment horizontal="right" vertical="center" wrapText="1"/>
    </xf>
    <xf numFmtId="0" fontId="3" fillId="25" borderId="0" xfId="0" applyFont="1" applyFill="1" applyAlignment="1" applyProtection="1">
      <alignment horizontal="left" vertical="top" wrapText="1"/>
      <protection locked="0"/>
    </xf>
  </cellXfs>
  <cellStyles count="74">
    <cellStyle name="_Amended" xfId="67" xr:uid="{896FC8AB-6F84-451C-BA77-7B6035A008BE}"/>
    <cellStyle name="_AmendedConfidential" xfId="68" xr:uid="{7FFF3BEB-0A05-4C6E-8D35-7EAD8F2F9680}"/>
    <cellStyle name="_Confidential" xfId="69" xr:uid="{9C776C2B-22A9-4275-B5A7-2538B17DFB5B}"/>
    <cellStyle name="_ProtectedSOCI" xfId="70" xr:uid="{94F4D3B8-6395-4A18-8299-B1CC0920DBA3}"/>
    <cellStyle name="_YellowNUM" xfId="71" xr:uid="{6BEF90E6-E450-424F-B521-A0FED852D0E6}"/>
    <cellStyle name="20% - Accent1" xfId="30" builtinId="30" hidden="1"/>
    <cellStyle name="20% - Accent2" xfId="34" builtinId="34" hidden="1"/>
    <cellStyle name="20% - Accent3" xfId="38" builtinId="38" hidden="1"/>
    <cellStyle name="20% - Accent4" xfId="42" builtinId="42" hidden="1"/>
    <cellStyle name="20% - Accent5" xfId="46" builtinId="46" hidden="1"/>
    <cellStyle name="20% - Accent6" xfId="50" builtinId="50" hidden="1"/>
    <cellStyle name="40% - Accent1" xfId="31" builtinId="31" hidden="1"/>
    <cellStyle name="40% - Accent2" xfId="35" builtinId="35" hidden="1"/>
    <cellStyle name="40% - Accent3" xfId="39" builtinId="39" hidden="1"/>
    <cellStyle name="40% - Accent4" xfId="43" builtinId="43" hidden="1"/>
    <cellStyle name="40% - Accent5" xfId="47" builtinId="47" hidden="1"/>
    <cellStyle name="40% - Accent6" xfId="51" builtinId="51" hidden="1"/>
    <cellStyle name="60% - Accent1" xfId="32" builtinId="32" hidden="1"/>
    <cellStyle name="60% - Accent2" xfId="36" builtinId="36" hidden="1"/>
    <cellStyle name="60% - Accent3" xfId="40" builtinId="40" hidden="1"/>
    <cellStyle name="60% - Accent4" xfId="44" builtinId="44" hidden="1"/>
    <cellStyle name="60% - Accent5" xfId="48" builtinId="48" hidden="1"/>
    <cellStyle name="60% - Accent6" xfId="52" builtinId="52" hidden="1"/>
    <cellStyle name="Accent1" xfId="29" builtinId="29" hidden="1"/>
    <cellStyle name="Accent2" xfId="33" builtinId="33" hidden="1"/>
    <cellStyle name="Accent3" xfId="37" builtinId="37" hidden="1"/>
    <cellStyle name="Accent4" xfId="41" builtinId="41" hidden="1"/>
    <cellStyle name="Accent5" xfId="45" builtinId="45" hidden="1"/>
    <cellStyle name="Accent6" xfId="49" builtinId="49" hidden="1"/>
    <cellStyle name="Bad" xfId="18" builtinId="27" hidden="1"/>
    <cellStyle name="Calculation" xfId="22" builtinId="22" hidden="1"/>
    <cellStyle name="Check Cell" xfId="24" builtinId="23" hidden="1"/>
    <cellStyle name="dms_1" xfId="5" xr:uid="{00000000-0005-0000-0000-00001B000000}"/>
    <cellStyle name="dms_2" xfId="6" xr:uid="{00000000-0005-0000-0000-00001C000000}"/>
    <cellStyle name="dms_3" xfId="7" xr:uid="{00000000-0005-0000-0000-00001D000000}"/>
    <cellStyle name="dms_4" xfId="8" xr:uid="{00000000-0005-0000-0000-00001E000000}"/>
    <cellStyle name="dms_5" xfId="9" xr:uid="{00000000-0005-0000-0000-00001F000000}"/>
    <cellStyle name="dms_BFill" xfId="60" xr:uid="{00000000-0005-0000-0000-000020000000}"/>
    <cellStyle name="dms_BH" xfId="3" xr:uid="{00000000-0005-0000-0000-000021000000}"/>
    <cellStyle name="dms_Blue_HDR" xfId="64" xr:uid="{00000000-0005-0000-0000-000022000000}"/>
    <cellStyle name="dms_BY1" xfId="55" xr:uid="{00000000-0005-0000-0000-000023000000}"/>
    <cellStyle name="dms_BY2" xfId="56" xr:uid="{00000000-0005-0000-0000-000024000000}"/>
    <cellStyle name="dms_GH" xfId="1" xr:uid="{00000000-0005-0000-0000-000025000000}"/>
    <cellStyle name="dms_GY1" xfId="53" xr:uid="{00000000-0005-0000-0000-000027000000}"/>
    <cellStyle name="dms_GY2" xfId="54" xr:uid="{00000000-0005-0000-0000-000028000000}"/>
    <cellStyle name="dms_H" xfId="4" xr:uid="{00000000-0005-0000-0000-000029000000}"/>
    <cellStyle name="dms_NUM" xfId="10" xr:uid="{00000000-0005-0000-0000-00002A000000}"/>
    <cellStyle name="dms_Num%" xfId="61" xr:uid="{00000000-0005-0000-0000-00002B000000}"/>
    <cellStyle name="dms_Row_Locked" xfId="59" xr:uid="{00000000-0005-0000-0000-00002C000000}"/>
    <cellStyle name="dms_Row1" xfId="11" xr:uid="{00000000-0005-0000-0000-00002D000000}"/>
    <cellStyle name="dms_Row2" xfId="58" xr:uid="{00000000-0005-0000-0000-00002E000000}"/>
    <cellStyle name="dms_T1" xfId="2" xr:uid="{00000000-0005-0000-0000-00002F000000}"/>
    <cellStyle name="dms_T1 2" xfId="66" xr:uid="{00000000-0005-0000-0000-000030000000}"/>
    <cellStyle name="dms_T2" xfId="57" xr:uid="{00000000-0005-0000-0000-000031000000}"/>
    <cellStyle name="dms_TopHeader" xfId="62" xr:uid="{00000000-0005-0000-0000-000032000000}"/>
    <cellStyle name="Explanatory Text" xfId="27" builtinId="53" hidden="1"/>
    <cellStyle name="Good" xfId="17" builtinId="26" hidden="1"/>
    <cellStyle name="Heading 1" xfId="13" builtinId="16" hidden="1"/>
    <cellStyle name="Heading 2" xfId="14" builtinId="17" hidden="1"/>
    <cellStyle name="Heading 3" xfId="15" builtinId="18" hidden="1"/>
    <cellStyle name="Heading 4" xfId="16" builtinId="19" hidden="1"/>
    <cellStyle name="Hyperlink" xfId="63" builtinId="8"/>
    <cellStyle name="Hyperlink 2" xfId="65" xr:uid="{00000000-0005-0000-0000-00003A000000}"/>
    <cellStyle name="Input" xfId="20" builtinId="20" hidden="1"/>
    <cellStyle name="Linked Cell" xfId="23" builtinId="24" hidden="1"/>
    <cellStyle name="Neutral" xfId="19" builtinId="28" hidden="1"/>
    <cellStyle name="NonInputCell" xfId="72" xr:uid="{DE565139-0F33-41C6-B3CC-136EA1A48A79}"/>
    <cellStyle name="Normal" xfId="0" builtinId="0"/>
    <cellStyle name="Normal 2" xfId="73" xr:uid="{67221030-2937-490D-B4D0-17904D3EB32B}"/>
    <cellStyle name="Note" xfId="26" builtinId="10" hidden="1"/>
    <cellStyle name="Output" xfId="21" builtinId="21" hidden="1"/>
    <cellStyle name="Title" xfId="12" builtinId="15" hidden="1"/>
    <cellStyle name="Total" xfId="28" builtinId="25" hidden="1"/>
    <cellStyle name="Warning Text" xfId="25" builtinId="11" hidden="1"/>
  </cellStyles>
  <dxfs count="50">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rgb="FFFFFF99"/>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777777"/>
      <color rgb="FFFFFFCC"/>
      <color rgb="FFFFFF99"/>
      <color rgb="FF0033CC"/>
      <color rgb="FFFFCCFF"/>
      <color rgb="FF2F5481"/>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23</xdr:row>
      <xdr:rowOff>614484</xdr:rowOff>
    </xdr:from>
    <xdr:to>
      <xdr:col>4</xdr:col>
      <xdr:colOff>353786</xdr:colOff>
      <xdr:row>23</xdr:row>
      <xdr:rowOff>1279072</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stretch>
          <a:fillRect/>
        </a:stretch>
      </xdr:blipFill>
      <xdr:spPr>
        <a:xfrm>
          <a:off x="5919106" y="40821"/>
          <a:ext cx="11293042" cy="2653393"/>
        </a:xfrm>
        <a:prstGeom prst="rect">
          <a:avLst/>
        </a:prstGeom>
      </xdr:spPr>
    </xdr:pic>
    <xdr:clientData/>
  </xdr:twoCellAnchor>
  <xdr:twoCellAnchor editAs="oneCell">
    <xdr:from>
      <xdr:col>3</xdr:col>
      <xdr:colOff>2890838</xdr:colOff>
      <xdr:row>7</xdr:row>
      <xdr:rowOff>361950</xdr:rowOff>
    </xdr:from>
    <xdr:to>
      <xdr:col>4</xdr:col>
      <xdr:colOff>1229005</xdr:colOff>
      <xdr:row>7</xdr:row>
      <xdr:rowOff>1266825</xdr:rowOff>
    </xdr:to>
    <xdr:pic>
      <xdr:nvPicPr>
        <xdr:cNvPr id="6" name="Picture 5">
          <a:extLst>
            <a:ext uri="{FF2B5EF4-FFF2-40B4-BE49-F238E27FC236}">
              <a16:creationId xmlns:a16="http://schemas.microsoft.com/office/drawing/2014/main" id="{3476CBED-F2C7-4905-A2D8-639950861A24}"/>
            </a:ext>
          </a:extLst>
        </xdr:cNvPr>
        <xdr:cNvPicPr>
          <a:picLocks noChangeAspect="1"/>
        </xdr:cNvPicPr>
      </xdr:nvPicPr>
      <xdr:blipFill>
        <a:blip xmlns:r="http://schemas.openxmlformats.org/officeDocument/2006/relationships" r:embed="rId3"/>
        <a:stretch>
          <a:fillRect/>
        </a:stretch>
      </xdr:blipFill>
      <xdr:spPr>
        <a:xfrm>
          <a:off x="13641388" y="6877050"/>
          <a:ext cx="3110192" cy="901700"/>
        </a:xfrm>
        <a:prstGeom prst="rect">
          <a:avLst/>
        </a:prstGeom>
      </xdr:spPr>
    </xdr:pic>
    <xdr:clientData/>
  </xdr:twoCellAnchor>
  <xdr:twoCellAnchor editAs="oneCell">
    <xdr:from>
      <xdr:col>3</xdr:col>
      <xdr:colOff>2938463</xdr:colOff>
      <xdr:row>11</xdr:row>
      <xdr:rowOff>204789</xdr:rowOff>
    </xdr:from>
    <xdr:to>
      <xdr:col>4</xdr:col>
      <xdr:colOff>1064698</xdr:colOff>
      <xdr:row>11</xdr:row>
      <xdr:rowOff>1192214</xdr:rowOff>
    </xdr:to>
    <xdr:pic>
      <xdr:nvPicPr>
        <xdr:cNvPr id="7" name="Picture 6">
          <a:extLst>
            <a:ext uri="{FF2B5EF4-FFF2-40B4-BE49-F238E27FC236}">
              <a16:creationId xmlns:a16="http://schemas.microsoft.com/office/drawing/2014/main" id="{131FD583-10F7-4060-B4CE-58989302BB88}"/>
            </a:ext>
          </a:extLst>
        </xdr:cNvPr>
        <xdr:cNvPicPr>
          <a:picLocks noChangeAspect="1"/>
        </xdr:cNvPicPr>
      </xdr:nvPicPr>
      <xdr:blipFill>
        <a:blip xmlns:r="http://schemas.openxmlformats.org/officeDocument/2006/relationships" r:embed="rId4"/>
        <a:stretch>
          <a:fillRect/>
        </a:stretch>
      </xdr:blipFill>
      <xdr:spPr>
        <a:xfrm>
          <a:off x="13695363" y="13736639"/>
          <a:ext cx="2895085" cy="990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1441737" y="119061"/>
          <a:ext cx="1377258" cy="1399061"/>
          <a:chOff x="997323" y="22412"/>
          <a:chExt cx="1154206" cy="1176617"/>
        </a:xfrm>
      </xdr:grpSpPr>
      <xdr:sp macro="" textlink="">
        <xdr:nvSpPr>
          <xdr:cNvPr id="3" name="Rectangle 3">
            <a:extLst>
              <a:ext uri="{FF2B5EF4-FFF2-40B4-BE49-F238E27FC236}">
                <a16:creationId xmlns:a16="http://schemas.microsoft.com/office/drawing/2014/main" id="{00000000-0008-0000-0200-000003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200-000005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200-000006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56268</xdr:colOff>
      <xdr:row>0</xdr:row>
      <xdr:rowOff>59898</xdr:rowOff>
    </xdr:from>
    <xdr:to>
      <xdr:col>0</xdr:col>
      <xdr:colOff>1415864</xdr:colOff>
      <xdr:row>4</xdr:row>
      <xdr:rowOff>42206</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56268" y="59898"/>
          <a:ext cx="1359596" cy="1506308"/>
          <a:chOff x="626102" y="3127568"/>
          <a:chExt cx="762000" cy="931131"/>
        </a:xfrm>
      </xdr:grpSpPr>
      <xdr:pic>
        <xdr:nvPicPr>
          <xdr:cNvPr id="6" name="Picture 3" descr="item">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6102" y="3127568"/>
            <a:ext cx="762000" cy="4898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AutoShape 4">
            <a:hlinkClick xmlns:r="http://schemas.openxmlformats.org/officeDocument/2006/relationships" r:id="rId2"/>
            <a:extLst>
              <a:ext uri="{FF2B5EF4-FFF2-40B4-BE49-F238E27FC236}">
                <a16:creationId xmlns:a16="http://schemas.microsoft.com/office/drawing/2014/main" id="{00000000-0008-0000-0300-000007000000}"/>
              </a:ext>
            </a:extLst>
          </xdr:cNvPr>
          <xdr:cNvSpPr>
            <a:spLocks noChangeArrowheads="1"/>
          </xdr:cNvSpPr>
        </xdr:nvSpPr>
        <xdr:spPr bwMode="auto">
          <a:xfrm>
            <a:off x="645153" y="3606540"/>
            <a:ext cx="736671" cy="23413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0" i="0" u="none" strike="noStrike" baseline="0">
                <a:solidFill>
                  <a:srgbClr val="000080"/>
                </a:solidFill>
                <a:latin typeface="Arial Black"/>
              </a:rPr>
              <a:t>Contents</a:t>
            </a:r>
          </a:p>
        </xdr:txBody>
      </xdr:sp>
      <xdr:sp macro="" textlink="">
        <xdr:nvSpPr>
          <xdr:cNvPr id="8" name="AutoShape 5">
            <a:hlinkClick xmlns:r="http://schemas.openxmlformats.org/officeDocument/2006/relationships" r:id="rId3"/>
            <a:extLst>
              <a:ext uri="{FF2B5EF4-FFF2-40B4-BE49-F238E27FC236}">
                <a16:creationId xmlns:a16="http://schemas.microsoft.com/office/drawing/2014/main" id="{00000000-0008-0000-0300-000008000000}"/>
              </a:ext>
            </a:extLst>
          </xdr:cNvPr>
          <xdr:cNvSpPr>
            <a:spLocks noChangeArrowheads="1"/>
          </xdr:cNvSpPr>
        </xdr:nvSpPr>
        <xdr:spPr bwMode="auto">
          <a:xfrm>
            <a:off x="645153" y="3828335"/>
            <a:ext cx="736671" cy="23036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650" b="0" i="0" u="none" strike="noStrike" baseline="0">
                <a:solidFill>
                  <a:srgbClr val="000080"/>
                </a:solidFill>
                <a:latin typeface="Arial Black"/>
              </a:rPr>
              <a:t>Instructions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76200</xdr:colOff>
      <xdr:row>0</xdr:row>
      <xdr:rowOff>28575</xdr:rowOff>
    </xdr:from>
    <xdr:to>
      <xdr:col>0</xdr:col>
      <xdr:colOff>1362075</xdr:colOff>
      <xdr:row>4</xdr:row>
      <xdr:rowOff>35144</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76200" y="28575"/>
          <a:ext cx="1285875" cy="1530569"/>
          <a:chOff x="22413" y="11206"/>
          <a:chExt cx="1546410" cy="1423147"/>
        </a:xfrm>
      </xdr:grpSpPr>
      <xdr:sp macro="" textlink="">
        <xdr:nvSpPr>
          <xdr:cNvPr id="3" name="Rectangle 3">
            <a:extLst>
              <a:ext uri="{FF2B5EF4-FFF2-40B4-BE49-F238E27FC236}">
                <a16:creationId xmlns:a16="http://schemas.microsoft.com/office/drawing/2014/main" id="{00000000-0008-0000-0400-000003000000}"/>
              </a:ext>
            </a:extLst>
          </xdr:cNvPr>
          <xdr:cNvSpPr>
            <a:spLocks noChangeArrowheads="1"/>
          </xdr:cNvSpPr>
        </xdr:nvSpPr>
        <xdr:spPr bwMode="auto">
          <a:xfrm>
            <a:off x="33619" y="22412"/>
            <a:ext cx="1524629" cy="1411941"/>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13" y="11206"/>
            <a:ext cx="1546410" cy="766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400-000005000000}"/>
              </a:ext>
            </a:extLst>
          </xdr:cNvPr>
          <xdr:cNvSpPr>
            <a:spLocks noChangeArrowheads="1"/>
          </xdr:cNvSpPr>
        </xdr:nvSpPr>
        <xdr:spPr bwMode="auto">
          <a:xfrm>
            <a:off x="157398" y="841232"/>
            <a:ext cx="1328327" cy="2289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400-000006000000}"/>
              </a:ext>
            </a:extLst>
          </xdr:cNvPr>
          <xdr:cNvSpPr>
            <a:spLocks noChangeArrowheads="1"/>
          </xdr:cNvSpPr>
        </xdr:nvSpPr>
        <xdr:spPr bwMode="auto">
          <a:xfrm>
            <a:off x="157398" y="1131545"/>
            <a:ext cx="1328327" cy="22847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1457325</xdr:colOff>
      <xdr:row>4</xdr:row>
      <xdr:rowOff>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0" y="0"/>
          <a:ext cx="1457325" cy="1524000"/>
          <a:chOff x="22413" y="11206"/>
          <a:chExt cx="1546410" cy="1423147"/>
        </a:xfrm>
      </xdr:grpSpPr>
      <xdr:sp macro="" textlink="">
        <xdr:nvSpPr>
          <xdr:cNvPr id="3" name="Rectangle 3">
            <a:extLst>
              <a:ext uri="{FF2B5EF4-FFF2-40B4-BE49-F238E27FC236}">
                <a16:creationId xmlns:a16="http://schemas.microsoft.com/office/drawing/2014/main" id="{00000000-0008-0000-0500-000003000000}"/>
              </a:ext>
            </a:extLst>
          </xdr:cNvPr>
          <xdr:cNvSpPr>
            <a:spLocks noChangeArrowheads="1"/>
          </xdr:cNvSpPr>
        </xdr:nvSpPr>
        <xdr:spPr bwMode="auto">
          <a:xfrm>
            <a:off x="33619" y="22412"/>
            <a:ext cx="1524629" cy="1411941"/>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13" y="11206"/>
            <a:ext cx="1546410" cy="766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500-000005000000}"/>
              </a:ext>
            </a:extLst>
          </xdr:cNvPr>
          <xdr:cNvSpPr>
            <a:spLocks noChangeArrowheads="1"/>
          </xdr:cNvSpPr>
        </xdr:nvSpPr>
        <xdr:spPr bwMode="auto">
          <a:xfrm>
            <a:off x="157398" y="841232"/>
            <a:ext cx="1328327" cy="2289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500-000006000000}"/>
              </a:ext>
            </a:extLst>
          </xdr:cNvPr>
          <xdr:cNvSpPr>
            <a:spLocks noChangeArrowheads="1"/>
          </xdr:cNvSpPr>
        </xdr:nvSpPr>
        <xdr:spPr bwMode="auto">
          <a:xfrm>
            <a:off x="157398" y="1131545"/>
            <a:ext cx="1328327" cy="22847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1457325</xdr:colOff>
      <xdr:row>4</xdr:row>
      <xdr:rowOff>6569</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0" y="0"/>
          <a:ext cx="1457325" cy="1530569"/>
          <a:chOff x="22413" y="11206"/>
          <a:chExt cx="1546410" cy="1423147"/>
        </a:xfrm>
      </xdr:grpSpPr>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33619" y="22412"/>
            <a:ext cx="1524629" cy="1411941"/>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13" y="11206"/>
            <a:ext cx="1546410" cy="766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600-000005000000}"/>
              </a:ext>
            </a:extLst>
          </xdr:cNvPr>
          <xdr:cNvSpPr>
            <a:spLocks noChangeArrowheads="1"/>
          </xdr:cNvSpPr>
        </xdr:nvSpPr>
        <xdr:spPr bwMode="auto">
          <a:xfrm>
            <a:off x="157398" y="841232"/>
            <a:ext cx="1328327" cy="2289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600-000006000000}"/>
              </a:ext>
            </a:extLst>
          </xdr:cNvPr>
          <xdr:cNvSpPr>
            <a:spLocks noChangeArrowheads="1"/>
          </xdr:cNvSpPr>
        </xdr:nvSpPr>
        <xdr:spPr bwMode="auto">
          <a:xfrm>
            <a:off x="157398" y="1131545"/>
            <a:ext cx="1328327" cy="22847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1457325</xdr:colOff>
      <xdr:row>4</xdr:row>
      <xdr:rowOff>6569</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0" y="0"/>
          <a:ext cx="1457325" cy="1530569"/>
          <a:chOff x="22413" y="11206"/>
          <a:chExt cx="1546410" cy="1423147"/>
        </a:xfrm>
      </xdr:grpSpPr>
      <xdr:sp macro="" textlink="">
        <xdr:nvSpPr>
          <xdr:cNvPr id="3" name="Rectangle 3">
            <a:extLst>
              <a:ext uri="{FF2B5EF4-FFF2-40B4-BE49-F238E27FC236}">
                <a16:creationId xmlns:a16="http://schemas.microsoft.com/office/drawing/2014/main" id="{00000000-0008-0000-0700-000003000000}"/>
              </a:ext>
            </a:extLst>
          </xdr:cNvPr>
          <xdr:cNvSpPr>
            <a:spLocks noChangeArrowheads="1"/>
          </xdr:cNvSpPr>
        </xdr:nvSpPr>
        <xdr:spPr bwMode="auto">
          <a:xfrm>
            <a:off x="33619" y="22412"/>
            <a:ext cx="1524629" cy="1411941"/>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13" y="11206"/>
            <a:ext cx="1546410" cy="766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700-000005000000}"/>
              </a:ext>
            </a:extLst>
          </xdr:cNvPr>
          <xdr:cNvSpPr>
            <a:spLocks noChangeArrowheads="1"/>
          </xdr:cNvSpPr>
        </xdr:nvSpPr>
        <xdr:spPr bwMode="auto">
          <a:xfrm>
            <a:off x="157398" y="841232"/>
            <a:ext cx="1328327" cy="2289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700-000006000000}"/>
              </a:ext>
            </a:extLst>
          </xdr:cNvPr>
          <xdr:cNvSpPr>
            <a:spLocks noChangeArrowheads="1"/>
          </xdr:cNvSpPr>
        </xdr:nvSpPr>
        <xdr:spPr bwMode="auto">
          <a:xfrm>
            <a:off x="157398" y="1131545"/>
            <a:ext cx="1328327" cy="22847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1457325</xdr:colOff>
      <xdr:row>4</xdr:row>
      <xdr:rowOff>6569</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0" y="0"/>
          <a:ext cx="1457325" cy="1530569"/>
          <a:chOff x="22413" y="11206"/>
          <a:chExt cx="1546410" cy="1423147"/>
        </a:xfrm>
      </xdr:grpSpPr>
      <xdr:sp macro="" textlink="">
        <xdr:nvSpPr>
          <xdr:cNvPr id="3" name="Rectangle 3">
            <a:extLst>
              <a:ext uri="{FF2B5EF4-FFF2-40B4-BE49-F238E27FC236}">
                <a16:creationId xmlns:a16="http://schemas.microsoft.com/office/drawing/2014/main" id="{00000000-0008-0000-0900-000003000000}"/>
              </a:ext>
            </a:extLst>
          </xdr:cNvPr>
          <xdr:cNvSpPr>
            <a:spLocks noChangeArrowheads="1"/>
          </xdr:cNvSpPr>
        </xdr:nvSpPr>
        <xdr:spPr bwMode="auto">
          <a:xfrm>
            <a:off x="33619" y="22412"/>
            <a:ext cx="1524629" cy="1411941"/>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13" y="11206"/>
            <a:ext cx="1546410" cy="766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900-000005000000}"/>
              </a:ext>
            </a:extLst>
          </xdr:cNvPr>
          <xdr:cNvSpPr>
            <a:spLocks noChangeArrowheads="1"/>
          </xdr:cNvSpPr>
        </xdr:nvSpPr>
        <xdr:spPr bwMode="auto">
          <a:xfrm>
            <a:off x="157398" y="841232"/>
            <a:ext cx="1328327" cy="2289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900-000006000000}"/>
              </a:ext>
            </a:extLst>
          </xdr:cNvPr>
          <xdr:cNvSpPr>
            <a:spLocks noChangeArrowheads="1"/>
          </xdr:cNvSpPr>
        </xdr:nvSpPr>
        <xdr:spPr bwMode="auto">
          <a:xfrm>
            <a:off x="157398" y="1131545"/>
            <a:ext cx="1328327" cy="22847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4</xdr:col>
      <xdr:colOff>428625</xdr:colOff>
      <xdr:row>0</xdr:row>
      <xdr:rowOff>0</xdr:rowOff>
    </xdr:from>
    <xdr:to>
      <xdr:col>8</xdr:col>
      <xdr:colOff>1238250</xdr:colOff>
      <xdr:row>2</xdr:row>
      <xdr:rowOff>352425</xdr:rowOff>
    </xdr:to>
    <xdr:grpSp>
      <xdr:nvGrpSpPr>
        <xdr:cNvPr id="7" name="Group 6">
          <a:extLst>
            <a:ext uri="{FF2B5EF4-FFF2-40B4-BE49-F238E27FC236}">
              <a16:creationId xmlns:a16="http://schemas.microsoft.com/office/drawing/2014/main" id="{00000000-0008-0000-0900-000007000000}"/>
            </a:ext>
          </a:extLst>
        </xdr:cNvPr>
        <xdr:cNvGrpSpPr/>
      </xdr:nvGrpSpPr>
      <xdr:grpSpPr>
        <a:xfrm>
          <a:off x="8201025" y="0"/>
          <a:ext cx="6372225" cy="1114425"/>
          <a:chOff x="73103757" y="1954480"/>
          <a:chExt cx="6045197" cy="1566195"/>
        </a:xfrm>
      </xdr:grpSpPr>
      <xdr:sp macro="[0]!MarkConfidential" textlink="">
        <xdr:nvSpPr>
          <xdr:cNvPr id="8" name="Rounded Rectangle 7">
            <a:extLst>
              <a:ext uri="{FF2B5EF4-FFF2-40B4-BE49-F238E27FC236}">
                <a16:creationId xmlns:a16="http://schemas.microsoft.com/office/drawing/2014/main" id="{00000000-0008-0000-0900-000008000000}"/>
              </a:ext>
            </a:extLst>
          </xdr:cNvPr>
          <xdr:cNvSpPr/>
        </xdr:nvSpPr>
        <xdr:spPr>
          <a:xfrm>
            <a:off x="73103757" y="1985505"/>
            <a:ext cx="1765278" cy="72070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9" name="Rounded Rectangle 8">
            <a:extLst>
              <a:ext uri="{FF2B5EF4-FFF2-40B4-BE49-F238E27FC236}">
                <a16:creationId xmlns:a16="http://schemas.microsoft.com/office/drawing/2014/main" id="{00000000-0008-0000-0900-000009000000}"/>
              </a:ext>
            </a:extLst>
          </xdr:cNvPr>
          <xdr:cNvSpPr/>
        </xdr:nvSpPr>
        <xdr:spPr>
          <a:xfrm>
            <a:off x="73103760" y="2781203"/>
            <a:ext cx="1774698" cy="671278"/>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sp macro="" textlink="">
        <xdr:nvSpPr>
          <xdr:cNvPr id="10" name="Rounded Rectangle 9">
            <a:extLst>
              <a:ext uri="{FF2B5EF4-FFF2-40B4-BE49-F238E27FC236}">
                <a16:creationId xmlns:a16="http://schemas.microsoft.com/office/drawing/2014/main" id="{00000000-0008-0000-0900-00000A000000}"/>
              </a:ext>
            </a:extLst>
          </xdr:cNvPr>
          <xdr:cNvSpPr/>
        </xdr:nvSpPr>
        <xdr:spPr>
          <a:xfrm>
            <a:off x="75925280" y="1954480"/>
            <a:ext cx="3223674" cy="1566195"/>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sp macro="[0]!dms_ReturnNonAmended" textlink="">
        <xdr:nvSpPr>
          <xdr:cNvPr id="11" name="Rounded Rectangle 10">
            <a:extLst>
              <a:ext uri="{FF2B5EF4-FFF2-40B4-BE49-F238E27FC236}">
                <a16:creationId xmlns:a16="http://schemas.microsoft.com/office/drawing/2014/main" id="{00000000-0008-0000-0900-00000B000000}"/>
              </a:ext>
            </a:extLst>
          </xdr:cNvPr>
          <xdr:cNvSpPr/>
        </xdr:nvSpPr>
        <xdr:spPr>
          <a:xfrm>
            <a:off x="77410771" y="2740143"/>
            <a:ext cx="1572629" cy="731056"/>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2" name="Rounded Rectangle 11">
            <a:extLst>
              <a:ext uri="{FF2B5EF4-FFF2-40B4-BE49-F238E27FC236}">
                <a16:creationId xmlns:a16="http://schemas.microsoft.com/office/drawing/2014/main" id="{00000000-0008-0000-0900-00000C000000}"/>
              </a:ext>
            </a:extLst>
          </xdr:cNvPr>
          <xdr:cNvSpPr/>
        </xdr:nvSpPr>
        <xdr:spPr>
          <a:xfrm>
            <a:off x="77403949" y="2006615"/>
            <a:ext cx="1589517" cy="7049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sp macro="" textlink="">
        <xdr:nvSpPr>
          <xdr:cNvPr id="13" name="Rounded Rectangle 12">
            <a:extLst>
              <a:ext uri="{FF2B5EF4-FFF2-40B4-BE49-F238E27FC236}">
                <a16:creationId xmlns:a16="http://schemas.microsoft.com/office/drawing/2014/main" id="{00000000-0008-0000-0900-00000D000000}"/>
              </a:ext>
            </a:extLst>
          </xdr:cNvPr>
          <xdr:cNvSpPr/>
        </xdr:nvSpPr>
        <xdr:spPr>
          <a:xfrm>
            <a:off x="76143350" y="2054306"/>
            <a:ext cx="1115103" cy="136659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tabColor theme="9"/>
  </sheetPr>
  <dimension ref="B1:O28"/>
  <sheetViews>
    <sheetView showGridLines="0" zoomScale="70" zoomScaleNormal="70" workbookViewId="0"/>
  </sheetViews>
  <sheetFormatPr defaultColWidth="9.140625" defaultRowHeight="28.5" x14ac:dyDescent="0.25"/>
  <cols>
    <col min="1" max="1" width="64.140625" customWidth="1"/>
    <col min="2" max="2" width="59.85546875" style="865" customWidth="1"/>
    <col min="3" max="3" width="20.85546875" customWidth="1"/>
    <col min="4" max="4" width="68.140625" customWidth="1"/>
    <col min="5" max="5" width="20.85546875" customWidth="1"/>
    <col min="6" max="6" width="15.85546875" customWidth="1"/>
  </cols>
  <sheetData>
    <row r="1" spans="2:15" s="866" customFormat="1" ht="214.5" customHeight="1" thickBot="1" x14ac:dyDescent="0.3">
      <c r="B1" s="865"/>
    </row>
    <row r="2" spans="2:15" s="866" customFormat="1" ht="39.75" customHeight="1" x14ac:dyDescent="0.25">
      <c r="B2" s="1128" t="str">
        <f>CONCATENATE(dms_Sector," ",dms_Segment," ", "Network Service Provider")</f>
        <v>Gas Transmission Network Service Provider</v>
      </c>
      <c r="C2" s="1129"/>
      <c r="D2" s="1129"/>
      <c r="E2" s="1130"/>
      <c r="F2" s="867"/>
    </row>
    <row r="3" spans="2:15" s="866" customFormat="1" ht="39.75" customHeight="1" x14ac:dyDescent="0.25">
      <c r="B3" s="1131" t="str">
        <f>IF(dms_Model="Reset","Regulatory Proposal RIN Template","Regulatory Proposal RIN Template - Historical")</f>
        <v>Regulatory Proposal RIN Template - Historical</v>
      </c>
      <c r="C3" s="1132"/>
      <c r="D3" s="1132"/>
      <c r="E3" s="1133"/>
      <c r="F3" s="867"/>
      <c r="L3"/>
      <c r="O3"/>
    </row>
    <row r="4" spans="2:15" s="866" customFormat="1" ht="49.5" customHeight="1" thickBot="1" x14ac:dyDescent="0.3">
      <c r="B4" s="1134" t="str">
        <f>CONCATENATE("This template is to be used by ",dms_TradingNameFull," to fulfil its reporting obligations to the AER.")</f>
        <v>This template is to be used by APT Petroleum Pipelines Limited t/a Roma to Brisbane Pipeline to fulfil its reporting obligations to the AER.</v>
      </c>
      <c r="C4" s="1135"/>
      <c r="D4" s="1135"/>
      <c r="E4" s="1136"/>
      <c r="F4" s="868"/>
    </row>
    <row r="5" spans="2:15" s="866" customFormat="1" ht="39.75" customHeight="1" thickBot="1" x14ac:dyDescent="0.3">
      <c r="B5" s="1137" t="s">
        <v>0</v>
      </c>
      <c r="C5" s="1138"/>
      <c r="D5" s="1138"/>
      <c r="E5" s="1139"/>
      <c r="F5" s="869"/>
    </row>
    <row r="6" spans="2:15" s="866" customFormat="1" ht="114.75" customHeight="1" thickBot="1" x14ac:dyDescent="0.3">
      <c r="B6" s="870" t="s">
        <v>1</v>
      </c>
      <c r="C6" s="1140" t="s">
        <v>2</v>
      </c>
      <c r="D6" s="1141"/>
      <c r="E6" s="1142"/>
      <c r="F6"/>
    </row>
    <row r="7" spans="2:15" s="866" customFormat="1" ht="15" customHeight="1" thickBot="1" x14ac:dyDescent="0.3">
      <c r="B7" s="865"/>
      <c r="D7"/>
      <c r="E7"/>
      <c r="F7"/>
      <c r="G7"/>
    </row>
    <row r="8" spans="2:15" s="866" customFormat="1" ht="126.75" customHeight="1" x14ac:dyDescent="0.25">
      <c r="B8" s="1121" t="s">
        <v>3</v>
      </c>
      <c r="C8" s="1123" t="s">
        <v>4</v>
      </c>
      <c r="D8" s="1124"/>
      <c r="E8" s="1054"/>
      <c r="F8"/>
      <c r="J8" s="871"/>
    </row>
    <row r="9" spans="2:15" s="866" customFormat="1" ht="101.1" customHeight="1" thickBot="1" x14ac:dyDescent="0.3">
      <c r="B9" s="1122"/>
      <c r="C9" s="1125" t="s">
        <v>5</v>
      </c>
      <c r="D9" s="1126"/>
      <c r="E9" s="1127"/>
      <c r="F9"/>
    </row>
    <row r="10" spans="2:15" s="866" customFormat="1" ht="15" customHeight="1" thickBot="1" x14ac:dyDescent="0.3">
      <c r="B10" s="865"/>
      <c r="D10"/>
      <c r="E10"/>
      <c r="F10"/>
      <c r="G10"/>
    </row>
    <row r="11" spans="2:15" s="866" customFormat="1" ht="162" customHeight="1" x14ac:dyDescent="0.25">
      <c r="B11" s="1121" t="s">
        <v>6</v>
      </c>
      <c r="C11" s="1150" t="s">
        <v>7</v>
      </c>
      <c r="D11" s="1151"/>
      <c r="E11" s="1152"/>
      <c r="F11"/>
    </row>
    <row r="12" spans="2:15" s="866" customFormat="1" ht="132.75" customHeight="1" x14ac:dyDescent="0.25">
      <c r="B12" s="1143"/>
      <c r="C12" s="1153" t="s">
        <v>8</v>
      </c>
      <c r="D12" s="1154"/>
      <c r="E12" s="1055"/>
      <c r="F12"/>
    </row>
    <row r="13" spans="2:15" s="866" customFormat="1" ht="48.75" customHeight="1" thickBot="1" x14ac:dyDescent="0.3">
      <c r="B13" s="1122"/>
      <c r="C13" s="1155" t="s">
        <v>9</v>
      </c>
      <c r="D13" s="1156"/>
      <c r="E13" s="1157"/>
      <c r="F13"/>
    </row>
    <row r="14" spans="2:15" s="866" customFormat="1" ht="15" customHeight="1" thickBot="1" x14ac:dyDescent="0.3">
      <c r="B14" s="865"/>
      <c r="D14"/>
      <c r="E14"/>
      <c r="F14"/>
      <c r="G14"/>
    </row>
    <row r="15" spans="2:15" s="866" customFormat="1" ht="80.25" customHeight="1" thickBot="1" x14ac:dyDescent="0.3">
      <c r="B15" s="870" t="s">
        <v>10</v>
      </c>
      <c r="C15" s="1158" t="s">
        <v>11</v>
      </c>
      <c r="D15" s="1159"/>
      <c r="E15" s="1160"/>
      <c r="F15"/>
    </row>
    <row r="16" spans="2:15" s="866" customFormat="1" ht="15" customHeight="1" thickBot="1" x14ac:dyDescent="0.3">
      <c r="B16" s="865"/>
      <c r="D16"/>
      <c r="E16"/>
      <c r="F16"/>
      <c r="G16"/>
    </row>
    <row r="17" spans="2:7" s="866" customFormat="1" ht="28.35" customHeight="1" thickBot="1" x14ac:dyDescent="0.3">
      <c r="B17" s="1121" t="s">
        <v>12</v>
      </c>
      <c r="C17" s="1144"/>
      <c r="D17" s="1145"/>
      <c r="E17" s="1146"/>
      <c r="F17"/>
    </row>
    <row r="18" spans="2:7" s="866" customFormat="1" ht="24" customHeight="1" x14ac:dyDescent="0.25">
      <c r="B18" s="1143"/>
      <c r="C18" s="872"/>
      <c r="D18" s="873" t="s">
        <v>13</v>
      </c>
      <c r="E18" s="874"/>
      <c r="F18"/>
      <c r="G18"/>
    </row>
    <row r="19" spans="2:7" s="866" customFormat="1" ht="24" customHeight="1" x14ac:dyDescent="0.25">
      <c r="B19" s="1143"/>
      <c r="C19" s="872"/>
      <c r="D19" s="875" t="s">
        <v>14</v>
      </c>
      <c r="E19" s="874"/>
      <c r="F19"/>
      <c r="G19"/>
    </row>
    <row r="20" spans="2:7" s="866" customFormat="1" ht="24" customHeight="1" thickBot="1" x14ac:dyDescent="0.3">
      <c r="B20" s="1143"/>
      <c r="C20" s="872"/>
      <c r="D20" s="876" t="s">
        <v>15</v>
      </c>
      <c r="E20" s="874"/>
      <c r="F20"/>
      <c r="G20"/>
    </row>
    <row r="21" spans="2:7" s="866" customFormat="1" ht="54" x14ac:dyDescent="0.25">
      <c r="B21" s="1143"/>
      <c r="C21" s="872"/>
      <c r="D21" s="1056" t="s">
        <v>16</v>
      </c>
      <c r="E21" s="874"/>
      <c r="F21"/>
      <c r="G21"/>
    </row>
    <row r="22" spans="2:7" s="866" customFormat="1" ht="21.75" customHeight="1" thickBot="1" x14ac:dyDescent="0.3">
      <c r="B22" s="1122"/>
      <c r="C22" s="877"/>
      <c r="D22" s="878"/>
      <c r="E22" s="879"/>
      <c r="F22"/>
      <c r="G22"/>
    </row>
    <row r="23" spans="2:7" s="866" customFormat="1" ht="15" customHeight="1" thickBot="1" x14ac:dyDescent="0.3">
      <c r="B23" s="865"/>
      <c r="D23"/>
      <c r="E23"/>
      <c r="F23"/>
      <c r="G23"/>
    </row>
    <row r="24" spans="2:7" s="866" customFormat="1" ht="105.75" customHeight="1" thickBot="1" x14ac:dyDescent="0.3">
      <c r="B24" s="870" t="s">
        <v>17</v>
      </c>
      <c r="C24" s="1147" t="s">
        <v>18</v>
      </c>
      <c r="D24" s="1148"/>
      <c r="E24" s="1149"/>
      <c r="F24"/>
    </row>
    <row r="25" spans="2:7" x14ac:dyDescent="0.25">
      <c r="C25" s="313"/>
      <c r="D25" s="313"/>
      <c r="E25" s="313"/>
    </row>
    <row r="26" spans="2:7" x14ac:dyDescent="0.25">
      <c r="C26" s="313"/>
      <c r="D26" s="313"/>
      <c r="E26" s="313"/>
    </row>
    <row r="27" spans="2:7" x14ac:dyDescent="0.25">
      <c r="C27" s="313"/>
      <c r="D27" s="313"/>
      <c r="E27" s="313"/>
    </row>
    <row r="28" spans="2:7" x14ac:dyDescent="0.25">
      <c r="C28" s="313"/>
      <c r="D28" s="313"/>
      <c r="E28" s="313"/>
    </row>
  </sheetData>
  <sheetProtection algorithmName="SHA-256" hashValue="eCEzTrJufk5gAKOs9XBuqdOTFG3Y1pBrQxvREXwkp7E=" saltValue="bknQD09SxpfwDKXoYtI++g==" spinCount="100000" sheet="1" objects="1" scenarios="1" formatCells="0" insertRows="0"/>
  <mergeCells count="16">
    <mergeCell ref="B17:B22"/>
    <mergeCell ref="C17:E17"/>
    <mergeCell ref="C24:E24"/>
    <mergeCell ref="B11:B13"/>
    <mergeCell ref="C11:E11"/>
    <mergeCell ref="C12:D12"/>
    <mergeCell ref="C13:E13"/>
    <mergeCell ref="C15:E15"/>
    <mergeCell ref="B8:B9"/>
    <mergeCell ref="C8:D8"/>
    <mergeCell ref="C9:E9"/>
    <mergeCell ref="B2:E2"/>
    <mergeCell ref="B3:E3"/>
    <mergeCell ref="B4:E4"/>
    <mergeCell ref="B5:E5"/>
    <mergeCell ref="C6:E6"/>
  </mergeCells>
  <pageMargins left="0.7" right="0.7" top="0.75" bottom="0.75" header="0.3" footer="0.3"/>
  <pageSetup orientation="portrait" horizontalDpi="90" verticalDpi="90" r:id="rId1"/>
  <headerFooter>
    <oddFooter>&amp;C_x000D_&amp;1#&amp;"Aptos"&amp;10&amp;K008000 APA-INTERNAL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
    <tabColor theme="1"/>
  </sheetPr>
  <dimension ref="B1:I66"/>
  <sheetViews>
    <sheetView showGridLines="0" topLeftCell="A13" zoomScaleNormal="100" workbookViewId="0">
      <selection activeCell="N33" sqref="N33"/>
    </sheetView>
  </sheetViews>
  <sheetFormatPr defaultColWidth="9.140625" defaultRowHeight="15" x14ac:dyDescent="0.25"/>
  <cols>
    <col min="1" max="1" width="22.85546875" customWidth="1"/>
    <col min="2" max="2" width="52" customWidth="1"/>
    <col min="3" max="10" width="20.85546875" customWidth="1"/>
  </cols>
  <sheetData>
    <row r="1" spans="2:9" ht="30.6" customHeight="1" x14ac:dyDescent="0.25">
      <c r="B1" s="438" t="str">
        <f>IF(dms_MultiYear_ResponseFlag="Yes","REGULATORY REPORTING STATEMENT - HISTORICAL INFORMATION",INDEX(dms_Worksheet_List,MATCH(dms_Model,dms_Model_List)))</f>
        <v>REGULATORY REPORTING STATEMENT - HISTORICAL INFORMATION</v>
      </c>
      <c r="C1" s="296"/>
      <c r="D1" s="296"/>
      <c r="E1" s="296"/>
      <c r="F1" s="296"/>
      <c r="G1" s="296"/>
      <c r="H1" s="296"/>
      <c r="I1" s="296"/>
    </row>
    <row r="2" spans="2:9" ht="30.6" customHeight="1" x14ac:dyDescent="0.25">
      <c r="B2" s="439" t="str">
        <f>INDEX(dms_TradingNameFull_List,MATCH(dms_TradingName,dms_TradingName_List))</f>
        <v>APT Petroleum Pipelines Limited t/a Roma to Brisbane Pipeline</v>
      </c>
      <c r="C2" s="296"/>
      <c r="D2" s="296"/>
      <c r="E2" s="296"/>
      <c r="F2" s="296"/>
      <c r="G2" s="296"/>
      <c r="H2" s="296"/>
      <c r="I2" s="296"/>
    </row>
    <row r="3" spans="2:9" ht="30.6" customHeight="1" x14ac:dyDescent="0.25">
      <c r="B3" s="439" t="str">
        <f>dms_Header_Span</f>
        <v>Data Span 2021-22 to 2024-25</v>
      </c>
      <c r="C3" s="296"/>
      <c r="D3" s="296"/>
      <c r="E3" s="296"/>
      <c r="F3" s="296"/>
      <c r="G3" s="296"/>
      <c r="H3" s="296"/>
      <c r="I3" s="296"/>
    </row>
    <row r="4" spans="2:9" ht="30.6" customHeight="1" x14ac:dyDescent="0.25">
      <c r="B4" s="279" t="s">
        <v>178</v>
      </c>
      <c r="C4" s="279"/>
      <c r="D4" s="279"/>
      <c r="E4" s="279"/>
      <c r="F4" s="279"/>
      <c r="G4" s="279"/>
      <c r="H4" s="279"/>
      <c r="I4" s="279"/>
    </row>
    <row r="6" spans="2:9" ht="15.75" thickBot="1" x14ac:dyDescent="0.3"/>
    <row r="7" spans="2:9" ht="16.5" thickBot="1" x14ac:dyDescent="0.3">
      <c r="B7" s="280"/>
      <c r="C7" s="280"/>
      <c r="D7" s="280"/>
      <c r="E7" s="280"/>
      <c r="F7" s="280"/>
      <c r="G7" s="280"/>
      <c r="H7" s="280"/>
      <c r="I7" s="280"/>
    </row>
    <row r="8" spans="2:9" ht="15.75" thickBot="1" x14ac:dyDescent="0.3"/>
    <row r="9" spans="2:9" x14ac:dyDescent="0.25">
      <c r="C9" s="1220" t="s">
        <v>24</v>
      </c>
      <c r="D9" s="1221"/>
      <c r="E9" s="1221"/>
      <c r="F9" s="1221"/>
      <c r="G9" s="1221"/>
      <c r="H9" s="1221"/>
      <c r="I9" s="1222"/>
    </row>
    <row r="10" spans="2:9" ht="15.75" thickBot="1" x14ac:dyDescent="0.3">
      <c r="C10" s="1223" t="str">
        <f>CONCATENATE("Forecast ($0's, real ",dms_DollarReal,")")</f>
        <v>Forecast ($0's, real June 2022)</v>
      </c>
      <c r="D10" s="1224"/>
      <c r="E10" s="1224"/>
      <c r="F10" s="1224"/>
      <c r="G10" s="1224"/>
      <c r="H10" s="1224"/>
      <c r="I10" s="1225"/>
    </row>
    <row r="11" spans="2:9" ht="15.75" thickBot="1" x14ac:dyDescent="0.3">
      <c r="C11" s="919" t="str">
        <f ca="1">CRCP_y4</f>
        <v>2019-20</v>
      </c>
      <c r="D11" s="918" t="str">
        <f ca="1">CRCP_y5</f>
        <v>2020-21</v>
      </c>
      <c r="E11" s="917" t="str">
        <f>FRCP_y1</f>
        <v>2021-22</v>
      </c>
      <c r="F11" s="917" t="str">
        <f ca="1">FRCP_y2</f>
        <v>2022-23</v>
      </c>
      <c r="G11" s="917" t="str">
        <f ca="1">FRCP_y3</f>
        <v>2023-24</v>
      </c>
      <c r="H11" s="917" t="str">
        <f ca="1">FRCP_y4</f>
        <v>2024-25</v>
      </c>
      <c r="I11" s="916" t="str">
        <f ca="1">FRCP_y5</f>
        <v>2025-26</v>
      </c>
    </row>
    <row r="12" spans="2:9" ht="15.75" thickBot="1" x14ac:dyDescent="0.3">
      <c r="B12" s="892"/>
      <c r="C12" s="893"/>
      <c r="D12" s="893"/>
      <c r="E12" s="893"/>
      <c r="F12" s="893"/>
      <c r="G12" s="893"/>
      <c r="H12" s="893"/>
      <c r="I12" s="894"/>
    </row>
    <row r="13" spans="2:9" x14ac:dyDescent="0.25">
      <c r="B13" s="882"/>
      <c r="C13" s="883"/>
      <c r="D13" s="883"/>
      <c r="E13" s="883"/>
      <c r="F13" s="883"/>
      <c r="G13" s="883"/>
      <c r="H13" s="883"/>
      <c r="I13" s="884"/>
    </row>
    <row r="14" spans="2:9" x14ac:dyDescent="0.25">
      <c r="B14" s="863"/>
      <c r="C14" s="862"/>
      <c r="D14" s="862"/>
      <c r="E14" s="862"/>
      <c r="F14" s="862"/>
      <c r="G14" s="862"/>
      <c r="H14" s="862"/>
      <c r="I14" s="864"/>
    </row>
    <row r="15" spans="2:9" x14ac:dyDescent="0.25">
      <c r="B15" s="863"/>
      <c r="C15" s="862"/>
      <c r="D15" s="862"/>
      <c r="E15" s="862"/>
      <c r="F15" s="862"/>
      <c r="G15" s="862"/>
      <c r="H15" s="862"/>
      <c r="I15" s="864"/>
    </row>
    <row r="16" spans="2:9" x14ac:dyDescent="0.25">
      <c r="B16" s="863"/>
      <c r="C16" s="862"/>
      <c r="D16" s="862"/>
      <c r="E16" s="862"/>
      <c r="F16" s="862"/>
      <c r="G16" s="862"/>
      <c r="H16" s="862"/>
      <c r="I16" s="864"/>
    </row>
    <row r="17" spans="2:9" x14ac:dyDescent="0.25">
      <c r="B17" s="863"/>
      <c r="C17" s="862"/>
      <c r="D17" s="862"/>
      <c r="E17" s="862"/>
      <c r="F17" s="862"/>
      <c r="G17" s="862"/>
      <c r="H17" s="862"/>
      <c r="I17" s="864"/>
    </row>
    <row r="18" spans="2:9" x14ac:dyDescent="0.25">
      <c r="B18" s="863"/>
      <c r="C18" s="862"/>
      <c r="D18" s="862"/>
      <c r="E18" s="862"/>
      <c r="F18" s="862"/>
      <c r="G18" s="862"/>
      <c r="H18" s="862"/>
      <c r="I18" s="864"/>
    </row>
    <row r="19" spans="2:9" x14ac:dyDescent="0.25">
      <c r="B19" s="863"/>
      <c r="C19" s="862"/>
      <c r="D19" s="862"/>
      <c r="E19" s="862"/>
      <c r="F19" s="862"/>
      <c r="G19" s="862"/>
      <c r="H19" s="862"/>
      <c r="I19" s="864"/>
    </row>
    <row r="20" spans="2:9" x14ac:dyDescent="0.25">
      <c r="B20" s="863"/>
      <c r="C20" s="862"/>
      <c r="D20" s="862"/>
      <c r="E20" s="862"/>
      <c r="F20" s="862"/>
      <c r="G20" s="862"/>
      <c r="H20" s="862"/>
      <c r="I20" s="864"/>
    </row>
    <row r="21" spans="2:9" x14ac:dyDescent="0.25">
      <c r="B21" s="863"/>
      <c r="C21" s="862"/>
      <c r="D21" s="862"/>
      <c r="E21" s="862"/>
      <c r="F21" s="862"/>
      <c r="G21" s="862"/>
      <c r="H21" s="862"/>
      <c r="I21" s="864"/>
    </row>
    <row r="22" spans="2:9" x14ac:dyDescent="0.25">
      <c r="B22" s="863"/>
      <c r="C22" s="862"/>
      <c r="D22" s="862"/>
      <c r="E22" s="862"/>
      <c r="F22" s="862"/>
      <c r="G22" s="862"/>
      <c r="H22" s="862"/>
      <c r="I22" s="864"/>
    </row>
    <row r="23" spans="2:9" x14ac:dyDescent="0.25">
      <c r="B23" s="863"/>
      <c r="C23" s="862"/>
      <c r="D23" s="862"/>
      <c r="E23" s="862"/>
      <c r="F23" s="862"/>
      <c r="G23" s="862"/>
      <c r="H23" s="862"/>
      <c r="I23" s="864"/>
    </row>
    <row r="24" spans="2:9" x14ac:dyDescent="0.25">
      <c r="B24" s="863"/>
      <c r="C24" s="862"/>
      <c r="D24" s="862"/>
      <c r="E24" s="862"/>
      <c r="F24" s="862"/>
      <c r="G24" s="862"/>
      <c r="H24" s="862"/>
      <c r="I24" s="864"/>
    </row>
    <row r="25" spans="2:9" x14ac:dyDescent="0.25">
      <c r="B25" s="863"/>
      <c r="C25" s="862"/>
      <c r="D25" s="862"/>
      <c r="E25" s="862"/>
      <c r="F25" s="862"/>
      <c r="G25" s="862"/>
      <c r="H25" s="862"/>
      <c r="I25" s="864"/>
    </row>
    <row r="26" spans="2:9" x14ac:dyDescent="0.25">
      <c r="B26" s="863"/>
      <c r="C26" s="862"/>
      <c r="D26" s="862"/>
      <c r="E26" s="862"/>
      <c r="F26" s="862"/>
      <c r="G26" s="862"/>
      <c r="H26" s="862"/>
      <c r="I26" s="864"/>
    </row>
    <row r="27" spans="2:9" x14ac:dyDescent="0.25">
      <c r="B27" s="863"/>
      <c r="C27" s="862"/>
      <c r="D27" s="862"/>
      <c r="E27" s="862"/>
      <c r="F27" s="862"/>
      <c r="G27" s="862"/>
      <c r="H27" s="862"/>
      <c r="I27" s="864"/>
    </row>
    <row r="28" spans="2:9" x14ac:dyDescent="0.25">
      <c r="B28" s="863"/>
      <c r="C28" s="862"/>
      <c r="D28" s="862"/>
      <c r="E28" s="862"/>
      <c r="F28" s="862"/>
      <c r="G28" s="862"/>
      <c r="H28" s="862"/>
      <c r="I28" s="864"/>
    </row>
    <row r="29" spans="2:9" x14ac:dyDescent="0.25">
      <c r="B29" s="863"/>
      <c r="C29" s="862"/>
      <c r="D29" s="862"/>
      <c r="E29" s="862"/>
      <c r="F29" s="862"/>
      <c r="G29" s="862"/>
      <c r="H29" s="862"/>
      <c r="I29" s="864"/>
    </row>
    <row r="30" spans="2:9" x14ac:dyDescent="0.25">
      <c r="B30" s="863"/>
      <c r="C30" s="862"/>
      <c r="D30" s="862"/>
      <c r="E30" s="862"/>
      <c r="F30" s="862"/>
      <c r="G30" s="862"/>
      <c r="H30" s="862"/>
      <c r="I30" s="864"/>
    </row>
    <row r="31" spans="2:9" x14ac:dyDescent="0.25">
      <c r="B31" s="863"/>
      <c r="C31" s="862"/>
      <c r="D31" s="862"/>
      <c r="E31" s="862"/>
      <c r="F31" s="862"/>
      <c r="G31" s="862"/>
      <c r="H31" s="862"/>
      <c r="I31" s="864"/>
    </row>
    <row r="32" spans="2:9" x14ac:dyDescent="0.25">
      <c r="B32" s="863"/>
      <c r="C32" s="862"/>
      <c r="D32" s="862"/>
      <c r="E32" s="862"/>
      <c r="F32" s="862"/>
      <c r="G32" s="862"/>
      <c r="H32" s="862"/>
      <c r="I32" s="864"/>
    </row>
    <row r="33" spans="2:9" ht="15.75" thickBot="1" x14ac:dyDescent="0.3">
      <c r="B33" s="885"/>
      <c r="C33" s="886"/>
      <c r="D33" s="886"/>
      <c r="E33" s="886"/>
      <c r="F33" s="886"/>
      <c r="G33" s="886"/>
      <c r="H33" s="886"/>
      <c r="I33" s="887"/>
    </row>
    <row r="34" spans="2:9" ht="15.75" thickBot="1" x14ac:dyDescent="0.3">
      <c r="B34" s="880"/>
      <c r="C34" s="291"/>
      <c r="D34" s="291"/>
      <c r="E34" s="291"/>
      <c r="F34" s="291"/>
      <c r="G34" s="291"/>
      <c r="H34" s="291"/>
      <c r="I34" s="881"/>
    </row>
    <row r="35" spans="2:9" ht="15.75" thickBot="1" x14ac:dyDescent="0.3">
      <c r="B35" s="895"/>
      <c r="C35" s="896"/>
      <c r="D35" s="896"/>
      <c r="E35" s="896"/>
      <c r="F35" s="896"/>
      <c r="G35" s="896"/>
      <c r="H35" s="896"/>
      <c r="I35" s="897"/>
    </row>
    <row r="37" spans="2:9" ht="15.75" thickBot="1" x14ac:dyDescent="0.3"/>
    <row r="38" spans="2:9" ht="16.5" thickBot="1" x14ac:dyDescent="0.3">
      <c r="B38" s="280"/>
      <c r="C38" s="280"/>
      <c r="D38" s="280"/>
      <c r="E38" s="280"/>
      <c r="F38" s="280"/>
      <c r="G38" s="280"/>
      <c r="H38" s="280"/>
      <c r="I38" s="280"/>
    </row>
    <row r="39" spans="2:9" ht="15.75" thickBot="1" x14ac:dyDescent="0.3"/>
    <row r="40" spans="2:9" x14ac:dyDescent="0.25">
      <c r="C40" s="1226" t="s">
        <v>179</v>
      </c>
      <c r="D40" s="1227"/>
      <c r="E40" s="1227"/>
      <c r="F40" s="1227"/>
      <c r="G40" s="1227"/>
      <c r="H40" s="1227"/>
      <c r="I40" s="1228"/>
    </row>
    <row r="41" spans="2:9" ht="15.75" thickBot="1" x14ac:dyDescent="0.3">
      <c r="C41" s="1229" t="s">
        <v>180</v>
      </c>
      <c r="D41" s="1230"/>
      <c r="E41" s="1230"/>
      <c r="F41" s="1230"/>
      <c r="G41" s="1230"/>
      <c r="H41" s="1230"/>
      <c r="I41" s="1231"/>
    </row>
    <row r="42" spans="2:9" ht="15.75" thickBot="1" x14ac:dyDescent="0.3">
      <c r="C42" s="891" t="str">
        <f ca="1">CRCP_y4</f>
        <v>2019-20</v>
      </c>
      <c r="D42" s="890" t="str">
        <f ca="1">CRCP_y5</f>
        <v>2020-21</v>
      </c>
      <c r="E42" s="888" t="str">
        <f>FRCP_y1</f>
        <v>2021-22</v>
      </c>
      <c r="F42" s="888" t="str">
        <f ca="1">FRCP_y2</f>
        <v>2022-23</v>
      </c>
      <c r="G42" s="888" t="str">
        <f ca="1">FRCP_y3</f>
        <v>2023-24</v>
      </c>
      <c r="H42" s="888" t="str">
        <f ca="1">FRCP_y4</f>
        <v>2024-25</v>
      </c>
      <c r="I42" s="889" t="str">
        <f ca="1">FRCP_y5</f>
        <v>2025-26</v>
      </c>
    </row>
    <row r="43" spans="2:9" ht="15.75" thickBot="1" x14ac:dyDescent="0.3">
      <c r="B43" s="892"/>
      <c r="C43" s="893"/>
      <c r="D43" s="893"/>
      <c r="E43" s="893"/>
      <c r="F43" s="893"/>
      <c r="G43" s="893"/>
      <c r="H43" s="893"/>
      <c r="I43" s="894"/>
    </row>
    <row r="44" spans="2:9" x14ac:dyDescent="0.25">
      <c r="B44" s="882"/>
      <c r="C44" s="883"/>
      <c r="D44" s="883"/>
      <c r="E44" s="883"/>
      <c r="F44" s="883"/>
      <c r="G44" s="883"/>
      <c r="H44" s="883"/>
      <c r="I44" s="884"/>
    </row>
    <row r="45" spans="2:9" x14ac:dyDescent="0.25">
      <c r="B45" s="863"/>
      <c r="C45" s="862"/>
      <c r="D45" s="862"/>
      <c r="E45" s="862"/>
      <c r="F45" s="862"/>
      <c r="G45" s="862"/>
      <c r="H45" s="862"/>
      <c r="I45" s="864"/>
    </row>
    <row r="46" spans="2:9" x14ac:dyDescent="0.25">
      <c r="B46" s="863"/>
      <c r="C46" s="862"/>
      <c r="D46" s="862"/>
      <c r="E46" s="862"/>
      <c r="F46" s="862"/>
      <c r="G46" s="862"/>
      <c r="H46" s="862"/>
      <c r="I46" s="864"/>
    </row>
    <row r="47" spans="2:9" x14ac:dyDescent="0.25">
      <c r="B47" s="863"/>
      <c r="C47" s="862"/>
      <c r="D47" s="862"/>
      <c r="E47" s="862"/>
      <c r="F47" s="862"/>
      <c r="G47" s="862"/>
      <c r="H47" s="862"/>
      <c r="I47" s="864"/>
    </row>
    <row r="48" spans="2:9" x14ac:dyDescent="0.25">
      <c r="B48" s="863"/>
      <c r="C48" s="862"/>
      <c r="D48" s="862"/>
      <c r="E48" s="862"/>
      <c r="F48" s="862"/>
      <c r="G48" s="862"/>
      <c r="H48" s="862"/>
      <c r="I48" s="864"/>
    </row>
    <row r="49" spans="2:9" x14ac:dyDescent="0.25">
      <c r="B49" s="863"/>
      <c r="C49" s="862"/>
      <c r="D49" s="862"/>
      <c r="E49" s="862"/>
      <c r="F49" s="862"/>
      <c r="G49" s="862"/>
      <c r="H49" s="862"/>
      <c r="I49" s="864"/>
    </row>
    <row r="50" spans="2:9" x14ac:dyDescent="0.25">
      <c r="B50" s="863"/>
      <c r="C50" s="862"/>
      <c r="D50" s="862"/>
      <c r="E50" s="862"/>
      <c r="F50" s="862"/>
      <c r="G50" s="862"/>
      <c r="H50" s="862"/>
      <c r="I50" s="864"/>
    </row>
    <row r="51" spans="2:9" x14ac:dyDescent="0.25">
      <c r="B51" s="863"/>
      <c r="C51" s="862"/>
      <c r="D51" s="862"/>
      <c r="E51" s="862"/>
      <c r="F51" s="862"/>
      <c r="G51" s="862"/>
      <c r="H51" s="862"/>
      <c r="I51" s="864"/>
    </row>
    <row r="52" spans="2:9" x14ac:dyDescent="0.25">
      <c r="B52" s="863"/>
      <c r="C52" s="862"/>
      <c r="D52" s="862"/>
      <c r="E52" s="862"/>
      <c r="F52" s="862"/>
      <c r="G52" s="862"/>
      <c r="H52" s="862"/>
      <c r="I52" s="864"/>
    </row>
    <row r="53" spans="2:9" x14ac:dyDescent="0.25">
      <c r="B53" s="863"/>
      <c r="C53" s="862"/>
      <c r="D53" s="862"/>
      <c r="E53" s="862"/>
      <c r="F53" s="862"/>
      <c r="G53" s="862"/>
      <c r="H53" s="862"/>
      <c r="I53" s="864"/>
    </row>
    <row r="54" spans="2:9" x14ac:dyDescent="0.25">
      <c r="B54" s="863"/>
      <c r="C54" s="862"/>
      <c r="D54" s="862"/>
      <c r="E54" s="862"/>
      <c r="F54" s="862"/>
      <c r="G54" s="862"/>
      <c r="H54" s="862"/>
      <c r="I54" s="864"/>
    </row>
    <row r="55" spans="2:9" x14ac:dyDescent="0.25">
      <c r="B55" s="863"/>
      <c r="C55" s="862"/>
      <c r="D55" s="862"/>
      <c r="E55" s="862"/>
      <c r="F55" s="862"/>
      <c r="G55" s="862"/>
      <c r="H55" s="862"/>
      <c r="I55" s="864"/>
    </row>
    <row r="56" spans="2:9" x14ac:dyDescent="0.25">
      <c r="B56" s="863"/>
      <c r="C56" s="862"/>
      <c r="D56" s="862"/>
      <c r="E56" s="862"/>
      <c r="F56" s="862"/>
      <c r="G56" s="862"/>
      <c r="H56" s="862"/>
      <c r="I56" s="864"/>
    </row>
    <row r="57" spans="2:9" x14ac:dyDescent="0.25">
      <c r="B57" s="863"/>
      <c r="C57" s="862"/>
      <c r="D57" s="862"/>
      <c r="E57" s="862"/>
      <c r="F57" s="862"/>
      <c r="G57" s="862"/>
      <c r="H57" s="862"/>
      <c r="I57" s="864"/>
    </row>
    <row r="58" spans="2:9" x14ac:dyDescent="0.25">
      <c r="B58" s="863"/>
      <c r="C58" s="862"/>
      <c r="D58" s="862"/>
      <c r="E58" s="862"/>
      <c r="F58" s="862"/>
      <c r="G58" s="862"/>
      <c r="H58" s="862"/>
      <c r="I58" s="864"/>
    </row>
    <row r="59" spans="2:9" x14ac:dyDescent="0.25">
      <c r="B59" s="863"/>
      <c r="C59" s="862"/>
      <c r="D59" s="862"/>
      <c r="E59" s="862"/>
      <c r="F59" s="862"/>
      <c r="G59" s="862"/>
      <c r="H59" s="862"/>
      <c r="I59" s="864"/>
    </row>
    <row r="60" spans="2:9" x14ac:dyDescent="0.25">
      <c r="B60" s="863"/>
      <c r="C60" s="862"/>
      <c r="D60" s="862"/>
      <c r="E60" s="862"/>
      <c r="F60" s="862"/>
      <c r="G60" s="862"/>
      <c r="H60" s="862"/>
      <c r="I60" s="864"/>
    </row>
    <row r="61" spans="2:9" x14ac:dyDescent="0.25">
      <c r="B61" s="863"/>
      <c r="C61" s="862"/>
      <c r="D61" s="862"/>
      <c r="E61" s="862"/>
      <c r="F61" s="862"/>
      <c r="G61" s="862"/>
      <c r="H61" s="862"/>
      <c r="I61" s="864"/>
    </row>
    <row r="62" spans="2:9" x14ac:dyDescent="0.25">
      <c r="B62" s="863"/>
      <c r="C62" s="862"/>
      <c r="D62" s="862"/>
      <c r="E62" s="862"/>
      <c r="F62" s="862"/>
      <c r="G62" s="862"/>
      <c r="H62" s="862"/>
      <c r="I62" s="864"/>
    </row>
    <row r="63" spans="2:9" x14ac:dyDescent="0.25">
      <c r="B63" s="863"/>
      <c r="C63" s="862"/>
      <c r="D63" s="862"/>
      <c r="E63" s="862"/>
      <c r="F63" s="862"/>
      <c r="G63" s="862"/>
      <c r="H63" s="862"/>
      <c r="I63" s="864"/>
    </row>
    <row r="64" spans="2:9" ht="15.75" thickBot="1" x14ac:dyDescent="0.3">
      <c r="B64" s="885"/>
      <c r="C64" s="886"/>
      <c r="D64" s="886"/>
      <c r="E64" s="886"/>
      <c r="F64" s="886"/>
      <c r="G64" s="886"/>
      <c r="H64" s="886"/>
      <c r="I64" s="887"/>
    </row>
    <row r="65" spans="2:9" ht="15.75" thickBot="1" x14ac:dyDescent="0.3">
      <c r="B65" s="880"/>
      <c r="C65" s="291"/>
      <c r="D65" s="291"/>
      <c r="E65" s="291"/>
      <c r="F65" s="291"/>
      <c r="G65" s="291"/>
      <c r="H65" s="291"/>
      <c r="I65" s="881"/>
    </row>
    <row r="66" spans="2:9" ht="15.75" thickBot="1" x14ac:dyDescent="0.3">
      <c r="B66" s="895"/>
      <c r="C66" s="896"/>
      <c r="D66" s="896"/>
      <c r="E66" s="896"/>
      <c r="F66" s="896"/>
      <c r="G66" s="896"/>
      <c r="H66" s="896"/>
      <c r="I66" s="897"/>
    </row>
  </sheetData>
  <sheetProtection algorithmName="SHA-256" hashValue="giZ49nefVAlkdwyq+KSTo8rNAGna4z+hmSMQVywDtJA=" saltValue="6bpFpY95Cm7L7clb1+dNLQ==" spinCount="100000" sheet="1" objects="1" scenarios="1" formatCells="0" insertRows="0"/>
  <mergeCells count="4">
    <mergeCell ref="C9:I9"/>
    <mergeCell ref="C10:I10"/>
    <mergeCell ref="C40:I40"/>
    <mergeCell ref="C41:I41"/>
  </mergeCells>
  <dataValidations count="1">
    <dataValidation allowBlank="1" showInputMessage="1" showErrorMessage="1" sqref="C40:I42 C9:I11" xr:uid="{00000000-0002-0000-0900-000000000000}"/>
  </dataValidations>
  <pageMargins left="0.7" right="0.7" top="0.75" bottom="0.75" header="0.3" footer="0.3"/>
  <headerFooter>
    <oddFooter>&amp;C_x000D_&amp;1#&amp;"Aptos"&amp;10&amp;K008000 APA-INTERNAL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tabColor theme="1"/>
  </sheetPr>
  <dimension ref="B1:CL127"/>
  <sheetViews>
    <sheetView showGridLines="0" topLeftCell="A8" zoomScaleNormal="100" workbookViewId="0">
      <selection activeCell="N33" sqref="N33"/>
    </sheetView>
  </sheetViews>
  <sheetFormatPr defaultColWidth="9.140625" defaultRowHeight="15" x14ac:dyDescent="0.25"/>
  <cols>
    <col min="2" max="2" width="43.5703125" customWidth="1"/>
    <col min="3" max="3" width="16.85546875" customWidth="1"/>
    <col min="4" max="5" width="15.5703125" customWidth="1"/>
    <col min="6" max="8" width="15.140625" customWidth="1"/>
    <col min="9" max="12" width="16.85546875" customWidth="1"/>
    <col min="13" max="13" width="15.140625" customWidth="1"/>
    <col min="14" max="14" width="13.5703125" customWidth="1"/>
    <col min="15" max="15" width="15.140625" customWidth="1"/>
    <col min="16" max="16" width="13.5703125" customWidth="1"/>
    <col min="17" max="17" width="14.85546875" customWidth="1"/>
    <col min="18" max="19" width="16.140625" customWidth="1"/>
    <col min="20" max="20" width="18.42578125" customWidth="1"/>
    <col min="21" max="21" width="15.42578125" customWidth="1"/>
    <col min="22" max="22" width="20.85546875" customWidth="1"/>
    <col min="23" max="23" width="11.140625" customWidth="1"/>
    <col min="24" max="24" width="9.5703125" customWidth="1"/>
  </cols>
  <sheetData>
    <row r="1" spans="2:24" ht="51" customHeight="1" x14ac:dyDescent="0.25">
      <c r="B1" s="645" t="s">
        <v>181</v>
      </c>
      <c r="C1" s="644"/>
      <c r="D1" s="644"/>
      <c r="E1" s="644"/>
      <c r="F1" s="644"/>
      <c r="G1" s="644"/>
      <c r="H1" s="644"/>
      <c r="I1" s="644"/>
      <c r="J1" s="644"/>
      <c r="K1" s="644"/>
      <c r="L1" s="644"/>
      <c r="M1" s="644"/>
    </row>
    <row r="2" spans="2:24" ht="30.6" customHeight="1" x14ac:dyDescent="0.25"/>
    <row r="3" spans="2:24" x14ac:dyDescent="0.25">
      <c r="B3" s="255"/>
    </row>
    <row r="4" spans="2:24" ht="19.5" customHeight="1" x14ac:dyDescent="0.25">
      <c r="B4" s="1232" t="s">
        <v>182</v>
      </c>
      <c r="C4" s="1233"/>
      <c r="D4" s="1233"/>
      <c r="E4" s="1233"/>
      <c r="F4" s="1233"/>
      <c r="G4" s="1233"/>
      <c r="H4" s="1233"/>
      <c r="I4" s="1233"/>
      <c r="J4" s="1233"/>
      <c r="K4" s="1233"/>
      <c r="L4" s="1233"/>
      <c r="M4" s="1233"/>
      <c r="N4" s="1233"/>
      <c r="O4" s="1233"/>
      <c r="P4" s="1233"/>
      <c r="Q4" s="1233"/>
      <c r="R4" s="1233"/>
      <c r="S4" s="1233"/>
      <c r="T4" s="1233"/>
      <c r="U4" s="1233"/>
      <c r="V4" s="1233"/>
    </row>
    <row r="5" spans="2:24" ht="19.5" customHeight="1" thickBot="1" x14ac:dyDescent="0.3">
      <c r="B5" s="268"/>
      <c r="C5" s="269"/>
      <c r="D5" s="269"/>
      <c r="E5" s="269"/>
      <c r="F5" s="299" t="s">
        <v>183</v>
      </c>
      <c r="G5" s="300" t="s">
        <v>184</v>
      </c>
      <c r="H5" s="309" t="s">
        <v>185</v>
      </c>
      <c r="I5" s="300" t="s">
        <v>186</v>
      </c>
      <c r="J5" s="300" t="s">
        <v>187</v>
      </c>
      <c r="K5" s="300" t="s">
        <v>188</v>
      </c>
      <c r="L5" s="300" t="s">
        <v>189</v>
      </c>
      <c r="M5" s="301" t="s">
        <v>190</v>
      </c>
      <c r="N5" s="299" t="s">
        <v>191</v>
      </c>
      <c r="O5" s="300" t="s">
        <v>192</v>
      </c>
      <c r="P5" s="300" t="s">
        <v>193</v>
      </c>
      <c r="Q5" s="300" t="s">
        <v>194</v>
      </c>
      <c r="R5" s="300" t="s">
        <v>195</v>
      </c>
      <c r="S5" s="300" t="s">
        <v>196</v>
      </c>
      <c r="T5" s="300" t="s">
        <v>197</v>
      </c>
      <c r="U5" s="299" t="s">
        <v>198</v>
      </c>
      <c r="V5" s="302"/>
      <c r="W5" s="257"/>
      <c r="X5" s="257"/>
    </row>
    <row r="6" spans="2:24" s="256" customFormat="1" ht="30.75" customHeight="1" thickBot="1" x14ac:dyDescent="0.3">
      <c r="B6" s="830" t="s">
        <v>199</v>
      </c>
      <c r="C6" s="831" t="s">
        <v>200</v>
      </c>
      <c r="D6" s="832" t="s">
        <v>201</v>
      </c>
      <c r="E6" s="832" t="s">
        <v>202</v>
      </c>
      <c r="F6" s="833" t="s">
        <v>203</v>
      </c>
      <c r="G6" s="833" t="s">
        <v>204</v>
      </c>
      <c r="H6" s="833" t="s">
        <v>205</v>
      </c>
      <c r="I6" s="833" t="s">
        <v>206</v>
      </c>
      <c r="J6" s="833" t="s">
        <v>207</v>
      </c>
      <c r="K6" s="833" t="s">
        <v>208</v>
      </c>
      <c r="L6" s="833" t="s">
        <v>209</v>
      </c>
      <c r="M6" s="833" t="s">
        <v>210</v>
      </c>
      <c r="N6" s="833" t="s">
        <v>211</v>
      </c>
      <c r="O6" s="843" t="s">
        <v>212</v>
      </c>
      <c r="P6" s="844" t="s">
        <v>213</v>
      </c>
      <c r="Q6" s="834" t="s">
        <v>214</v>
      </c>
      <c r="R6" s="835" t="s">
        <v>215</v>
      </c>
      <c r="S6" s="835" t="s">
        <v>216</v>
      </c>
      <c r="T6" s="835" t="s">
        <v>217</v>
      </c>
      <c r="U6" s="836" t="s">
        <v>218</v>
      </c>
      <c r="V6" s="837" t="s">
        <v>219</v>
      </c>
      <c r="W6" s="838" t="s">
        <v>220</v>
      </c>
      <c r="X6" s="839" t="s">
        <v>221</v>
      </c>
    </row>
    <row r="7" spans="2:24" x14ac:dyDescent="0.25">
      <c r="B7" s="258" t="s">
        <v>222</v>
      </c>
      <c r="C7" s="259" t="s">
        <v>223</v>
      </c>
      <c r="D7" s="259" t="s">
        <v>224</v>
      </c>
      <c r="E7" s="259" t="s">
        <v>225</v>
      </c>
      <c r="F7" s="303"/>
      <c r="G7" s="304" t="s">
        <v>226</v>
      </c>
      <c r="H7" s="304"/>
      <c r="I7" s="304" t="s">
        <v>226</v>
      </c>
      <c r="J7" s="304" t="s">
        <v>226</v>
      </c>
      <c r="K7" s="304" t="s">
        <v>227</v>
      </c>
      <c r="L7" s="304" t="s">
        <v>226</v>
      </c>
      <c r="M7" s="304" t="s">
        <v>227</v>
      </c>
      <c r="N7" s="303" t="s">
        <v>227</v>
      </c>
      <c r="O7" s="303" t="s">
        <v>227</v>
      </c>
      <c r="P7" s="304" t="s">
        <v>226</v>
      </c>
      <c r="Q7" s="303" t="s">
        <v>226</v>
      </c>
      <c r="R7" s="303" t="s">
        <v>227</v>
      </c>
      <c r="S7" s="304" t="s">
        <v>226</v>
      </c>
      <c r="T7" s="304" t="s">
        <v>226</v>
      </c>
      <c r="U7" s="303" t="s">
        <v>227</v>
      </c>
      <c r="V7" s="304" t="s">
        <v>227</v>
      </c>
      <c r="W7" s="303" t="s">
        <v>227</v>
      </c>
      <c r="X7" s="840" t="s">
        <v>227</v>
      </c>
    </row>
    <row r="8" spans="2:24" x14ac:dyDescent="0.25">
      <c r="B8" s="260" t="s">
        <v>228</v>
      </c>
      <c r="C8" s="261" t="s">
        <v>51</v>
      </c>
      <c r="D8" s="261" t="s">
        <v>224</v>
      </c>
      <c r="E8" s="261" t="s">
        <v>225</v>
      </c>
      <c r="F8" s="305"/>
      <c r="G8" s="306" t="s">
        <v>226</v>
      </c>
      <c r="H8" s="306"/>
      <c r="I8" s="306" t="s">
        <v>227</v>
      </c>
      <c r="J8" s="306" t="s">
        <v>227</v>
      </c>
      <c r="K8" s="306" t="s">
        <v>227</v>
      </c>
      <c r="L8" s="306" t="s">
        <v>226</v>
      </c>
      <c r="M8" s="306" t="s">
        <v>227</v>
      </c>
      <c r="N8" s="305" t="s">
        <v>227</v>
      </c>
      <c r="O8" s="305" t="s">
        <v>227</v>
      </c>
      <c r="P8" s="306" t="s">
        <v>226</v>
      </c>
      <c r="Q8" s="305" t="s">
        <v>226</v>
      </c>
      <c r="R8" s="305" t="s">
        <v>227</v>
      </c>
      <c r="S8" s="306" t="s">
        <v>226</v>
      </c>
      <c r="T8" s="306" t="s">
        <v>226</v>
      </c>
      <c r="U8" s="305" t="s">
        <v>227</v>
      </c>
      <c r="V8" s="306" t="s">
        <v>227</v>
      </c>
      <c r="W8" s="305" t="s">
        <v>227</v>
      </c>
      <c r="X8" s="841" t="s">
        <v>227</v>
      </c>
    </row>
    <row r="9" spans="2:24" x14ac:dyDescent="0.25">
      <c r="B9" s="260" t="s">
        <v>229</v>
      </c>
      <c r="C9" s="261" t="s">
        <v>230</v>
      </c>
      <c r="D9" s="261" t="s">
        <v>224</v>
      </c>
      <c r="E9" s="261" t="s">
        <v>225</v>
      </c>
      <c r="F9" s="305"/>
      <c r="G9" s="306" t="s">
        <v>227</v>
      </c>
      <c r="H9" s="306"/>
      <c r="I9" s="306" t="s">
        <v>227</v>
      </c>
      <c r="J9" s="306" t="s">
        <v>227</v>
      </c>
      <c r="K9" s="306" t="s">
        <v>227</v>
      </c>
      <c r="L9" s="306" t="s">
        <v>227</v>
      </c>
      <c r="M9" s="306" t="s">
        <v>227</v>
      </c>
      <c r="N9" s="305" t="s">
        <v>226</v>
      </c>
      <c r="O9" s="305" t="s">
        <v>227</v>
      </c>
      <c r="P9" s="306" t="s">
        <v>226</v>
      </c>
      <c r="Q9" s="305" t="s">
        <v>227</v>
      </c>
      <c r="R9" s="305" t="s">
        <v>227</v>
      </c>
      <c r="S9" s="306" t="s">
        <v>227</v>
      </c>
      <c r="T9" s="306" t="s">
        <v>226</v>
      </c>
      <c r="U9" s="305" t="s">
        <v>227</v>
      </c>
      <c r="V9" s="306" t="s">
        <v>227</v>
      </c>
      <c r="W9" s="305" t="s">
        <v>227</v>
      </c>
      <c r="X9" s="841" t="s">
        <v>227</v>
      </c>
    </row>
    <row r="10" spans="2:24" x14ac:dyDescent="0.25">
      <c r="B10" s="262" t="s">
        <v>231</v>
      </c>
      <c r="C10" s="263" t="s">
        <v>230</v>
      </c>
      <c r="D10" s="263" t="s">
        <v>224</v>
      </c>
      <c r="E10" s="263" t="s">
        <v>232</v>
      </c>
      <c r="F10" s="305"/>
      <c r="G10" s="306" t="s">
        <v>227</v>
      </c>
      <c r="H10" s="306"/>
      <c r="I10" s="306" t="s">
        <v>227</v>
      </c>
      <c r="J10" s="306" t="s">
        <v>227</v>
      </c>
      <c r="K10" s="306" t="s">
        <v>227</v>
      </c>
      <c r="L10" s="306" t="s">
        <v>227</v>
      </c>
      <c r="M10" s="306" t="s">
        <v>227</v>
      </c>
      <c r="N10" s="305" t="s">
        <v>226</v>
      </c>
      <c r="O10" s="305" t="s">
        <v>227</v>
      </c>
      <c r="P10" s="306" t="s">
        <v>226</v>
      </c>
      <c r="Q10" s="305" t="s">
        <v>227</v>
      </c>
      <c r="R10" s="305" t="s">
        <v>227</v>
      </c>
      <c r="S10" s="306" t="s">
        <v>227</v>
      </c>
      <c r="T10" s="306" t="s">
        <v>226</v>
      </c>
      <c r="U10" s="305" t="s">
        <v>227</v>
      </c>
      <c r="V10" s="306" t="s">
        <v>227</v>
      </c>
      <c r="W10" s="305" t="s">
        <v>227</v>
      </c>
      <c r="X10" s="841" t="s">
        <v>227</v>
      </c>
    </row>
    <row r="11" spans="2:24" x14ac:dyDescent="0.25">
      <c r="B11" s="260" t="s">
        <v>233</v>
      </c>
      <c r="C11" s="261" t="s">
        <v>230</v>
      </c>
      <c r="D11" s="261" t="s">
        <v>224</v>
      </c>
      <c r="E11" s="261" t="s">
        <v>225</v>
      </c>
      <c r="F11" s="305"/>
      <c r="G11" s="306" t="s">
        <v>227</v>
      </c>
      <c r="H11" s="306"/>
      <c r="I11" s="306" t="s">
        <v>227</v>
      </c>
      <c r="J11" s="306" t="s">
        <v>227</v>
      </c>
      <c r="K11" s="306" t="s">
        <v>227</v>
      </c>
      <c r="L11" s="306" t="s">
        <v>227</v>
      </c>
      <c r="M11" s="306" t="s">
        <v>227</v>
      </c>
      <c r="N11" s="305" t="s">
        <v>226</v>
      </c>
      <c r="O11" s="305" t="s">
        <v>227</v>
      </c>
      <c r="P11" s="306" t="s">
        <v>226</v>
      </c>
      <c r="Q11" s="305" t="s">
        <v>227</v>
      </c>
      <c r="R11" s="305" t="s">
        <v>227</v>
      </c>
      <c r="S11" s="306" t="s">
        <v>227</v>
      </c>
      <c r="T11" s="306" t="s">
        <v>226</v>
      </c>
      <c r="U11" s="305" t="s">
        <v>227</v>
      </c>
      <c r="V11" s="306" t="s">
        <v>227</v>
      </c>
      <c r="W11" s="305" t="s">
        <v>227</v>
      </c>
      <c r="X11" s="841" t="s">
        <v>227</v>
      </c>
    </row>
    <row r="12" spans="2:24" x14ac:dyDescent="0.25">
      <c r="B12" s="262" t="s">
        <v>234</v>
      </c>
      <c r="C12" s="264" t="s">
        <v>235</v>
      </c>
      <c r="D12" s="264" t="s">
        <v>224</v>
      </c>
      <c r="E12" s="264" t="s">
        <v>232</v>
      </c>
      <c r="F12" s="305"/>
      <c r="G12" s="306" t="s">
        <v>227</v>
      </c>
      <c r="H12" s="306"/>
      <c r="I12" s="306" t="s">
        <v>227</v>
      </c>
      <c r="J12" s="306" t="s">
        <v>227</v>
      </c>
      <c r="K12" s="306" t="s">
        <v>227</v>
      </c>
      <c r="L12" s="306" t="s">
        <v>227</v>
      </c>
      <c r="M12" s="306" t="s">
        <v>227</v>
      </c>
      <c r="N12" s="305" t="s">
        <v>226</v>
      </c>
      <c r="O12" s="305" t="s">
        <v>227</v>
      </c>
      <c r="P12" s="306" t="s">
        <v>226</v>
      </c>
      <c r="Q12" s="305" t="s">
        <v>227</v>
      </c>
      <c r="R12" s="305" t="s">
        <v>227</v>
      </c>
      <c r="S12" s="306" t="s">
        <v>226</v>
      </c>
      <c r="T12" s="306" t="s">
        <v>226</v>
      </c>
      <c r="U12" s="305" t="s">
        <v>227</v>
      </c>
      <c r="V12" s="306" t="s">
        <v>227</v>
      </c>
      <c r="W12" s="305" t="s">
        <v>227</v>
      </c>
      <c r="X12" s="841" t="s">
        <v>227</v>
      </c>
    </row>
    <row r="13" spans="2:24" x14ac:dyDescent="0.25">
      <c r="B13" s="262" t="s">
        <v>236</v>
      </c>
      <c r="C13" s="263" t="s">
        <v>237</v>
      </c>
      <c r="D13" s="263" t="s">
        <v>224</v>
      </c>
      <c r="E13" s="263" t="s">
        <v>232</v>
      </c>
      <c r="F13" s="305"/>
      <c r="G13" s="306" t="s">
        <v>227</v>
      </c>
      <c r="H13" s="306"/>
      <c r="I13" s="306" t="s">
        <v>227</v>
      </c>
      <c r="J13" s="306" t="s">
        <v>227</v>
      </c>
      <c r="K13" s="306" t="s">
        <v>227</v>
      </c>
      <c r="L13" s="306" t="s">
        <v>227</v>
      </c>
      <c r="M13" s="306" t="s">
        <v>227</v>
      </c>
      <c r="N13" s="305" t="s">
        <v>226</v>
      </c>
      <c r="O13" s="305" t="s">
        <v>227</v>
      </c>
      <c r="P13" s="306" t="s">
        <v>226</v>
      </c>
      <c r="Q13" s="305" t="s">
        <v>227</v>
      </c>
      <c r="R13" s="305" t="s">
        <v>227</v>
      </c>
      <c r="S13" s="306" t="s">
        <v>226</v>
      </c>
      <c r="T13" s="306" t="s">
        <v>226</v>
      </c>
      <c r="U13" s="305" t="s">
        <v>227</v>
      </c>
      <c r="V13" s="306" t="s">
        <v>227</v>
      </c>
      <c r="W13" s="305" t="s">
        <v>227</v>
      </c>
      <c r="X13" s="841" t="s">
        <v>227</v>
      </c>
    </row>
    <row r="14" spans="2:24" x14ac:dyDescent="0.25">
      <c r="B14" s="260" t="s">
        <v>238</v>
      </c>
      <c r="C14" s="265" t="s">
        <v>51</v>
      </c>
      <c r="D14" s="265" t="s">
        <v>224</v>
      </c>
      <c r="E14" s="265" t="s">
        <v>225</v>
      </c>
      <c r="F14" s="305"/>
      <c r="G14" s="306" t="s">
        <v>226</v>
      </c>
      <c r="H14" s="306"/>
      <c r="I14" s="306" t="s">
        <v>227</v>
      </c>
      <c r="J14" s="306" t="s">
        <v>227</v>
      </c>
      <c r="K14" s="306" t="s">
        <v>227</v>
      </c>
      <c r="L14" s="306" t="s">
        <v>226</v>
      </c>
      <c r="M14" s="306" t="s">
        <v>227</v>
      </c>
      <c r="N14" s="305" t="s">
        <v>227</v>
      </c>
      <c r="O14" s="305" t="s">
        <v>227</v>
      </c>
      <c r="P14" s="306" t="s">
        <v>226</v>
      </c>
      <c r="Q14" s="305" t="s">
        <v>226</v>
      </c>
      <c r="R14" s="305" t="s">
        <v>227</v>
      </c>
      <c r="S14" s="306" t="s">
        <v>226</v>
      </c>
      <c r="T14" s="306" t="s">
        <v>226</v>
      </c>
      <c r="U14" s="305" t="s">
        <v>226</v>
      </c>
      <c r="V14" s="306" t="s">
        <v>227</v>
      </c>
      <c r="W14" s="305" t="s">
        <v>227</v>
      </c>
      <c r="X14" s="841" t="s">
        <v>227</v>
      </c>
    </row>
    <row r="15" spans="2:24" x14ac:dyDescent="0.25">
      <c r="B15" s="260" t="s">
        <v>239</v>
      </c>
      <c r="C15" s="261" t="s">
        <v>235</v>
      </c>
      <c r="D15" s="261" t="s">
        <v>224</v>
      </c>
      <c r="E15" s="261" t="s">
        <v>225</v>
      </c>
      <c r="F15" s="305"/>
      <c r="G15" s="306" t="s">
        <v>226</v>
      </c>
      <c r="H15" s="306"/>
      <c r="I15" s="306" t="s">
        <v>227</v>
      </c>
      <c r="J15" s="306" t="s">
        <v>227</v>
      </c>
      <c r="K15" s="306" t="s">
        <v>227</v>
      </c>
      <c r="L15" s="306" t="s">
        <v>227</v>
      </c>
      <c r="M15" s="306" t="s">
        <v>227</v>
      </c>
      <c r="N15" s="305" t="s">
        <v>227</v>
      </c>
      <c r="O15" s="305" t="s">
        <v>227</v>
      </c>
      <c r="P15" s="306" t="s">
        <v>226</v>
      </c>
      <c r="Q15" s="305" t="s">
        <v>226</v>
      </c>
      <c r="R15" s="305" t="s">
        <v>227</v>
      </c>
      <c r="S15" s="306" t="s">
        <v>226</v>
      </c>
      <c r="T15" s="306" t="s">
        <v>226</v>
      </c>
      <c r="U15" s="305" t="s">
        <v>226</v>
      </c>
      <c r="V15" s="306" t="s">
        <v>227</v>
      </c>
      <c r="W15" s="305" t="s">
        <v>227</v>
      </c>
      <c r="X15" s="841" t="s">
        <v>227</v>
      </c>
    </row>
    <row r="16" spans="2:24" x14ac:dyDescent="0.25">
      <c r="B16" s="260" t="s">
        <v>240</v>
      </c>
      <c r="C16" s="265" t="s">
        <v>235</v>
      </c>
      <c r="D16" s="265" t="s">
        <v>224</v>
      </c>
      <c r="E16" s="265" t="s">
        <v>225</v>
      </c>
      <c r="F16" s="305"/>
      <c r="G16" s="306" t="s">
        <v>226</v>
      </c>
      <c r="H16" s="306"/>
      <c r="I16" s="306" t="s">
        <v>227</v>
      </c>
      <c r="J16" s="306" t="s">
        <v>227</v>
      </c>
      <c r="K16" s="306" t="s">
        <v>227</v>
      </c>
      <c r="L16" s="306" t="s">
        <v>227</v>
      </c>
      <c r="M16" s="306" t="s">
        <v>227</v>
      </c>
      <c r="N16" s="305" t="s">
        <v>227</v>
      </c>
      <c r="O16" s="305" t="s">
        <v>227</v>
      </c>
      <c r="P16" s="306" t="s">
        <v>226</v>
      </c>
      <c r="Q16" s="305" t="s">
        <v>226</v>
      </c>
      <c r="R16" s="305" t="s">
        <v>227</v>
      </c>
      <c r="S16" s="306" t="s">
        <v>226</v>
      </c>
      <c r="T16" s="306" t="s">
        <v>226</v>
      </c>
      <c r="U16" s="305" t="s">
        <v>227</v>
      </c>
      <c r="V16" s="306" t="s">
        <v>227</v>
      </c>
      <c r="W16" s="305" t="s">
        <v>227</v>
      </c>
      <c r="X16" s="841" t="s">
        <v>227</v>
      </c>
    </row>
    <row r="17" spans="2:90" x14ac:dyDescent="0.25">
      <c r="B17" s="260" t="s">
        <v>241</v>
      </c>
      <c r="C17" s="261" t="s">
        <v>51</v>
      </c>
      <c r="D17" s="261" t="s">
        <v>224</v>
      </c>
      <c r="E17" s="261" t="s">
        <v>225</v>
      </c>
      <c r="F17" s="305"/>
      <c r="G17" s="306" t="s">
        <v>226</v>
      </c>
      <c r="H17" s="306"/>
      <c r="I17" s="306" t="s">
        <v>227</v>
      </c>
      <c r="J17" s="306" t="s">
        <v>227</v>
      </c>
      <c r="K17" s="306" t="s">
        <v>227</v>
      </c>
      <c r="L17" s="306" t="s">
        <v>226</v>
      </c>
      <c r="M17" s="306" t="s">
        <v>227</v>
      </c>
      <c r="N17" s="305" t="s">
        <v>227</v>
      </c>
      <c r="O17" s="305" t="s">
        <v>227</v>
      </c>
      <c r="P17" s="306" t="s">
        <v>226</v>
      </c>
      <c r="Q17" s="305" t="s">
        <v>226</v>
      </c>
      <c r="R17" s="305" t="s">
        <v>227</v>
      </c>
      <c r="S17" s="306" t="s">
        <v>226</v>
      </c>
      <c r="T17" s="306" t="s">
        <v>226</v>
      </c>
      <c r="U17" s="305" t="s">
        <v>227</v>
      </c>
      <c r="V17" s="306" t="s">
        <v>227</v>
      </c>
      <c r="W17" s="305" t="s">
        <v>227</v>
      </c>
      <c r="X17" s="841" t="s">
        <v>227</v>
      </c>
    </row>
    <row r="18" spans="2:90" x14ac:dyDescent="0.25">
      <c r="B18" s="260" t="s">
        <v>242</v>
      </c>
      <c r="C18" s="265" t="s">
        <v>230</v>
      </c>
      <c r="D18" s="265" t="s">
        <v>224</v>
      </c>
      <c r="E18" s="265" t="s">
        <v>225</v>
      </c>
      <c r="F18" s="305"/>
      <c r="G18" s="306" t="s">
        <v>227</v>
      </c>
      <c r="H18" s="306"/>
      <c r="I18" s="306" t="s">
        <v>227</v>
      </c>
      <c r="J18" s="306" t="s">
        <v>227</v>
      </c>
      <c r="K18" s="306" t="s">
        <v>227</v>
      </c>
      <c r="L18" s="306" t="s">
        <v>227</v>
      </c>
      <c r="M18" s="306" t="s">
        <v>227</v>
      </c>
      <c r="N18" s="305" t="s">
        <v>226</v>
      </c>
      <c r="O18" s="305" t="s">
        <v>227</v>
      </c>
      <c r="P18" s="306" t="s">
        <v>226</v>
      </c>
      <c r="Q18" s="305" t="s">
        <v>227</v>
      </c>
      <c r="R18" s="305" t="s">
        <v>227</v>
      </c>
      <c r="S18" s="306" t="s">
        <v>227</v>
      </c>
      <c r="T18" s="306" t="s">
        <v>226</v>
      </c>
      <c r="U18" s="305" t="s">
        <v>227</v>
      </c>
      <c r="V18" s="306" t="s">
        <v>227</v>
      </c>
      <c r="W18" s="305" t="s">
        <v>227</v>
      </c>
      <c r="X18" s="841" t="s">
        <v>227</v>
      </c>
    </row>
    <row r="19" spans="2:90" x14ac:dyDescent="0.25">
      <c r="B19" s="262" t="s">
        <v>243</v>
      </c>
      <c r="C19" s="263" t="s">
        <v>237</v>
      </c>
      <c r="D19" s="263" t="s">
        <v>224</v>
      </c>
      <c r="E19" s="263" t="s">
        <v>232</v>
      </c>
      <c r="F19" s="305"/>
      <c r="G19" s="306" t="s">
        <v>227</v>
      </c>
      <c r="H19" s="306"/>
      <c r="I19" s="306" t="s">
        <v>227</v>
      </c>
      <c r="J19" s="306" t="s">
        <v>227</v>
      </c>
      <c r="K19" s="306" t="s">
        <v>227</v>
      </c>
      <c r="L19" s="306" t="s">
        <v>227</v>
      </c>
      <c r="M19" s="306" t="s">
        <v>227</v>
      </c>
      <c r="N19" s="305" t="s">
        <v>226</v>
      </c>
      <c r="O19" s="305" t="s">
        <v>227</v>
      </c>
      <c r="P19" s="306" t="s">
        <v>226</v>
      </c>
      <c r="Q19" s="305" t="s">
        <v>227</v>
      </c>
      <c r="R19" s="305" t="s">
        <v>227</v>
      </c>
      <c r="S19" s="306" t="s">
        <v>226</v>
      </c>
      <c r="T19" s="306" t="s">
        <v>226</v>
      </c>
      <c r="U19" s="305" t="s">
        <v>227</v>
      </c>
      <c r="V19" s="306" t="s">
        <v>227</v>
      </c>
      <c r="W19" s="305" t="s">
        <v>227</v>
      </c>
      <c r="X19" s="841" t="s">
        <v>227</v>
      </c>
    </row>
    <row r="20" spans="2:90" x14ac:dyDescent="0.25">
      <c r="B20" s="260" t="s">
        <v>244</v>
      </c>
      <c r="C20" s="261" t="s">
        <v>245</v>
      </c>
      <c r="D20" s="265" t="s">
        <v>224</v>
      </c>
      <c r="E20" s="265" t="s">
        <v>225</v>
      </c>
      <c r="F20" s="305"/>
      <c r="G20" s="306" t="s">
        <v>227</v>
      </c>
      <c r="H20" s="306"/>
      <c r="I20" s="306" t="s">
        <v>227</v>
      </c>
      <c r="J20" s="306" t="s">
        <v>226</v>
      </c>
      <c r="K20" s="306" t="s">
        <v>227</v>
      </c>
      <c r="L20" s="306" t="s">
        <v>227</v>
      </c>
      <c r="M20" s="306" t="s">
        <v>226</v>
      </c>
      <c r="N20" s="305" t="s">
        <v>226</v>
      </c>
      <c r="O20" s="305" t="s">
        <v>226</v>
      </c>
      <c r="P20" s="306" t="s">
        <v>226</v>
      </c>
      <c r="Q20" s="305" t="s">
        <v>226</v>
      </c>
      <c r="R20" s="305" t="s">
        <v>227</v>
      </c>
      <c r="S20" s="306" t="s">
        <v>226</v>
      </c>
      <c r="T20" s="306" t="s">
        <v>226</v>
      </c>
      <c r="U20" s="305" t="s">
        <v>227</v>
      </c>
      <c r="V20" s="306" t="s">
        <v>227</v>
      </c>
      <c r="W20" s="305" t="s">
        <v>227</v>
      </c>
      <c r="X20" s="841" t="s">
        <v>227</v>
      </c>
    </row>
    <row r="21" spans="2:90" x14ac:dyDescent="0.25">
      <c r="B21" s="260" t="s">
        <v>246</v>
      </c>
      <c r="C21" s="261" t="s">
        <v>230</v>
      </c>
      <c r="D21" s="261" t="s">
        <v>224</v>
      </c>
      <c r="E21" s="261" t="s">
        <v>225</v>
      </c>
      <c r="F21" s="305"/>
      <c r="G21" s="306" t="s">
        <v>227</v>
      </c>
      <c r="H21" s="306"/>
      <c r="I21" s="306" t="s">
        <v>227</v>
      </c>
      <c r="J21" s="306" t="s">
        <v>227</v>
      </c>
      <c r="K21" s="306" t="s">
        <v>227</v>
      </c>
      <c r="L21" s="306" t="s">
        <v>227</v>
      </c>
      <c r="M21" s="306" t="s">
        <v>227</v>
      </c>
      <c r="N21" s="305" t="s">
        <v>226</v>
      </c>
      <c r="O21" s="305" t="s">
        <v>227</v>
      </c>
      <c r="P21" s="306" t="s">
        <v>226</v>
      </c>
      <c r="Q21" s="305" t="s">
        <v>227</v>
      </c>
      <c r="R21" s="305" t="s">
        <v>227</v>
      </c>
      <c r="S21" s="306" t="s">
        <v>227</v>
      </c>
      <c r="T21" s="306" t="s">
        <v>226</v>
      </c>
      <c r="U21" s="305" t="s">
        <v>227</v>
      </c>
      <c r="V21" s="306" t="s">
        <v>227</v>
      </c>
      <c r="W21" s="305" t="s">
        <v>227</v>
      </c>
      <c r="X21" s="841" t="s">
        <v>227</v>
      </c>
    </row>
    <row r="22" spans="2:90" x14ac:dyDescent="0.25">
      <c r="B22" s="262" t="s">
        <v>247</v>
      </c>
      <c r="C22" s="264" t="s">
        <v>235</v>
      </c>
      <c r="D22" s="264" t="s">
        <v>224</v>
      </c>
      <c r="E22" s="264" t="s">
        <v>232</v>
      </c>
      <c r="F22" s="305"/>
      <c r="G22" s="306" t="s">
        <v>227</v>
      </c>
      <c r="H22" s="306"/>
      <c r="I22" s="306" t="s">
        <v>227</v>
      </c>
      <c r="J22" s="306" t="s">
        <v>227</v>
      </c>
      <c r="K22" s="306" t="s">
        <v>227</v>
      </c>
      <c r="L22" s="306" t="s">
        <v>227</v>
      </c>
      <c r="M22" s="306" t="s">
        <v>227</v>
      </c>
      <c r="N22" s="305" t="s">
        <v>226</v>
      </c>
      <c r="O22" s="305" t="s">
        <v>227</v>
      </c>
      <c r="P22" s="306" t="s">
        <v>226</v>
      </c>
      <c r="Q22" s="305" t="s">
        <v>227</v>
      </c>
      <c r="R22" s="305" t="s">
        <v>227</v>
      </c>
      <c r="S22" s="306" t="s">
        <v>226</v>
      </c>
      <c r="T22" s="306" t="s">
        <v>226</v>
      </c>
      <c r="U22" s="305" t="s">
        <v>227</v>
      </c>
      <c r="V22" s="306" t="s">
        <v>227</v>
      </c>
      <c r="W22" s="305" t="s">
        <v>227</v>
      </c>
      <c r="X22" s="841" t="s">
        <v>227</v>
      </c>
    </row>
    <row r="23" spans="2:90" x14ac:dyDescent="0.25">
      <c r="B23" s="260" t="s">
        <v>248</v>
      </c>
      <c r="C23" s="265" t="s">
        <v>237</v>
      </c>
      <c r="D23" s="265" t="s">
        <v>224</v>
      </c>
      <c r="E23" s="265" t="s">
        <v>225</v>
      </c>
      <c r="F23" s="305"/>
      <c r="G23" s="306" t="s">
        <v>226</v>
      </c>
      <c r="H23" s="306"/>
      <c r="I23" s="306" t="s">
        <v>227</v>
      </c>
      <c r="J23" s="306" t="s">
        <v>227</v>
      </c>
      <c r="K23" s="306" t="s">
        <v>227</v>
      </c>
      <c r="L23" s="306" t="s">
        <v>227</v>
      </c>
      <c r="M23" s="306" t="s">
        <v>227</v>
      </c>
      <c r="N23" s="305" t="s">
        <v>226</v>
      </c>
      <c r="O23" s="305" t="s">
        <v>227</v>
      </c>
      <c r="P23" s="306" t="s">
        <v>226</v>
      </c>
      <c r="Q23" s="305" t="s">
        <v>226</v>
      </c>
      <c r="R23" s="305" t="s">
        <v>226</v>
      </c>
      <c r="S23" s="306" t="s">
        <v>226</v>
      </c>
      <c r="T23" s="306" t="s">
        <v>227</v>
      </c>
      <c r="U23" s="305" t="s">
        <v>227</v>
      </c>
      <c r="V23" s="306" t="s">
        <v>227</v>
      </c>
      <c r="W23" s="305" t="s">
        <v>227</v>
      </c>
      <c r="X23" s="841" t="s">
        <v>227</v>
      </c>
    </row>
    <row r="24" spans="2:90" x14ac:dyDescent="0.25">
      <c r="B24" s="260" t="s">
        <v>249</v>
      </c>
      <c r="C24" s="261" t="s">
        <v>250</v>
      </c>
      <c r="D24" s="261" t="s">
        <v>224</v>
      </c>
      <c r="E24" s="261" t="s">
        <v>225</v>
      </c>
      <c r="F24" s="305"/>
      <c r="G24" s="306" t="s">
        <v>226</v>
      </c>
      <c r="H24" s="306"/>
      <c r="I24" s="306" t="s">
        <v>227</v>
      </c>
      <c r="J24" s="306" t="s">
        <v>227</v>
      </c>
      <c r="K24" s="306" t="s">
        <v>227</v>
      </c>
      <c r="L24" s="306" t="s">
        <v>227</v>
      </c>
      <c r="M24" s="306" t="s">
        <v>227</v>
      </c>
      <c r="N24" s="305" t="s">
        <v>227</v>
      </c>
      <c r="O24" s="305" t="s">
        <v>227</v>
      </c>
      <c r="P24" s="306" t="s">
        <v>226</v>
      </c>
      <c r="Q24" s="305" t="s">
        <v>226</v>
      </c>
      <c r="R24" s="305" t="s">
        <v>227</v>
      </c>
      <c r="S24" s="306" t="s">
        <v>226</v>
      </c>
      <c r="T24" s="306" t="s">
        <v>226</v>
      </c>
      <c r="U24" s="305" t="s">
        <v>227</v>
      </c>
      <c r="V24" s="306" t="s">
        <v>227</v>
      </c>
      <c r="W24" s="305" t="s">
        <v>227</v>
      </c>
      <c r="X24" s="841" t="s">
        <v>227</v>
      </c>
    </row>
    <row r="25" spans="2:90" x14ac:dyDescent="0.25">
      <c r="B25" s="262" t="s">
        <v>251</v>
      </c>
      <c r="C25" s="264" t="s">
        <v>250</v>
      </c>
      <c r="D25" s="264" t="s">
        <v>224</v>
      </c>
      <c r="E25" s="264" t="s">
        <v>232</v>
      </c>
      <c r="F25" s="305"/>
      <c r="G25" s="306" t="s">
        <v>227</v>
      </c>
      <c r="H25" s="306"/>
      <c r="I25" s="306" t="s">
        <v>227</v>
      </c>
      <c r="J25" s="306" t="s">
        <v>227</v>
      </c>
      <c r="K25" s="306" t="s">
        <v>227</v>
      </c>
      <c r="L25" s="306" t="s">
        <v>227</v>
      </c>
      <c r="M25" s="306" t="s">
        <v>227</v>
      </c>
      <c r="N25" s="305" t="s">
        <v>226</v>
      </c>
      <c r="O25" s="305" t="s">
        <v>227</v>
      </c>
      <c r="P25" s="306" t="s">
        <v>226</v>
      </c>
      <c r="Q25" s="305" t="s">
        <v>227</v>
      </c>
      <c r="R25" s="305" t="s">
        <v>227</v>
      </c>
      <c r="S25" s="306" t="s">
        <v>226</v>
      </c>
      <c r="T25" s="306" t="s">
        <v>226</v>
      </c>
      <c r="U25" s="305" t="s">
        <v>227</v>
      </c>
      <c r="V25" s="306" t="s">
        <v>227</v>
      </c>
      <c r="W25" s="305" t="s">
        <v>227</v>
      </c>
      <c r="X25" s="841" t="s">
        <v>227</v>
      </c>
    </row>
    <row r="26" spans="2:90" x14ac:dyDescent="0.25">
      <c r="B26" s="262" t="s">
        <v>252</v>
      </c>
      <c r="C26" s="263" t="s">
        <v>51</v>
      </c>
      <c r="D26" s="263" t="s">
        <v>224</v>
      </c>
      <c r="E26" s="263" t="s">
        <v>232</v>
      </c>
      <c r="F26" s="305"/>
      <c r="G26" s="306" t="s">
        <v>227</v>
      </c>
      <c r="H26" s="306"/>
      <c r="I26" s="306" t="s">
        <v>227</v>
      </c>
      <c r="J26" s="306" t="s">
        <v>227</v>
      </c>
      <c r="K26" s="306" t="s">
        <v>227</v>
      </c>
      <c r="L26" s="306" t="s">
        <v>227</v>
      </c>
      <c r="M26" s="306" t="s">
        <v>227</v>
      </c>
      <c r="N26" s="305" t="s">
        <v>226</v>
      </c>
      <c r="O26" s="305" t="s">
        <v>227</v>
      </c>
      <c r="P26" s="306" t="s">
        <v>226</v>
      </c>
      <c r="Q26" s="305" t="s">
        <v>227</v>
      </c>
      <c r="R26" s="305" t="s">
        <v>227</v>
      </c>
      <c r="S26" s="306" t="s">
        <v>226</v>
      </c>
      <c r="T26" s="306" t="s">
        <v>226</v>
      </c>
      <c r="U26" s="305" t="s">
        <v>227</v>
      </c>
      <c r="V26" s="306" t="s">
        <v>227</v>
      </c>
      <c r="W26" s="305" t="s">
        <v>227</v>
      </c>
      <c r="X26" s="841" t="s">
        <v>227</v>
      </c>
    </row>
    <row r="27" spans="2:90" ht="15.75" thickBot="1" x14ac:dyDescent="0.3">
      <c r="B27" s="266" t="s">
        <v>253</v>
      </c>
      <c r="C27" s="267" t="s">
        <v>230</v>
      </c>
      <c r="D27" s="267" t="s">
        <v>224</v>
      </c>
      <c r="E27" s="267" t="s">
        <v>225</v>
      </c>
      <c r="F27" s="307"/>
      <c r="G27" s="308" t="s">
        <v>227</v>
      </c>
      <c r="H27" s="308"/>
      <c r="I27" s="308" t="s">
        <v>227</v>
      </c>
      <c r="J27" s="308" t="s">
        <v>227</v>
      </c>
      <c r="K27" s="308" t="s">
        <v>227</v>
      </c>
      <c r="L27" s="308" t="s">
        <v>227</v>
      </c>
      <c r="M27" s="308" t="s">
        <v>227</v>
      </c>
      <c r="N27" s="307" t="s">
        <v>226</v>
      </c>
      <c r="O27" s="307" t="s">
        <v>227</v>
      </c>
      <c r="P27" s="308" t="s">
        <v>226</v>
      </c>
      <c r="Q27" s="307" t="s">
        <v>227</v>
      </c>
      <c r="R27" s="307" t="s">
        <v>227</v>
      </c>
      <c r="S27" s="308" t="s">
        <v>227</v>
      </c>
      <c r="T27" s="308" t="s">
        <v>226</v>
      </c>
      <c r="U27" s="307" t="s">
        <v>227</v>
      </c>
      <c r="V27" s="308" t="s">
        <v>227</v>
      </c>
      <c r="W27" s="307" t="s">
        <v>227</v>
      </c>
      <c r="X27" s="842" t="s">
        <v>227</v>
      </c>
    </row>
    <row r="30" spans="2:90" x14ac:dyDescent="0.25">
      <c r="B30" s="356" t="s">
        <v>84</v>
      </c>
    </row>
    <row r="31" spans="2:90" x14ac:dyDescent="0.25">
      <c r="B31" s="442" t="s">
        <v>86</v>
      </c>
    </row>
    <row r="32" spans="2:90" x14ac:dyDescent="0.25">
      <c r="AL32" s="1234"/>
      <c r="AM32" s="1234"/>
      <c r="AN32" s="1234"/>
      <c r="AO32" s="1234"/>
      <c r="AP32" s="1234"/>
      <c r="AQ32" s="1234"/>
      <c r="AR32" s="1234"/>
      <c r="AS32" s="1234"/>
      <c r="AT32" s="1234"/>
      <c r="AU32" s="1234"/>
      <c r="AV32" s="1234"/>
      <c r="AW32" s="1234"/>
      <c r="AX32" s="1234"/>
      <c r="AY32" s="1234"/>
      <c r="AZ32" s="1234"/>
      <c r="BA32" s="1234"/>
      <c r="BB32" s="1234"/>
      <c r="BC32" s="1234"/>
      <c r="BD32" s="1234"/>
      <c r="BE32" s="1234"/>
      <c r="BF32" s="1234"/>
      <c r="BG32" s="1234"/>
      <c r="BQ32" s="1234"/>
      <c r="BR32" s="1234"/>
      <c r="BS32" s="1234"/>
      <c r="BT32" s="1234"/>
      <c r="BU32" s="1234"/>
      <c r="BV32" s="1234"/>
      <c r="BW32" s="1234"/>
      <c r="BX32" s="1234"/>
      <c r="BY32" s="1234"/>
      <c r="BZ32" s="1234"/>
      <c r="CA32" s="1234"/>
      <c r="CB32" s="1234"/>
      <c r="CC32" s="1234"/>
      <c r="CD32" s="1234"/>
      <c r="CE32" s="1234"/>
      <c r="CF32" s="1234"/>
      <c r="CG32" s="1234"/>
      <c r="CH32" s="1234"/>
      <c r="CI32" s="1234"/>
      <c r="CJ32" s="1234"/>
      <c r="CK32" s="1234"/>
      <c r="CL32" s="1234"/>
    </row>
    <row r="33" spans="2:90" x14ac:dyDescent="0.25">
      <c r="B33" s="310" t="s">
        <v>254</v>
      </c>
      <c r="AL33" s="1234"/>
      <c r="AM33" s="1234"/>
      <c r="AN33" s="1234"/>
      <c r="AO33" s="1234"/>
      <c r="AP33" s="1234"/>
      <c r="AQ33" s="1234"/>
      <c r="AR33" s="1234"/>
      <c r="AS33" s="1234"/>
      <c r="AT33" s="1234"/>
      <c r="AU33" s="1234"/>
      <c r="AV33" s="1234"/>
      <c r="AW33" s="1234"/>
      <c r="AX33" s="1234"/>
      <c r="AY33" s="1234"/>
      <c r="AZ33" s="1234"/>
      <c r="BA33" s="1234"/>
      <c r="BB33" s="1234"/>
      <c r="BC33" s="1234"/>
      <c r="BD33" s="1234"/>
      <c r="BE33" s="1234"/>
      <c r="BF33" s="1234"/>
      <c r="BG33" s="1234"/>
      <c r="BQ33" s="1234"/>
      <c r="BR33" s="1234"/>
      <c r="BS33" s="1234"/>
      <c r="BT33" s="1234"/>
      <c r="BU33" s="1234"/>
      <c r="BV33" s="1234"/>
      <c r="BW33" s="1234"/>
      <c r="BX33" s="1234"/>
      <c r="BY33" s="1234"/>
      <c r="BZ33" s="1234"/>
      <c r="CA33" s="1234"/>
      <c r="CB33" s="1234"/>
      <c r="CC33" s="1234"/>
      <c r="CD33" s="1234"/>
      <c r="CE33" s="1234"/>
      <c r="CF33" s="1234"/>
      <c r="CG33" s="1234"/>
      <c r="CH33" s="1234"/>
      <c r="CI33" s="1234"/>
      <c r="CJ33" s="1234"/>
      <c r="CK33" s="1234"/>
      <c r="CL33" s="1234"/>
    </row>
    <row r="34" spans="2:90" x14ac:dyDescent="0.25">
      <c r="B34" s="254" t="s">
        <v>255</v>
      </c>
      <c r="C34" s="310"/>
      <c r="D34" s="254"/>
      <c r="E34" s="254"/>
      <c r="F34" s="310" t="s">
        <v>256</v>
      </c>
      <c r="G34" s="310"/>
      <c r="AL34" s="1234"/>
      <c r="AM34" s="1234"/>
      <c r="AN34" s="1234"/>
      <c r="AO34" s="1234"/>
      <c r="AP34" s="1234"/>
      <c r="AQ34" s="1234"/>
      <c r="AR34" s="1234"/>
      <c r="AS34" s="1234"/>
      <c r="AT34" s="1234"/>
      <c r="AU34" s="1234"/>
      <c r="AV34" s="1234"/>
      <c r="AW34" s="1234"/>
      <c r="AX34" s="1234"/>
      <c r="AY34" s="1234"/>
      <c r="AZ34" s="1234"/>
      <c r="BA34" s="1234"/>
      <c r="BB34" s="1234"/>
      <c r="BC34" s="1234"/>
      <c r="BD34" s="1234"/>
      <c r="BE34" s="1234"/>
      <c r="BF34" s="1234"/>
      <c r="BG34" s="1234"/>
      <c r="BQ34" s="1234"/>
      <c r="BR34" s="1234"/>
      <c r="BS34" s="1234"/>
      <c r="BT34" s="1234"/>
      <c r="BU34" s="1234"/>
      <c r="BV34" s="1234"/>
      <c r="BW34" s="1234"/>
      <c r="BX34" s="1234"/>
      <c r="BY34" s="1234"/>
      <c r="BZ34" s="1234"/>
      <c r="CA34" s="1234"/>
      <c r="CB34" s="1234"/>
      <c r="CC34" s="1234"/>
      <c r="CD34" s="1234"/>
      <c r="CE34" s="1234"/>
      <c r="CF34" s="1234"/>
      <c r="CG34" s="1234"/>
      <c r="CH34" s="1234"/>
      <c r="CI34" s="1234"/>
      <c r="CJ34" s="1234"/>
      <c r="CK34" s="1234"/>
      <c r="CL34" s="1234"/>
    </row>
    <row r="35" spans="2:90" x14ac:dyDescent="0.25">
      <c r="B35" s="58"/>
      <c r="F35" s="50"/>
    </row>
    <row r="36" spans="2:90" x14ac:dyDescent="0.25">
      <c r="B36" s="58" t="s">
        <v>257</v>
      </c>
      <c r="F36" s="58" t="s">
        <v>258</v>
      </c>
    </row>
    <row r="37" spans="2:90" x14ac:dyDescent="0.25">
      <c r="B37" s="58" t="s">
        <v>259</v>
      </c>
      <c r="F37" s="58" t="s">
        <v>260</v>
      </c>
    </row>
    <row r="38" spans="2:90" x14ac:dyDescent="0.25">
      <c r="B38" s="58" t="s">
        <v>261</v>
      </c>
      <c r="F38" s="58" t="s">
        <v>262</v>
      </c>
    </row>
    <row r="39" spans="2:90" x14ac:dyDescent="0.25">
      <c r="B39" s="58" t="s">
        <v>263</v>
      </c>
      <c r="F39" s="50" t="s">
        <v>264</v>
      </c>
    </row>
    <row r="40" spans="2:90" x14ac:dyDescent="0.25">
      <c r="B40" s="58" t="s">
        <v>265</v>
      </c>
      <c r="F40" s="58" t="s">
        <v>266</v>
      </c>
    </row>
    <row r="41" spans="2:90" x14ac:dyDescent="0.25">
      <c r="B41" s="311" t="s">
        <v>267</v>
      </c>
      <c r="F41" s="311" t="s">
        <v>268</v>
      </c>
    </row>
    <row r="42" spans="2:90" x14ac:dyDescent="0.25">
      <c r="B42" s="58"/>
    </row>
    <row r="44" spans="2:90" x14ac:dyDescent="0.25">
      <c r="B44" s="50" t="s">
        <v>23</v>
      </c>
    </row>
    <row r="45" spans="2:90" x14ac:dyDescent="0.25">
      <c r="B45" s="70" t="s">
        <v>269</v>
      </c>
    </row>
    <row r="46" spans="2:90" x14ac:dyDescent="0.25">
      <c r="B46" s="70" t="s">
        <v>270</v>
      </c>
    </row>
    <row r="49" spans="2:3" ht="21" thickBot="1" x14ac:dyDescent="0.3">
      <c r="B49" s="279" t="s">
        <v>271</v>
      </c>
      <c r="C49" s="4"/>
    </row>
    <row r="50" spans="2:3" ht="16.5" thickBot="1" x14ac:dyDescent="0.3">
      <c r="B50" s="280"/>
      <c r="C50" s="4" t="s">
        <v>272</v>
      </c>
    </row>
    <row r="51" spans="2:3" ht="15.75" x14ac:dyDescent="0.25">
      <c r="B51" s="281"/>
      <c r="C51" s="4" t="s">
        <v>273</v>
      </c>
    </row>
    <row r="52" spans="2:3" x14ac:dyDescent="0.25">
      <c r="B52" s="282"/>
      <c r="C52" s="4" t="s">
        <v>274</v>
      </c>
    </row>
    <row r="53" spans="2:3" x14ac:dyDescent="0.25">
      <c r="B53" s="283"/>
      <c r="C53" s="4" t="s">
        <v>275</v>
      </c>
    </row>
    <row r="54" spans="2:3" x14ac:dyDescent="0.25">
      <c r="B54" s="284"/>
      <c r="C54" s="4" t="s">
        <v>276</v>
      </c>
    </row>
    <row r="55" spans="2:3" x14ac:dyDescent="0.25">
      <c r="B55" s="285"/>
      <c r="C55" s="4" t="s">
        <v>277</v>
      </c>
    </row>
    <row r="56" spans="2:3" x14ac:dyDescent="0.25">
      <c r="B56" s="295"/>
      <c r="C56" s="4" t="s">
        <v>278</v>
      </c>
    </row>
    <row r="57" spans="2:3" x14ac:dyDescent="0.25">
      <c r="B57" s="293"/>
      <c r="C57" s="4" t="s">
        <v>279</v>
      </c>
    </row>
    <row r="58" spans="2:3" x14ac:dyDescent="0.25">
      <c r="B58" s="294"/>
      <c r="C58" t="s">
        <v>280</v>
      </c>
    </row>
    <row r="59" spans="2:3" ht="15.75" thickBot="1" x14ac:dyDescent="0.3">
      <c r="B59" s="292"/>
      <c r="C59" s="4" t="s">
        <v>281</v>
      </c>
    </row>
    <row r="60" spans="2:3" ht="15.75" thickBot="1" x14ac:dyDescent="0.3">
      <c r="B60" s="1"/>
      <c r="C60" s="4" t="s">
        <v>282</v>
      </c>
    </row>
    <row r="61" spans="2:3" ht="15.75" thickBot="1" x14ac:dyDescent="0.3">
      <c r="B61" s="291"/>
      <c r="C61" t="s">
        <v>283</v>
      </c>
    </row>
    <row r="62" spans="2:3" x14ac:dyDescent="0.25">
      <c r="B62" s="2"/>
      <c r="C62" t="s">
        <v>284</v>
      </c>
    </row>
    <row r="63" spans="2:3" ht="15.75" thickBot="1" x14ac:dyDescent="0.3">
      <c r="B63" s="289"/>
      <c r="C63" t="s">
        <v>285</v>
      </c>
    </row>
    <row r="64" spans="2:3" ht="15.75" thickBot="1" x14ac:dyDescent="0.3">
      <c r="B64" s="290"/>
      <c r="C64" t="s">
        <v>286</v>
      </c>
    </row>
    <row r="65" spans="2:3" x14ac:dyDescent="0.25">
      <c r="B65" s="286"/>
      <c r="C65" t="s">
        <v>287</v>
      </c>
    </row>
    <row r="66" spans="2:3" ht="15.75" thickBot="1" x14ac:dyDescent="0.3">
      <c r="B66" s="287"/>
      <c r="C66" t="s">
        <v>288</v>
      </c>
    </row>
    <row r="67" spans="2:3" ht="15.75" thickBot="1" x14ac:dyDescent="0.3">
      <c r="B67" s="288"/>
      <c r="C67" t="s">
        <v>289</v>
      </c>
    </row>
    <row r="126" spans="3:3" x14ac:dyDescent="0.25">
      <c r="C126" s="271" t="s">
        <v>290</v>
      </c>
    </row>
    <row r="127" spans="3:3" x14ac:dyDescent="0.25">
      <c r="C127" s="271">
        <f>IFERROR(IF(dms_Model="ARR",(MAX(0,dms_0608_LastRow-dms_0608_OffsetRows)),"not an ARR"),"0")</f>
        <v>0</v>
      </c>
    </row>
  </sheetData>
  <sheetProtection algorithmName="SHA-256" hashValue="8/L5ugKEm3+U/wW+ucVczPnUDEGNEr+BnsXXlfruxg0=" saltValue="lgc1X1maZ9SxZ3UXHwtdeQ==" spinCount="100000" sheet="1" objects="1" scenarios="1" formatCells="0" insertRows="0"/>
  <mergeCells count="7">
    <mergeCell ref="B4:V4"/>
    <mergeCell ref="AL32:BG32"/>
    <mergeCell ref="AL33:BG33"/>
    <mergeCell ref="AL34:BG34"/>
    <mergeCell ref="BQ32:CL32"/>
    <mergeCell ref="BQ33:CL33"/>
    <mergeCell ref="BQ34:CL34"/>
  </mergeCells>
  <conditionalFormatting sqref="F7:X27">
    <cfRule type="cellIs" dxfId="16" priority="2" operator="equal">
      <formula>"Y"</formula>
    </cfRule>
  </conditionalFormatting>
  <pageMargins left="0.7" right="0.7" top="0.75" bottom="0.75" header="0.3" footer="0.3"/>
  <pageSetup paperSize="9" orientation="portrait" r:id="rId1"/>
  <headerFooter>
    <oddFooter>&amp;C_x000D_&amp;1#&amp;"Aptos"&amp;10&amp;K008000 APA-INTERNAL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tabColor theme="1"/>
  </sheetPr>
  <dimension ref="B1:CK237"/>
  <sheetViews>
    <sheetView showGridLines="0" zoomScaleNormal="100" workbookViewId="0">
      <selection activeCell="N33" sqref="N33"/>
    </sheetView>
  </sheetViews>
  <sheetFormatPr defaultRowHeight="15" x14ac:dyDescent="0.25"/>
  <cols>
    <col min="2" max="2" width="47.140625" bestFit="1" customWidth="1"/>
    <col min="3" max="3" width="40.85546875" customWidth="1"/>
    <col min="4" max="4" width="31.42578125" bestFit="1" customWidth="1"/>
    <col min="5" max="5" width="33.140625" bestFit="1" customWidth="1"/>
    <col min="6" max="6" width="43.140625" customWidth="1"/>
    <col min="7" max="7" width="38.85546875" customWidth="1"/>
    <col min="8" max="8" width="24.140625" customWidth="1"/>
    <col min="9" max="9" width="28.140625" customWidth="1"/>
    <col min="10" max="10" width="29" customWidth="1"/>
    <col min="11" max="11" width="23.85546875" customWidth="1"/>
    <col min="12" max="13" width="28.140625" customWidth="1"/>
    <col min="14" max="14" width="24.5703125" bestFit="1" customWidth="1"/>
    <col min="15" max="15" width="33" customWidth="1"/>
    <col min="16" max="16" width="47" customWidth="1"/>
    <col min="17" max="17" width="40.140625" customWidth="1"/>
    <col min="18" max="18" width="24.85546875" bestFit="1" customWidth="1"/>
    <col min="19" max="19" width="22.85546875" bestFit="1" customWidth="1"/>
    <col min="20" max="20" width="22" bestFit="1" customWidth="1"/>
    <col min="23" max="23" width="9.140625" customWidth="1"/>
  </cols>
  <sheetData>
    <row r="1" spans="2:28" ht="51" customHeight="1" x14ac:dyDescent="0.25">
      <c r="B1" s="645" t="s">
        <v>291</v>
      </c>
      <c r="C1" s="644"/>
      <c r="D1" s="644"/>
      <c r="E1" s="644"/>
      <c r="F1" s="644"/>
      <c r="G1" s="644"/>
      <c r="H1" s="644"/>
      <c r="I1" s="644"/>
      <c r="J1" s="644"/>
      <c r="K1" s="644"/>
      <c r="L1" s="644"/>
      <c r="M1" s="644"/>
      <c r="N1" s="644"/>
    </row>
    <row r="2" spans="2:28" ht="30.6" customHeight="1" x14ac:dyDescent="0.25"/>
    <row r="3" spans="2:28" ht="28.5" x14ac:dyDescent="0.45">
      <c r="B3" s="453" t="s">
        <v>292</v>
      </c>
      <c r="C3" s="453"/>
      <c r="D3" s="453"/>
      <c r="E3" s="453"/>
      <c r="F3" s="453"/>
      <c r="G3" s="453"/>
      <c r="H3" s="453"/>
      <c r="I3" s="453"/>
      <c r="J3" s="453"/>
      <c r="K3" s="453"/>
      <c r="L3" s="453"/>
      <c r="M3" s="453"/>
      <c r="N3" s="453"/>
    </row>
    <row r="4" spans="2:28" ht="30.6" customHeight="1" thickBot="1" x14ac:dyDescent="0.3"/>
    <row r="5" spans="2:28" ht="29.85" customHeight="1" x14ac:dyDescent="0.25">
      <c r="B5" s="1243" t="s">
        <v>293</v>
      </c>
      <c r="C5" s="452" t="s">
        <v>294</v>
      </c>
      <c r="D5" s="452" t="s">
        <v>295</v>
      </c>
      <c r="E5" s="365"/>
      <c r="F5" s="3"/>
      <c r="W5" s="3"/>
      <c r="X5" s="3"/>
      <c r="AA5" s="156"/>
      <c r="AB5" s="156"/>
    </row>
    <row r="6" spans="2:28" ht="15" customHeight="1" x14ac:dyDescent="0.25">
      <c r="B6" s="1243"/>
      <c r="C6" s="520" t="s">
        <v>296</v>
      </c>
      <c r="D6" s="520" t="s">
        <v>296</v>
      </c>
      <c r="E6" s="365"/>
      <c r="F6" s="3"/>
      <c r="W6" s="3"/>
      <c r="X6" s="3"/>
      <c r="AA6" s="156"/>
      <c r="AB6" s="156"/>
    </row>
    <row r="7" spans="2:28" ht="15" customHeight="1" x14ac:dyDescent="0.25">
      <c r="B7" s="1243"/>
      <c r="C7" s="521" t="s">
        <v>297</v>
      </c>
      <c r="D7" s="523" t="s">
        <v>76</v>
      </c>
      <c r="E7" s="361"/>
      <c r="S7" s="3"/>
      <c r="T7" s="3"/>
      <c r="U7" s="3"/>
      <c r="V7" s="3"/>
      <c r="W7" s="3"/>
      <c r="X7" s="3"/>
    </row>
    <row r="8" spans="2:28" ht="15" customHeight="1" x14ac:dyDescent="0.25">
      <c r="B8" s="1243"/>
      <c r="C8" s="522" t="s">
        <v>298</v>
      </c>
      <c r="D8" s="524" t="s">
        <v>84</v>
      </c>
      <c r="E8" s="361"/>
      <c r="S8" s="3"/>
      <c r="T8" s="3"/>
      <c r="U8" s="3"/>
      <c r="V8" s="3"/>
      <c r="W8" s="3"/>
      <c r="X8" s="3"/>
    </row>
    <row r="9" spans="2:28" ht="15" customHeight="1" x14ac:dyDescent="0.25">
      <c r="B9" s="1243"/>
      <c r="C9" s="522" t="s">
        <v>74</v>
      </c>
      <c r="D9" s="517"/>
      <c r="E9" s="361"/>
      <c r="S9" s="3"/>
      <c r="T9" s="3"/>
      <c r="U9" s="3"/>
      <c r="V9" s="3"/>
      <c r="W9" s="3"/>
      <c r="X9" s="3"/>
    </row>
    <row r="10" spans="2:28" ht="15.75" customHeight="1" thickBot="1" x14ac:dyDescent="0.3">
      <c r="B10" s="1243"/>
      <c r="C10" s="518"/>
      <c r="D10" s="519"/>
      <c r="E10" s="361"/>
      <c r="S10" s="3"/>
      <c r="T10" s="3"/>
      <c r="U10" s="3"/>
      <c r="V10" s="3"/>
      <c r="W10" s="3"/>
      <c r="X10" s="3"/>
    </row>
    <row r="11" spans="2:28" ht="15.75" thickBot="1" x14ac:dyDescent="0.3">
      <c r="B11" s="1243"/>
      <c r="C11" s="4"/>
      <c r="D11" s="9"/>
      <c r="E11" s="361"/>
      <c r="S11" s="3"/>
      <c r="T11" s="3"/>
      <c r="U11" s="3"/>
      <c r="V11" s="3"/>
      <c r="W11" s="3"/>
      <c r="X11" s="3"/>
    </row>
    <row r="12" spans="2:28" ht="86.25" thickBot="1" x14ac:dyDescent="0.3">
      <c r="B12" s="1243"/>
      <c r="C12" s="468" t="s">
        <v>299</v>
      </c>
      <c r="D12" s="468" t="s">
        <v>300</v>
      </c>
      <c r="G12" s="361"/>
      <c r="H12" s="70"/>
      <c r="S12" s="3"/>
      <c r="T12" s="3"/>
      <c r="U12" s="3"/>
      <c r="V12" s="3"/>
      <c r="W12" s="3"/>
      <c r="X12" s="3"/>
    </row>
    <row r="13" spans="2:28" ht="24" customHeight="1" thickBot="1" x14ac:dyDescent="0.3">
      <c r="B13" s="1243"/>
      <c r="C13" s="452" t="s">
        <v>301</v>
      </c>
      <c r="D13" s="452" t="s">
        <v>302</v>
      </c>
      <c r="G13" s="361"/>
      <c r="H13" s="70"/>
      <c r="S13" s="3"/>
      <c r="T13" s="3"/>
      <c r="U13" s="3"/>
      <c r="V13" s="3"/>
      <c r="W13" s="3"/>
      <c r="X13" s="3"/>
    </row>
    <row r="14" spans="2:28" x14ac:dyDescent="0.25">
      <c r="B14" s="1243"/>
      <c r="C14" s="525" t="s">
        <v>296</v>
      </c>
      <c r="D14" s="527" t="s">
        <v>303</v>
      </c>
      <c r="G14" s="361"/>
      <c r="S14" s="3"/>
      <c r="T14" s="3"/>
      <c r="U14" s="3"/>
      <c r="V14" s="3"/>
      <c r="W14" s="3"/>
      <c r="X14" s="3"/>
    </row>
    <row r="15" spans="2:28" x14ac:dyDescent="0.25">
      <c r="B15" s="1243"/>
      <c r="C15" s="524" t="s">
        <v>304</v>
      </c>
      <c r="D15" s="528" t="s">
        <v>305</v>
      </c>
      <c r="H15" s="70"/>
      <c r="S15" s="3"/>
      <c r="T15" s="3"/>
      <c r="U15" s="3"/>
      <c r="V15" s="3"/>
      <c r="W15" s="3"/>
      <c r="X15" s="3"/>
    </row>
    <row r="16" spans="2:28" ht="15.75" thickBot="1" x14ac:dyDescent="0.3">
      <c r="B16" s="1243"/>
      <c r="C16" s="524" t="s">
        <v>306</v>
      </c>
      <c r="D16" s="529" t="s">
        <v>307</v>
      </c>
      <c r="H16" s="70"/>
      <c r="S16" s="3"/>
      <c r="T16" s="3"/>
      <c r="U16" s="3"/>
      <c r="V16" s="3"/>
      <c r="W16" s="3"/>
      <c r="X16" s="3"/>
    </row>
    <row r="17" spans="2:89" x14ac:dyDescent="0.25">
      <c r="B17" s="1243"/>
      <c r="C17" s="524" t="s">
        <v>308</v>
      </c>
      <c r="H17" s="70"/>
      <c r="S17" s="3"/>
      <c r="T17" s="3"/>
      <c r="U17" s="3"/>
      <c r="V17" s="3"/>
      <c r="W17" s="3"/>
      <c r="X17" s="3"/>
    </row>
    <row r="18" spans="2:89" x14ac:dyDescent="0.25">
      <c r="B18" s="1243"/>
      <c r="C18" s="524" t="s">
        <v>309</v>
      </c>
      <c r="D18" s="4"/>
      <c r="S18" s="3"/>
      <c r="T18" s="3"/>
      <c r="U18" s="3"/>
      <c r="V18" s="3"/>
      <c r="W18" s="3"/>
      <c r="X18" s="3"/>
    </row>
    <row r="19" spans="2:89" x14ac:dyDescent="0.25">
      <c r="B19" s="1243"/>
      <c r="C19" s="524" t="s">
        <v>310</v>
      </c>
      <c r="D19" s="4"/>
      <c r="S19" s="3"/>
      <c r="T19" s="3"/>
      <c r="U19" s="3"/>
      <c r="V19" s="3"/>
      <c r="W19" s="3"/>
      <c r="X19" s="3"/>
    </row>
    <row r="20" spans="2:89" x14ac:dyDescent="0.25">
      <c r="B20" s="1243"/>
      <c r="C20" s="524" t="s">
        <v>311</v>
      </c>
      <c r="D20" s="4"/>
      <c r="J20" s="4"/>
      <c r="L20" s="6"/>
      <c r="O20" s="3"/>
      <c r="P20" s="3"/>
      <c r="Q20" s="3"/>
      <c r="R20" s="3"/>
      <c r="S20" s="3"/>
      <c r="T20" s="3"/>
      <c r="U20" s="3"/>
      <c r="V20" s="3"/>
      <c r="W20" s="3"/>
      <c r="X20" s="3"/>
    </row>
    <row r="21" spans="2:89" x14ac:dyDescent="0.25">
      <c r="B21" s="1243"/>
      <c r="C21" s="524" t="s">
        <v>312</v>
      </c>
      <c r="D21" s="4"/>
      <c r="J21" s="4"/>
      <c r="L21" s="6"/>
      <c r="O21" s="3"/>
      <c r="P21" s="3"/>
      <c r="Q21" s="3"/>
      <c r="R21" s="3"/>
      <c r="S21" s="3"/>
      <c r="T21" s="3"/>
      <c r="U21" s="3"/>
      <c r="V21" s="3"/>
      <c r="W21" s="3"/>
      <c r="X21" s="3"/>
    </row>
    <row r="22" spans="2:89" x14ac:dyDescent="0.25">
      <c r="B22" s="1243"/>
      <c r="C22" s="524" t="s">
        <v>313</v>
      </c>
      <c r="D22" s="4"/>
      <c r="J22" s="4"/>
      <c r="L22" s="6"/>
      <c r="O22" s="3"/>
      <c r="P22" s="3"/>
      <c r="Q22" s="3"/>
      <c r="R22" s="3"/>
      <c r="S22" s="3"/>
      <c r="T22" s="3"/>
      <c r="U22" s="3"/>
      <c r="V22" s="3"/>
      <c r="W22" s="3"/>
    </row>
    <row r="23" spans="2:89" x14ac:dyDescent="0.25">
      <c r="B23" s="1243"/>
      <c r="C23" s="524" t="s">
        <v>314</v>
      </c>
      <c r="D23" s="4"/>
      <c r="J23" s="4"/>
      <c r="L23" s="6"/>
      <c r="O23" s="3"/>
      <c r="P23" s="3"/>
      <c r="Q23" s="3"/>
      <c r="R23" s="3"/>
      <c r="S23" s="3"/>
      <c r="T23" s="3"/>
      <c r="U23" s="3"/>
      <c r="V23" s="3"/>
      <c r="W23" s="3"/>
    </row>
    <row r="24" spans="2:89" x14ac:dyDescent="0.25">
      <c r="B24" s="1243"/>
      <c r="C24" s="524" t="s">
        <v>315</v>
      </c>
      <c r="D24" s="4"/>
      <c r="J24" s="4"/>
      <c r="L24" s="6"/>
      <c r="O24" s="3"/>
      <c r="P24" s="3"/>
      <c r="Q24" s="3"/>
      <c r="R24" s="3"/>
      <c r="S24" s="3"/>
      <c r="T24" s="3"/>
      <c r="U24" s="3"/>
      <c r="V24" s="3"/>
      <c r="W24" s="3"/>
    </row>
    <row r="25" spans="2:89" x14ac:dyDescent="0.25">
      <c r="B25" s="1243"/>
      <c r="C25" s="524" t="s">
        <v>316</v>
      </c>
      <c r="D25" s="4"/>
      <c r="G25" s="361"/>
      <c r="J25" s="4"/>
      <c r="L25" s="6"/>
      <c r="O25" s="3"/>
      <c r="P25" s="3"/>
      <c r="Q25" s="3"/>
      <c r="R25" s="3"/>
      <c r="S25" s="3"/>
      <c r="T25" s="3"/>
      <c r="U25" s="3"/>
      <c r="V25" s="3"/>
      <c r="W25" s="3"/>
    </row>
    <row r="26" spans="2:89" x14ac:dyDescent="0.25">
      <c r="B26" s="1243"/>
      <c r="C26" s="524" t="s">
        <v>71</v>
      </c>
      <c r="D26" s="4"/>
      <c r="G26" s="361"/>
      <c r="J26" s="4"/>
      <c r="L26" s="6"/>
      <c r="O26" s="3"/>
      <c r="P26" s="3"/>
      <c r="Q26" s="3"/>
      <c r="R26" s="3"/>
      <c r="S26" s="3"/>
      <c r="T26" s="3"/>
      <c r="U26" s="3"/>
      <c r="V26" s="3"/>
      <c r="W26" s="3"/>
    </row>
    <row r="27" spans="2:89" ht="15.75" thickBot="1" x14ac:dyDescent="0.3">
      <c r="B27" s="1243"/>
      <c r="C27" s="526" t="s">
        <v>317</v>
      </c>
      <c r="D27" s="4"/>
      <c r="G27" s="361"/>
      <c r="J27" s="4"/>
      <c r="L27" s="6"/>
      <c r="O27" s="3"/>
      <c r="P27" s="3"/>
      <c r="Q27" s="3"/>
      <c r="R27" s="3"/>
      <c r="S27" s="3"/>
      <c r="T27" s="3"/>
      <c r="U27" s="3"/>
      <c r="V27" s="3"/>
      <c r="W27" s="3"/>
    </row>
    <row r="28" spans="2:89" ht="15" customHeight="1" x14ac:dyDescent="0.45">
      <c r="B28" s="454"/>
      <c r="G28" s="361"/>
      <c r="I28" s="70"/>
      <c r="J28" s="4"/>
      <c r="K28" s="70"/>
      <c r="L28" s="6"/>
      <c r="O28" s="3"/>
      <c r="P28" s="3"/>
      <c r="Q28" s="3"/>
      <c r="R28" s="3"/>
      <c r="S28" s="3"/>
      <c r="T28" s="3"/>
      <c r="U28" s="3"/>
      <c r="V28" s="3"/>
      <c r="W28" s="3"/>
    </row>
    <row r="29" spans="2:89" ht="28.5" x14ac:dyDescent="0.45">
      <c r="B29" s="454"/>
    </row>
    <row r="30" spans="2:89" ht="29.25" thickBot="1" x14ac:dyDescent="0.5">
      <c r="B30" s="454"/>
      <c r="D30" s="4"/>
      <c r="G30" s="361"/>
      <c r="K30" s="635" t="s">
        <v>318</v>
      </c>
      <c r="M30" s="6"/>
      <c r="N30" t="s">
        <v>319</v>
      </c>
      <c r="P30" s="3"/>
      <c r="Q30" s="3"/>
      <c r="R30" s="3"/>
      <c r="S30" s="3"/>
      <c r="T30" s="3"/>
      <c r="U30" s="3"/>
      <c r="V30" s="3"/>
      <c r="W30" s="3"/>
      <c r="X30" s="3"/>
    </row>
    <row r="31" spans="2:89" ht="30.75" customHeight="1" thickBot="1" x14ac:dyDescent="0.3">
      <c r="B31" s="1240" t="s">
        <v>320</v>
      </c>
      <c r="C31" s="466" t="s">
        <v>321</v>
      </c>
      <c r="D31" s="467" t="s">
        <v>322</v>
      </c>
      <c r="E31" s="466" t="s">
        <v>323</v>
      </c>
      <c r="F31" s="467" t="s">
        <v>324</v>
      </c>
      <c r="G31" s="466" t="s">
        <v>325</v>
      </c>
      <c r="H31" s="366" t="s">
        <v>326</v>
      </c>
      <c r="I31" s="211" t="s">
        <v>327</v>
      </c>
      <c r="J31" s="619" t="s">
        <v>328</v>
      </c>
      <c r="K31" s="845" t="s">
        <v>329</v>
      </c>
      <c r="L31" s="846"/>
      <c r="N31" s="211" t="s">
        <v>330</v>
      </c>
      <c r="R31" s="3"/>
      <c r="S31" s="3"/>
      <c r="T31" s="3"/>
      <c r="U31" s="3"/>
      <c r="V31" s="3"/>
      <c r="W31" s="3"/>
    </row>
    <row r="32" spans="2:89" ht="15" customHeight="1" x14ac:dyDescent="0.25">
      <c r="B32" s="1240"/>
      <c r="C32" s="530" t="s">
        <v>331</v>
      </c>
      <c r="D32" s="532" t="s">
        <v>332</v>
      </c>
      <c r="E32" s="534" t="s">
        <v>333</v>
      </c>
      <c r="F32" s="537" t="s">
        <v>334</v>
      </c>
      <c r="G32" s="609" t="s">
        <v>333</v>
      </c>
      <c r="H32" s="617" t="s">
        <v>335</v>
      </c>
      <c r="I32" s="620" t="s">
        <v>336</v>
      </c>
      <c r="J32" s="624" t="s">
        <v>337</v>
      </c>
      <c r="K32" s="1238" t="s">
        <v>336</v>
      </c>
      <c r="L32" s="612" t="s">
        <v>337</v>
      </c>
      <c r="N32" s="847" t="s">
        <v>338</v>
      </c>
      <c r="R32" s="3"/>
      <c r="S32" s="3"/>
      <c r="T32" s="3"/>
      <c r="U32" s="3"/>
      <c r="V32" s="3"/>
      <c r="W32" s="3"/>
      <c r="AK32" s="1234"/>
      <c r="AL32" s="1234"/>
      <c r="AM32" s="1234"/>
      <c r="AN32" s="1234"/>
      <c r="AO32" s="1234"/>
      <c r="AP32" s="1234"/>
      <c r="AQ32" s="1234"/>
      <c r="AR32" s="1234"/>
      <c r="AS32" s="1234"/>
      <c r="AT32" s="1234"/>
      <c r="AU32" s="1234"/>
      <c r="AV32" s="1234"/>
      <c r="AW32" s="1234"/>
      <c r="AX32" s="1234"/>
      <c r="AY32" s="1234"/>
      <c r="AZ32" s="1234"/>
      <c r="BA32" s="1234"/>
      <c r="BB32" s="1234"/>
      <c r="BC32" s="1234"/>
      <c r="BD32" s="1234"/>
      <c r="BE32" s="1234"/>
      <c r="BF32" s="1234"/>
      <c r="BP32" s="1234"/>
      <c r="BQ32" s="1234"/>
      <c r="BR32" s="1234"/>
      <c r="BS32" s="1234"/>
      <c r="BT32" s="1234"/>
      <c r="BU32" s="1234"/>
      <c r="BV32" s="1234"/>
      <c r="BW32" s="1234"/>
      <c r="BX32" s="1234"/>
      <c r="BY32" s="1234"/>
      <c r="BZ32" s="1234"/>
      <c r="CA32" s="1234"/>
      <c r="CB32" s="1234"/>
      <c r="CC32" s="1234"/>
      <c r="CD32" s="1234"/>
      <c r="CE32" s="1234"/>
      <c r="CF32" s="1234"/>
      <c r="CG32" s="1234"/>
      <c r="CH32" s="1234"/>
      <c r="CI32" s="1234"/>
      <c r="CJ32" s="1234"/>
      <c r="CK32" s="1234"/>
    </row>
    <row r="33" spans="2:89" ht="15" customHeight="1" x14ac:dyDescent="0.25">
      <c r="B33" s="1240"/>
      <c r="C33" s="531" t="s">
        <v>339</v>
      </c>
      <c r="D33" s="533" t="s">
        <v>340</v>
      </c>
      <c r="E33" s="535" t="s">
        <v>341</v>
      </c>
      <c r="F33" s="535" t="s">
        <v>342</v>
      </c>
      <c r="G33" s="610" t="s">
        <v>341</v>
      </c>
      <c r="H33" s="618" t="s">
        <v>343</v>
      </c>
      <c r="I33" s="621" t="s">
        <v>344</v>
      </c>
      <c r="J33" s="628" t="s">
        <v>345</v>
      </c>
      <c r="K33" s="1236"/>
      <c r="L33" s="613" t="s">
        <v>345</v>
      </c>
      <c r="N33" s="848" t="s">
        <v>346</v>
      </c>
      <c r="R33" s="3"/>
      <c r="S33" s="3"/>
      <c r="T33" s="3"/>
      <c r="U33" s="3"/>
      <c r="V33" s="3"/>
      <c r="W33" s="3"/>
      <c r="AK33" s="1234"/>
      <c r="AL33" s="1234"/>
      <c r="AM33" s="1234"/>
      <c r="AN33" s="1234"/>
      <c r="AO33" s="1234"/>
      <c r="AP33" s="1234"/>
      <c r="AQ33" s="1234"/>
      <c r="AR33" s="1234"/>
      <c r="AS33" s="1234"/>
      <c r="AT33" s="1234"/>
      <c r="AU33" s="1234"/>
      <c r="AV33" s="1234"/>
      <c r="AW33" s="1234"/>
      <c r="AX33" s="1234"/>
      <c r="AY33" s="1234"/>
      <c r="AZ33" s="1234"/>
      <c r="BA33" s="1234"/>
      <c r="BB33" s="1234"/>
      <c r="BC33" s="1234"/>
      <c r="BD33" s="1234"/>
      <c r="BE33" s="1234"/>
      <c r="BF33" s="1234"/>
      <c r="BP33" s="1234"/>
      <c r="BQ33" s="1234"/>
      <c r="BR33" s="1234"/>
      <c r="BS33" s="1234"/>
      <c r="BT33" s="1234"/>
      <c r="BU33" s="1234"/>
      <c r="BV33" s="1234"/>
      <c r="BW33" s="1234"/>
      <c r="BX33" s="1234"/>
      <c r="BY33" s="1234"/>
      <c r="BZ33" s="1234"/>
      <c r="CA33" s="1234"/>
      <c r="CB33" s="1234"/>
      <c r="CC33" s="1234"/>
      <c r="CD33" s="1234"/>
      <c r="CE33" s="1234"/>
      <c r="CF33" s="1234"/>
      <c r="CG33" s="1234"/>
      <c r="CH33" s="1234"/>
      <c r="CI33" s="1234"/>
      <c r="CJ33" s="1234"/>
      <c r="CK33" s="1234"/>
    </row>
    <row r="34" spans="2:89" ht="15.75" customHeight="1" x14ac:dyDescent="0.25">
      <c r="B34" s="1240"/>
      <c r="C34" s="531" t="s">
        <v>347</v>
      </c>
      <c r="D34" s="533" t="s">
        <v>348</v>
      </c>
      <c r="E34" s="536" t="s">
        <v>349</v>
      </c>
      <c r="F34" s="535" t="s">
        <v>350</v>
      </c>
      <c r="G34" s="611" t="s">
        <v>349</v>
      </c>
      <c r="H34" s="618" t="s">
        <v>351</v>
      </c>
      <c r="I34" s="621" t="s">
        <v>352</v>
      </c>
      <c r="J34" s="630" t="s">
        <v>352</v>
      </c>
      <c r="K34" s="1237"/>
      <c r="L34" s="637" t="s">
        <v>352</v>
      </c>
      <c r="N34" s="848" t="s">
        <v>353</v>
      </c>
      <c r="R34" s="3"/>
      <c r="S34" s="3"/>
      <c r="T34" s="3"/>
      <c r="U34" s="3"/>
      <c r="V34" s="3"/>
      <c r="W34" s="3"/>
      <c r="AK34" s="1234"/>
      <c r="AL34" s="1234"/>
      <c r="AM34" s="1234"/>
      <c r="AN34" s="1234"/>
      <c r="AO34" s="1234"/>
      <c r="AP34" s="1234"/>
      <c r="AQ34" s="1234"/>
      <c r="AR34" s="1234"/>
      <c r="AS34" s="1234"/>
      <c r="AT34" s="1234"/>
      <c r="AU34" s="1234"/>
      <c r="AV34" s="1234"/>
      <c r="AW34" s="1234"/>
      <c r="AX34" s="1234"/>
      <c r="AY34" s="1234"/>
      <c r="AZ34" s="1234"/>
      <c r="BA34" s="1234"/>
      <c r="BB34" s="1234"/>
      <c r="BC34" s="1234"/>
      <c r="BD34" s="1234"/>
      <c r="BE34" s="1234"/>
      <c r="BF34" s="1234"/>
      <c r="BP34" s="1234"/>
      <c r="BQ34" s="1234"/>
      <c r="BR34" s="1234"/>
      <c r="BS34" s="1234"/>
      <c r="BT34" s="1234"/>
      <c r="BU34" s="1234"/>
      <c r="BV34" s="1234"/>
      <c r="BW34" s="1234"/>
      <c r="BX34" s="1234"/>
      <c r="BY34" s="1234"/>
      <c r="BZ34" s="1234"/>
      <c r="CA34" s="1234"/>
      <c r="CB34" s="1234"/>
      <c r="CC34" s="1234"/>
      <c r="CD34" s="1234"/>
      <c r="CE34" s="1234"/>
      <c r="CF34" s="1234"/>
      <c r="CG34" s="1234"/>
      <c r="CH34" s="1234"/>
      <c r="CI34" s="1234"/>
      <c r="CJ34" s="1234"/>
      <c r="CK34" s="1234"/>
    </row>
    <row r="35" spans="2:89" ht="15.75" customHeight="1" x14ac:dyDescent="0.25">
      <c r="B35" s="1240"/>
      <c r="C35" s="531" t="s">
        <v>352</v>
      </c>
      <c r="D35" s="533" t="s">
        <v>352</v>
      </c>
      <c r="E35" s="536" t="s">
        <v>354</v>
      </c>
      <c r="F35" s="535" t="s">
        <v>355</v>
      </c>
      <c r="G35" s="611" t="s">
        <v>354</v>
      </c>
      <c r="H35" s="618" t="s">
        <v>356</v>
      </c>
      <c r="I35" s="621" t="s">
        <v>357</v>
      </c>
      <c r="J35" s="626" t="s">
        <v>358</v>
      </c>
      <c r="K35" s="1235" t="s">
        <v>344</v>
      </c>
      <c r="L35" s="638" t="s">
        <v>358</v>
      </c>
      <c r="N35" s="848" t="s">
        <v>359</v>
      </c>
      <c r="R35" s="3"/>
      <c r="S35" s="3"/>
      <c r="T35" s="3"/>
      <c r="U35" s="3"/>
      <c r="V35" s="3"/>
      <c r="W35" s="3"/>
    </row>
    <row r="36" spans="2:89" ht="15" customHeight="1" x14ac:dyDescent="0.25">
      <c r="B36" s="1240"/>
      <c r="C36" s="445"/>
      <c r="D36" s="39"/>
      <c r="E36" s="536" t="s">
        <v>360</v>
      </c>
      <c r="F36" s="535" t="s">
        <v>361</v>
      </c>
      <c r="G36" s="611" t="s">
        <v>362</v>
      </c>
      <c r="H36" s="618" t="s">
        <v>363</v>
      </c>
      <c r="I36" s="621" t="s">
        <v>364</v>
      </c>
      <c r="J36" s="625" t="s">
        <v>365</v>
      </c>
      <c r="K36" s="1236"/>
      <c r="L36" s="613" t="s">
        <v>365</v>
      </c>
      <c r="N36" s="848" t="s">
        <v>366</v>
      </c>
      <c r="R36" s="3"/>
      <c r="S36" s="3"/>
      <c r="T36" s="3"/>
      <c r="U36" s="3"/>
      <c r="V36" s="3"/>
      <c r="W36" s="3"/>
    </row>
    <row r="37" spans="2:89" ht="15" customHeight="1" x14ac:dyDescent="0.25">
      <c r="B37" s="1240"/>
      <c r="C37" s="445"/>
      <c r="D37" s="39"/>
      <c r="E37" s="536" t="s">
        <v>367</v>
      </c>
      <c r="F37" s="535" t="s">
        <v>368</v>
      </c>
      <c r="G37" s="611" t="s">
        <v>360</v>
      </c>
      <c r="H37" s="618" t="s">
        <v>369</v>
      </c>
      <c r="I37" s="621" t="s">
        <v>370</v>
      </c>
      <c r="J37" s="625" t="s">
        <v>371</v>
      </c>
      <c r="K37" s="1236"/>
      <c r="L37" s="613" t="s">
        <v>371</v>
      </c>
      <c r="N37" s="848" t="s">
        <v>372</v>
      </c>
      <c r="U37" s="3"/>
      <c r="V37" s="3"/>
      <c r="W37" s="3"/>
    </row>
    <row r="38" spans="2:89" ht="15" customHeight="1" x14ac:dyDescent="0.25">
      <c r="B38" s="1240"/>
      <c r="C38" s="445"/>
      <c r="D38" s="39"/>
      <c r="E38" s="536" t="s">
        <v>373</v>
      </c>
      <c r="F38" s="535" t="s">
        <v>374</v>
      </c>
      <c r="G38" s="611" t="s">
        <v>367</v>
      </c>
      <c r="H38" s="618" t="s">
        <v>375</v>
      </c>
      <c r="I38" s="621" t="s">
        <v>376</v>
      </c>
      <c r="J38" s="625" t="s">
        <v>339</v>
      </c>
      <c r="K38" s="1236"/>
      <c r="L38" s="613" t="s">
        <v>339</v>
      </c>
      <c r="N38" s="848" t="s">
        <v>377</v>
      </c>
      <c r="R38" s="3"/>
      <c r="S38" s="3"/>
      <c r="T38" s="3"/>
      <c r="U38" s="3"/>
      <c r="V38" s="3"/>
      <c r="W38" s="3"/>
    </row>
    <row r="39" spans="2:89" ht="15.75" customHeight="1" x14ac:dyDescent="0.25">
      <c r="B39" s="1240"/>
      <c r="C39" s="445"/>
      <c r="D39" s="39"/>
      <c r="E39" s="464"/>
      <c r="F39" s="535" t="s">
        <v>378</v>
      </c>
      <c r="G39" s="611" t="s">
        <v>373</v>
      </c>
      <c r="H39" s="618" t="s">
        <v>379</v>
      </c>
      <c r="I39" s="621" t="s">
        <v>380</v>
      </c>
      <c r="J39" s="631" t="s">
        <v>381</v>
      </c>
      <c r="K39" s="1237"/>
      <c r="L39" s="637" t="s">
        <v>381</v>
      </c>
      <c r="N39" s="848" t="s">
        <v>382</v>
      </c>
      <c r="R39" s="3"/>
      <c r="S39" s="3"/>
      <c r="T39" s="3"/>
      <c r="U39" s="3"/>
      <c r="V39" s="3"/>
      <c r="W39" s="3"/>
    </row>
    <row r="40" spans="2:89" ht="15" customHeight="1" x14ac:dyDescent="0.25">
      <c r="B40" s="1240"/>
      <c r="C40" s="445"/>
      <c r="D40" s="39"/>
      <c r="E40" s="464"/>
      <c r="F40" s="535" t="s">
        <v>383</v>
      </c>
      <c r="G40" s="298"/>
      <c r="H40" s="618" t="s">
        <v>384</v>
      </c>
      <c r="I40" s="621" t="s">
        <v>356</v>
      </c>
      <c r="J40" s="632" t="s">
        <v>385</v>
      </c>
      <c r="K40" s="574" t="s">
        <v>352</v>
      </c>
      <c r="L40" s="614" t="s">
        <v>385</v>
      </c>
      <c r="N40" s="848" t="s">
        <v>386</v>
      </c>
      <c r="R40" s="3"/>
      <c r="S40" s="3"/>
      <c r="T40" s="3"/>
      <c r="U40" s="3"/>
      <c r="V40" s="3"/>
      <c r="W40" s="3"/>
    </row>
    <row r="41" spans="2:89" ht="15.75" customHeight="1" x14ac:dyDescent="0.25">
      <c r="B41" s="1240"/>
      <c r="C41" s="445"/>
      <c r="D41" s="465"/>
      <c r="E41" s="464"/>
      <c r="F41" s="535" t="s">
        <v>387</v>
      </c>
      <c r="G41" s="298"/>
      <c r="H41" s="618" t="s">
        <v>352</v>
      </c>
      <c r="I41" s="621" t="s">
        <v>335</v>
      </c>
      <c r="J41" s="629" t="s">
        <v>388</v>
      </c>
      <c r="K41" s="572" t="s">
        <v>357</v>
      </c>
      <c r="L41" s="633"/>
      <c r="N41" s="848" t="s">
        <v>389</v>
      </c>
      <c r="R41" s="3"/>
      <c r="S41" s="3"/>
      <c r="T41" s="3"/>
      <c r="U41" s="3"/>
      <c r="V41" s="3"/>
      <c r="W41" s="3"/>
    </row>
    <row r="42" spans="2:89" ht="15.75" customHeight="1" thickBot="1" x14ac:dyDescent="0.3">
      <c r="B42" s="1240"/>
      <c r="C42" s="445"/>
      <c r="D42" s="465"/>
      <c r="E42" s="464"/>
      <c r="F42" s="535" t="s">
        <v>390</v>
      </c>
      <c r="G42" s="298"/>
      <c r="H42" s="445"/>
      <c r="I42" s="621" t="s">
        <v>391</v>
      </c>
      <c r="J42" s="628" t="s">
        <v>392</v>
      </c>
      <c r="K42" s="572" t="s">
        <v>364</v>
      </c>
      <c r="L42" s="633"/>
      <c r="N42" s="848" t="s">
        <v>352</v>
      </c>
      <c r="R42" s="3"/>
      <c r="S42" s="3"/>
      <c r="T42" s="3"/>
      <c r="U42" s="3"/>
      <c r="V42" s="3"/>
      <c r="W42" s="3"/>
    </row>
    <row r="43" spans="2:89" ht="15" customHeight="1" x14ac:dyDescent="0.25">
      <c r="B43" s="1240"/>
      <c r="C43" s="445"/>
      <c r="D43" s="465"/>
      <c r="E43" s="464"/>
      <c r="F43" s="535" t="s">
        <v>393</v>
      </c>
      <c r="G43" s="298"/>
      <c r="H43" s="445"/>
      <c r="I43" s="621" t="s">
        <v>394</v>
      </c>
      <c r="J43" s="627" t="s">
        <v>395</v>
      </c>
      <c r="K43" s="1235" t="s">
        <v>370</v>
      </c>
      <c r="L43" s="615" t="s">
        <v>388</v>
      </c>
      <c r="N43" s="39"/>
      <c r="R43" s="3"/>
      <c r="S43" s="3"/>
      <c r="T43" s="3"/>
      <c r="U43" s="3"/>
      <c r="V43" s="3"/>
      <c r="W43" s="3"/>
    </row>
    <row r="44" spans="2:89" ht="15.75" customHeight="1" x14ac:dyDescent="0.25">
      <c r="B44" s="1240"/>
      <c r="C44" s="445"/>
      <c r="D44" s="465"/>
      <c r="E44" s="464"/>
      <c r="F44" s="535" t="s">
        <v>352</v>
      </c>
      <c r="G44" s="298"/>
      <c r="H44" s="445"/>
      <c r="I44" s="621" t="s">
        <v>396</v>
      </c>
      <c r="J44" s="625" t="s">
        <v>352</v>
      </c>
      <c r="K44" s="1237"/>
      <c r="L44" s="640" t="s">
        <v>392</v>
      </c>
      <c r="N44" s="39"/>
      <c r="R44" s="3"/>
      <c r="S44" s="3"/>
      <c r="T44" s="3"/>
      <c r="U44" s="3"/>
      <c r="V44" s="3"/>
      <c r="W44" s="3"/>
    </row>
    <row r="45" spans="2:89" x14ac:dyDescent="0.25">
      <c r="B45" s="1240"/>
      <c r="C45" s="445"/>
      <c r="D45" s="39"/>
      <c r="E45" s="39"/>
      <c r="F45" s="39"/>
      <c r="G45" s="298"/>
      <c r="H45" s="445"/>
      <c r="I45" s="621" t="s">
        <v>397</v>
      </c>
      <c r="J45" s="625" t="s">
        <v>398</v>
      </c>
      <c r="K45" s="573" t="s">
        <v>376</v>
      </c>
      <c r="L45" s="636" t="s">
        <v>395</v>
      </c>
      <c r="N45" s="39"/>
    </row>
    <row r="46" spans="2:89" x14ac:dyDescent="0.25">
      <c r="B46" s="1240"/>
      <c r="C46" s="445"/>
      <c r="D46" s="39"/>
      <c r="E46" s="39"/>
      <c r="F46" s="39"/>
      <c r="G46" s="298"/>
      <c r="H46" s="445"/>
      <c r="I46" s="621" t="s">
        <v>399</v>
      </c>
      <c r="J46" s="625" t="s">
        <v>400</v>
      </c>
      <c r="K46" s="573"/>
      <c r="L46" s="616" t="s">
        <v>352</v>
      </c>
      <c r="N46" s="39"/>
    </row>
    <row r="47" spans="2:89" x14ac:dyDescent="0.25">
      <c r="B47" s="1240"/>
      <c r="C47" s="445"/>
      <c r="D47" s="39"/>
      <c r="E47" s="39"/>
      <c r="F47" s="39"/>
      <c r="G47" s="298"/>
      <c r="H47" s="445"/>
      <c r="I47" s="621" t="s">
        <v>401</v>
      </c>
      <c r="J47" s="628" t="s">
        <v>402</v>
      </c>
      <c r="K47" s="573"/>
      <c r="L47" s="616" t="s">
        <v>398</v>
      </c>
      <c r="N47" s="39"/>
    </row>
    <row r="48" spans="2:89" x14ac:dyDescent="0.25">
      <c r="B48" s="1240"/>
      <c r="C48" s="445"/>
      <c r="D48" s="39"/>
      <c r="E48" s="39"/>
      <c r="F48" s="39"/>
      <c r="G48" s="298"/>
      <c r="H48" s="445"/>
      <c r="I48" s="39"/>
      <c r="J48" s="632" t="s">
        <v>380</v>
      </c>
      <c r="K48" s="573"/>
      <c r="L48" s="616" t="s">
        <v>400</v>
      </c>
      <c r="N48" s="39"/>
    </row>
    <row r="49" spans="2:23" x14ac:dyDescent="0.25">
      <c r="B49" s="1240"/>
      <c r="C49" s="445"/>
      <c r="D49" s="39"/>
      <c r="E49" s="39"/>
      <c r="F49" s="39"/>
      <c r="G49" s="298"/>
      <c r="H49" s="445"/>
      <c r="I49" s="39"/>
      <c r="J49" s="629" t="s">
        <v>403</v>
      </c>
      <c r="K49" s="574"/>
      <c r="L49" s="640" t="s">
        <v>402</v>
      </c>
      <c r="N49" s="39"/>
    </row>
    <row r="50" spans="2:23" x14ac:dyDescent="0.25">
      <c r="B50" s="1240"/>
      <c r="C50" s="445"/>
      <c r="D50" s="39"/>
      <c r="E50" s="39"/>
      <c r="F50" s="39"/>
      <c r="G50" s="298"/>
      <c r="H50" s="445"/>
      <c r="I50" s="39"/>
      <c r="J50" s="625" t="s">
        <v>404</v>
      </c>
      <c r="K50" s="574" t="s">
        <v>380</v>
      </c>
      <c r="L50" s="641" t="s">
        <v>380</v>
      </c>
      <c r="N50" s="39"/>
    </row>
    <row r="51" spans="2:23" x14ac:dyDescent="0.25">
      <c r="B51" s="1240"/>
      <c r="C51" s="445"/>
      <c r="D51" s="39"/>
      <c r="E51" s="39"/>
      <c r="F51" s="39"/>
      <c r="G51" s="298"/>
      <c r="H51" s="445"/>
      <c r="I51" s="460"/>
      <c r="J51" s="625" t="s">
        <v>405</v>
      </c>
      <c r="K51" s="575" t="s">
        <v>356</v>
      </c>
      <c r="L51" s="639" t="s">
        <v>403</v>
      </c>
      <c r="N51" s="460"/>
      <c r="Q51" s="3"/>
      <c r="R51" s="3"/>
      <c r="S51" s="3"/>
      <c r="T51" s="3"/>
      <c r="U51" s="3"/>
      <c r="V51" s="3"/>
    </row>
    <row r="52" spans="2:23" x14ac:dyDescent="0.25">
      <c r="B52" s="1240"/>
      <c r="C52" s="445"/>
      <c r="D52" s="39"/>
      <c r="E52" s="39"/>
      <c r="F52" s="39"/>
      <c r="G52" s="298"/>
      <c r="H52" s="445"/>
      <c r="I52" s="460"/>
      <c r="J52" s="625" t="s">
        <v>406</v>
      </c>
      <c r="K52" s="575"/>
      <c r="L52" s="616" t="s">
        <v>404</v>
      </c>
      <c r="N52" s="460"/>
      <c r="Q52" s="3"/>
      <c r="R52" s="3"/>
      <c r="S52" s="3"/>
      <c r="T52" s="3"/>
      <c r="U52" s="3"/>
      <c r="V52" s="3"/>
    </row>
    <row r="53" spans="2:23" x14ac:dyDescent="0.25">
      <c r="B53" s="1240"/>
      <c r="C53" s="445"/>
      <c r="D53" s="39"/>
      <c r="E53" s="39"/>
      <c r="F53" s="39"/>
      <c r="G53" s="298"/>
      <c r="H53" s="445"/>
      <c r="I53" s="460"/>
      <c r="J53" s="622"/>
      <c r="K53" s="575"/>
      <c r="L53" s="616" t="s">
        <v>405</v>
      </c>
      <c r="N53" s="460"/>
      <c r="Q53" s="3"/>
      <c r="R53" s="3"/>
      <c r="S53" s="3"/>
      <c r="T53" s="3"/>
      <c r="U53" s="3"/>
      <c r="V53" s="3"/>
    </row>
    <row r="54" spans="2:23" ht="15.75" thickBot="1" x14ac:dyDescent="0.3">
      <c r="B54" s="1240"/>
      <c r="C54" s="446"/>
      <c r="D54" s="41"/>
      <c r="E54" s="41"/>
      <c r="F54" s="41"/>
      <c r="G54" s="459"/>
      <c r="H54" s="446"/>
      <c r="I54" s="463"/>
      <c r="J54" s="623"/>
      <c r="K54" s="642"/>
      <c r="L54" s="640" t="s">
        <v>406</v>
      </c>
      <c r="N54" s="463"/>
      <c r="Q54" s="3"/>
      <c r="R54" s="3"/>
      <c r="S54" s="3"/>
      <c r="T54" s="3"/>
      <c r="U54" s="3"/>
      <c r="V54" s="3"/>
    </row>
    <row r="55" spans="2:23" x14ac:dyDescent="0.25">
      <c r="I55" s="3"/>
      <c r="K55" s="574" t="s">
        <v>335</v>
      </c>
      <c r="L55" s="633"/>
      <c r="Q55" s="3"/>
      <c r="R55" s="3"/>
      <c r="S55" s="3"/>
      <c r="T55" s="3"/>
      <c r="U55" s="3"/>
      <c r="V55" s="3"/>
    </row>
    <row r="56" spans="2:23" x14ac:dyDescent="0.25">
      <c r="I56" s="3"/>
      <c r="K56" s="576" t="s">
        <v>391</v>
      </c>
      <c r="L56" s="633"/>
      <c r="Q56" s="3"/>
      <c r="R56" s="3"/>
      <c r="S56" s="3"/>
      <c r="T56" s="3"/>
      <c r="U56" s="3"/>
      <c r="V56" s="3"/>
    </row>
    <row r="57" spans="2:23" ht="15.75" customHeight="1" x14ac:dyDescent="0.25">
      <c r="I57" s="3"/>
      <c r="K57" s="577" t="s">
        <v>394</v>
      </c>
      <c r="L57" s="633"/>
      <c r="Q57" s="3"/>
      <c r="R57" s="3"/>
      <c r="S57" s="3"/>
      <c r="T57" s="3"/>
      <c r="U57" s="3"/>
      <c r="V57" s="3"/>
    </row>
    <row r="58" spans="2:23" x14ac:dyDescent="0.25">
      <c r="I58" s="3"/>
      <c r="K58" s="577" t="s">
        <v>396</v>
      </c>
      <c r="L58" s="633"/>
      <c r="Q58" s="3"/>
      <c r="R58" s="3"/>
      <c r="S58" s="3"/>
      <c r="T58" s="3"/>
      <c r="U58" s="3"/>
      <c r="V58" s="3"/>
    </row>
    <row r="59" spans="2:23" x14ac:dyDescent="0.25">
      <c r="I59" s="3"/>
      <c r="K59" s="577" t="s">
        <v>397</v>
      </c>
      <c r="L59" s="633"/>
      <c r="Q59" s="3"/>
      <c r="R59" s="3"/>
      <c r="S59" s="3"/>
      <c r="T59" s="3"/>
      <c r="U59" s="3"/>
      <c r="V59" s="3"/>
    </row>
    <row r="60" spans="2:23" x14ac:dyDescent="0.25">
      <c r="I60" s="3"/>
      <c r="K60" s="577" t="s">
        <v>399</v>
      </c>
      <c r="L60" s="633"/>
      <c r="Q60" s="3"/>
      <c r="R60" s="3"/>
      <c r="S60" s="3"/>
      <c r="T60" s="3"/>
      <c r="U60" s="3"/>
      <c r="V60" s="3"/>
    </row>
    <row r="61" spans="2:23" ht="15.75" thickBot="1" x14ac:dyDescent="0.3">
      <c r="I61" s="3"/>
      <c r="K61" s="578" t="s">
        <v>401</v>
      </c>
      <c r="L61" s="634"/>
      <c r="Q61" s="3"/>
      <c r="R61" s="3"/>
      <c r="S61" s="3"/>
      <c r="T61" s="3"/>
      <c r="U61" s="3"/>
      <c r="V61" s="3"/>
    </row>
    <row r="62" spans="2:23" x14ac:dyDescent="0.25">
      <c r="I62" s="3"/>
      <c r="J62" s="3"/>
      <c r="K62" s="3"/>
      <c r="R62" s="3"/>
      <c r="S62" s="3"/>
      <c r="T62" s="3"/>
      <c r="U62" s="3"/>
      <c r="V62" s="3"/>
      <c r="W62" s="3"/>
    </row>
    <row r="63" spans="2:23" ht="29.25" thickBot="1" x14ac:dyDescent="0.5">
      <c r="B63" s="454"/>
      <c r="K63" s="4"/>
      <c r="L63" s="6"/>
      <c r="O63" s="3"/>
      <c r="P63" s="3"/>
      <c r="Q63" s="3"/>
      <c r="R63" s="3"/>
      <c r="S63" s="3"/>
      <c r="T63" s="3"/>
      <c r="U63" s="3"/>
      <c r="V63" s="3"/>
      <c r="W63" s="3"/>
    </row>
    <row r="64" spans="2:23" ht="30.75" thickBot="1" x14ac:dyDescent="0.3">
      <c r="B64" s="1246" t="s">
        <v>407</v>
      </c>
      <c r="C64" s="466" t="s">
        <v>408</v>
      </c>
      <c r="D64" s="467" t="s">
        <v>409</v>
      </c>
      <c r="E64" s="466" t="s">
        <v>410</v>
      </c>
      <c r="F64" s="467" t="s">
        <v>411</v>
      </c>
      <c r="G64" s="466" t="s">
        <v>412</v>
      </c>
      <c r="J64" s="4"/>
      <c r="K64" s="4"/>
      <c r="L64" s="6"/>
      <c r="O64" s="3"/>
      <c r="P64" s="3"/>
      <c r="Q64" s="3"/>
      <c r="R64" s="3"/>
      <c r="S64" s="3"/>
      <c r="T64" s="3"/>
      <c r="U64" s="3"/>
      <c r="V64" s="3"/>
      <c r="W64" s="3"/>
    </row>
    <row r="65" spans="2:7" x14ac:dyDescent="0.25">
      <c r="B65" s="1240"/>
      <c r="C65" s="530" t="s">
        <v>413</v>
      </c>
      <c r="D65" s="532" t="s">
        <v>332</v>
      </c>
      <c r="E65" s="534" t="s">
        <v>333</v>
      </c>
      <c r="F65" s="537" t="s">
        <v>334</v>
      </c>
      <c r="G65" s="539" t="s">
        <v>333</v>
      </c>
    </row>
    <row r="66" spans="2:7" x14ac:dyDescent="0.25">
      <c r="B66" s="1240"/>
      <c r="C66" s="531" t="s">
        <v>347</v>
      </c>
      <c r="D66" s="533" t="s">
        <v>414</v>
      </c>
      <c r="E66" s="535" t="s">
        <v>341</v>
      </c>
      <c r="F66" s="535" t="s">
        <v>342</v>
      </c>
      <c r="G66" s="540" t="s">
        <v>341</v>
      </c>
    </row>
    <row r="67" spans="2:7" x14ac:dyDescent="0.25">
      <c r="B67" s="1240"/>
      <c r="C67" s="531" t="s">
        <v>415</v>
      </c>
      <c r="D67" s="533" t="s">
        <v>416</v>
      </c>
      <c r="E67" s="536" t="s">
        <v>349</v>
      </c>
      <c r="F67" s="535" t="s">
        <v>350</v>
      </c>
      <c r="G67" s="541" t="s">
        <v>349</v>
      </c>
    </row>
    <row r="68" spans="2:7" x14ac:dyDescent="0.25">
      <c r="B68" s="1240"/>
      <c r="C68" s="531" t="s">
        <v>352</v>
      </c>
      <c r="D68" s="533" t="s">
        <v>352</v>
      </c>
      <c r="E68" s="536" t="s">
        <v>354</v>
      </c>
      <c r="F68" s="535" t="s">
        <v>355</v>
      </c>
      <c r="G68" s="541" t="s">
        <v>354</v>
      </c>
    </row>
    <row r="69" spans="2:7" x14ac:dyDescent="0.25">
      <c r="B69" s="1240"/>
      <c r="C69" s="445"/>
      <c r="D69" s="39"/>
      <c r="E69" s="536" t="s">
        <v>417</v>
      </c>
      <c r="F69" s="535" t="s">
        <v>361</v>
      </c>
      <c r="G69" s="541" t="s">
        <v>362</v>
      </c>
    </row>
    <row r="70" spans="2:7" x14ac:dyDescent="0.25">
      <c r="B70" s="1240"/>
      <c r="C70" s="445"/>
      <c r="D70" s="39"/>
      <c r="E70" s="536" t="s">
        <v>360</v>
      </c>
      <c r="F70" s="535" t="s">
        <v>368</v>
      </c>
      <c r="G70" s="541" t="s">
        <v>360</v>
      </c>
    </row>
    <row r="71" spans="2:7" x14ac:dyDescent="0.25">
      <c r="B71" s="1240"/>
      <c r="C71" s="445"/>
      <c r="D71" s="39"/>
      <c r="E71" s="536" t="s">
        <v>367</v>
      </c>
      <c r="F71" s="535" t="s">
        <v>374</v>
      </c>
      <c r="G71" s="541" t="s">
        <v>367</v>
      </c>
    </row>
    <row r="72" spans="2:7" x14ac:dyDescent="0.25">
      <c r="B72" s="1240"/>
      <c r="C72" s="445"/>
      <c r="D72" s="39"/>
      <c r="E72" s="536" t="s">
        <v>373</v>
      </c>
      <c r="F72" s="535" t="s">
        <v>378</v>
      </c>
      <c r="G72" s="541" t="s">
        <v>373</v>
      </c>
    </row>
    <row r="73" spans="2:7" x14ac:dyDescent="0.25">
      <c r="B73" s="1240"/>
      <c r="C73" s="445"/>
      <c r="D73" s="39"/>
      <c r="E73" s="39"/>
      <c r="F73" s="535" t="s">
        <v>383</v>
      </c>
      <c r="G73" s="457"/>
    </row>
    <row r="74" spans="2:7" x14ac:dyDescent="0.25">
      <c r="B74" s="1240"/>
      <c r="C74" s="445"/>
      <c r="D74" s="39"/>
      <c r="E74" s="39"/>
      <c r="F74" s="535" t="s">
        <v>387</v>
      </c>
      <c r="G74" s="457"/>
    </row>
    <row r="75" spans="2:7" x14ac:dyDescent="0.25">
      <c r="B75" s="1240"/>
      <c r="C75" s="445"/>
      <c r="D75" s="39"/>
      <c r="E75" s="39"/>
      <c r="F75" s="535" t="s">
        <v>390</v>
      </c>
      <c r="G75" s="457"/>
    </row>
    <row r="76" spans="2:7" x14ac:dyDescent="0.25">
      <c r="B76" s="1240"/>
      <c r="C76" s="445"/>
      <c r="D76" s="39"/>
      <c r="E76" s="39"/>
      <c r="F76" s="535" t="s">
        <v>393</v>
      </c>
      <c r="G76" s="457"/>
    </row>
    <row r="77" spans="2:7" ht="15.75" thickBot="1" x14ac:dyDescent="0.3">
      <c r="B77" s="1240"/>
      <c r="C77" s="446"/>
      <c r="D77" s="41"/>
      <c r="E77" s="41"/>
      <c r="F77" s="538" t="s">
        <v>352</v>
      </c>
      <c r="G77" s="458"/>
    </row>
    <row r="80" spans="2:7" ht="28.5" x14ac:dyDescent="0.45">
      <c r="B80" s="454"/>
    </row>
    <row r="81" spans="2:22" ht="31.5" x14ac:dyDescent="0.5">
      <c r="B81" s="456" t="s">
        <v>418</v>
      </c>
      <c r="C81" s="461"/>
      <c r="D81" s="461"/>
      <c r="E81" s="461"/>
      <c r="F81" s="461"/>
      <c r="G81" s="461"/>
      <c r="H81" s="461"/>
      <c r="I81" s="461"/>
      <c r="J81" s="461"/>
      <c r="K81" s="461"/>
      <c r="L81" s="461"/>
      <c r="M81" s="461"/>
      <c r="N81" s="461"/>
      <c r="O81" s="461"/>
    </row>
    <row r="82" spans="2:22" ht="30.75" customHeight="1" thickBot="1" x14ac:dyDescent="0.5">
      <c r="B82" s="454"/>
      <c r="C82" s="3"/>
      <c r="D82" s="66"/>
      <c r="E82" s="66"/>
      <c r="F82" s="66"/>
      <c r="G82" s="66"/>
      <c r="H82" s="3"/>
      <c r="I82" s="3"/>
      <c r="J82" s="3"/>
      <c r="K82" s="3"/>
      <c r="L82" s="3"/>
      <c r="V82" s="3"/>
    </row>
    <row r="83" spans="2:22" s="448" customFormat="1" ht="42" customHeight="1" thickBot="1" x14ac:dyDescent="0.3">
      <c r="B83" s="1246" t="s">
        <v>419</v>
      </c>
      <c r="C83" s="550" t="s">
        <v>420</v>
      </c>
      <c r="D83" s="449" t="s">
        <v>421</v>
      </c>
      <c r="E83" s="450" t="s">
        <v>422</v>
      </c>
      <c r="F83" s="449" t="s">
        <v>423</v>
      </c>
      <c r="G83" s="449" t="s">
        <v>424</v>
      </c>
      <c r="H83" s="449" t="s">
        <v>425</v>
      </c>
      <c r="I83" s="449" t="s">
        <v>426</v>
      </c>
      <c r="J83" s="449" t="s">
        <v>427</v>
      </c>
      <c r="K83" s="551" t="s">
        <v>428</v>
      </c>
      <c r="L83" s="552" t="s">
        <v>429</v>
      </c>
      <c r="M83" s="449" t="s">
        <v>430</v>
      </c>
      <c r="N83" s="449" t="s">
        <v>431</v>
      </c>
      <c r="O83" s="449" t="s">
        <v>432</v>
      </c>
      <c r="V83" s="355"/>
    </row>
    <row r="84" spans="2:22" ht="15" customHeight="1" x14ac:dyDescent="0.25">
      <c r="B84" s="1240"/>
      <c r="C84" s="494" t="s">
        <v>433</v>
      </c>
      <c r="D84" s="496" t="s">
        <v>180</v>
      </c>
      <c r="E84" s="496" t="s">
        <v>180</v>
      </c>
      <c r="F84" s="496" t="s">
        <v>180</v>
      </c>
      <c r="G84" s="496" t="s">
        <v>180</v>
      </c>
      <c r="H84" s="499" t="s">
        <v>434</v>
      </c>
      <c r="I84" s="499" t="s">
        <v>434</v>
      </c>
      <c r="J84" s="499" t="s">
        <v>435</v>
      </c>
      <c r="K84" s="501" t="s">
        <v>180</v>
      </c>
      <c r="L84" s="503" t="s">
        <v>436</v>
      </c>
      <c r="M84" s="852" t="s">
        <v>437</v>
      </c>
      <c r="N84" s="499" t="s">
        <v>437</v>
      </c>
      <c r="O84" s="853" t="s">
        <v>438</v>
      </c>
      <c r="V84" s="3"/>
    </row>
    <row r="85" spans="2:22" ht="15" customHeight="1" x14ac:dyDescent="0.25">
      <c r="B85" s="1240"/>
      <c r="C85" s="495" t="s">
        <v>433</v>
      </c>
      <c r="D85" s="497" t="s">
        <v>180</v>
      </c>
      <c r="E85" s="497" t="s">
        <v>180</v>
      </c>
      <c r="F85" s="497" t="s">
        <v>180</v>
      </c>
      <c r="G85" s="497" t="s">
        <v>180</v>
      </c>
      <c r="H85" s="500" t="s">
        <v>180</v>
      </c>
      <c r="I85" s="500" t="s">
        <v>180</v>
      </c>
      <c r="J85" s="500" t="s">
        <v>439</v>
      </c>
      <c r="K85" s="502" t="s">
        <v>180</v>
      </c>
      <c r="L85" s="504" t="s">
        <v>180</v>
      </c>
      <c r="M85" s="854" t="s">
        <v>437</v>
      </c>
      <c r="N85" s="500" t="s">
        <v>437</v>
      </c>
      <c r="O85" s="855" t="s">
        <v>437</v>
      </c>
      <c r="V85" s="3"/>
    </row>
    <row r="86" spans="2:22" ht="15" customHeight="1" x14ac:dyDescent="0.25">
      <c r="B86" s="1240"/>
      <c r="C86" s="495" t="s">
        <v>433</v>
      </c>
      <c r="D86" s="497" t="s">
        <v>440</v>
      </c>
      <c r="E86" s="497" t="s">
        <v>440</v>
      </c>
      <c r="F86" s="497" t="s">
        <v>440</v>
      </c>
      <c r="G86" s="497" t="s">
        <v>440</v>
      </c>
      <c r="H86" s="500" t="s">
        <v>434</v>
      </c>
      <c r="I86" s="500" t="s">
        <v>434</v>
      </c>
      <c r="J86" s="500" t="s">
        <v>441</v>
      </c>
      <c r="K86" s="502" t="s">
        <v>180</v>
      </c>
      <c r="L86" s="504" t="s">
        <v>442</v>
      </c>
      <c r="M86" s="854" t="s">
        <v>437</v>
      </c>
      <c r="N86" s="500" t="s">
        <v>437</v>
      </c>
      <c r="O86" s="855" t="s">
        <v>437</v>
      </c>
      <c r="V86" s="3"/>
    </row>
    <row r="87" spans="2:22" ht="15" customHeight="1" x14ac:dyDescent="0.25">
      <c r="B87" s="1240"/>
      <c r="C87" s="495" t="s">
        <v>433</v>
      </c>
      <c r="D87" s="497" t="s">
        <v>180</v>
      </c>
      <c r="E87" s="497" t="s">
        <v>180</v>
      </c>
      <c r="F87" s="497" t="s">
        <v>180</v>
      </c>
      <c r="G87" s="497" t="s">
        <v>180</v>
      </c>
      <c r="H87" s="500" t="s">
        <v>434</v>
      </c>
      <c r="I87" s="500" t="s">
        <v>434</v>
      </c>
      <c r="J87" s="500" t="s">
        <v>443</v>
      </c>
      <c r="K87" s="502" t="s">
        <v>442</v>
      </c>
      <c r="L87" s="504" t="s">
        <v>180</v>
      </c>
      <c r="M87" s="854" t="s">
        <v>434</v>
      </c>
      <c r="N87" s="500" t="s">
        <v>437</v>
      </c>
      <c r="O87" s="856"/>
      <c r="V87" s="3"/>
    </row>
    <row r="88" spans="2:22" ht="15" customHeight="1" x14ac:dyDescent="0.25">
      <c r="B88" s="1240"/>
      <c r="C88" s="495" t="s">
        <v>444</v>
      </c>
      <c r="D88" s="497" t="s">
        <v>445</v>
      </c>
      <c r="E88" s="497" t="s">
        <v>445</v>
      </c>
      <c r="F88" s="497" t="s">
        <v>445</v>
      </c>
      <c r="G88" s="497" t="s">
        <v>445</v>
      </c>
      <c r="H88" s="500" t="s">
        <v>180</v>
      </c>
      <c r="I88" s="500" t="s">
        <v>180</v>
      </c>
      <c r="J88" s="500" t="s">
        <v>446</v>
      </c>
      <c r="K88" s="490"/>
      <c r="L88" s="491"/>
      <c r="M88" s="857"/>
      <c r="N88" s="858"/>
      <c r="O88" s="856"/>
      <c r="V88" s="3"/>
    </row>
    <row r="89" spans="2:22" ht="15" customHeight="1" x14ac:dyDescent="0.25">
      <c r="B89" s="1240"/>
      <c r="C89" s="495" t="s">
        <v>444</v>
      </c>
      <c r="D89" s="497" t="s">
        <v>447</v>
      </c>
      <c r="E89" s="497" t="s">
        <v>447</v>
      </c>
      <c r="F89" s="497" t="s">
        <v>447</v>
      </c>
      <c r="G89" s="497" t="s">
        <v>447</v>
      </c>
      <c r="H89" s="500" t="s">
        <v>448</v>
      </c>
      <c r="I89" s="500" t="s">
        <v>448</v>
      </c>
      <c r="J89" s="500" t="s">
        <v>449</v>
      </c>
      <c r="K89" s="490"/>
      <c r="L89" s="491"/>
      <c r="M89" s="857"/>
      <c r="N89" s="858"/>
      <c r="O89" s="856"/>
      <c r="V89" s="3"/>
    </row>
    <row r="90" spans="2:22" ht="15" customHeight="1" x14ac:dyDescent="0.25">
      <c r="B90" s="1240"/>
      <c r="C90" s="495" t="s">
        <v>444</v>
      </c>
      <c r="D90" s="497" t="s">
        <v>445</v>
      </c>
      <c r="E90" s="497" t="s">
        <v>445</v>
      </c>
      <c r="F90" s="497" t="s">
        <v>445</v>
      </c>
      <c r="G90" s="497" t="s">
        <v>445</v>
      </c>
      <c r="H90" s="486"/>
      <c r="I90" s="486"/>
      <c r="J90" s="486"/>
      <c r="K90" s="490"/>
      <c r="L90" s="491"/>
      <c r="M90" s="857"/>
      <c r="N90" s="858"/>
      <c r="O90" s="856"/>
      <c r="V90" s="3"/>
    </row>
    <row r="91" spans="2:22" ht="15.75" customHeight="1" x14ac:dyDescent="0.25">
      <c r="B91" s="1240"/>
      <c r="C91" s="487"/>
      <c r="D91" s="497" t="s">
        <v>447</v>
      </c>
      <c r="E91" s="497" t="s">
        <v>447</v>
      </c>
      <c r="F91" s="497" t="s">
        <v>447</v>
      </c>
      <c r="G91" s="497" t="s">
        <v>447</v>
      </c>
      <c r="H91" s="486"/>
      <c r="I91" s="486"/>
      <c r="J91" s="486"/>
      <c r="K91" s="490"/>
      <c r="L91" s="491"/>
      <c r="M91" s="857"/>
      <c r="N91" s="858"/>
      <c r="O91" s="856"/>
      <c r="V91" s="3"/>
    </row>
    <row r="92" spans="2:22" ht="15" customHeight="1" x14ac:dyDescent="0.25">
      <c r="B92" s="1240"/>
      <c r="C92" s="487"/>
      <c r="D92" s="497" t="s">
        <v>445</v>
      </c>
      <c r="E92" s="497" t="s">
        <v>445</v>
      </c>
      <c r="F92" s="497" t="s">
        <v>445</v>
      </c>
      <c r="G92" s="497" t="s">
        <v>445</v>
      </c>
      <c r="H92" s="486"/>
      <c r="I92" s="486"/>
      <c r="J92" s="486"/>
      <c r="K92" s="490"/>
      <c r="L92" s="491"/>
      <c r="M92" s="857"/>
      <c r="N92" s="858"/>
      <c r="O92" s="856"/>
      <c r="V92" s="3"/>
    </row>
    <row r="93" spans="2:22" ht="15" customHeight="1" x14ac:dyDescent="0.25">
      <c r="B93" s="1240"/>
      <c r="C93" s="487"/>
      <c r="D93" s="497" t="s">
        <v>180</v>
      </c>
      <c r="E93" s="486"/>
      <c r="F93" s="497" t="s">
        <v>442</v>
      </c>
      <c r="G93" s="486"/>
      <c r="H93" s="486"/>
      <c r="I93" s="486"/>
      <c r="J93" s="486"/>
      <c r="K93" s="490"/>
      <c r="L93" s="491"/>
      <c r="M93" s="857"/>
      <c r="N93" s="858"/>
      <c r="O93" s="856"/>
      <c r="V93" s="3"/>
    </row>
    <row r="94" spans="2:22" ht="15" customHeight="1" x14ac:dyDescent="0.25">
      <c r="B94" s="1240"/>
      <c r="C94" s="487"/>
      <c r="D94" s="497" t="s">
        <v>180</v>
      </c>
      <c r="E94" s="486"/>
      <c r="F94" s="486"/>
      <c r="G94" s="486"/>
      <c r="H94" s="486"/>
      <c r="I94" s="486"/>
      <c r="J94" s="486"/>
      <c r="K94" s="490"/>
      <c r="L94" s="491"/>
      <c r="M94" s="857"/>
      <c r="N94" s="858"/>
      <c r="O94" s="856"/>
      <c r="V94" s="3"/>
    </row>
    <row r="95" spans="2:22" ht="15" customHeight="1" x14ac:dyDescent="0.25">
      <c r="B95" s="1240"/>
      <c r="C95" s="487"/>
      <c r="D95" s="497" t="s">
        <v>180</v>
      </c>
      <c r="E95" s="486"/>
      <c r="F95" s="486"/>
      <c r="G95" s="486"/>
      <c r="H95" s="486"/>
      <c r="I95" s="486"/>
      <c r="J95" s="486"/>
      <c r="K95" s="490"/>
      <c r="L95" s="491"/>
      <c r="M95" s="857"/>
      <c r="N95" s="858"/>
      <c r="O95" s="856"/>
      <c r="V95" s="3"/>
    </row>
    <row r="96" spans="2:22" ht="15.75" thickBot="1" x14ac:dyDescent="0.3">
      <c r="B96" s="1240"/>
      <c r="C96" s="488"/>
      <c r="D96" s="498" t="s">
        <v>442</v>
      </c>
      <c r="E96" s="489"/>
      <c r="F96" s="489"/>
      <c r="G96" s="489"/>
      <c r="H96" s="489"/>
      <c r="I96" s="489"/>
      <c r="J96" s="489"/>
      <c r="K96" s="492"/>
      <c r="L96" s="493"/>
      <c r="M96" s="859"/>
      <c r="N96" s="860"/>
      <c r="O96" s="861"/>
      <c r="V96" s="3"/>
    </row>
    <row r="97" spans="2:23" ht="28.5" x14ac:dyDescent="0.45">
      <c r="B97" s="454"/>
      <c r="E97" s="365"/>
      <c r="F97" s="3"/>
      <c r="G97" s="3"/>
      <c r="H97" s="40"/>
      <c r="I97" s="3"/>
      <c r="J97" s="3"/>
      <c r="K97" s="3"/>
      <c r="L97" s="3"/>
      <c r="M97" s="3"/>
      <c r="W97" s="3"/>
    </row>
    <row r="98" spans="2:23" ht="29.25" thickBot="1" x14ac:dyDescent="0.5">
      <c r="B98" s="455"/>
    </row>
    <row r="99" spans="2:23" ht="25.5" customHeight="1" thickBot="1" x14ac:dyDescent="0.3">
      <c r="B99" s="1240" t="s">
        <v>450</v>
      </c>
      <c r="C99" s="546" t="s">
        <v>425</v>
      </c>
    </row>
    <row r="100" spans="2:23" ht="15" customHeight="1" x14ac:dyDescent="0.25">
      <c r="B100" s="1240"/>
      <c r="C100" s="545" t="s">
        <v>434</v>
      </c>
    </row>
    <row r="101" spans="2:23" ht="15" customHeight="1" x14ac:dyDescent="0.25">
      <c r="B101" s="1240"/>
      <c r="C101" s="543" t="s">
        <v>180</v>
      </c>
    </row>
    <row r="102" spans="2:23" ht="15" customHeight="1" x14ac:dyDescent="0.25">
      <c r="B102" s="1240"/>
      <c r="C102" s="543" t="s">
        <v>434</v>
      </c>
    </row>
    <row r="103" spans="2:23" ht="15" customHeight="1" x14ac:dyDescent="0.25">
      <c r="B103" s="1240"/>
      <c r="C103" s="543" t="s">
        <v>180</v>
      </c>
    </row>
    <row r="104" spans="2:23" ht="15" customHeight="1" x14ac:dyDescent="0.25">
      <c r="B104" s="1240"/>
      <c r="C104" s="543" t="s">
        <v>434</v>
      </c>
    </row>
    <row r="105" spans="2:23" ht="15" customHeight="1" x14ac:dyDescent="0.25">
      <c r="B105" s="1240"/>
      <c r="C105" s="543" t="s">
        <v>451</v>
      </c>
    </row>
    <row r="106" spans="2:23" ht="15.75" customHeight="1" thickBot="1" x14ac:dyDescent="0.3">
      <c r="B106" s="1240"/>
      <c r="C106" s="544" t="s">
        <v>448</v>
      </c>
    </row>
    <row r="107" spans="2:23" ht="15" customHeight="1" x14ac:dyDescent="0.25"/>
    <row r="108" spans="2:23" ht="15" customHeight="1" thickBot="1" x14ac:dyDescent="0.3"/>
    <row r="109" spans="2:23" ht="15" customHeight="1" thickBot="1" x14ac:dyDescent="0.3">
      <c r="B109" s="1240" t="s">
        <v>452</v>
      </c>
      <c r="C109" s="542" t="s">
        <v>453</v>
      </c>
    </row>
    <row r="110" spans="2:23" ht="15" customHeight="1" x14ac:dyDescent="0.25">
      <c r="B110" s="1240"/>
      <c r="C110" s="547" t="s">
        <v>180</v>
      </c>
    </row>
    <row r="111" spans="2:23" ht="15" customHeight="1" x14ac:dyDescent="0.25">
      <c r="B111" s="1240"/>
      <c r="C111" s="548" t="s">
        <v>180</v>
      </c>
    </row>
    <row r="112" spans="2:23" ht="15" customHeight="1" x14ac:dyDescent="0.25">
      <c r="B112" s="1240"/>
      <c r="C112" s="548" t="s">
        <v>180</v>
      </c>
    </row>
    <row r="113" spans="2:7" ht="15" customHeight="1" x14ac:dyDescent="0.25">
      <c r="B113" s="1240"/>
      <c r="C113" s="548" t="s">
        <v>180</v>
      </c>
    </row>
    <row r="114" spans="2:7" ht="15" customHeight="1" thickBot="1" x14ac:dyDescent="0.3">
      <c r="B114" s="1240"/>
      <c r="C114" s="549" t="s">
        <v>454</v>
      </c>
    </row>
    <row r="115" spans="2:7" ht="15" customHeight="1" x14ac:dyDescent="0.25"/>
    <row r="116" spans="2:7" ht="28.5" x14ac:dyDescent="0.45">
      <c r="B116" s="455"/>
    </row>
    <row r="117" spans="2:7" ht="15.75" customHeight="1" thickBot="1" x14ac:dyDescent="0.3">
      <c r="B117" s="1251" t="s">
        <v>455</v>
      </c>
      <c r="C117" s="553" t="s">
        <v>456</v>
      </c>
      <c r="D117" s="554" t="s">
        <v>457</v>
      </c>
      <c r="E117" s="554" t="s">
        <v>458</v>
      </c>
      <c r="F117" s="554" t="s">
        <v>459</v>
      </c>
      <c r="G117" s="555" t="s">
        <v>460</v>
      </c>
    </row>
    <row r="118" spans="2:7" ht="26.25" customHeight="1" x14ac:dyDescent="0.25">
      <c r="B118" s="1252"/>
      <c r="C118" s="508" t="s">
        <v>461</v>
      </c>
      <c r="D118" s="509" t="s">
        <v>461</v>
      </c>
      <c r="E118" s="511" t="s">
        <v>462</v>
      </c>
      <c r="F118" s="511" t="s">
        <v>463</v>
      </c>
      <c r="G118" s="556" t="s">
        <v>434</v>
      </c>
    </row>
    <row r="119" spans="2:7" ht="15.75" customHeight="1" x14ac:dyDescent="0.25">
      <c r="B119" s="1252"/>
      <c r="C119" s="480" t="s">
        <v>461</v>
      </c>
      <c r="D119" s="510" t="s">
        <v>461</v>
      </c>
      <c r="E119" s="510" t="s">
        <v>464</v>
      </c>
      <c r="F119" s="510" t="s">
        <v>465</v>
      </c>
      <c r="G119" s="557"/>
    </row>
    <row r="120" spans="2:7" ht="15" customHeight="1" x14ac:dyDescent="0.25">
      <c r="B120" s="1252"/>
      <c r="C120" s="480" t="s">
        <v>466</v>
      </c>
      <c r="D120" s="510" t="s">
        <v>466</v>
      </c>
      <c r="E120" s="510" t="s">
        <v>467</v>
      </c>
      <c r="F120" s="510" t="s">
        <v>465</v>
      </c>
      <c r="G120" s="557"/>
    </row>
    <row r="121" spans="2:7" ht="15" customHeight="1" x14ac:dyDescent="0.25">
      <c r="B121" s="1252"/>
      <c r="C121" s="480" t="s">
        <v>466</v>
      </c>
      <c r="D121" s="510" t="s">
        <v>466</v>
      </c>
      <c r="E121" s="39"/>
      <c r="F121" s="510" t="s">
        <v>465</v>
      </c>
      <c r="G121" s="557"/>
    </row>
    <row r="122" spans="2:7" ht="15" customHeight="1" x14ac:dyDescent="0.25">
      <c r="B122" s="1252"/>
      <c r="C122" s="444"/>
      <c r="D122" s="39"/>
      <c r="E122" s="39"/>
      <c r="F122" s="510" t="s">
        <v>465</v>
      </c>
      <c r="G122" s="557"/>
    </row>
    <row r="123" spans="2:7" ht="15" customHeight="1" x14ac:dyDescent="0.25">
      <c r="B123" s="1252"/>
      <c r="C123" s="444"/>
      <c r="D123" s="39"/>
      <c r="E123" s="39"/>
      <c r="F123" s="510" t="s">
        <v>468</v>
      </c>
      <c r="G123" s="557"/>
    </row>
    <row r="124" spans="2:7" ht="15" customHeight="1" x14ac:dyDescent="0.25">
      <c r="B124" s="1252"/>
      <c r="C124" s="444"/>
      <c r="D124" s="39"/>
      <c r="E124" s="39"/>
      <c r="F124" s="510" t="s">
        <v>468</v>
      </c>
      <c r="G124" s="557"/>
    </row>
    <row r="125" spans="2:7" ht="15" customHeight="1" x14ac:dyDescent="0.25">
      <c r="B125" s="1252"/>
      <c r="C125" s="445"/>
      <c r="D125" s="39"/>
      <c r="E125" s="39"/>
      <c r="F125" s="510" t="s">
        <v>469</v>
      </c>
      <c r="G125" s="557"/>
    </row>
    <row r="126" spans="2:7" ht="15" customHeight="1" x14ac:dyDescent="0.25">
      <c r="B126" s="1252"/>
      <c r="C126" s="445"/>
      <c r="D126" s="39"/>
      <c r="E126" s="39"/>
      <c r="F126" s="510" t="s">
        <v>469</v>
      </c>
      <c r="G126" s="557"/>
    </row>
    <row r="127" spans="2:7" ht="15.75" customHeight="1" x14ac:dyDescent="0.25">
      <c r="B127" s="1252"/>
      <c r="C127" s="445"/>
      <c r="D127" s="39"/>
      <c r="E127" s="39"/>
      <c r="F127" s="510" t="s">
        <v>470</v>
      </c>
      <c r="G127" s="557"/>
    </row>
    <row r="128" spans="2:7" ht="15" customHeight="1" x14ac:dyDescent="0.25">
      <c r="B128" s="1252"/>
      <c r="C128" s="445"/>
      <c r="D128" s="39"/>
      <c r="E128" s="39"/>
      <c r="F128" s="510" t="s">
        <v>470</v>
      </c>
      <c r="G128" s="557"/>
    </row>
    <row r="129" spans="2:7" ht="15" customHeight="1" x14ac:dyDescent="0.25">
      <c r="B129" s="1252"/>
      <c r="C129" s="445"/>
      <c r="D129" s="39"/>
      <c r="E129" s="39"/>
      <c r="F129" s="510" t="s">
        <v>471</v>
      </c>
      <c r="G129" s="557"/>
    </row>
    <row r="130" spans="2:7" ht="15" customHeight="1" x14ac:dyDescent="0.25">
      <c r="B130" s="1252"/>
      <c r="C130" s="445"/>
      <c r="D130" s="39"/>
      <c r="E130" s="39"/>
      <c r="F130" s="510" t="s">
        <v>434</v>
      </c>
      <c r="G130" s="557"/>
    </row>
    <row r="131" spans="2:7" ht="15.75" customHeight="1" thickBot="1" x14ac:dyDescent="0.3">
      <c r="B131" s="1252"/>
      <c r="C131" s="446"/>
      <c r="D131" s="41"/>
      <c r="E131" s="41"/>
      <c r="F131" s="512" t="s">
        <v>471</v>
      </c>
      <c r="G131" s="558"/>
    </row>
    <row r="132" spans="2:7" ht="28.5" x14ac:dyDescent="0.45">
      <c r="B132" s="559"/>
      <c r="G132" s="560"/>
    </row>
    <row r="133" spans="2:7" ht="29.25" thickBot="1" x14ac:dyDescent="0.5">
      <c r="B133" s="559"/>
      <c r="C133" s="561" t="s">
        <v>472</v>
      </c>
      <c r="D133" s="561"/>
      <c r="E133" s="561"/>
      <c r="F133" s="561"/>
      <c r="G133" s="560"/>
    </row>
    <row r="134" spans="2:7" ht="15.75" customHeight="1" thickBot="1" x14ac:dyDescent="0.3">
      <c r="B134" s="1247" t="s">
        <v>473</v>
      </c>
      <c r="C134" s="569" t="s">
        <v>456</v>
      </c>
      <c r="D134" s="570"/>
      <c r="E134" s="570" t="s">
        <v>458</v>
      </c>
      <c r="F134" s="571" t="s">
        <v>459</v>
      </c>
      <c r="G134" s="560"/>
    </row>
    <row r="135" spans="2:7" ht="15" customHeight="1" x14ac:dyDescent="0.25">
      <c r="B135" s="1248"/>
      <c r="C135" s="566" t="s">
        <v>463</v>
      </c>
      <c r="D135" s="567"/>
      <c r="E135" s="511" t="s">
        <v>465</v>
      </c>
      <c r="F135" s="568" t="s">
        <v>434</v>
      </c>
      <c r="G135" s="560"/>
    </row>
    <row r="136" spans="2:7" ht="15" customHeight="1" x14ac:dyDescent="0.25">
      <c r="B136" s="1248"/>
      <c r="C136" s="513" t="s">
        <v>437</v>
      </c>
      <c r="D136" s="39"/>
      <c r="E136" s="510" t="s">
        <v>468</v>
      </c>
      <c r="F136" s="514" t="s">
        <v>463</v>
      </c>
      <c r="G136" s="560"/>
    </row>
    <row r="137" spans="2:7" ht="15" customHeight="1" x14ac:dyDescent="0.25">
      <c r="B137" s="1248"/>
      <c r="C137" s="513" t="s">
        <v>437</v>
      </c>
      <c r="D137" s="39"/>
      <c r="E137" s="510" t="s">
        <v>469</v>
      </c>
      <c r="F137" s="514" t="s">
        <v>434</v>
      </c>
      <c r="G137" s="560"/>
    </row>
    <row r="138" spans="2:7" ht="15" customHeight="1" x14ac:dyDescent="0.25">
      <c r="B138" s="1248"/>
      <c r="C138" s="513" t="s">
        <v>463</v>
      </c>
      <c r="D138" s="39"/>
      <c r="E138" s="510" t="s">
        <v>470</v>
      </c>
      <c r="F138" s="514" t="s">
        <v>437</v>
      </c>
      <c r="G138" s="560"/>
    </row>
    <row r="139" spans="2:7" ht="15" customHeight="1" x14ac:dyDescent="0.25">
      <c r="B139" s="1248"/>
      <c r="C139" s="513" t="s">
        <v>437</v>
      </c>
      <c r="D139" s="39"/>
      <c r="E139" s="510" t="s">
        <v>465</v>
      </c>
      <c r="F139" s="38"/>
      <c r="G139" s="560"/>
    </row>
    <row r="140" spans="2:7" ht="15.75" customHeight="1" x14ac:dyDescent="0.25">
      <c r="B140" s="1248"/>
      <c r="C140" s="513" t="s">
        <v>437</v>
      </c>
      <c r="D140" s="39"/>
      <c r="E140" s="510" t="s">
        <v>434</v>
      </c>
      <c r="F140" s="38"/>
      <c r="G140" s="560"/>
    </row>
    <row r="141" spans="2:7" ht="15" customHeight="1" x14ac:dyDescent="0.25">
      <c r="B141" s="1248"/>
      <c r="C141" s="513" t="s">
        <v>463</v>
      </c>
      <c r="D141" s="39"/>
      <c r="E141" s="510" t="s">
        <v>434</v>
      </c>
      <c r="F141" s="38"/>
      <c r="G141" s="560"/>
    </row>
    <row r="142" spans="2:7" ht="15" customHeight="1" x14ac:dyDescent="0.25">
      <c r="B142" s="1248"/>
      <c r="C142" s="513" t="s">
        <v>437</v>
      </c>
      <c r="D142" s="39"/>
      <c r="E142" s="510" t="s">
        <v>465</v>
      </c>
      <c r="F142" s="38"/>
      <c r="G142" s="560"/>
    </row>
    <row r="143" spans="2:7" ht="15" customHeight="1" x14ac:dyDescent="0.25">
      <c r="B143" s="1248"/>
      <c r="C143" s="513" t="s">
        <v>437</v>
      </c>
      <c r="D143" s="39"/>
      <c r="E143" s="39"/>
      <c r="F143" s="38"/>
      <c r="G143" s="560"/>
    </row>
    <row r="144" spans="2:7" ht="15" customHeight="1" x14ac:dyDescent="0.25">
      <c r="B144" s="1248"/>
      <c r="C144" s="513" t="s">
        <v>463</v>
      </c>
      <c r="D144" s="39"/>
      <c r="E144" s="39"/>
      <c r="F144" s="38"/>
      <c r="G144" s="560"/>
    </row>
    <row r="145" spans="2:7" ht="15" customHeight="1" x14ac:dyDescent="0.25">
      <c r="B145" s="1248"/>
      <c r="C145" s="513" t="s">
        <v>437</v>
      </c>
      <c r="D145" s="39"/>
      <c r="E145" s="39"/>
      <c r="F145" s="38"/>
      <c r="G145" s="560"/>
    </row>
    <row r="146" spans="2:7" ht="15" customHeight="1" x14ac:dyDescent="0.25">
      <c r="B146" s="1248"/>
      <c r="C146" s="513" t="s">
        <v>463</v>
      </c>
      <c r="D146" s="39"/>
      <c r="E146" s="39"/>
      <c r="F146" s="38"/>
      <c r="G146" s="560"/>
    </row>
    <row r="147" spans="2:7" ht="15" customHeight="1" x14ac:dyDescent="0.25">
      <c r="B147" s="1248"/>
      <c r="C147" s="513" t="s">
        <v>437</v>
      </c>
      <c r="D147" s="39"/>
      <c r="E147" s="39"/>
      <c r="F147" s="38"/>
      <c r="G147" s="560"/>
    </row>
    <row r="148" spans="2:7" ht="15" customHeight="1" x14ac:dyDescent="0.25">
      <c r="B148" s="1248"/>
      <c r="C148" s="513" t="s">
        <v>463</v>
      </c>
      <c r="D148" s="39"/>
      <c r="E148" s="39"/>
      <c r="F148" s="38"/>
      <c r="G148" s="560"/>
    </row>
    <row r="149" spans="2:7" ht="27.6" customHeight="1" x14ac:dyDescent="0.25">
      <c r="B149" s="1249"/>
      <c r="C149" s="562" t="s">
        <v>437</v>
      </c>
      <c r="D149" s="563"/>
      <c r="E149" s="563"/>
      <c r="F149" s="564"/>
      <c r="G149" s="565"/>
    </row>
    <row r="150" spans="2:7" ht="29.25" thickBot="1" x14ac:dyDescent="0.5">
      <c r="B150" s="454"/>
    </row>
    <row r="151" spans="2:7" ht="15.75" customHeight="1" thickBot="1" x14ac:dyDescent="0.3">
      <c r="B151" s="1250" t="s">
        <v>474</v>
      </c>
      <c r="C151" s="469" t="s">
        <v>475</v>
      </c>
    </row>
    <row r="152" spans="2:7" ht="15" customHeight="1" x14ac:dyDescent="0.25">
      <c r="B152" s="1250"/>
      <c r="C152" s="515" t="s">
        <v>476</v>
      </c>
    </row>
    <row r="153" spans="2:7" ht="15" customHeight="1" x14ac:dyDescent="0.25">
      <c r="B153" s="1250"/>
      <c r="C153" s="515" t="s">
        <v>477</v>
      </c>
    </row>
    <row r="154" spans="2:7" ht="15" customHeight="1" x14ac:dyDescent="0.25">
      <c r="B154" s="1250"/>
      <c r="C154" s="515" t="s">
        <v>477</v>
      </c>
    </row>
    <row r="155" spans="2:7" ht="15" customHeight="1" x14ac:dyDescent="0.25">
      <c r="B155" s="1250"/>
      <c r="C155" s="515" t="s">
        <v>477</v>
      </c>
    </row>
    <row r="156" spans="2:7" ht="15" customHeight="1" x14ac:dyDescent="0.25">
      <c r="B156" s="1250"/>
      <c r="C156" s="515" t="s">
        <v>477</v>
      </c>
    </row>
    <row r="157" spans="2:7" ht="15.75" customHeight="1" thickBot="1" x14ac:dyDescent="0.3">
      <c r="B157" s="1250"/>
      <c r="C157" s="516" t="s">
        <v>477</v>
      </c>
    </row>
    <row r="158" spans="2:7" ht="29.25" thickBot="1" x14ac:dyDescent="0.5">
      <c r="B158" s="454"/>
    </row>
    <row r="159" spans="2:7" ht="15.75" thickBot="1" x14ac:dyDescent="0.3">
      <c r="B159" s="1241" t="s">
        <v>478</v>
      </c>
      <c r="C159" s="471" t="s">
        <v>479</v>
      </c>
      <c r="D159" s="472" t="s">
        <v>480</v>
      </c>
      <c r="E159" s="472" t="s">
        <v>481</v>
      </c>
      <c r="F159" s="473" t="s">
        <v>481</v>
      </c>
    </row>
    <row r="160" spans="2:7" x14ac:dyDescent="0.25">
      <c r="B160" s="1242"/>
      <c r="C160" s="481" t="s">
        <v>437</v>
      </c>
      <c r="D160" s="484" t="s">
        <v>437</v>
      </c>
      <c r="E160" s="42"/>
      <c r="F160" s="474"/>
    </row>
    <row r="161" spans="2:6" ht="15" customHeight="1" x14ac:dyDescent="0.25">
      <c r="B161" s="1242"/>
      <c r="C161" s="482" t="s">
        <v>437</v>
      </c>
      <c r="D161" s="485" t="s">
        <v>437</v>
      </c>
      <c r="E161" s="39"/>
      <c r="F161" s="443"/>
    </row>
    <row r="162" spans="2:6" ht="15" customHeight="1" x14ac:dyDescent="0.25">
      <c r="B162" s="1242"/>
      <c r="C162" s="482" t="s">
        <v>437</v>
      </c>
      <c r="D162" s="485" t="s">
        <v>437</v>
      </c>
      <c r="E162" s="39"/>
      <c r="F162" s="443"/>
    </row>
    <row r="163" spans="2:6" ht="15" customHeight="1" x14ac:dyDescent="0.25">
      <c r="B163" s="1242"/>
      <c r="C163" s="482" t="s">
        <v>437</v>
      </c>
      <c r="D163" s="485" t="s">
        <v>437</v>
      </c>
      <c r="E163" s="39"/>
      <c r="F163" s="443"/>
    </row>
    <row r="164" spans="2:6" ht="15" customHeight="1" x14ac:dyDescent="0.25">
      <c r="B164" s="1242"/>
      <c r="C164" s="482" t="s">
        <v>437</v>
      </c>
      <c r="D164" s="485" t="s">
        <v>454</v>
      </c>
      <c r="E164" s="39"/>
      <c r="F164" s="443"/>
    </row>
    <row r="165" spans="2:6" ht="15" customHeight="1" x14ac:dyDescent="0.25">
      <c r="B165" s="1242"/>
      <c r="C165" s="482" t="s">
        <v>437</v>
      </c>
      <c r="D165" s="39"/>
      <c r="E165" s="39"/>
      <c r="F165" s="443"/>
    </row>
    <row r="166" spans="2:6" ht="15" customHeight="1" x14ac:dyDescent="0.25">
      <c r="B166" s="1242"/>
      <c r="C166" s="482" t="s">
        <v>437</v>
      </c>
      <c r="D166" s="39"/>
      <c r="E166" s="39"/>
      <c r="F166" s="443"/>
    </row>
    <row r="167" spans="2:6" ht="15" customHeight="1" x14ac:dyDescent="0.25">
      <c r="B167" s="1242"/>
      <c r="C167" s="482" t="s">
        <v>437</v>
      </c>
      <c r="D167" s="39"/>
      <c r="E167" s="39"/>
      <c r="F167" s="443"/>
    </row>
    <row r="168" spans="2:6" ht="15" customHeight="1" x14ac:dyDescent="0.25">
      <c r="B168" s="1242"/>
      <c r="C168" s="482" t="s">
        <v>437</v>
      </c>
      <c r="D168" s="39"/>
      <c r="E168" s="39"/>
      <c r="F168" s="443"/>
    </row>
    <row r="169" spans="2:6" ht="15" customHeight="1" x14ac:dyDescent="0.25">
      <c r="B169" s="1242"/>
      <c r="C169" s="482" t="s">
        <v>437</v>
      </c>
      <c r="D169" s="39"/>
      <c r="E169" s="39"/>
      <c r="F169" s="443"/>
    </row>
    <row r="170" spans="2:6" ht="15" customHeight="1" x14ac:dyDescent="0.25">
      <c r="B170" s="1242"/>
      <c r="C170" s="482" t="s">
        <v>437</v>
      </c>
      <c r="D170" s="39"/>
      <c r="E170" s="39"/>
      <c r="F170" s="443"/>
    </row>
    <row r="171" spans="2:6" ht="15" customHeight="1" x14ac:dyDescent="0.25">
      <c r="B171" s="1242"/>
      <c r="C171" s="482" t="s">
        <v>437</v>
      </c>
      <c r="D171" s="39"/>
      <c r="E171" s="39"/>
      <c r="F171" s="443"/>
    </row>
    <row r="172" spans="2:6" ht="15" customHeight="1" x14ac:dyDescent="0.25">
      <c r="B172" s="1242"/>
      <c r="C172" s="482" t="s">
        <v>454</v>
      </c>
      <c r="D172" s="39"/>
      <c r="E172" s="39"/>
      <c r="F172" s="443"/>
    </row>
    <row r="173" spans="2:6" ht="15.75" customHeight="1" thickBot="1" x14ac:dyDescent="0.3">
      <c r="B173" s="1242"/>
      <c r="C173" s="483" t="s">
        <v>454</v>
      </c>
      <c r="D173" s="41" t="s">
        <v>482</v>
      </c>
      <c r="E173" s="41"/>
      <c r="F173" s="447"/>
    </row>
    <row r="174" spans="2:6" ht="29.25" thickBot="1" x14ac:dyDescent="0.5">
      <c r="B174" s="454"/>
    </row>
    <row r="175" spans="2:6" ht="15.75" customHeight="1" thickBot="1" x14ac:dyDescent="0.3">
      <c r="B175" s="1244" t="s">
        <v>483</v>
      </c>
      <c r="C175" s="475" t="s">
        <v>484</v>
      </c>
      <c r="D175" s="476" t="s">
        <v>485</v>
      </c>
      <c r="E175" s="477" t="s">
        <v>486</v>
      </c>
    </row>
    <row r="176" spans="2:6" ht="15.75" customHeight="1" thickBot="1" x14ac:dyDescent="0.3">
      <c r="B176" s="1245"/>
      <c r="C176" s="505" t="s">
        <v>476</v>
      </c>
      <c r="D176" s="506" t="s">
        <v>487</v>
      </c>
      <c r="E176" s="507" t="s">
        <v>488</v>
      </c>
    </row>
    <row r="177" spans="2:23" ht="29.25" thickBot="1" x14ac:dyDescent="0.5">
      <c r="B177" s="454"/>
      <c r="C177" s="45"/>
      <c r="D177" s="3"/>
      <c r="E177" s="228"/>
    </row>
    <row r="178" spans="2:23" ht="15.75" customHeight="1" thickBot="1" x14ac:dyDescent="0.3">
      <c r="B178" s="1244" t="s">
        <v>489</v>
      </c>
      <c r="C178" s="451" t="s">
        <v>490</v>
      </c>
      <c r="D178" s="478" t="s">
        <v>491</v>
      </c>
      <c r="E178" s="479" t="s">
        <v>492</v>
      </c>
    </row>
    <row r="179" spans="2:23" ht="15" customHeight="1" x14ac:dyDescent="0.25">
      <c r="B179" s="1244"/>
      <c r="C179" s="784" t="s">
        <v>476</v>
      </c>
      <c r="D179" s="785" t="s">
        <v>476</v>
      </c>
      <c r="E179" s="786" t="s">
        <v>493</v>
      </c>
    </row>
    <row r="180" spans="2:23" ht="26.25" customHeight="1" x14ac:dyDescent="0.25">
      <c r="B180" s="1244"/>
      <c r="C180" s="787" t="s">
        <v>477</v>
      </c>
      <c r="D180" s="788" t="s">
        <v>477</v>
      </c>
      <c r="E180" s="789"/>
    </row>
    <row r="181" spans="2:23" ht="26.25" customHeight="1" x14ac:dyDescent="0.25">
      <c r="B181" s="1244"/>
      <c r="C181" s="787" t="s">
        <v>477</v>
      </c>
      <c r="D181" s="788" t="s">
        <v>477</v>
      </c>
      <c r="E181" s="789"/>
    </row>
    <row r="182" spans="2:23" ht="26.25" customHeight="1" x14ac:dyDescent="0.25">
      <c r="B182" s="1244"/>
      <c r="C182" s="787" t="s">
        <v>477</v>
      </c>
      <c r="D182" s="788" t="s">
        <v>477</v>
      </c>
      <c r="E182" s="789"/>
    </row>
    <row r="183" spans="2:23" ht="27.6" customHeight="1" thickBot="1" x14ac:dyDescent="0.3">
      <c r="B183" s="1244"/>
      <c r="C183" s="790" t="s">
        <v>477</v>
      </c>
      <c r="D183" s="791"/>
      <c r="E183" s="792"/>
    </row>
    <row r="184" spans="2:23" ht="28.5" x14ac:dyDescent="0.45">
      <c r="B184" s="454"/>
    </row>
    <row r="185" spans="2:23" ht="28.5" x14ac:dyDescent="0.45">
      <c r="B185" s="454"/>
    </row>
    <row r="186" spans="2:23" ht="31.5" x14ac:dyDescent="0.5">
      <c r="B186" s="456" t="s">
        <v>494</v>
      </c>
      <c r="C186" s="461"/>
      <c r="D186" s="461"/>
      <c r="E186" s="461"/>
      <c r="F186" s="461"/>
      <c r="G186" s="461"/>
      <c r="H186" s="461"/>
      <c r="I186" s="461"/>
      <c r="J186" s="461"/>
      <c r="K186" s="461"/>
      <c r="L186" s="461"/>
      <c r="M186" s="461"/>
      <c r="N186" s="461"/>
      <c r="O186" s="461"/>
    </row>
    <row r="187" spans="2:23" ht="15.75" thickBot="1" x14ac:dyDescent="0.3"/>
    <row r="188" spans="2:23" ht="15.75" thickBot="1" x14ac:dyDescent="0.3">
      <c r="B188" s="597" t="s">
        <v>495</v>
      </c>
      <c r="C188" s="43"/>
      <c r="D188" s="43"/>
      <c r="E188" s="43"/>
      <c r="F188" s="44"/>
      <c r="R188" s="3"/>
      <c r="S188" s="3"/>
      <c r="T188" s="3"/>
      <c r="U188" s="3"/>
      <c r="V188" s="3"/>
      <c r="W188" s="3"/>
    </row>
    <row r="189" spans="2:23" ht="15.75" thickBot="1" x14ac:dyDescent="0.3">
      <c r="D189" s="595"/>
      <c r="E189" s="596"/>
      <c r="F189" s="3"/>
      <c r="Q189" s="3"/>
      <c r="R189" s="3"/>
      <c r="S189" s="3"/>
      <c r="T189" s="3"/>
      <c r="U189" s="3"/>
      <c r="V189" s="3"/>
      <c r="W189" s="3"/>
    </row>
    <row r="190" spans="2:23" ht="30.75" customHeight="1" thickBot="1" x14ac:dyDescent="0.3">
      <c r="B190" s="1239" t="s">
        <v>496</v>
      </c>
      <c r="C190" s="601" t="s">
        <v>497</v>
      </c>
      <c r="D190" s="602" t="s">
        <v>498</v>
      </c>
      <c r="E190" s="602" t="s">
        <v>499</v>
      </c>
      <c r="F190" s="603" t="s">
        <v>500</v>
      </c>
      <c r="G190" s="47"/>
      <c r="Q190" s="3"/>
      <c r="R190" s="3"/>
      <c r="S190" s="3"/>
      <c r="T190" s="3"/>
      <c r="U190" s="3"/>
      <c r="V190" s="3"/>
      <c r="W190" s="3"/>
    </row>
    <row r="191" spans="2:23" ht="46.35" customHeight="1" thickBot="1" x14ac:dyDescent="0.3">
      <c r="B191" s="1239"/>
      <c r="C191" s="584" t="s">
        <v>501</v>
      </c>
      <c r="D191" s="585" t="s">
        <v>502</v>
      </c>
      <c r="E191" s="583" t="s">
        <v>503</v>
      </c>
      <c r="F191" s="586" t="s">
        <v>504</v>
      </c>
      <c r="G191" s="3"/>
      <c r="Q191" s="3"/>
      <c r="R191" s="3"/>
      <c r="S191" s="3"/>
      <c r="T191" s="3"/>
      <c r="U191" s="3"/>
      <c r="V191" s="3"/>
      <c r="W191" s="3"/>
    </row>
    <row r="192" spans="2:23" x14ac:dyDescent="0.25">
      <c r="C192" s="3"/>
      <c r="D192" s="3"/>
      <c r="E192" s="365"/>
      <c r="F192" s="3"/>
      <c r="G192" s="3"/>
      <c r="Q192" s="3"/>
      <c r="R192" s="3"/>
      <c r="S192" s="3"/>
      <c r="T192" s="3"/>
      <c r="U192" s="3"/>
      <c r="V192" s="3"/>
      <c r="W192" s="3"/>
    </row>
    <row r="193" spans="2:23" ht="15.75" thickBot="1" x14ac:dyDescent="0.3">
      <c r="G193" s="3"/>
      <c r="Q193" s="3"/>
      <c r="R193" s="3"/>
      <c r="S193" s="3"/>
      <c r="T193" s="3"/>
      <c r="U193" s="3"/>
      <c r="V193" s="3"/>
      <c r="W193" s="3"/>
    </row>
    <row r="194" spans="2:23" ht="30.6" customHeight="1" thickBot="1" x14ac:dyDescent="0.3">
      <c r="B194" s="1239" t="s">
        <v>505</v>
      </c>
      <c r="C194" s="598" t="s">
        <v>506</v>
      </c>
      <c r="D194" s="599" t="s">
        <v>507</v>
      </c>
      <c r="E194" s="600" t="s">
        <v>508</v>
      </c>
      <c r="G194" s="3"/>
      <c r="Q194" s="3"/>
      <c r="R194" s="3"/>
      <c r="S194" s="3"/>
      <c r="T194" s="3"/>
      <c r="U194" s="3"/>
      <c r="V194" s="3"/>
      <c r="W194" s="3"/>
    </row>
    <row r="195" spans="2:23" ht="51.75" thickBot="1" x14ac:dyDescent="0.3">
      <c r="B195" s="1239"/>
      <c r="C195" s="48" t="s">
        <v>509</v>
      </c>
      <c r="D195" s="49" t="s">
        <v>510</v>
      </c>
      <c r="E195" s="367" t="str">
        <f>dms_060701_StartDateTxt</f>
        <v>1-Jul-2021</v>
      </c>
      <c r="Q195" s="3"/>
      <c r="R195" s="3"/>
      <c r="S195" s="3"/>
      <c r="T195" s="3"/>
      <c r="U195" s="3"/>
      <c r="V195" s="3"/>
      <c r="W195" s="3"/>
    </row>
    <row r="196" spans="2:23" x14ac:dyDescent="0.25">
      <c r="C196" s="3"/>
      <c r="D196" s="3"/>
      <c r="E196" s="365"/>
      <c r="G196" s="3"/>
      <c r="Q196" s="3"/>
      <c r="R196" s="3"/>
      <c r="S196" s="3"/>
      <c r="T196" s="3"/>
      <c r="U196" s="3"/>
      <c r="V196" s="3"/>
      <c r="W196" s="3"/>
    </row>
    <row r="197" spans="2:23" ht="15.75" thickBot="1" x14ac:dyDescent="0.3">
      <c r="C197" s="3"/>
      <c r="P197" s="3"/>
      <c r="Q197" s="3"/>
      <c r="R197" s="3"/>
      <c r="S197" s="3"/>
      <c r="T197" s="3"/>
      <c r="U197" s="3"/>
      <c r="V197" s="3"/>
      <c r="W197" s="3"/>
    </row>
    <row r="198" spans="2:23" ht="22.5" customHeight="1" thickBot="1" x14ac:dyDescent="0.3">
      <c r="B198" s="1239" t="s">
        <v>511</v>
      </c>
      <c r="C198" s="587" t="s">
        <v>512</v>
      </c>
      <c r="D198" s="588" t="s">
        <v>513</v>
      </c>
      <c r="E198" s="588" t="s">
        <v>514</v>
      </c>
      <c r="F198" s="589" t="s">
        <v>515</v>
      </c>
      <c r="Q198" s="3"/>
      <c r="R198" s="3"/>
      <c r="S198" s="3"/>
      <c r="T198" s="3"/>
      <c r="U198" s="3"/>
      <c r="V198" s="3"/>
      <c r="W198" s="3"/>
    </row>
    <row r="199" spans="2:23" ht="22.5" customHeight="1" thickBot="1" x14ac:dyDescent="0.3">
      <c r="B199" s="1239"/>
      <c r="C199" s="48" t="s">
        <v>516</v>
      </c>
      <c r="D199" s="49" t="s">
        <v>517</v>
      </c>
      <c r="E199" s="370" t="s">
        <v>518</v>
      </c>
      <c r="F199" s="62" t="s">
        <v>519</v>
      </c>
      <c r="Q199" s="3"/>
      <c r="R199" s="3"/>
      <c r="S199" s="3"/>
      <c r="T199" s="3"/>
      <c r="U199" s="3"/>
      <c r="V199" s="3"/>
      <c r="W199" s="3"/>
    </row>
    <row r="200" spans="2:23" x14ac:dyDescent="0.25">
      <c r="B200" s="3"/>
      <c r="C200" s="3"/>
      <c r="D200" s="3"/>
      <c r="E200" s="365"/>
      <c r="F200" s="3"/>
      <c r="Q200" s="3"/>
      <c r="R200" s="3"/>
      <c r="S200" s="3"/>
      <c r="T200" s="3"/>
      <c r="U200" s="3"/>
      <c r="V200" s="3"/>
      <c r="W200" s="3"/>
    </row>
    <row r="201" spans="2:23" ht="15.75" thickBot="1" x14ac:dyDescent="0.3">
      <c r="C201" s="3"/>
      <c r="Q201" s="3"/>
      <c r="R201" s="3"/>
      <c r="S201" s="3"/>
      <c r="T201" s="3"/>
      <c r="U201" s="3"/>
      <c r="V201" s="3"/>
      <c r="W201" s="3"/>
    </row>
    <row r="202" spans="2:23" ht="36" customHeight="1" thickBot="1" x14ac:dyDescent="0.3">
      <c r="B202" s="590" t="s">
        <v>520</v>
      </c>
      <c r="C202" s="592" t="s">
        <v>521</v>
      </c>
      <c r="D202" s="65" t="s">
        <v>522</v>
      </c>
      <c r="E202" s="197" t="s">
        <v>523</v>
      </c>
      <c r="Q202" s="3"/>
      <c r="R202" s="3"/>
      <c r="S202" s="3"/>
      <c r="T202" s="3"/>
      <c r="U202" s="3"/>
      <c r="V202" s="3"/>
      <c r="W202" s="3"/>
    </row>
    <row r="204" spans="2:23" x14ac:dyDescent="0.25">
      <c r="C204" s="3"/>
      <c r="P204" s="3"/>
      <c r="Q204" s="3"/>
      <c r="R204" s="3"/>
      <c r="S204" s="3"/>
      <c r="T204" s="3"/>
      <c r="U204" s="3"/>
      <c r="V204" s="3"/>
      <c r="W204" s="3"/>
    </row>
    <row r="205" spans="2:23" s="3" customFormat="1" ht="21.75" customHeight="1" x14ac:dyDescent="0.25">
      <c r="B205" s="605" t="s">
        <v>524</v>
      </c>
      <c r="C205" s="604"/>
      <c r="D205" s="604"/>
      <c r="E205" s="604"/>
      <c r="F205" s="604"/>
      <c r="G205" s="604"/>
      <c r="H205" s="604"/>
      <c r="I205" s="604"/>
      <c r="J205" s="604"/>
      <c r="K205" s="604"/>
      <c r="L205" s="604"/>
      <c r="M205" s="604"/>
      <c r="N205" s="604"/>
      <c r="O205" s="604"/>
    </row>
    <row r="206" spans="2:23" ht="15.75" thickBot="1" x14ac:dyDescent="0.3">
      <c r="B206" s="51"/>
      <c r="C206" s="3"/>
      <c r="F206" s="361"/>
      <c r="K206" s="70"/>
      <c r="P206" s="3"/>
      <c r="Q206" s="3"/>
      <c r="R206" s="3"/>
      <c r="S206" s="3"/>
      <c r="T206" s="3"/>
      <c r="U206" s="3"/>
      <c r="V206" s="3"/>
      <c r="W206" s="3"/>
    </row>
    <row r="207" spans="2:23" ht="15" customHeight="1" thickBot="1" x14ac:dyDescent="0.3">
      <c r="B207" s="1239" t="s">
        <v>525</v>
      </c>
      <c r="C207" s="591" t="s">
        <v>526</v>
      </c>
      <c r="D207" s="579" t="str">
        <f>INDEX(dms_FeederName_1,MATCH(dms_TradingName,dms_TradingName_List))</f>
        <v>CBD</v>
      </c>
      <c r="E207" s="52" t="str">
        <f>INDEX(dms_FeederName_1,MATCH(dms_TradingName,dms_TradingName_List))</f>
        <v>CBD</v>
      </c>
      <c r="F207" s="368" t="str">
        <f>INDEX(dms_FeederName_2,MATCH(dms_TradingName,dms_TradingName_List))</f>
        <v>Urban</v>
      </c>
      <c r="G207" s="53" t="str">
        <f>INDEX(dms_FeederName_2,MATCH(dms_TradingName,dms_TradingName_List))</f>
        <v>Urban</v>
      </c>
      <c r="H207" s="52" t="str">
        <f>INDEX(dms_FeederName_3,MATCH(dms_TradingName,dms_TradingName_List))</f>
        <v>Short rural</v>
      </c>
      <c r="I207" s="52" t="str">
        <f>INDEX(dms_FeederName_3,MATCH(dms_TradingName,dms_TradingName_List))</f>
        <v>Short rural</v>
      </c>
      <c r="J207" s="53" t="str">
        <f>INDEX(dms_FeederName_4,MATCH(dms_TradingName,dms_TradingName_List))</f>
        <v>Long rural</v>
      </c>
      <c r="K207" s="53" t="str">
        <f>INDEX(dms_FeederName_4,MATCH(dms_TradingName,dms_TradingName_List))</f>
        <v>Long rural</v>
      </c>
      <c r="L207" s="52" t="str">
        <f>IF((INDEX(dms_FeederName_5,MATCH(dms_TradingName,dms_TradingName_List))=0),"Network",(INDEX(dms_FeederName_5,MATCH(dms_TradingName,dms_TradingName_List))))</f>
        <v>Network</v>
      </c>
      <c r="M207" s="52" t="str">
        <f>IF((INDEX(dms_FeederName_5,MATCH(dms_TradingName,dms_TradingName_List))=0),"Network",(INDEX(dms_FeederName_5,MATCH(dms_TradingName,dms_TradingName_List))))</f>
        <v>Network</v>
      </c>
      <c r="N207" s="52" t="s">
        <v>527</v>
      </c>
      <c r="O207" s="52" t="s">
        <v>527</v>
      </c>
      <c r="P207" s="3"/>
      <c r="Q207" s="3"/>
      <c r="R207" s="3"/>
      <c r="S207" s="3"/>
      <c r="T207" s="3"/>
      <c r="U207" s="3"/>
      <c r="V207" s="3"/>
      <c r="W207" s="3"/>
    </row>
    <row r="208" spans="2:23" ht="15.75" thickBot="1" x14ac:dyDescent="0.3">
      <c r="B208" s="1239"/>
      <c r="C208" s="582"/>
      <c r="D208" s="54"/>
      <c r="F208" s="361"/>
      <c r="N208" s="46"/>
      <c r="P208" s="3"/>
      <c r="Q208" s="3"/>
      <c r="R208" s="3"/>
      <c r="S208" s="3"/>
      <c r="T208" s="3"/>
      <c r="U208" s="3"/>
      <c r="V208" s="3"/>
      <c r="W208" s="3"/>
    </row>
    <row r="209" spans="2:23" ht="26.25" thickBot="1" x14ac:dyDescent="0.3">
      <c r="B209" s="1239"/>
      <c r="C209" s="591" t="s">
        <v>528</v>
      </c>
      <c r="D209" s="580" t="s">
        <v>529</v>
      </c>
      <c r="E209" s="55" t="s">
        <v>530</v>
      </c>
      <c r="F209" s="369" t="s">
        <v>529</v>
      </c>
      <c r="G209" s="55" t="s">
        <v>530</v>
      </c>
      <c r="H209" s="55" t="s">
        <v>529</v>
      </c>
      <c r="I209" s="55" t="s">
        <v>530</v>
      </c>
      <c r="J209" s="55" t="s">
        <v>529</v>
      </c>
      <c r="K209" s="55" t="s">
        <v>530</v>
      </c>
      <c r="L209" s="55" t="s">
        <v>529</v>
      </c>
      <c r="M209" s="56" t="s">
        <v>530</v>
      </c>
      <c r="N209" s="55" t="s">
        <v>529</v>
      </c>
      <c r="O209" s="56" t="s">
        <v>530</v>
      </c>
      <c r="P209" s="3"/>
      <c r="Q209" s="3"/>
      <c r="R209" s="3"/>
      <c r="S209" s="3"/>
      <c r="T209" s="3"/>
      <c r="U209" s="3"/>
      <c r="V209" s="3"/>
      <c r="W209" s="3"/>
    </row>
    <row r="210" spans="2:23" x14ac:dyDescent="0.25">
      <c r="B210" s="1239"/>
      <c r="C210" s="3"/>
      <c r="D210" s="57" t="s">
        <v>531</v>
      </c>
      <c r="F210" s="361"/>
      <c r="P210" s="3"/>
      <c r="Q210" s="3"/>
      <c r="R210" s="3"/>
      <c r="S210" s="3"/>
      <c r="T210" s="3"/>
      <c r="U210" s="3"/>
      <c r="V210" s="3"/>
      <c r="W210" s="3"/>
    </row>
    <row r="211" spans="2:23" ht="15.75" thickBot="1" x14ac:dyDescent="0.3">
      <c r="B211" s="1239"/>
      <c r="C211" s="3"/>
      <c r="F211" s="361"/>
      <c r="P211" s="3"/>
      <c r="Q211" s="3"/>
      <c r="R211" s="3"/>
      <c r="S211" s="3"/>
      <c r="T211" s="3"/>
      <c r="U211" s="3"/>
      <c r="V211" s="3"/>
      <c r="W211" s="3"/>
    </row>
    <row r="212" spans="2:23" ht="15.75" thickBot="1" x14ac:dyDescent="0.3">
      <c r="B212" s="1239"/>
      <c r="C212" s="591" t="s">
        <v>532</v>
      </c>
      <c r="D212" s="581" t="str">
        <f>INDEX(dms_FeederName_1,MATCH(dms_TradingName,dms_TradingName_List))</f>
        <v>CBD</v>
      </c>
      <c r="E212" s="212" t="str">
        <f>INDEX(dms_FeederName_2,MATCH(dms_TradingName,dms_TradingName_List))</f>
        <v>Urban</v>
      </c>
      <c r="F212" s="212" t="str">
        <f>INDEX(dms_FeederName_3,MATCH(dms_TradingName,dms_TradingName_List))</f>
        <v>Short rural</v>
      </c>
      <c r="G212" s="212" t="str">
        <f>INDEX(dms_FeederName_4,MATCH(dms_TradingName,dms_TradingName_List))</f>
        <v>Long rural</v>
      </c>
      <c r="H212" s="213"/>
      <c r="Q212" s="3"/>
      <c r="R212" s="3"/>
      <c r="S212" s="3"/>
      <c r="T212" s="3"/>
      <c r="U212" s="3"/>
      <c r="V212" s="3"/>
      <c r="W212" s="3"/>
    </row>
    <row r="213" spans="2:23" x14ac:dyDescent="0.25">
      <c r="B213" s="3"/>
      <c r="C213" s="50"/>
      <c r="D213" s="58"/>
      <c r="E213" s="361"/>
      <c r="I213" s="59"/>
      <c r="J213" s="58"/>
      <c r="Q213" s="3"/>
      <c r="R213" s="3"/>
      <c r="S213" s="3"/>
      <c r="T213" s="3"/>
      <c r="U213" s="3"/>
      <c r="V213" s="3"/>
      <c r="W213" s="3"/>
    </row>
    <row r="214" spans="2:23" x14ac:dyDescent="0.25">
      <c r="E214" s="361"/>
      <c r="Q214" s="3"/>
      <c r="R214" s="3"/>
      <c r="S214" s="3"/>
      <c r="T214" s="3"/>
      <c r="U214" s="3"/>
      <c r="V214" s="3"/>
      <c r="W214" s="3"/>
    </row>
    <row r="215" spans="2:23" ht="29.85" customHeight="1" x14ac:dyDescent="0.25">
      <c r="B215" s="605" t="s">
        <v>533</v>
      </c>
      <c r="C215" s="605" t="s">
        <v>533</v>
      </c>
      <c r="D215" s="605"/>
      <c r="E215" s="605"/>
      <c r="F215" s="605"/>
      <c r="G215" s="605"/>
      <c r="H215" s="605"/>
      <c r="I215" s="605"/>
      <c r="J215" s="605"/>
      <c r="K215" s="605"/>
      <c r="L215" s="605"/>
      <c r="M215" s="605"/>
      <c r="Q215" s="3"/>
      <c r="R215" s="3"/>
      <c r="S215" s="3"/>
      <c r="T215" s="3"/>
      <c r="U215" s="3"/>
      <c r="V215" s="3"/>
      <c r="W215" s="3"/>
    </row>
    <row r="216" spans="2:23" ht="15.75" customHeight="1" x14ac:dyDescent="0.25">
      <c r="B216" s="593"/>
      <c r="E216" s="361"/>
      <c r="Q216" s="3"/>
      <c r="R216" s="3"/>
      <c r="S216" s="3"/>
      <c r="T216" s="3"/>
      <c r="U216" s="3"/>
      <c r="V216" s="3"/>
      <c r="W216" s="3"/>
    </row>
    <row r="217" spans="2:23" x14ac:dyDescent="0.25">
      <c r="B217" s="593"/>
      <c r="E217" s="361"/>
      <c r="Q217" s="3"/>
      <c r="R217" s="3"/>
      <c r="S217" s="3"/>
      <c r="T217" s="3"/>
      <c r="U217" s="3"/>
      <c r="V217" s="3"/>
      <c r="W217" s="3"/>
    </row>
    <row r="218" spans="2:23" x14ac:dyDescent="0.25">
      <c r="B218" s="606" t="s">
        <v>534</v>
      </c>
      <c r="C218" t="s">
        <v>535</v>
      </c>
      <c r="D218" t="s">
        <v>536</v>
      </c>
      <c r="E218" s="361" t="s">
        <v>537</v>
      </c>
      <c r="Q218" s="3"/>
      <c r="R218" s="3"/>
      <c r="S218" s="3"/>
      <c r="T218" s="3"/>
      <c r="U218" s="3"/>
      <c r="V218" s="3"/>
      <c r="W218" s="3"/>
    </row>
    <row r="219" spans="2:23" x14ac:dyDescent="0.25">
      <c r="B219" s="607"/>
      <c r="C219" t="s">
        <v>538</v>
      </c>
      <c r="E219" s="361"/>
      <c r="Q219" s="3"/>
      <c r="R219" s="3"/>
      <c r="S219" s="3"/>
      <c r="T219" s="3"/>
      <c r="U219" s="3"/>
      <c r="V219" s="3"/>
      <c r="W219" s="3"/>
    </row>
    <row r="220" spans="2:23" x14ac:dyDescent="0.25">
      <c r="B220" s="593"/>
      <c r="E220" s="361"/>
      <c r="Q220" s="3"/>
      <c r="R220" s="3"/>
      <c r="S220" s="3"/>
      <c r="T220" s="3"/>
      <c r="U220" s="3"/>
      <c r="V220" s="3"/>
      <c r="W220" s="3"/>
    </row>
    <row r="221" spans="2:23" x14ac:dyDescent="0.25">
      <c r="B221" s="593"/>
      <c r="D221" s="156"/>
      <c r="E221" s="371"/>
      <c r="F221" s="156"/>
      <c r="G221" s="156"/>
      <c r="H221" s="156"/>
      <c r="I221" s="156"/>
      <c r="J221" s="156"/>
      <c r="K221" s="156"/>
      <c r="L221" s="156"/>
      <c r="M221" s="157"/>
      <c r="Q221" s="3"/>
      <c r="R221" s="3"/>
      <c r="S221" s="3"/>
      <c r="T221" s="3"/>
      <c r="U221" s="3"/>
      <c r="V221" s="3"/>
      <c r="W221" s="3"/>
    </row>
    <row r="222" spans="2:23" x14ac:dyDescent="0.25">
      <c r="B222" s="608" t="s">
        <v>539</v>
      </c>
      <c r="C222" s="156" t="s">
        <v>540</v>
      </c>
      <c r="D222" s="156" t="s">
        <v>541</v>
      </c>
      <c r="E222" s="371" t="s">
        <v>542</v>
      </c>
      <c r="F222" s="156" t="s">
        <v>543</v>
      </c>
      <c r="G222" s="156" t="s">
        <v>544</v>
      </c>
      <c r="H222" s="156" t="s">
        <v>545</v>
      </c>
      <c r="I222" s="156" t="s">
        <v>546</v>
      </c>
      <c r="J222" s="156" t="s">
        <v>547</v>
      </c>
      <c r="K222" s="156" t="s">
        <v>548</v>
      </c>
      <c r="L222" s="156" t="s">
        <v>549</v>
      </c>
      <c r="M222" s="157"/>
      <c r="Q222" s="3"/>
      <c r="R222" s="3"/>
      <c r="S222" s="3"/>
      <c r="T222" s="3"/>
      <c r="U222" s="3"/>
      <c r="V222" s="3"/>
      <c r="W222" s="3"/>
    </row>
    <row r="223" spans="2:23" x14ac:dyDescent="0.25">
      <c r="B223" s="607"/>
      <c r="C223" t="s">
        <v>550</v>
      </c>
      <c r="E223" s="361"/>
      <c r="Q223" s="3"/>
      <c r="R223" s="3"/>
      <c r="S223" s="3"/>
      <c r="T223" s="3"/>
      <c r="U223" s="3"/>
      <c r="V223" s="3"/>
      <c r="W223" s="3"/>
    </row>
    <row r="224" spans="2:23" x14ac:dyDescent="0.25">
      <c r="B224" s="593"/>
      <c r="C224" s="4"/>
      <c r="E224" s="361"/>
      <c r="H224" s="4"/>
      <c r="I224" s="5"/>
      <c r="J224" s="4"/>
      <c r="K224" s="4"/>
      <c r="L224" s="6"/>
      <c r="Q224" s="3"/>
      <c r="R224" s="3"/>
      <c r="S224" s="3"/>
      <c r="T224" s="3"/>
      <c r="U224" s="3"/>
      <c r="V224" s="3"/>
      <c r="W224" s="3"/>
    </row>
    <row r="225" spans="2:23" x14ac:dyDescent="0.25">
      <c r="B225" s="594"/>
      <c r="E225" s="361"/>
      <c r="Q225" s="3"/>
      <c r="R225" s="3"/>
      <c r="S225" s="3"/>
      <c r="T225" s="3"/>
      <c r="U225" s="3"/>
      <c r="V225" s="3"/>
      <c r="W225" s="3"/>
    </row>
    <row r="226" spans="2:23" x14ac:dyDescent="0.25">
      <c r="B226" s="608" t="s">
        <v>551</v>
      </c>
      <c r="C226" t="s">
        <v>552</v>
      </c>
      <c r="D226" t="s">
        <v>553</v>
      </c>
      <c r="E226" s="361" t="s">
        <v>554</v>
      </c>
      <c r="F226" t="s">
        <v>555</v>
      </c>
      <c r="G226" t="s">
        <v>556</v>
      </c>
      <c r="H226" t="s">
        <v>557</v>
      </c>
      <c r="I226" t="s">
        <v>558</v>
      </c>
      <c r="J226" t="s">
        <v>559</v>
      </c>
      <c r="K226" t="s">
        <v>560</v>
      </c>
      <c r="L226" t="s">
        <v>561</v>
      </c>
      <c r="M226" t="s">
        <v>562</v>
      </c>
      <c r="Q226" s="3"/>
      <c r="R226" s="3"/>
      <c r="S226" s="3"/>
      <c r="T226" s="3"/>
      <c r="U226" s="3"/>
      <c r="V226" s="3"/>
      <c r="W226" s="3"/>
    </row>
    <row r="227" spans="2:23" x14ac:dyDescent="0.25">
      <c r="B227" s="3"/>
      <c r="E227" s="361"/>
      <c r="Q227" s="3"/>
      <c r="R227" s="3"/>
      <c r="S227" s="3"/>
      <c r="T227" s="3"/>
      <c r="U227" s="3"/>
      <c r="V227" s="3"/>
      <c r="W227" s="3"/>
    </row>
    <row r="228" spans="2:23" x14ac:dyDescent="0.25">
      <c r="Q228" s="3"/>
      <c r="R228" s="3"/>
      <c r="S228" s="3"/>
      <c r="T228" s="3"/>
      <c r="U228" s="3"/>
      <c r="V228" s="3"/>
      <c r="W228" s="3"/>
    </row>
    <row r="229" spans="2:23" x14ac:dyDescent="0.25">
      <c r="Q229" s="3"/>
      <c r="R229" s="3"/>
      <c r="S229" s="3"/>
      <c r="T229" s="3"/>
      <c r="U229" s="3"/>
      <c r="V229" s="3"/>
      <c r="W229" s="3"/>
    </row>
    <row r="230" spans="2:23" x14ac:dyDescent="0.25">
      <c r="E230" s="372"/>
      <c r="F230" s="5"/>
      <c r="G230" s="4"/>
      <c r="H230" s="4"/>
      <c r="I230" s="6"/>
      <c r="L230" s="3"/>
      <c r="M230" s="3"/>
      <c r="N230" s="3"/>
      <c r="Q230" s="3"/>
      <c r="R230" s="3"/>
      <c r="S230" s="3"/>
      <c r="T230" s="3"/>
      <c r="U230" s="3"/>
      <c r="V230" s="3"/>
      <c r="W230" s="3"/>
    </row>
    <row r="231" spans="2:23" x14ac:dyDescent="0.25">
      <c r="B231" s="4"/>
      <c r="C231" s="4"/>
      <c r="E231" s="361"/>
      <c r="H231" s="4"/>
      <c r="I231" s="5"/>
      <c r="J231" s="4"/>
      <c r="K231" s="4"/>
      <c r="L231" s="6"/>
      <c r="Q231" s="3"/>
      <c r="R231" s="3"/>
      <c r="S231" s="3"/>
      <c r="T231" s="3"/>
      <c r="U231" s="3"/>
      <c r="V231" s="3"/>
      <c r="W231" s="3"/>
    </row>
    <row r="232" spans="2:23" x14ac:dyDescent="0.25">
      <c r="B232" s="4"/>
      <c r="C232" s="4"/>
      <c r="E232" s="361"/>
      <c r="H232" s="4"/>
      <c r="I232" s="5"/>
      <c r="J232" s="4"/>
      <c r="K232" s="4"/>
      <c r="L232" s="6"/>
      <c r="O232" s="3"/>
      <c r="P232" s="3"/>
      <c r="Q232" s="3"/>
      <c r="R232" s="3"/>
      <c r="S232" s="3"/>
      <c r="T232" s="3"/>
      <c r="U232" s="3"/>
      <c r="V232" s="3"/>
      <c r="W232" s="3"/>
    </row>
    <row r="233" spans="2:23" x14ac:dyDescent="0.25">
      <c r="B233" s="4"/>
      <c r="C233" s="4"/>
      <c r="E233" s="361"/>
      <c r="H233" s="4"/>
      <c r="I233" s="5"/>
      <c r="J233" s="4"/>
      <c r="K233" s="4"/>
      <c r="L233" s="6"/>
      <c r="O233" s="3"/>
      <c r="P233" s="3"/>
      <c r="Q233" s="3"/>
      <c r="R233" s="3"/>
      <c r="S233" s="3"/>
      <c r="T233" s="3"/>
      <c r="U233" s="3"/>
      <c r="V233" s="3"/>
      <c r="W233" s="3"/>
    </row>
    <row r="234" spans="2:23" x14ac:dyDescent="0.25">
      <c r="B234" s="4"/>
      <c r="C234" s="4"/>
      <c r="E234" s="361"/>
      <c r="H234" s="4"/>
      <c r="I234" s="5"/>
      <c r="J234" s="4"/>
      <c r="K234" s="4"/>
      <c r="L234" s="6"/>
      <c r="O234" s="3"/>
      <c r="P234" s="3"/>
      <c r="Q234" s="3"/>
      <c r="R234" s="3"/>
      <c r="S234" s="3"/>
      <c r="T234" s="3"/>
      <c r="U234" s="3"/>
      <c r="V234" s="3"/>
      <c r="W234" s="3"/>
    </row>
    <row r="235" spans="2:23" x14ac:dyDescent="0.25">
      <c r="B235" s="4"/>
      <c r="C235" s="4"/>
      <c r="E235" s="361"/>
      <c r="H235" s="4"/>
      <c r="I235" s="5"/>
      <c r="J235" s="4"/>
      <c r="K235" s="4"/>
      <c r="L235" s="6"/>
      <c r="O235" s="3"/>
      <c r="P235" s="3"/>
      <c r="Q235" s="3"/>
      <c r="R235" s="3"/>
      <c r="S235" s="3"/>
      <c r="T235" s="3"/>
      <c r="U235" s="3"/>
      <c r="V235" s="3"/>
      <c r="W235" s="3"/>
    </row>
    <row r="236" spans="2:23" x14ac:dyDescent="0.25">
      <c r="B236" s="4"/>
      <c r="C236" s="4"/>
      <c r="E236" s="361"/>
      <c r="H236" s="4"/>
      <c r="I236" s="5"/>
      <c r="J236" s="4"/>
      <c r="K236" s="4"/>
      <c r="L236" s="6"/>
      <c r="O236" s="3"/>
      <c r="P236" s="3"/>
      <c r="Q236" s="3"/>
      <c r="R236" s="3"/>
      <c r="S236" s="3"/>
      <c r="T236" s="3"/>
      <c r="U236" s="3"/>
      <c r="V236" s="3"/>
      <c r="W236" s="3"/>
    </row>
    <row r="237" spans="2:23" x14ac:dyDescent="0.25">
      <c r="B237" s="4"/>
      <c r="C237" s="4"/>
      <c r="E237" s="361"/>
      <c r="H237" s="4"/>
      <c r="I237" s="5"/>
      <c r="J237" s="4"/>
      <c r="K237" s="4"/>
      <c r="L237" s="6"/>
      <c r="O237" s="3"/>
      <c r="P237" s="3"/>
      <c r="Q237" s="3"/>
      <c r="R237" s="3"/>
      <c r="S237" s="3"/>
      <c r="T237" s="3"/>
      <c r="U237" s="3"/>
      <c r="V237" s="3"/>
      <c r="W237" s="3"/>
    </row>
  </sheetData>
  <sheetProtection algorithmName="SHA-256" hashValue="VTs5FhSiRpXyXmyFx3PZDHolbPvkTVUIJIEaQZIl+PE=" saltValue="UuC+iBcqjjnIAUV17V2iFw==" spinCount="100000" sheet="1" objects="1" scenarios="1" formatCells="0" insertRows="0"/>
  <mergeCells count="25">
    <mergeCell ref="B5:B27"/>
    <mergeCell ref="B175:B176"/>
    <mergeCell ref="B178:B183"/>
    <mergeCell ref="B64:B77"/>
    <mergeCell ref="B134:B149"/>
    <mergeCell ref="B83:B96"/>
    <mergeCell ref="B151:B157"/>
    <mergeCell ref="B117:B131"/>
    <mergeCell ref="B207:B212"/>
    <mergeCell ref="B198:B199"/>
    <mergeCell ref="B31:B54"/>
    <mergeCell ref="B99:B106"/>
    <mergeCell ref="B109:B114"/>
    <mergeCell ref="B190:B191"/>
    <mergeCell ref="B194:B195"/>
    <mergeCell ref="B159:B173"/>
    <mergeCell ref="BP32:CK32"/>
    <mergeCell ref="BP33:CK33"/>
    <mergeCell ref="BP34:CK34"/>
    <mergeCell ref="K35:K39"/>
    <mergeCell ref="K43:K44"/>
    <mergeCell ref="K32:K34"/>
    <mergeCell ref="AK32:BF32"/>
    <mergeCell ref="AK33:BF33"/>
    <mergeCell ref="AK34:BF34"/>
  </mergeCells>
  <pageMargins left="0.7" right="0.7" top="0.75" bottom="0.75" header="0.3" footer="0.3"/>
  <pageSetup paperSize="9" orientation="portrait" r:id="rId1"/>
  <headerFooter>
    <oddFooter>&amp;C_x000D_&amp;1#&amp;"Aptos"&amp;10&amp;K008000 APA-INTERNAL</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
    <tabColor theme="1"/>
  </sheetPr>
  <dimension ref="A1:AP97"/>
  <sheetViews>
    <sheetView showGridLines="0" zoomScaleNormal="100" workbookViewId="0">
      <selection activeCell="N33" sqref="N33"/>
    </sheetView>
  </sheetViews>
  <sheetFormatPr defaultColWidth="9.140625" defaultRowHeight="15" x14ac:dyDescent="0.25"/>
  <cols>
    <col min="1" max="1" width="16.85546875" customWidth="1"/>
    <col min="2" max="2" width="33.85546875" style="4" customWidth="1"/>
    <col min="3" max="3" width="60.5703125" style="4" customWidth="1"/>
    <col min="4" max="4" width="38.85546875" customWidth="1"/>
    <col min="5" max="5" width="26.42578125" style="361" customWidth="1"/>
    <col min="6" max="6" width="22.140625" customWidth="1"/>
    <col min="7" max="7" width="27.140625" customWidth="1"/>
    <col min="8" max="8" width="28.140625" style="4" customWidth="1"/>
    <col min="9" max="9" width="19" style="5" customWidth="1"/>
    <col min="10" max="10" width="25.85546875" style="4" customWidth="1"/>
    <col min="11" max="11" width="27.85546875" style="4" customWidth="1"/>
    <col min="12" max="12" width="27.5703125" style="6" customWidth="1"/>
    <col min="13" max="13" width="27.85546875" customWidth="1"/>
    <col min="14" max="14" width="21" customWidth="1"/>
    <col min="15" max="15" width="34.140625" style="3" customWidth="1"/>
    <col min="16" max="16" width="21" style="3" customWidth="1"/>
    <col min="17" max="18" width="22.140625" style="3" customWidth="1"/>
    <col min="19" max="20" width="25" style="3" customWidth="1"/>
    <col min="21" max="21" width="22.5703125" style="3" customWidth="1"/>
    <col min="22" max="23" width="23.85546875" style="3" customWidth="1"/>
    <col min="24" max="24" width="26.42578125" customWidth="1"/>
    <col min="25" max="25" width="37.85546875" customWidth="1"/>
    <col min="26" max="26" width="30.42578125" customWidth="1"/>
    <col min="27" max="27" width="39.5703125" customWidth="1"/>
    <col min="28" max="28" width="29.140625" customWidth="1"/>
    <col min="29" max="29" width="21.140625" customWidth="1"/>
    <col min="30" max="31" width="27" customWidth="1"/>
    <col min="32" max="33" width="30.140625" customWidth="1"/>
    <col min="34" max="34" width="26.42578125" customWidth="1"/>
    <col min="35" max="35" width="25.140625" customWidth="1"/>
    <col min="36" max="36" width="28.85546875" customWidth="1"/>
    <col min="37" max="38" width="28.5703125" customWidth="1"/>
    <col min="39" max="39" width="25.140625" customWidth="1"/>
    <col min="40" max="40" width="30" customWidth="1"/>
    <col min="41" max="41" width="32" customWidth="1"/>
    <col min="42" max="42" width="28.5703125" customWidth="1"/>
  </cols>
  <sheetData>
    <row r="1" spans="2:42" ht="51" customHeight="1" x14ac:dyDescent="0.25">
      <c r="B1" s="645" t="s">
        <v>563</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row>
    <row r="2" spans="2:42" ht="24.75" customHeight="1" x14ac:dyDescent="0.25">
      <c r="B2"/>
      <c r="C2"/>
      <c r="E2"/>
      <c r="H2"/>
      <c r="I2"/>
      <c r="J2"/>
      <c r="K2"/>
      <c r="L2"/>
      <c r="O2"/>
      <c r="P2"/>
      <c r="Q2"/>
      <c r="R2"/>
      <c r="S2"/>
      <c r="T2"/>
      <c r="U2"/>
      <c r="V2"/>
      <c r="W2"/>
    </row>
    <row r="3" spans="2:42" ht="15" customHeight="1" x14ac:dyDescent="0.25">
      <c r="B3" s="773" t="s">
        <v>564</v>
      </c>
      <c r="C3" s="772"/>
      <c r="D3" s="772"/>
      <c r="E3" s="772"/>
      <c r="F3" s="772"/>
      <c r="G3" s="772"/>
      <c r="H3"/>
      <c r="I3"/>
      <c r="J3"/>
      <c r="K3"/>
      <c r="L3"/>
    </row>
    <row r="4" spans="2:42" x14ac:dyDescent="0.25">
      <c r="B4" s="193" t="s">
        <v>565</v>
      </c>
      <c r="C4" s="195">
        <v>42751</v>
      </c>
      <c r="D4" s="194" t="s">
        <v>566</v>
      </c>
      <c r="E4" s="196"/>
      <c r="F4" s="194"/>
      <c r="G4" s="194"/>
      <c r="H4"/>
      <c r="I4"/>
      <c r="J4"/>
      <c r="K4"/>
      <c r="L4"/>
    </row>
    <row r="5" spans="2:42" x14ac:dyDescent="0.25">
      <c r="B5" s="193"/>
      <c r="C5" s="195">
        <v>42660</v>
      </c>
      <c r="D5" s="194" t="s">
        <v>567</v>
      </c>
      <c r="E5" s="196"/>
      <c r="F5" s="194"/>
      <c r="G5" s="194"/>
      <c r="H5"/>
      <c r="I5"/>
      <c r="J5"/>
      <c r="K5"/>
      <c r="L5"/>
    </row>
    <row r="6" spans="2:42" x14ac:dyDescent="0.25">
      <c r="B6" s="193"/>
      <c r="C6" s="195">
        <v>42767</v>
      </c>
      <c r="D6" s="194" t="s">
        <v>568</v>
      </c>
      <c r="E6" s="196"/>
      <c r="F6" s="194"/>
      <c r="G6" s="194"/>
      <c r="H6"/>
      <c r="I6"/>
      <c r="J6"/>
      <c r="K6"/>
      <c r="L6"/>
    </row>
    <row r="7" spans="2:42" x14ac:dyDescent="0.25">
      <c r="B7" s="194"/>
      <c r="C7" s="195">
        <v>42797</v>
      </c>
      <c r="D7" s="194" t="s">
        <v>569</v>
      </c>
      <c r="E7" s="196"/>
      <c r="F7" s="194"/>
      <c r="G7" s="194"/>
      <c r="H7"/>
      <c r="I7"/>
      <c r="J7"/>
      <c r="K7"/>
      <c r="L7"/>
    </row>
    <row r="8" spans="2:42" x14ac:dyDescent="0.25">
      <c r="B8" s="194"/>
      <c r="C8" s="195">
        <v>43187</v>
      </c>
      <c r="D8" s="194" t="s">
        <v>570</v>
      </c>
      <c r="E8" s="196"/>
      <c r="F8" s="194"/>
      <c r="G8" s="194"/>
      <c r="H8"/>
      <c r="I8"/>
      <c r="J8"/>
      <c r="K8"/>
      <c r="L8"/>
      <c r="N8" s="3"/>
      <c r="W8"/>
    </row>
    <row r="9" spans="2:42" x14ac:dyDescent="0.25">
      <c r="B9" s="194"/>
      <c r="C9" s="194" t="s">
        <v>571</v>
      </c>
      <c r="D9" s="196">
        <v>5</v>
      </c>
      <c r="E9" s="196"/>
      <c r="F9" s="194"/>
      <c r="G9" s="194"/>
      <c r="H9"/>
      <c r="I9"/>
      <c r="J9"/>
      <c r="K9"/>
      <c r="L9"/>
      <c r="N9" s="3"/>
      <c r="W9"/>
    </row>
    <row r="10" spans="2:42" x14ac:dyDescent="0.25">
      <c r="B10" s="194"/>
      <c r="C10" s="194"/>
      <c r="D10" s="196"/>
      <c r="E10" s="196"/>
      <c r="F10" s="194"/>
      <c r="G10" s="194"/>
      <c r="H10"/>
      <c r="I10"/>
      <c r="J10"/>
      <c r="K10"/>
      <c r="L10"/>
      <c r="N10" s="3"/>
      <c r="W10"/>
    </row>
    <row r="11" spans="2:42" x14ac:dyDescent="0.25">
      <c r="B11" s="1046"/>
      <c r="C11"/>
      <c r="E11"/>
      <c r="H11"/>
      <c r="I11"/>
      <c r="J11"/>
      <c r="K11"/>
      <c r="L11"/>
      <c r="O11"/>
      <c r="P11"/>
      <c r="Q11"/>
      <c r="R11"/>
      <c r="S11"/>
      <c r="T11"/>
      <c r="U11"/>
      <c r="V11"/>
      <c r="W11"/>
    </row>
    <row r="12" spans="2:42" ht="15.75" x14ac:dyDescent="0.25">
      <c r="B12"/>
      <c r="C12"/>
      <c r="E12"/>
      <c r="H12"/>
      <c r="I12"/>
      <c r="J12"/>
      <c r="K12"/>
      <c r="L12"/>
      <c r="O12"/>
      <c r="P12"/>
      <c r="Q12"/>
      <c r="R12"/>
      <c r="S12"/>
      <c r="T12"/>
      <c r="U12"/>
      <c r="V12"/>
      <c r="W12"/>
      <c r="Z12" s="1050" t="s">
        <v>572</v>
      </c>
      <c r="AA12" s="1050"/>
      <c r="AB12" s="1050"/>
      <c r="AC12" s="1050"/>
      <c r="AD12" s="1050"/>
      <c r="AE12" s="1050"/>
      <c r="AF12" s="1050"/>
      <c r="AG12" s="1050"/>
      <c r="AH12" s="1050"/>
      <c r="AI12" s="1050"/>
      <c r="AJ12" s="1050"/>
      <c r="AK12" s="1050"/>
    </row>
    <row r="13" spans="2:42" ht="16.5" thickBot="1" x14ac:dyDescent="0.3">
      <c r="B13"/>
      <c r="C13"/>
      <c r="E13"/>
      <c r="H13"/>
      <c r="I13"/>
      <c r="J13"/>
      <c r="K13"/>
      <c r="L13"/>
      <c r="O13"/>
      <c r="P13"/>
      <c r="Q13"/>
      <c r="R13"/>
      <c r="S13"/>
      <c r="T13"/>
      <c r="U13"/>
      <c r="V13"/>
      <c r="W13"/>
      <c r="Z13" s="219"/>
      <c r="AA13" s="219"/>
      <c r="AB13" s="219"/>
      <c r="AC13" s="219"/>
      <c r="AD13" s="219"/>
      <c r="AE13" s="219"/>
      <c r="AF13" s="219"/>
      <c r="AG13" s="219"/>
      <c r="AH13" s="219"/>
      <c r="AI13" s="219"/>
      <c r="AJ13" s="219"/>
      <c r="AK13" s="219"/>
    </row>
    <row r="14" spans="2:42" x14ac:dyDescent="0.25">
      <c r="B14"/>
      <c r="C14"/>
      <c r="E14"/>
      <c r="H14"/>
      <c r="I14"/>
      <c r="J14"/>
      <c r="K14"/>
      <c r="L14"/>
      <c r="O14"/>
      <c r="P14"/>
      <c r="Q14"/>
      <c r="R14"/>
      <c r="S14"/>
      <c r="T14"/>
      <c r="U14"/>
      <c r="V14"/>
      <c r="W14"/>
      <c r="Z14" s="1255" t="s">
        <v>573</v>
      </c>
      <c r="AA14" s="1256"/>
      <c r="AB14" s="1256"/>
      <c r="AC14" s="1256"/>
      <c r="AD14" s="7" t="s">
        <v>249</v>
      </c>
      <c r="AE14" s="1257" t="s">
        <v>574</v>
      </c>
      <c r="AF14" s="1258"/>
      <c r="AG14" s="1258"/>
      <c r="AH14" s="1258"/>
      <c r="AI14" s="1259"/>
      <c r="AJ14" s="8" t="s">
        <v>575</v>
      </c>
      <c r="AK14" s="220"/>
    </row>
    <row r="15" spans="2:42" x14ac:dyDescent="0.25">
      <c r="B15"/>
      <c r="C15"/>
      <c r="E15"/>
      <c r="H15"/>
      <c r="I15"/>
      <c r="J15"/>
      <c r="K15"/>
      <c r="L15"/>
      <c r="O15"/>
      <c r="P15"/>
      <c r="Q15"/>
      <c r="R15"/>
      <c r="S15"/>
      <c r="T15"/>
      <c r="U15"/>
      <c r="V15"/>
      <c r="W15"/>
      <c r="Z15" s="231"/>
      <c r="AA15" s="232"/>
      <c r="AB15" s="232"/>
      <c r="AC15" s="232"/>
      <c r="AD15" s="233"/>
      <c r="AE15" s="234"/>
      <c r="AF15" s="235"/>
      <c r="AG15" s="235"/>
      <c r="AH15" s="235"/>
      <c r="AI15" s="236"/>
      <c r="AJ15" s="13"/>
      <c r="AK15" s="220"/>
    </row>
    <row r="16" spans="2:42" ht="15.75" thickBot="1" x14ac:dyDescent="0.3">
      <c r="C16" s="9"/>
      <c r="E16"/>
      <c r="F16" s="361"/>
      <c r="H16"/>
      <c r="I16" s="4"/>
      <c r="J16" s="5"/>
      <c r="L16" s="4"/>
      <c r="M16" s="6"/>
      <c r="W16"/>
      <c r="Z16" s="10" t="s">
        <v>576</v>
      </c>
      <c r="AA16" s="11" t="s">
        <v>577</v>
      </c>
      <c r="AB16" s="11" t="s">
        <v>578</v>
      </c>
      <c r="AC16" s="11" t="s">
        <v>579</v>
      </c>
      <c r="AD16" s="12" t="s">
        <v>580</v>
      </c>
      <c r="AE16" s="14"/>
      <c r="AF16" s="15"/>
      <c r="AG16" s="15"/>
      <c r="AH16" s="15"/>
      <c r="AI16" s="16"/>
      <c r="AJ16" s="13"/>
      <c r="AK16" s="220"/>
    </row>
    <row r="17" spans="1:38" s="355" customFormat="1" ht="40.5" customHeight="1" x14ac:dyDescent="0.25">
      <c r="A17" s="359"/>
      <c r="B17" s="1011" t="s">
        <v>581</v>
      </c>
      <c r="C17" s="1011" t="s">
        <v>582</v>
      </c>
      <c r="D17" s="1011" t="s">
        <v>583</v>
      </c>
      <c r="E17" s="1011" t="s">
        <v>584</v>
      </c>
      <c r="F17" s="1011" t="s">
        <v>585</v>
      </c>
      <c r="G17" s="1012" t="s">
        <v>586</v>
      </c>
      <c r="H17" s="1012" t="s">
        <v>587</v>
      </c>
      <c r="I17" s="1012" t="s">
        <v>588</v>
      </c>
      <c r="J17" s="1012" t="s">
        <v>589</v>
      </c>
      <c r="K17" s="1012" t="s">
        <v>590</v>
      </c>
      <c r="L17" s="1013" t="s">
        <v>591</v>
      </c>
      <c r="M17" s="1014" t="s">
        <v>592</v>
      </c>
      <c r="N17" s="1014" t="s">
        <v>593</v>
      </c>
      <c r="O17" s="1015" t="s">
        <v>594</v>
      </c>
      <c r="P17" s="1016" t="s">
        <v>595</v>
      </c>
      <c r="Q17" s="1017" t="s">
        <v>596</v>
      </c>
      <c r="R17" s="1017" t="s">
        <v>597</v>
      </c>
      <c r="S17" s="1017" t="s">
        <v>598</v>
      </c>
      <c r="T17" s="1017" t="s">
        <v>599</v>
      </c>
      <c r="U17" s="1018" t="s">
        <v>600</v>
      </c>
      <c r="V17" s="1018" t="s">
        <v>601</v>
      </c>
      <c r="W17" s="1018" t="s">
        <v>602</v>
      </c>
      <c r="X17" s="1018" t="s">
        <v>603</v>
      </c>
      <c r="Y17" s="1018" t="s">
        <v>604</v>
      </c>
      <c r="Z17" s="1020" t="s">
        <v>605</v>
      </c>
      <c r="AA17" s="1020" t="s">
        <v>606</v>
      </c>
      <c r="AB17" s="1020" t="s">
        <v>607</v>
      </c>
      <c r="AC17" s="1020" t="s">
        <v>608</v>
      </c>
      <c r="AD17" s="1020" t="s">
        <v>609</v>
      </c>
      <c r="AE17" s="1020" t="s">
        <v>610</v>
      </c>
      <c r="AF17" s="1020" t="s">
        <v>611</v>
      </c>
      <c r="AG17" s="1020" t="s">
        <v>612</v>
      </c>
      <c r="AH17" s="1020" t="s">
        <v>613</v>
      </c>
      <c r="AI17" s="1019" t="s">
        <v>614</v>
      </c>
      <c r="AJ17" s="1051" t="s">
        <v>615</v>
      </c>
      <c r="AK17" s="1052" t="s">
        <v>616</v>
      </c>
      <c r="AL17" s="1021" t="s">
        <v>617</v>
      </c>
    </row>
    <row r="18" spans="1:38" x14ac:dyDescent="0.25">
      <c r="B18" s="793" t="s">
        <v>618</v>
      </c>
      <c r="C18" s="26" t="s">
        <v>619</v>
      </c>
      <c r="D18" s="27" t="s">
        <v>620</v>
      </c>
      <c r="E18" s="1047" t="s">
        <v>621</v>
      </c>
      <c r="F18" s="363" t="s">
        <v>245</v>
      </c>
      <c r="G18" s="21" t="s">
        <v>622</v>
      </c>
      <c r="H18" s="21" t="s">
        <v>232</v>
      </c>
      <c r="I18" s="18" t="s">
        <v>623</v>
      </c>
      <c r="J18" s="19" t="s">
        <v>624</v>
      </c>
      <c r="K18" s="18" t="s">
        <v>625</v>
      </c>
      <c r="L18" s="781">
        <v>5</v>
      </c>
      <c r="M18" s="779">
        <v>5</v>
      </c>
      <c r="N18" s="780">
        <v>5</v>
      </c>
      <c r="O18" s="775" t="s">
        <v>626</v>
      </c>
      <c r="P18" s="22" t="s">
        <v>627</v>
      </c>
      <c r="Q18" s="24" t="s">
        <v>628</v>
      </c>
      <c r="R18" s="24" t="s">
        <v>48</v>
      </c>
      <c r="S18" s="24" t="s">
        <v>51</v>
      </c>
      <c r="T18" s="850">
        <v>2000</v>
      </c>
      <c r="U18" s="22" t="s">
        <v>627</v>
      </c>
      <c r="V18" s="24" t="s">
        <v>628</v>
      </c>
      <c r="W18" s="24" t="s">
        <v>48</v>
      </c>
      <c r="X18" s="24" t="s">
        <v>51</v>
      </c>
      <c r="Y18" s="850">
        <v>2000</v>
      </c>
      <c r="Z18" s="275" t="s">
        <v>629</v>
      </c>
      <c r="AA18" s="277" t="s">
        <v>629</v>
      </c>
      <c r="AB18" s="277" t="s">
        <v>629</v>
      </c>
      <c r="AC18" s="277" t="s">
        <v>629</v>
      </c>
      <c r="AD18" s="277" t="s">
        <v>629</v>
      </c>
      <c r="AE18" s="275" t="s">
        <v>576</v>
      </c>
      <c r="AF18" s="277" t="s">
        <v>577</v>
      </c>
      <c r="AG18" s="277" t="s">
        <v>578</v>
      </c>
      <c r="AH18" s="276" t="s">
        <v>630</v>
      </c>
      <c r="AI18" s="275"/>
      <c r="AJ18" s="275" t="s">
        <v>631</v>
      </c>
      <c r="AK18" s="1022" t="s">
        <v>629</v>
      </c>
      <c r="AL18" s="1023" t="s">
        <v>618</v>
      </c>
    </row>
    <row r="19" spans="1:38" x14ac:dyDescent="0.25">
      <c r="B19" s="793" t="s">
        <v>632</v>
      </c>
      <c r="C19" s="26" t="s">
        <v>633</v>
      </c>
      <c r="D19" s="27" t="s">
        <v>634</v>
      </c>
      <c r="E19" s="1047" t="s">
        <v>635</v>
      </c>
      <c r="F19" s="362" t="s">
        <v>230</v>
      </c>
      <c r="G19" s="17" t="s">
        <v>622</v>
      </c>
      <c r="H19" s="17" t="s">
        <v>232</v>
      </c>
      <c r="I19" s="25" t="s">
        <v>307</v>
      </c>
      <c r="J19" s="19" t="s">
        <v>636</v>
      </c>
      <c r="K19" s="18" t="s">
        <v>637</v>
      </c>
      <c r="L19" s="782">
        <v>5</v>
      </c>
      <c r="M19" s="777">
        <v>5</v>
      </c>
      <c r="N19" s="778">
        <v>5</v>
      </c>
      <c r="O19" s="774" t="s">
        <v>626</v>
      </c>
      <c r="P19" s="20" t="s">
        <v>627</v>
      </c>
      <c r="Q19" s="23" t="s">
        <v>628</v>
      </c>
      <c r="R19" s="23" t="s">
        <v>48</v>
      </c>
      <c r="S19" s="23" t="s">
        <v>51</v>
      </c>
      <c r="T19" s="849">
        <v>2000</v>
      </c>
      <c r="U19" s="20" t="s">
        <v>638</v>
      </c>
      <c r="V19" s="23"/>
      <c r="W19" s="23" t="s">
        <v>639</v>
      </c>
      <c r="X19" s="23" t="s">
        <v>51</v>
      </c>
      <c r="Y19" s="849">
        <v>1225</v>
      </c>
      <c r="Z19" s="273" t="s">
        <v>629</v>
      </c>
      <c r="AA19" s="278" t="s">
        <v>629</v>
      </c>
      <c r="AB19" s="278" t="s">
        <v>629</v>
      </c>
      <c r="AC19" s="278" t="s">
        <v>629</v>
      </c>
      <c r="AD19" s="278" t="s">
        <v>629</v>
      </c>
      <c r="AE19" s="273" t="s">
        <v>576</v>
      </c>
      <c r="AF19" s="278" t="s">
        <v>577</v>
      </c>
      <c r="AG19" s="278" t="s">
        <v>578</v>
      </c>
      <c r="AH19" s="274" t="s">
        <v>630</v>
      </c>
      <c r="AI19" s="273"/>
      <c r="AJ19" s="273" t="s">
        <v>631</v>
      </c>
      <c r="AK19" s="1024" t="s">
        <v>629</v>
      </c>
      <c r="AL19" s="1023" t="s">
        <v>632</v>
      </c>
    </row>
    <row r="20" spans="1:38" x14ac:dyDescent="0.25">
      <c r="B20" s="793" t="s">
        <v>640</v>
      </c>
      <c r="C20" s="26" t="s">
        <v>641</v>
      </c>
      <c r="D20" s="27" t="s">
        <v>634</v>
      </c>
      <c r="E20" s="1047" t="s">
        <v>642</v>
      </c>
      <c r="F20" s="362" t="s">
        <v>230</v>
      </c>
      <c r="G20" s="17" t="s">
        <v>622</v>
      </c>
      <c r="H20" s="17" t="s">
        <v>232</v>
      </c>
      <c r="I20" s="25" t="s">
        <v>623</v>
      </c>
      <c r="J20" s="19" t="s">
        <v>624</v>
      </c>
      <c r="K20" s="18" t="s">
        <v>625</v>
      </c>
      <c r="L20" s="782">
        <v>5</v>
      </c>
      <c r="M20" s="777">
        <v>5</v>
      </c>
      <c r="N20" s="778">
        <v>5</v>
      </c>
      <c r="O20" s="774" t="s">
        <v>626</v>
      </c>
      <c r="P20" s="20" t="s">
        <v>627</v>
      </c>
      <c r="Q20" s="23" t="s">
        <v>628</v>
      </c>
      <c r="R20" s="23" t="s">
        <v>48</v>
      </c>
      <c r="S20" s="23" t="s">
        <v>51</v>
      </c>
      <c r="T20" s="849">
        <v>2000</v>
      </c>
      <c r="U20" s="20" t="s">
        <v>638</v>
      </c>
      <c r="V20" s="23"/>
      <c r="W20" s="23" t="s">
        <v>639</v>
      </c>
      <c r="X20" s="23" t="s">
        <v>51</v>
      </c>
      <c r="Y20" s="849">
        <v>1225</v>
      </c>
      <c r="Z20" s="273" t="s">
        <v>629</v>
      </c>
      <c r="AA20" s="278" t="s">
        <v>629</v>
      </c>
      <c r="AB20" s="278" t="s">
        <v>629</v>
      </c>
      <c r="AC20" s="278" t="s">
        <v>629</v>
      </c>
      <c r="AD20" s="278" t="s">
        <v>629</v>
      </c>
      <c r="AE20" s="273" t="s">
        <v>576</v>
      </c>
      <c r="AF20" s="278" t="s">
        <v>577</v>
      </c>
      <c r="AG20" s="278" t="s">
        <v>578</v>
      </c>
      <c r="AH20" s="274" t="s">
        <v>630</v>
      </c>
      <c r="AI20" s="273"/>
      <c r="AJ20" s="273" t="s">
        <v>629</v>
      </c>
      <c r="AK20" s="1024" t="s">
        <v>629</v>
      </c>
      <c r="AL20" s="1023" t="s">
        <v>640</v>
      </c>
    </row>
    <row r="21" spans="1:38" x14ac:dyDescent="0.25">
      <c r="B21" s="28" t="s">
        <v>643</v>
      </c>
      <c r="C21" s="28" t="s">
        <v>643</v>
      </c>
      <c r="D21" s="29">
        <v>11222333444</v>
      </c>
      <c r="E21" s="1048" t="s">
        <v>644</v>
      </c>
      <c r="F21" s="364" t="s">
        <v>51</v>
      </c>
      <c r="G21" s="30" t="s">
        <v>622</v>
      </c>
      <c r="H21" s="30" t="s">
        <v>232</v>
      </c>
      <c r="I21" s="30" t="s">
        <v>623</v>
      </c>
      <c r="J21" s="31" t="s">
        <v>624</v>
      </c>
      <c r="K21" s="30" t="s">
        <v>625</v>
      </c>
      <c r="L21" s="783">
        <v>5</v>
      </c>
      <c r="M21" s="779">
        <v>5</v>
      </c>
      <c r="N21" s="780">
        <v>5</v>
      </c>
      <c r="O21" s="776">
        <v>5</v>
      </c>
      <c r="P21" s="32" t="s">
        <v>645</v>
      </c>
      <c r="Q21" s="33"/>
      <c r="R21" s="33" t="s">
        <v>48</v>
      </c>
      <c r="S21" s="33" t="s">
        <v>51</v>
      </c>
      <c r="T21" s="851">
        <v>2000</v>
      </c>
      <c r="U21" s="32" t="s">
        <v>646</v>
      </c>
      <c r="V21" s="33"/>
      <c r="W21" s="33" t="s">
        <v>48</v>
      </c>
      <c r="X21" s="33" t="s">
        <v>51</v>
      </c>
      <c r="Y21" s="851">
        <v>2000</v>
      </c>
      <c r="Z21" s="275" t="s">
        <v>629</v>
      </c>
      <c r="AA21" s="277" t="s">
        <v>629</v>
      </c>
      <c r="AB21" s="277" t="s">
        <v>629</v>
      </c>
      <c r="AC21" s="277" t="s">
        <v>629</v>
      </c>
      <c r="AD21" s="277" t="s">
        <v>629</v>
      </c>
      <c r="AE21" s="275" t="s">
        <v>576</v>
      </c>
      <c r="AF21" s="277" t="s">
        <v>577</v>
      </c>
      <c r="AG21" s="277" t="s">
        <v>578</v>
      </c>
      <c r="AH21" s="276" t="s">
        <v>630</v>
      </c>
      <c r="AI21" s="275"/>
      <c r="AJ21" s="275" t="s">
        <v>629</v>
      </c>
      <c r="AK21" s="1022" t="s">
        <v>629</v>
      </c>
      <c r="AL21" s="1025" t="s">
        <v>643</v>
      </c>
    </row>
    <row r="22" spans="1:38" ht="15.75" thickBot="1" x14ac:dyDescent="0.3">
      <c r="B22" s="1026" t="s">
        <v>38</v>
      </c>
      <c r="C22" s="1027" t="s">
        <v>647</v>
      </c>
      <c r="D22" s="1028" t="s">
        <v>648</v>
      </c>
      <c r="E22" s="1049" t="s">
        <v>649</v>
      </c>
      <c r="F22" s="1029" t="s">
        <v>235</v>
      </c>
      <c r="G22" s="1030" t="s">
        <v>622</v>
      </c>
      <c r="H22" s="1030" t="s">
        <v>232</v>
      </c>
      <c r="I22" s="1031" t="s">
        <v>623</v>
      </c>
      <c r="J22" s="1032" t="s">
        <v>624</v>
      </c>
      <c r="K22" s="1033" t="s">
        <v>625</v>
      </c>
      <c r="L22" s="1034">
        <v>5</v>
      </c>
      <c r="M22" s="1035">
        <v>5</v>
      </c>
      <c r="N22" s="1036">
        <v>5</v>
      </c>
      <c r="O22" s="1037" t="s">
        <v>626</v>
      </c>
      <c r="P22" s="1038" t="s">
        <v>628</v>
      </c>
      <c r="Q22" s="1039"/>
      <c r="R22" s="1039" t="s">
        <v>48</v>
      </c>
      <c r="S22" s="1039" t="s">
        <v>51</v>
      </c>
      <c r="T22" s="1040">
        <v>2000</v>
      </c>
      <c r="U22" s="1038" t="s">
        <v>638</v>
      </c>
      <c r="V22" s="1039"/>
      <c r="W22" s="1039" t="s">
        <v>639</v>
      </c>
      <c r="X22" s="1039" t="s">
        <v>51</v>
      </c>
      <c r="Y22" s="1040">
        <v>1225</v>
      </c>
      <c r="Z22" s="1041" t="s">
        <v>629</v>
      </c>
      <c r="AA22" s="1042" t="s">
        <v>629</v>
      </c>
      <c r="AB22" s="1042" t="s">
        <v>629</v>
      </c>
      <c r="AC22" s="1042" t="s">
        <v>629</v>
      </c>
      <c r="AD22" s="1042" t="s">
        <v>629</v>
      </c>
      <c r="AE22" s="1041" t="s">
        <v>576</v>
      </c>
      <c r="AF22" s="1042" t="s">
        <v>577</v>
      </c>
      <c r="AG22" s="1042" t="s">
        <v>578</v>
      </c>
      <c r="AH22" s="1043" t="s">
        <v>630</v>
      </c>
      <c r="AI22" s="1041"/>
      <c r="AJ22" s="1041" t="s">
        <v>629</v>
      </c>
      <c r="AK22" s="1044" t="s">
        <v>629</v>
      </c>
      <c r="AL22" s="1045" t="s">
        <v>38</v>
      </c>
    </row>
    <row r="23" spans="1:38" x14ac:dyDescent="0.25">
      <c r="C23" s="9"/>
      <c r="E23"/>
      <c r="F23" s="361"/>
      <c r="H23"/>
      <c r="I23" s="4"/>
      <c r="J23" s="5"/>
      <c r="L23" s="4"/>
      <c r="M23" s="6"/>
      <c r="O23"/>
      <c r="X23" s="3"/>
    </row>
    <row r="24" spans="1:38" x14ac:dyDescent="0.25">
      <c r="C24" s="9"/>
      <c r="E24"/>
      <c r="F24" s="361"/>
      <c r="H24"/>
      <c r="I24" s="4"/>
      <c r="J24" s="5"/>
      <c r="L24" s="4"/>
      <c r="M24" s="6"/>
      <c r="O24"/>
      <c r="X24" s="3"/>
      <c r="Y24" s="3"/>
    </row>
    <row r="25" spans="1:38" x14ac:dyDescent="0.25">
      <c r="C25" s="9"/>
      <c r="E25"/>
      <c r="F25" s="361"/>
      <c r="H25"/>
      <c r="I25" s="4"/>
      <c r="J25" s="5"/>
      <c r="L25" s="4"/>
      <c r="M25" s="6"/>
      <c r="O25"/>
      <c r="X25" s="3"/>
      <c r="Y25" s="3"/>
    </row>
    <row r="26" spans="1:38" x14ac:dyDescent="0.25">
      <c r="C26" s="9"/>
      <c r="X26" s="3"/>
    </row>
    <row r="27" spans="1:38" ht="15.75" thickBot="1" x14ac:dyDescent="0.3">
      <c r="C27" s="9"/>
      <c r="H27"/>
      <c r="I27"/>
      <c r="J27"/>
      <c r="K27"/>
      <c r="X27" s="3"/>
    </row>
    <row r="28" spans="1:38" ht="47.85" customHeight="1" thickBot="1" x14ac:dyDescent="0.3">
      <c r="B28" s="1253" t="s">
        <v>650</v>
      </c>
      <c r="C28" s="1254"/>
      <c r="D28" s="1254"/>
      <c r="E28" s="1254"/>
      <c r="H28"/>
      <c r="I28"/>
      <c r="J28"/>
      <c r="K28"/>
      <c r="L28" s="4"/>
      <c r="M28" s="4"/>
      <c r="N28" s="6"/>
      <c r="O28"/>
      <c r="P28"/>
      <c r="X28" s="3"/>
      <c r="Y28" s="3"/>
      <c r="Z28" s="3"/>
    </row>
    <row r="29" spans="1:38" ht="31.5" customHeight="1" thickBot="1" x14ac:dyDescent="0.3">
      <c r="B29" s="794" t="s">
        <v>651</v>
      </c>
      <c r="C29" s="795" t="s">
        <v>652</v>
      </c>
      <c r="D29" s="796" t="s">
        <v>653</v>
      </c>
      <c r="E29" s="797" t="s">
        <v>654</v>
      </c>
      <c r="H29"/>
      <c r="I29"/>
      <c r="J29"/>
      <c r="K29"/>
      <c r="L29" s="35"/>
      <c r="M29" s="35"/>
      <c r="N29" s="36"/>
      <c r="O29"/>
      <c r="P29"/>
      <c r="X29" s="3"/>
      <c r="Y29" s="3"/>
      <c r="Z29" s="3"/>
    </row>
    <row r="30" spans="1:38" x14ac:dyDescent="0.25">
      <c r="B30" s="798" t="s">
        <v>655</v>
      </c>
      <c r="C30" s="798" t="s">
        <v>656</v>
      </c>
      <c r="D30" s="799" t="s">
        <v>657</v>
      </c>
      <c r="E30" s="800">
        <v>1</v>
      </c>
      <c r="H30"/>
      <c r="I30"/>
      <c r="J30"/>
      <c r="K30"/>
      <c r="L30" s="4"/>
      <c r="M30" s="4"/>
      <c r="N30" s="6"/>
      <c r="O30"/>
      <c r="P30"/>
      <c r="X30" s="3"/>
      <c r="Y30" s="3"/>
      <c r="Z30" s="3"/>
    </row>
    <row r="31" spans="1:38" x14ac:dyDescent="0.25">
      <c r="B31" s="801" t="s">
        <v>658</v>
      </c>
      <c r="C31" s="801" t="s">
        <v>659</v>
      </c>
      <c r="D31" s="802" t="str">
        <f>IF(dms_MultiYear_ResponseFlag="yes","NEW HISTORICAL CATEGORY ANALYSIS","CATEGORY ANALYSIS")</f>
        <v>NEW HISTORICAL CATEGORY ANALYSIS</v>
      </c>
      <c r="E31" s="803">
        <v>1</v>
      </c>
      <c r="H31"/>
      <c r="I31"/>
      <c r="J31"/>
      <c r="K31"/>
      <c r="L31" s="4"/>
      <c r="M31" s="4"/>
      <c r="N31" s="6"/>
      <c r="O31"/>
      <c r="P31"/>
      <c r="X31" s="3"/>
      <c r="Y31" s="3"/>
      <c r="Z31" s="3"/>
    </row>
    <row r="32" spans="1:38" x14ac:dyDescent="0.25">
      <c r="B32" s="801" t="s">
        <v>660</v>
      </c>
      <c r="C32" s="801" t="s">
        <v>661</v>
      </c>
      <c r="D32" s="802" t="s">
        <v>662</v>
      </c>
      <c r="E32" s="803">
        <v>5</v>
      </c>
      <c r="H32"/>
      <c r="I32"/>
      <c r="J32"/>
      <c r="K32"/>
      <c r="L32"/>
      <c r="M32" s="4"/>
      <c r="N32" s="6"/>
      <c r="O32"/>
      <c r="P32"/>
      <c r="X32" s="3"/>
      <c r="Y32" s="3"/>
      <c r="Z32" s="3"/>
    </row>
    <row r="33" spans="2:26" x14ac:dyDescent="0.25">
      <c r="B33" s="801" t="s">
        <v>663</v>
      </c>
      <c r="C33" s="801" t="s">
        <v>663</v>
      </c>
      <c r="D33" s="802" t="s">
        <v>663</v>
      </c>
      <c r="E33" s="803">
        <v>5</v>
      </c>
      <c r="H33"/>
      <c r="I33"/>
      <c r="J33"/>
      <c r="K33"/>
      <c r="L33"/>
      <c r="M33" s="4"/>
      <c r="N33" s="6"/>
      <c r="O33"/>
      <c r="P33"/>
      <c r="X33" s="3"/>
      <c r="Y33" s="3"/>
      <c r="Z33" s="3"/>
    </row>
    <row r="34" spans="2:26" x14ac:dyDescent="0.25">
      <c r="B34" s="801" t="s">
        <v>664</v>
      </c>
      <c r="C34" s="801" t="s">
        <v>665</v>
      </c>
      <c r="D34" s="802" t="str">
        <f>IF(dms_MultiYear_ResponseFlag="yes","NEW HISTORICAL ECONOMIC BENCHMARKING","ECONOMIC BENCHMARKING")</f>
        <v>NEW HISTORICAL ECONOMIC BENCHMARKING</v>
      </c>
      <c r="E34" s="804">
        <v>1</v>
      </c>
      <c r="H34"/>
      <c r="I34"/>
      <c r="J34"/>
      <c r="K34"/>
      <c r="L34"/>
      <c r="M34" s="4"/>
      <c r="N34" s="6"/>
      <c r="O34"/>
      <c r="P34"/>
      <c r="X34" s="3"/>
      <c r="Y34" s="3"/>
      <c r="Z34" s="3"/>
    </row>
    <row r="35" spans="2:26" x14ac:dyDescent="0.25">
      <c r="B35" s="801" t="s">
        <v>666</v>
      </c>
      <c r="C35" s="801" t="s">
        <v>667</v>
      </c>
      <c r="D35" s="802" t="s">
        <v>668</v>
      </c>
      <c r="E35" s="804">
        <v>5</v>
      </c>
      <c r="H35"/>
      <c r="I35"/>
      <c r="J35"/>
      <c r="K35"/>
      <c r="L35"/>
      <c r="M35" s="4"/>
      <c r="N35" s="6"/>
      <c r="O35"/>
      <c r="P35"/>
      <c r="X35" s="3"/>
      <c r="Y35" s="3"/>
      <c r="Z35" s="3"/>
    </row>
    <row r="36" spans="2:26" x14ac:dyDescent="0.25">
      <c r="B36" s="801" t="s">
        <v>489</v>
      </c>
      <c r="C36" s="801" t="s">
        <v>669</v>
      </c>
      <c r="D36" s="802" t="s">
        <v>670</v>
      </c>
      <c r="E36" s="804">
        <v>5</v>
      </c>
      <c r="H36"/>
      <c r="I36"/>
      <c r="J36"/>
      <c r="K36"/>
      <c r="L36"/>
      <c r="M36" s="4"/>
      <c r="N36" s="6"/>
      <c r="O36"/>
      <c r="P36"/>
      <c r="X36" s="3"/>
      <c r="Y36" s="3"/>
      <c r="Z36" s="3"/>
    </row>
    <row r="37" spans="2:26" x14ac:dyDescent="0.25">
      <c r="B37" s="801" t="s">
        <v>671</v>
      </c>
      <c r="C37" s="801" t="s">
        <v>672</v>
      </c>
      <c r="D37" s="802" t="s">
        <v>673</v>
      </c>
      <c r="E37" s="804">
        <v>5</v>
      </c>
      <c r="H37"/>
      <c r="I37"/>
      <c r="J37"/>
      <c r="K37"/>
      <c r="L37"/>
      <c r="M37" s="4"/>
      <c r="N37" s="6"/>
      <c r="O37"/>
      <c r="P37"/>
      <c r="X37" s="3"/>
      <c r="Y37" s="3"/>
      <c r="Z37" s="3"/>
    </row>
    <row r="38" spans="2:26" x14ac:dyDescent="0.25">
      <c r="B38" s="801" t="s">
        <v>483</v>
      </c>
      <c r="C38" s="801" t="s">
        <v>674</v>
      </c>
      <c r="D38" s="802" t="s">
        <v>675</v>
      </c>
      <c r="E38" s="804">
        <v>5</v>
      </c>
      <c r="H38"/>
      <c r="I38"/>
      <c r="J38"/>
      <c r="K38"/>
      <c r="L38"/>
      <c r="M38" s="4"/>
      <c r="N38" s="6"/>
      <c r="O38"/>
      <c r="P38"/>
      <c r="X38" s="3"/>
      <c r="Y38" s="3"/>
      <c r="Z38" s="3"/>
    </row>
    <row r="39" spans="2:26" ht="15.75" thickBot="1" x14ac:dyDescent="0.3">
      <c r="B39" s="805" t="s">
        <v>676</v>
      </c>
      <c r="C39" s="805" t="s">
        <v>677</v>
      </c>
      <c r="D39" s="806" t="s">
        <v>678</v>
      </c>
      <c r="E39" s="807">
        <v>1</v>
      </c>
      <c r="H39"/>
      <c r="I39"/>
      <c r="J39"/>
      <c r="K39"/>
      <c r="L39"/>
      <c r="M39" s="4"/>
      <c r="N39" s="6"/>
      <c r="O39"/>
      <c r="P39"/>
      <c r="X39" s="3"/>
      <c r="Y39" s="3"/>
      <c r="Z39" s="3"/>
    </row>
    <row r="40" spans="2:26" s="3" customFormat="1" x14ac:dyDescent="0.25">
      <c r="E40" s="365"/>
    </row>
    <row r="41" spans="2:26" x14ac:dyDescent="0.25">
      <c r="B41"/>
      <c r="C41" s="3"/>
      <c r="D41" s="3"/>
      <c r="E41" s="365"/>
      <c r="F41" s="3"/>
      <c r="G41" s="3"/>
      <c r="H41" s="3"/>
      <c r="I41" s="3"/>
      <c r="J41" s="3"/>
      <c r="K41" s="3"/>
      <c r="L41" s="3"/>
      <c r="O41"/>
      <c r="P41"/>
      <c r="Q41"/>
      <c r="R41"/>
      <c r="S41"/>
      <c r="T41"/>
      <c r="U41"/>
      <c r="V41"/>
    </row>
    <row r="42" spans="2:26" x14ac:dyDescent="0.25">
      <c r="C42" s="271"/>
      <c r="E42" s="360"/>
    </row>
    <row r="43" spans="2:26" ht="15.75" thickBot="1" x14ac:dyDescent="0.3">
      <c r="B43" s="377" t="s">
        <v>624</v>
      </c>
      <c r="C43" s="378" t="s">
        <v>636</v>
      </c>
      <c r="E43" s="374" t="s">
        <v>679</v>
      </c>
      <c r="G43" s="374" t="s">
        <v>680</v>
      </c>
      <c r="H43"/>
      <c r="I43" s="375" t="s">
        <v>681</v>
      </c>
    </row>
    <row r="44" spans="2:26" ht="15.75" thickBot="1" x14ac:dyDescent="0.3">
      <c r="B44" s="60" t="s">
        <v>682</v>
      </c>
      <c r="C44" s="61" t="s">
        <v>683</v>
      </c>
      <c r="D44" s="379" t="s">
        <v>684</v>
      </c>
      <c r="E44" s="384" t="str">
        <f ca="1">INDEX(INDIRECT(dms_RPT),dms_PRCP_start_row)</f>
        <v>2011-12</v>
      </c>
      <c r="F44" s="379" t="s">
        <v>685</v>
      </c>
      <c r="G44" s="384" t="str">
        <f ca="1">INDEX(INDIRECT(dms_RPT),dms_CRCP_start_row)</f>
        <v>2016-17</v>
      </c>
      <c r="H44" s="382" t="str">
        <f>FRCP_y1</f>
        <v>2021-22</v>
      </c>
      <c r="I44" s="384" t="str">
        <f ca="1">INDEX(INDIRECT(dms_RPT),dms_FRCP_start_row)</f>
        <v>2021-22</v>
      </c>
    </row>
    <row r="45" spans="2:26" x14ac:dyDescent="0.25">
      <c r="B45" s="63" t="s">
        <v>686</v>
      </c>
      <c r="C45" s="64" t="s">
        <v>687</v>
      </c>
      <c r="D45" s="380" t="s">
        <v>688</v>
      </c>
      <c r="E45" s="385" t="str">
        <f ca="1">INDEX(INDIRECT(dms_RPT),dms_PRCP_start_row+1)</f>
        <v>2012-13</v>
      </c>
      <c r="F45" s="380" t="s">
        <v>689</v>
      </c>
      <c r="G45" s="386" t="str">
        <f ca="1">INDEX(INDIRECT(dms_RPT),dms_CRCP_start_row+1)</f>
        <v>2017-18</v>
      </c>
      <c r="H45" s="383" t="s">
        <v>690</v>
      </c>
      <c r="I45" s="386" t="str">
        <f ca="1">INDEX(INDIRECT(dms_RPT),dms_FRCP_start_row+1)</f>
        <v>2022-23</v>
      </c>
    </row>
    <row r="46" spans="2:26" x14ac:dyDescent="0.25">
      <c r="B46" s="63" t="s">
        <v>691</v>
      </c>
      <c r="C46" s="64" t="s">
        <v>692</v>
      </c>
      <c r="D46" s="380" t="s">
        <v>693</v>
      </c>
      <c r="E46" s="386" t="str">
        <f ca="1">INDEX(INDIRECT(dms_RPT),dms_PRCP_start_row+2)</f>
        <v>2013-14</v>
      </c>
      <c r="F46" s="380" t="s">
        <v>694</v>
      </c>
      <c r="G46" s="386" t="str">
        <f ca="1">INDEX(INDIRECT(dms_RPT),dms_CRCP_start_row+2)</f>
        <v>2018-19</v>
      </c>
      <c r="H46" s="380" t="s">
        <v>695</v>
      </c>
      <c r="I46" s="386" t="str">
        <f ca="1">INDEX(INDIRECT(dms_RPT),dms_FRCP_start_row+2)</f>
        <v>2023-24</v>
      </c>
    </row>
    <row r="47" spans="2:26" x14ac:dyDescent="0.25">
      <c r="B47" s="63" t="s">
        <v>696</v>
      </c>
      <c r="C47" s="64" t="s">
        <v>697</v>
      </c>
      <c r="D47" s="380" t="s">
        <v>698</v>
      </c>
      <c r="E47" s="386" t="str">
        <f ca="1">INDEX(INDIRECT(dms_RPT),dms_PRCP_start_row+3)</f>
        <v>2014-15</v>
      </c>
      <c r="F47" s="380" t="s">
        <v>699</v>
      </c>
      <c r="G47" s="386" t="str">
        <f ca="1">INDEX(INDIRECT(dms_RPT),dms_CRCP_start_row+3)</f>
        <v>2019-20</v>
      </c>
      <c r="H47" s="380" t="s">
        <v>700</v>
      </c>
      <c r="I47" s="386" t="str">
        <f ca="1">INDEX(INDIRECT(dms_RPT),dms_FRCP_start_row+3)</f>
        <v>2024-25</v>
      </c>
    </row>
    <row r="48" spans="2:26" x14ac:dyDescent="0.25">
      <c r="B48" s="63" t="s">
        <v>701</v>
      </c>
      <c r="C48" s="64" t="s">
        <v>702</v>
      </c>
      <c r="D48" s="380" t="s">
        <v>703</v>
      </c>
      <c r="E48" s="386" t="str">
        <f ca="1">INDEX(INDIRECT(dms_RPT),dms_PRCP_start_row+4)</f>
        <v>2015-16</v>
      </c>
      <c r="F48" s="380" t="s">
        <v>704</v>
      </c>
      <c r="G48" s="386" t="str">
        <f ca="1">INDEX(INDIRECT(dms_RPT),dms_CRCP_start_row+4)</f>
        <v>2020-21</v>
      </c>
      <c r="H48" s="380" t="s">
        <v>705</v>
      </c>
      <c r="I48" s="386" t="str">
        <f ca="1">INDEX(INDIRECT(dms_RPT),dms_FRCP_start_row+4)</f>
        <v>2025-26</v>
      </c>
    </row>
    <row r="49" spans="2:12" x14ac:dyDescent="0.25">
      <c r="B49" s="63" t="s">
        <v>706</v>
      </c>
      <c r="C49" s="64" t="s">
        <v>707</v>
      </c>
      <c r="D49" s="380" t="s">
        <v>708</v>
      </c>
      <c r="E49" s="386" t="str">
        <f ca="1">INDEX(INDIRECT(dms_RPT),dms_PRCP_start_row+5)</f>
        <v>2016-17</v>
      </c>
      <c r="F49" s="380" t="s">
        <v>709</v>
      </c>
      <c r="G49" s="386" t="str">
        <f ca="1">INDEX(INDIRECT(dms_RPT),dms_CRCP_start_row+5)</f>
        <v>2021-22</v>
      </c>
      <c r="H49" s="380" t="s">
        <v>710</v>
      </c>
      <c r="I49" s="386" t="str">
        <f ca="1">INDEX(INDIRECT(dms_RPT),dms_FRCP_start_row+5)</f>
        <v>2026-27</v>
      </c>
    </row>
    <row r="50" spans="2:12" x14ac:dyDescent="0.25">
      <c r="B50" s="63" t="s">
        <v>711</v>
      </c>
      <c r="C50" s="64" t="s">
        <v>712</v>
      </c>
      <c r="D50" s="380" t="s">
        <v>713</v>
      </c>
      <c r="E50" s="386" t="str">
        <f ca="1">INDEX(INDIRECT(dms_RPT),dms_PRCP_start_row+6)</f>
        <v>2017-18</v>
      </c>
      <c r="F50" s="380" t="s">
        <v>714</v>
      </c>
      <c r="G50" s="386" t="str">
        <f ca="1">INDEX(INDIRECT(dms_RPT),dms_CRCP_start_row+6)</f>
        <v>2022-23</v>
      </c>
      <c r="H50" s="380" t="s">
        <v>715</v>
      </c>
      <c r="I50" s="386" t="str">
        <f ca="1">INDEX(INDIRECT(dms_RPT),dms_FRCP_start_row+6)</f>
        <v>2027-28</v>
      </c>
    </row>
    <row r="51" spans="2:12" x14ac:dyDescent="0.25">
      <c r="B51" s="63" t="s">
        <v>716</v>
      </c>
      <c r="C51" s="64" t="s">
        <v>717</v>
      </c>
      <c r="D51" s="380" t="s">
        <v>718</v>
      </c>
      <c r="E51" s="386" t="str">
        <f ca="1">INDEX(INDIRECT(dms_RPT),dms_PRCP_start_row+7)</f>
        <v>2018-19</v>
      </c>
      <c r="F51" s="380" t="s">
        <v>719</v>
      </c>
      <c r="G51" s="386" t="str">
        <f ca="1">INDEX(INDIRECT(dms_RPT),dms_CRCP_start_row+7)</f>
        <v>2023-24</v>
      </c>
      <c r="H51" s="380" t="s">
        <v>720</v>
      </c>
      <c r="I51" s="386" t="str">
        <f ca="1">INDEX(INDIRECT(dms_RPT),dms_FRCP_start_row+7)</f>
        <v>2028-29</v>
      </c>
      <c r="J51"/>
      <c r="K51"/>
      <c r="L51"/>
    </row>
    <row r="52" spans="2:12" x14ac:dyDescent="0.25">
      <c r="B52" s="63" t="s">
        <v>721</v>
      </c>
      <c r="C52" s="64" t="s">
        <v>722</v>
      </c>
      <c r="D52" s="380" t="s">
        <v>723</v>
      </c>
      <c r="E52" s="386" t="str">
        <f ca="1">INDEX(INDIRECT(dms_RPT),dms_PRCP_start_row+8)</f>
        <v>2019-20</v>
      </c>
      <c r="F52" s="380" t="s">
        <v>724</v>
      </c>
      <c r="G52" s="386" t="str">
        <f ca="1">INDEX(INDIRECT(dms_RPT),dms_CRCP_start_row+8)</f>
        <v>2024-25</v>
      </c>
      <c r="H52" s="380" t="s">
        <v>725</v>
      </c>
      <c r="I52" s="386" t="str">
        <f ca="1">INDEX(INDIRECT(dms_RPT),dms_FRCP_start_row+8)</f>
        <v>2029-30</v>
      </c>
      <c r="J52"/>
      <c r="K52"/>
      <c r="L52"/>
    </row>
    <row r="53" spans="2:12" x14ac:dyDescent="0.25">
      <c r="B53" s="63" t="s">
        <v>726</v>
      </c>
      <c r="C53" s="64" t="s">
        <v>727</v>
      </c>
      <c r="D53" s="380" t="s">
        <v>728</v>
      </c>
      <c r="E53" s="386" t="str">
        <f ca="1">INDEX(INDIRECT(dms_RPT),dms_PRCP_start_row+9)</f>
        <v>2020-21</v>
      </c>
      <c r="F53" s="380" t="s">
        <v>729</v>
      </c>
      <c r="G53" s="386" t="str">
        <f ca="1">INDEX(INDIRECT(dms_RPT),dms_CRCP_start_row+9)</f>
        <v>2025-26</v>
      </c>
      <c r="H53" s="380" t="s">
        <v>730</v>
      </c>
      <c r="I53" s="386" t="str">
        <f ca="1">INDEX(INDIRECT(dms_RPT),dms_FRCP_start_row+9)</f>
        <v>2030-31</v>
      </c>
      <c r="J53"/>
      <c r="K53"/>
      <c r="L53"/>
    </row>
    <row r="54" spans="2:12" x14ac:dyDescent="0.25">
      <c r="B54" s="63" t="s">
        <v>731</v>
      </c>
      <c r="C54" s="64" t="s">
        <v>732</v>
      </c>
      <c r="D54" s="380" t="s">
        <v>733</v>
      </c>
      <c r="E54" s="386" t="str">
        <f ca="1">INDEX(INDIRECT(dms_RPT),dms_PRCP_start_row+10)</f>
        <v>2021-22</v>
      </c>
      <c r="F54" s="380" t="s">
        <v>734</v>
      </c>
      <c r="G54" s="386" t="str">
        <f ca="1">INDEX(INDIRECT(dms_RPT),dms_CRCP_start_row+10)</f>
        <v>2026-27</v>
      </c>
      <c r="H54" s="380" t="s">
        <v>735</v>
      </c>
      <c r="I54" s="386" t="str">
        <f ca="1">INDEX(INDIRECT(dms_RPT),dms_FRCP_start_row+10)</f>
        <v>2031-32</v>
      </c>
      <c r="J54"/>
      <c r="K54"/>
      <c r="L54"/>
    </row>
    <row r="55" spans="2:12" x14ac:dyDescent="0.25">
      <c r="B55" s="63" t="s">
        <v>736</v>
      </c>
      <c r="C55" s="64" t="s">
        <v>737</v>
      </c>
      <c r="D55" s="380" t="s">
        <v>738</v>
      </c>
      <c r="E55" s="386" t="str">
        <f ca="1">INDEX(INDIRECT(dms_RPT),dms_PRCP_start_row+11)</f>
        <v>2022-23</v>
      </c>
      <c r="F55" s="380" t="s">
        <v>739</v>
      </c>
      <c r="G55" s="386" t="str">
        <f ca="1">INDEX(INDIRECT(dms_RPT),dms_CRCP_start_row+11)</f>
        <v>2027-28</v>
      </c>
      <c r="H55" s="380" t="s">
        <v>740</v>
      </c>
      <c r="I55" s="386" t="str">
        <f ca="1">INDEX(INDIRECT(dms_RPT),dms_FRCP_start_row+11)</f>
        <v>2032-33</v>
      </c>
      <c r="J55"/>
      <c r="K55"/>
      <c r="L55"/>
    </row>
    <row r="56" spans="2:12" x14ac:dyDescent="0.25">
      <c r="B56" s="63" t="s">
        <v>741</v>
      </c>
      <c r="C56" s="64" t="s">
        <v>742</v>
      </c>
      <c r="D56" s="380" t="s">
        <v>743</v>
      </c>
      <c r="E56" s="386" t="str">
        <f ca="1">INDEX(INDIRECT(dms_RPT),dms_PRCP_start_row+12)</f>
        <v>2023-24</v>
      </c>
      <c r="F56" s="380" t="s">
        <v>744</v>
      </c>
      <c r="G56" s="386" t="str">
        <f ca="1">INDEX(INDIRECT(dms_RPT),dms_CRCP_start_row+12)</f>
        <v>2028-29</v>
      </c>
      <c r="H56" s="380" t="s">
        <v>745</v>
      </c>
      <c r="I56" s="386" t="str">
        <f ca="1">INDEX(INDIRECT(dms_RPT),dms_FRCP_start_row+12)</f>
        <v>2033-34</v>
      </c>
      <c r="J56"/>
      <c r="K56"/>
      <c r="L56"/>
    </row>
    <row r="57" spans="2:12" x14ac:dyDescent="0.25">
      <c r="B57" s="63" t="s">
        <v>746</v>
      </c>
      <c r="C57" s="64" t="s">
        <v>747</v>
      </c>
      <c r="D57" s="380" t="s">
        <v>748</v>
      </c>
      <c r="E57" s="386" t="str">
        <f ca="1">INDEX(INDIRECT(dms_RPT),dms_PRCP_start_row+13)</f>
        <v>2024-25</v>
      </c>
      <c r="F57" s="380" t="s">
        <v>749</v>
      </c>
      <c r="G57" s="386" t="str">
        <f ca="1">INDEX(INDIRECT(dms_RPT),dms_CRCP_start_row+13)</f>
        <v>2029-30</v>
      </c>
      <c r="H57" s="380" t="s">
        <v>750</v>
      </c>
      <c r="I57" s="386" t="str">
        <f ca="1">INDEX(INDIRECT(dms_RPT),dms_FRCP_start_row+13)</f>
        <v>2034-35</v>
      </c>
      <c r="J57"/>
      <c r="K57"/>
      <c r="L57"/>
    </row>
    <row r="58" spans="2:12" x14ac:dyDescent="0.25">
      <c r="B58" s="63" t="s">
        <v>751</v>
      </c>
      <c r="C58" s="64" t="s">
        <v>752</v>
      </c>
      <c r="D58" s="380" t="s">
        <v>753</v>
      </c>
      <c r="E58" s="386" t="str">
        <f ca="1">INDEX(INDIRECT(dms_RPT),dms_PRCP_start_row+14)</f>
        <v>2025-26</v>
      </c>
      <c r="F58" s="380" t="s">
        <v>754</v>
      </c>
      <c r="G58" s="386" t="str">
        <f ca="1">INDEX(INDIRECT(dms_RPT),dms_CRCP_start_row+14)</f>
        <v>2030-31</v>
      </c>
      <c r="H58" s="380" t="s">
        <v>755</v>
      </c>
      <c r="I58" s="386" t="str">
        <f ca="1">INDEX(INDIRECT(dms_RPT),dms_FRCP_start_row+14)</f>
        <v>2035-36</v>
      </c>
      <c r="J58"/>
      <c r="K58"/>
      <c r="L58"/>
    </row>
    <row r="59" spans="2:12" ht="15.75" thickBot="1" x14ac:dyDescent="0.3">
      <c r="B59" s="63" t="s">
        <v>756</v>
      </c>
      <c r="C59" s="64" t="s">
        <v>757</v>
      </c>
      <c r="D59" s="381" t="s">
        <v>758</v>
      </c>
      <c r="E59" s="387" t="str">
        <f ca="1">INDEX(INDIRECT(dms_RPT),dms_PRCP_start_row+15)</f>
        <v>2026-27</v>
      </c>
      <c r="F59" s="381" t="s">
        <v>759</v>
      </c>
      <c r="G59" s="387" t="str">
        <f ca="1">INDEX(INDIRECT(dms_RPT),dms_CRCP_start_row+15)</f>
        <v>2031-32</v>
      </c>
      <c r="H59" s="381" t="s">
        <v>760</v>
      </c>
      <c r="I59" s="387" t="str">
        <f ca="1">INDEX(INDIRECT(dms_RPT),dms_FRCP_start_row+15)</f>
        <v>2036-37</v>
      </c>
      <c r="J59"/>
      <c r="K59"/>
      <c r="L59"/>
    </row>
    <row r="60" spans="2:12" x14ac:dyDescent="0.25">
      <c r="B60" s="63" t="s">
        <v>761</v>
      </c>
      <c r="C60" s="64" t="s">
        <v>762</v>
      </c>
      <c r="E60"/>
      <c r="H60"/>
      <c r="I60"/>
      <c r="J60"/>
      <c r="K60"/>
      <c r="L60"/>
    </row>
    <row r="61" spans="2:12" ht="15.75" thickBot="1" x14ac:dyDescent="0.3">
      <c r="B61" s="63" t="s">
        <v>763</v>
      </c>
      <c r="C61" s="64" t="s">
        <v>764</v>
      </c>
      <c r="E61"/>
      <c r="H61"/>
      <c r="I61"/>
      <c r="J61"/>
      <c r="K61"/>
      <c r="L61"/>
    </row>
    <row r="62" spans="2:12" x14ac:dyDescent="0.25">
      <c r="B62" s="63" t="s">
        <v>765</v>
      </c>
      <c r="C62" s="64" t="s">
        <v>766</v>
      </c>
      <c r="D62" s="812"/>
      <c r="E62" s="813" t="s">
        <v>767</v>
      </c>
      <c r="H62"/>
      <c r="I62"/>
      <c r="J62"/>
      <c r="K62"/>
      <c r="L62"/>
    </row>
    <row r="63" spans="2:12" x14ac:dyDescent="0.25">
      <c r="B63" s="63" t="s">
        <v>768</v>
      </c>
      <c r="C63" s="64" t="s">
        <v>769</v>
      </c>
      <c r="D63" s="814" t="s">
        <v>770</v>
      </c>
      <c r="E63" s="815" t="str">
        <f ca="1">IFERROR(INDEX(INDIRECT(dms_RPT),dms_CRY_start_row),0)</f>
        <v>2021-22</v>
      </c>
      <c r="H63"/>
      <c r="I63"/>
      <c r="J63"/>
      <c r="K63"/>
      <c r="L63"/>
    </row>
    <row r="64" spans="2:12" x14ac:dyDescent="0.25">
      <c r="B64" s="63" t="s">
        <v>771</v>
      </c>
      <c r="C64" s="64" t="s">
        <v>772</v>
      </c>
      <c r="D64" s="814" t="s">
        <v>773</v>
      </c>
      <c r="E64" s="815" t="str">
        <f ca="1">IFERROR(INDEX(INDIRECT(dms_RPT),dms_CRY_start_row+1),0)</f>
        <v>2022-23</v>
      </c>
      <c r="H64"/>
      <c r="I64"/>
      <c r="J64"/>
      <c r="K64"/>
      <c r="L64"/>
    </row>
    <row r="65" spans="2:12" x14ac:dyDescent="0.25">
      <c r="B65" s="63" t="s">
        <v>774</v>
      </c>
      <c r="C65" s="64" t="s">
        <v>775</v>
      </c>
      <c r="D65" s="814" t="s">
        <v>776</v>
      </c>
      <c r="E65" s="815" t="str">
        <f ca="1">IFERROR(INDEX(INDIRECT(dms_RPT),dms_CRY_start_row+2),0)</f>
        <v>2023-24</v>
      </c>
      <c r="H65"/>
      <c r="I65"/>
      <c r="J65"/>
      <c r="K65"/>
      <c r="L65"/>
    </row>
    <row r="66" spans="2:12" x14ac:dyDescent="0.25">
      <c r="B66" s="63" t="s">
        <v>777</v>
      </c>
      <c r="C66" s="64">
        <v>2010</v>
      </c>
      <c r="D66" s="814" t="s">
        <v>778</v>
      </c>
      <c r="E66" s="815" t="str">
        <f ca="1">IFERROR(INDEX(INDIRECT(dms_RPT),dms_CRY_start_row+3),0)</f>
        <v>2024-25</v>
      </c>
      <c r="H66"/>
      <c r="I66"/>
      <c r="J66"/>
      <c r="K66"/>
      <c r="L66"/>
    </row>
    <row r="67" spans="2:12" x14ac:dyDescent="0.25">
      <c r="B67" s="63" t="s">
        <v>779</v>
      </c>
      <c r="C67" s="64">
        <v>2011</v>
      </c>
      <c r="D67" s="814" t="s">
        <v>780</v>
      </c>
      <c r="E67" s="815" t="str">
        <f ca="1">IFERROR(INDEX(INDIRECT(dms_RPT),dms_CRY_start_row+4),0)</f>
        <v>2025-26</v>
      </c>
      <c r="H67"/>
      <c r="I67"/>
      <c r="J67"/>
      <c r="K67"/>
      <c r="L67"/>
    </row>
    <row r="68" spans="2:12" x14ac:dyDescent="0.25">
      <c r="B68" s="63" t="s">
        <v>781</v>
      </c>
      <c r="C68" s="64">
        <v>2012</v>
      </c>
      <c r="D68" s="814" t="s">
        <v>782</v>
      </c>
      <c r="E68" s="815" t="str">
        <f ca="1">IFERROR(INDEX(INDIRECT(dms_RPT),dms_CRY_start_row+5),0)</f>
        <v>2026-27</v>
      </c>
      <c r="H68"/>
      <c r="I68"/>
      <c r="J68"/>
      <c r="K68"/>
      <c r="L68"/>
    </row>
    <row r="69" spans="2:12" x14ac:dyDescent="0.25">
      <c r="B69" s="63" t="s">
        <v>783</v>
      </c>
      <c r="C69" s="64">
        <v>2013</v>
      </c>
      <c r="D69" s="814" t="s">
        <v>784</v>
      </c>
      <c r="E69" s="815" t="str">
        <f ca="1">IFERROR(INDEX(INDIRECT(dms_RPT),dms_CRY_start_row+6),0)</f>
        <v>2027-28</v>
      </c>
      <c r="H69"/>
      <c r="I69"/>
      <c r="J69"/>
      <c r="K69"/>
      <c r="L69"/>
    </row>
    <row r="70" spans="2:12" x14ac:dyDescent="0.25">
      <c r="B70" s="63" t="s">
        <v>785</v>
      </c>
      <c r="C70" s="64">
        <v>2014</v>
      </c>
      <c r="D70" s="814" t="s">
        <v>786</v>
      </c>
      <c r="E70" s="815" t="str">
        <f ca="1">IFERROR(INDEX(INDIRECT(dms_RPT),dms_CRY_start_row+7),0)</f>
        <v>2028-29</v>
      </c>
      <c r="H70"/>
      <c r="I70"/>
      <c r="J70"/>
      <c r="K70"/>
      <c r="L70"/>
    </row>
    <row r="71" spans="2:12" x14ac:dyDescent="0.25">
      <c r="B71" s="63" t="s">
        <v>787</v>
      </c>
      <c r="C71" s="64">
        <v>2015</v>
      </c>
      <c r="D71" s="814" t="s">
        <v>788</v>
      </c>
      <c r="E71" s="815" t="str">
        <f ca="1">IFERROR(INDEX(INDIRECT(dms_RPT),dms_CRY_start_row+8),0)</f>
        <v>2029-30</v>
      </c>
      <c r="I71" s="376"/>
    </row>
    <row r="72" spans="2:12" x14ac:dyDescent="0.25">
      <c r="B72" s="63" t="s">
        <v>789</v>
      </c>
      <c r="C72" s="64">
        <v>2016</v>
      </c>
      <c r="D72" s="814" t="s">
        <v>790</v>
      </c>
      <c r="E72" s="815" t="str">
        <f ca="1">IFERROR(INDEX(INDIRECT(dms_RPT),dms_CRY_start_row+9),0)</f>
        <v>2030-31</v>
      </c>
      <c r="I72" s="376"/>
    </row>
    <row r="73" spans="2:12" x14ac:dyDescent="0.25">
      <c r="B73" s="63" t="s">
        <v>791</v>
      </c>
      <c r="C73" s="64">
        <v>2017</v>
      </c>
      <c r="D73" s="814" t="s">
        <v>792</v>
      </c>
      <c r="E73" s="815" t="str">
        <f ca="1">IFERROR(INDEX(INDIRECT(dms_RPT),dms_CRY_start_row+10),0)</f>
        <v>2031-32</v>
      </c>
    </row>
    <row r="74" spans="2:12" x14ac:dyDescent="0.25">
      <c r="B74" s="63" t="s">
        <v>793</v>
      </c>
      <c r="C74" s="64">
        <v>2018</v>
      </c>
      <c r="D74" s="814" t="s">
        <v>794</v>
      </c>
      <c r="E74" s="815" t="str">
        <f ca="1">IFERROR(INDEX(INDIRECT(dms_RPT),dms_CRY_start_row+11),0)</f>
        <v>2032-33</v>
      </c>
    </row>
    <row r="75" spans="2:12" x14ac:dyDescent="0.25">
      <c r="B75" s="63" t="s">
        <v>795</v>
      </c>
      <c r="C75" s="64">
        <v>2019</v>
      </c>
      <c r="D75" s="814" t="s">
        <v>796</v>
      </c>
      <c r="E75" s="815" t="str">
        <f ca="1">IFERROR(INDEX(INDIRECT(dms_RPT),dms_CRY_start_row+12),0)</f>
        <v>2033-34</v>
      </c>
    </row>
    <row r="76" spans="2:12" x14ac:dyDescent="0.25">
      <c r="B76" s="63" t="s">
        <v>797</v>
      </c>
      <c r="C76" s="64">
        <v>2020</v>
      </c>
      <c r="D76" s="814" t="s">
        <v>798</v>
      </c>
      <c r="E76" s="815" t="str">
        <f ca="1">IFERROR(INDEX(INDIRECT(dms_RPT),dms_CRY_start_row+13),0)</f>
        <v>2034-35</v>
      </c>
      <c r="H76"/>
      <c r="I76"/>
    </row>
    <row r="77" spans="2:12" x14ac:dyDescent="0.25">
      <c r="B77" s="63" t="s">
        <v>799</v>
      </c>
      <c r="C77" s="64">
        <v>2021</v>
      </c>
      <c r="D77" s="814" t="s">
        <v>800</v>
      </c>
      <c r="E77" s="815" t="str">
        <f ca="1">IFERROR(INDEX(INDIRECT(dms_RPT),dms_CRY_start_row+14),0)</f>
        <v>2035-36</v>
      </c>
      <c r="H77"/>
      <c r="I77"/>
    </row>
    <row r="78" spans="2:12" ht="15.75" thickBot="1" x14ac:dyDescent="0.3">
      <c r="B78" s="63" t="s">
        <v>60</v>
      </c>
      <c r="C78" s="64">
        <v>2022</v>
      </c>
      <c r="D78" s="816" t="s">
        <v>801</v>
      </c>
      <c r="E78" s="817" t="str">
        <f ca="1">IFERROR(INDEX(INDIRECT(dms_RPT),dms_CRY_start_row+15),0)</f>
        <v>2036-37</v>
      </c>
      <c r="H78"/>
      <c r="I78"/>
    </row>
    <row r="79" spans="2:12" x14ac:dyDescent="0.25">
      <c r="B79" s="63" t="s">
        <v>802</v>
      </c>
      <c r="C79" s="64">
        <v>2023</v>
      </c>
      <c r="E79"/>
      <c r="H79"/>
      <c r="I79"/>
    </row>
    <row r="80" spans="2:12" x14ac:dyDescent="0.25">
      <c r="B80" s="63" t="s">
        <v>803</v>
      </c>
      <c r="C80" s="64">
        <v>2024</v>
      </c>
      <c r="E80"/>
      <c r="H80"/>
      <c r="I80"/>
    </row>
    <row r="81" spans="2:22" x14ac:dyDescent="0.25">
      <c r="B81" s="63" t="s">
        <v>67</v>
      </c>
      <c r="C81" s="64">
        <v>2025</v>
      </c>
      <c r="E81"/>
      <c r="H81"/>
      <c r="I81"/>
    </row>
    <row r="82" spans="2:22" x14ac:dyDescent="0.25">
      <c r="B82" s="63" t="s">
        <v>804</v>
      </c>
      <c r="C82" s="64">
        <v>2026</v>
      </c>
      <c r="E82"/>
      <c r="H82"/>
      <c r="I82"/>
    </row>
    <row r="83" spans="2:22" x14ac:dyDescent="0.25">
      <c r="B83" s="63" t="s">
        <v>805</v>
      </c>
      <c r="C83" s="64">
        <v>2027</v>
      </c>
      <c r="E83"/>
      <c r="H83"/>
      <c r="I83"/>
    </row>
    <row r="84" spans="2:22" x14ac:dyDescent="0.25">
      <c r="B84" s="63" t="s">
        <v>806</v>
      </c>
      <c r="C84" s="64">
        <v>2028</v>
      </c>
      <c r="E84"/>
      <c r="H84"/>
      <c r="I84"/>
    </row>
    <row r="85" spans="2:22" x14ac:dyDescent="0.25">
      <c r="B85" s="63" t="s">
        <v>807</v>
      </c>
      <c r="C85" s="64">
        <v>2029</v>
      </c>
      <c r="E85"/>
      <c r="H85"/>
      <c r="I85"/>
    </row>
    <row r="86" spans="2:22" x14ac:dyDescent="0.25">
      <c r="B86" s="63" t="s">
        <v>808</v>
      </c>
      <c r="C86" s="64">
        <v>2030</v>
      </c>
      <c r="E86"/>
      <c r="H86"/>
      <c r="I86"/>
    </row>
    <row r="87" spans="2:22" x14ac:dyDescent="0.25">
      <c r="B87" s="63" t="s">
        <v>809</v>
      </c>
      <c r="C87" s="64">
        <v>2031</v>
      </c>
      <c r="E87"/>
      <c r="H87"/>
      <c r="I87"/>
    </row>
    <row r="88" spans="2:22" x14ac:dyDescent="0.25">
      <c r="B88" s="63" t="s">
        <v>810</v>
      </c>
      <c r="C88" s="64">
        <v>2032</v>
      </c>
      <c r="E88"/>
      <c r="H88"/>
      <c r="I88"/>
    </row>
    <row r="89" spans="2:22" x14ac:dyDescent="0.25">
      <c r="B89" s="63" t="s">
        <v>811</v>
      </c>
      <c r="C89" s="64">
        <v>2033</v>
      </c>
      <c r="E89"/>
      <c r="H89"/>
      <c r="I89"/>
    </row>
    <row r="90" spans="2:22" x14ac:dyDescent="0.25">
      <c r="B90" s="63" t="s">
        <v>812</v>
      </c>
      <c r="C90" s="64">
        <v>2034</v>
      </c>
      <c r="E90"/>
      <c r="H90"/>
      <c r="I90"/>
    </row>
    <row r="91" spans="2:22" x14ac:dyDescent="0.25">
      <c r="B91" s="63" t="s">
        <v>813</v>
      </c>
      <c r="C91" s="64">
        <v>2035</v>
      </c>
      <c r="E91"/>
      <c r="H91"/>
      <c r="I91"/>
    </row>
    <row r="92" spans="2:22" x14ac:dyDescent="0.25">
      <c r="B92" s="63" t="s">
        <v>814</v>
      </c>
      <c r="C92" s="64">
        <v>2036</v>
      </c>
      <c r="E92"/>
      <c r="H92"/>
      <c r="I92"/>
    </row>
    <row r="93" spans="2:22" ht="15.75" thickBot="1" x14ac:dyDescent="0.3">
      <c r="B93" s="67" t="s">
        <v>815</v>
      </c>
      <c r="C93" s="68" t="s">
        <v>816</v>
      </c>
      <c r="E93" s="373"/>
    </row>
    <row r="94" spans="2:22" x14ac:dyDescent="0.25">
      <c r="B94" s="6"/>
      <c r="C94"/>
      <c r="E94" s="360"/>
      <c r="O94"/>
      <c r="P94"/>
      <c r="Q94"/>
      <c r="R94"/>
      <c r="S94"/>
      <c r="T94"/>
      <c r="U94"/>
      <c r="V94"/>
    </row>
    <row r="95" spans="2:22" x14ac:dyDescent="0.25">
      <c r="B95"/>
      <c r="C95"/>
      <c r="H95"/>
      <c r="I95"/>
      <c r="J95"/>
      <c r="K95"/>
      <c r="L95"/>
      <c r="O95"/>
      <c r="P95"/>
      <c r="Q95"/>
      <c r="R95"/>
      <c r="S95"/>
      <c r="T95"/>
      <c r="U95"/>
      <c r="V95"/>
    </row>
    <row r="96" spans="2:22" x14ac:dyDescent="0.25">
      <c r="B96"/>
      <c r="C96"/>
      <c r="H96"/>
      <c r="I96"/>
      <c r="J96"/>
      <c r="K96"/>
      <c r="L96"/>
      <c r="O96"/>
      <c r="P96"/>
      <c r="Q96"/>
      <c r="R96"/>
      <c r="S96"/>
      <c r="T96"/>
      <c r="U96"/>
      <c r="V96"/>
    </row>
    <row r="97" spans="2:12" x14ac:dyDescent="0.25">
      <c r="B97"/>
      <c r="C97"/>
      <c r="H97"/>
      <c r="I97"/>
      <c r="J97"/>
      <c r="K97"/>
      <c r="L97"/>
    </row>
  </sheetData>
  <sheetProtection algorithmName="SHA-256" hashValue="v8/3mino2M0buDU1qS/qtCvnNrbC2IJ7hVcQsw5scrw=" saltValue="fBYoQ21U1bfs1dPit943Dg==" spinCount="100000" sheet="1" objects="1" scenarios="1" formatCells="0" insertRows="0"/>
  <mergeCells count="3">
    <mergeCell ref="B28:E28"/>
    <mergeCell ref="Z14:AC14"/>
    <mergeCell ref="AE14:AI14"/>
  </mergeCells>
  <conditionalFormatting sqref="Z18:AD22">
    <cfRule type="containsText" dxfId="15" priority="9" operator="containsText" text="YES">
      <formula>NOT(ISERROR(SEARCH("YES",Z18)))</formula>
    </cfRule>
  </conditionalFormatting>
  <conditionalFormatting sqref="AJ18:AJ22">
    <cfRule type="containsText" dxfId="14" priority="8" operator="containsText" text="YES">
      <formula>NOT(ISERROR(SEARCH("YES",AJ18)))</formula>
    </cfRule>
  </conditionalFormatting>
  <conditionalFormatting sqref="AK18:AK22">
    <cfRule type="cellIs" dxfId="13" priority="6" operator="equal">
      <formula>"YES"</formula>
    </cfRule>
  </conditionalFormatting>
  <pageMargins left="0.7" right="0.7" top="0.75" bottom="0.75" header="0.3" footer="0.3"/>
  <pageSetup paperSize="9" orientation="portrait" r:id="rId1"/>
  <headerFooter>
    <oddFooter>&amp;C_x000D_&amp;1#&amp;"Aptos"&amp;10&amp;K008000 APA-INTERNAL</odd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tabColor theme="1"/>
    <pageSetUpPr autoPageBreaks="0"/>
  </sheetPr>
  <dimension ref="A1:CL153"/>
  <sheetViews>
    <sheetView showGridLines="0" zoomScaleNormal="100" workbookViewId="0">
      <selection activeCell="N33" sqref="N33"/>
    </sheetView>
  </sheetViews>
  <sheetFormatPr defaultColWidth="9.140625" defaultRowHeight="15" x14ac:dyDescent="0.25"/>
  <cols>
    <col min="1" max="1" width="36.140625" customWidth="1"/>
    <col min="2" max="2" width="44.5703125" style="4" customWidth="1"/>
    <col min="3" max="3" width="24.140625" style="4" customWidth="1"/>
    <col min="4" max="4" width="33.42578125" style="4" customWidth="1"/>
    <col min="5" max="7" width="17.140625" style="4" customWidth="1"/>
    <col min="8" max="9" width="13.140625" style="4" customWidth="1"/>
    <col min="10" max="12" width="13.85546875" customWidth="1"/>
    <col min="13" max="16384" width="9.140625" style="4"/>
  </cols>
  <sheetData>
    <row r="1" spans="1:51" customFormat="1" ht="51" customHeight="1" x14ac:dyDescent="0.25">
      <c r="B1" s="645" t="s">
        <v>817</v>
      </c>
      <c r="C1" s="644"/>
      <c r="D1" s="644"/>
      <c r="E1" s="644"/>
      <c r="F1" s="644"/>
      <c r="G1" s="644"/>
      <c r="H1" s="644"/>
      <c r="I1" s="644"/>
      <c r="J1" s="644"/>
      <c r="K1" s="644"/>
    </row>
    <row r="2" spans="1:51" customFormat="1" ht="24.75" customHeight="1" x14ac:dyDescent="0.25"/>
    <row r="3" spans="1:51" ht="20.25" x14ac:dyDescent="0.3">
      <c r="B3" s="186" t="s">
        <v>818</v>
      </c>
      <c r="C3" s="187" t="s">
        <v>819</v>
      </c>
      <c r="D3" s="111" t="s">
        <v>820</v>
      </c>
      <c r="E3" s="112"/>
      <c r="F3" s="112"/>
      <c r="G3" s="112"/>
      <c r="H3" s="112"/>
      <c r="I3" s="112"/>
      <c r="J3" s="112"/>
      <c r="K3" s="112"/>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75" thickBot="1" x14ac:dyDescent="0.3">
      <c r="B4" s="69"/>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x14ac:dyDescent="0.25">
      <c r="B5" s="701" t="s">
        <v>821</v>
      </c>
      <c r="C5" s="34"/>
      <c r="D5" s="702"/>
      <c r="E5" s="34"/>
      <c r="F5" s="34"/>
      <c r="G5" s="34"/>
      <c r="H5" s="34"/>
      <c r="I5" s="470"/>
    </row>
    <row r="6" spans="1:51" customFormat="1" x14ac:dyDescent="0.25">
      <c r="B6" s="703" t="s">
        <v>822</v>
      </c>
      <c r="D6" s="4"/>
      <c r="E6" s="4"/>
      <c r="F6" s="4"/>
      <c r="G6" s="4"/>
      <c r="H6" s="4"/>
      <c r="I6" s="704"/>
    </row>
    <row r="7" spans="1:51" customFormat="1" ht="15.75" thickBot="1" x14ac:dyDescent="0.3">
      <c r="B7" s="705" t="s">
        <v>823</v>
      </c>
      <c r="C7" s="154"/>
      <c r="D7" s="462"/>
      <c r="E7" s="462"/>
      <c r="F7" s="462"/>
      <c r="G7" s="462"/>
      <c r="H7" s="462"/>
      <c r="I7" s="706"/>
    </row>
    <row r="8" spans="1:51" customFormat="1" ht="15.75" thickBot="1" x14ac:dyDescent="0.3">
      <c r="B8" s="818"/>
      <c r="C8" s="818"/>
      <c r="D8" s="818"/>
      <c r="E8" s="818"/>
      <c r="F8" s="818"/>
      <c r="G8" s="818"/>
      <c r="H8" s="818"/>
      <c r="I8" s="818"/>
    </row>
    <row r="9" spans="1:51" customFormat="1" x14ac:dyDescent="0.25">
      <c r="A9" s="819"/>
      <c r="B9" s="667" t="s">
        <v>824</v>
      </c>
      <c r="C9" s="828" t="str">
        <f>INDEX(dms_TradingNameFull_List,MATCH(dms_TradingName,dms_TradingName_List))</f>
        <v>APT Petroleum Pipelines Limited t/a Roma to Brisbane Pipeline</v>
      </c>
      <c r="D9" s="829"/>
      <c r="E9" s="655" t="s">
        <v>825</v>
      </c>
      <c r="F9" s="657"/>
      <c r="G9" s="657"/>
      <c r="H9" s="657"/>
      <c r="I9" s="660"/>
    </row>
    <row r="10" spans="1:51" customFormat="1" x14ac:dyDescent="0.25">
      <c r="B10" s="667" t="s">
        <v>826</v>
      </c>
      <c r="C10" s="828" t="str">
        <f>dms_TradingName</f>
        <v>Roma to Brisbane Pipeline</v>
      </c>
      <c r="D10" s="829"/>
      <c r="E10" s="655"/>
      <c r="F10" s="657"/>
      <c r="G10" s="657"/>
      <c r="H10" s="657"/>
      <c r="I10" s="660"/>
    </row>
    <row r="11" spans="1:51" customFormat="1" x14ac:dyDescent="0.25">
      <c r="B11" s="667" t="s">
        <v>827</v>
      </c>
      <c r="C11" s="828" t="str" cm="1">
        <f t="array" ref="C11">INDEX(dms_UID_List,MATCH(dms_TradingName,dms_TradingName_List))</f>
        <v>GTTQLD100</v>
      </c>
      <c r="D11" s="829"/>
      <c r="E11" s="655"/>
      <c r="F11" s="657"/>
      <c r="G11" s="657"/>
      <c r="H11" s="657"/>
      <c r="I11" s="660"/>
    </row>
    <row r="12" spans="1:51" customFormat="1" x14ac:dyDescent="0.25">
      <c r="A12" s="441" t="s">
        <v>828</v>
      </c>
      <c r="B12" s="820" t="s">
        <v>829</v>
      </c>
      <c r="C12" s="821" t="s">
        <v>655</v>
      </c>
      <c r="D12" s="822" t="s">
        <v>830</v>
      </c>
      <c r="E12" s="823"/>
      <c r="F12" s="824"/>
      <c r="G12" s="824"/>
      <c r="H12" s="824"/>
      <c r="I12" s="825"/>
    </row>
    <row r="13" spans="1:51" customFormat="1" x14ac:dyDescent="0.25">
      <c r="A13" s="1264" t="s">
        <v>831</v>
      </c>
      <c r="B13" s="667" t="s">
        <v>70</v>
      </c>
      <c r="C13" s="654" t="s">
        <v>71</v>
      </c>
      <c r="D13" s="655" t="s">
        <v>832</v>
      </c>
      <c r="E13" s="656"/>
      <c r="F13" s="657"/>
      <c r="G13" s="657"/>
      <c r="H13" s="657"/>
      <c r="I13" s="660"/>
    </row>
    <row r="14" spans="1:51" customFormat="1" x14ac:dyDescent="0.25">
      <c r="A14" s="1265"/>
      <c r="B14" s="667" t="s">
        <v>833</v>
      </c>
      <c r="C14" s="654" t="str">
        <f>dms_Selected_Quality</f>
        <v>Consolidated</v>
      </c>
      <c r="D14" s="655" t="s">
        <v>834</v>
      </c>
      <c r="E14" s="1260"/>
      <c r="F14" s="1260"/>
      <c r="G14" s="1260"/>
      <c r="H14" s="1260"/>
      <c r="I14" s="1261"/>
    </row>
    <row r="15" spans="1:51" customFormat="1" x14ac:dyDescent="0.25">
      <c r="A15" s="1265"/>
      <c r="B15" s="667" t="s">
        <v>835</v>
      </c>
      <c r="C15" s="654" t="str">
        <f>dms_Selected_Status</f>
        <v>Public</v>
      </c>
      <c r="D15" s="655" t="s">
        <v>836</v>
      </c>
      <c r="E15" s="658"/>
      <c r="F15" s="658"/>
      <c r="G15" s="658"/>
      <c r="H15" s="658"/>
      <c r="I15" s="661"/>
    </row>
    <row r="16" spans="1:51" customFormat="1" ht="39" customHeight="1" x14ac:dyDescent="0.25">
      <c r="A16" s="1265"/>
      <c r="B16" s="668" t="s">
        <v>837</v>
      </c>
      <c r="C16" s="1275" t="str">
        <f>dms_Amendment_Text</f>
        <v>.</v>
      </c>
      <c r="D16" s="1275"/>
      <c r="E16" s="1275"/>
      <c r="F16" s="659" t="s">
        <v>838</v>
      </c>
      <c r="G16" s="658"/>
      <c r="H16" s="658"/>
      <c r="I16" s="661"/>
    </row>
    <row r="17" spans="1:11" customFormat="1" ht="15" customHeight="1" thickBot="1" x14ac:dyDescent="0.3">
      <c r="A17" s="1266"/>
      <c r="B17" s="669" t="s">
        <v>839</v>
      </c>
      <c r="C17" s="662" t="str">
        <f>dms_Typed_Submission_Date</f>
        <v>30/06/2026</v>
      </c>
      <c r="D17" s="663" t="s">
        <v>840</v>
      </c>
      <c r="E17" s="664"/>
      <c r="F17" s="665"/>
      <c r="G17" s="665"/>
      <c r="H17" s="665"/>
      <c r="I17" s="666"/>
    </row>
    <row r="18" spans="1:11" customFormat="1" ht="15" customHeight="1" thickBot="1" x14ac:dyDescent="0.3">
      <c r="B18" s="4"/>
      <c r="C18" s="4"/>
      <c r="D18" s="4"/>
      <c r="E18" s="4"/>
      <c r="F18" s="4"/>
      <c r="G18" s="4"/>
      <c r="H18" s="4"/>
      <c r="I18" s="4"/>
    </row>
    <row r="19" spans="1:11" customFormat="1" ht="15.75" thickBot="1" x14ac:dyDescent="0.3">
      <c r="A19" s="441" t="s">
        <v>841</v>
      </c>
      <c r="B19" s="670" t="s">
        <v>842</v>
      </c>
      <c r="C19" s="348" t="s">
        <v>843</v>
      </c>
      <c r="D19" s="349"/>
      <c r="E19" s="349"/>
      <c r="F19" s="349"/>
      <c r="G19" s="349"/>
      <c r="H19" s="349"/>
      <c r="I19" s="826"/>
      <c r="J19" s="154"/>
      <c r="K19" s="154"/>
    </row>
    <row r="20" spans="1:11" customFormat="1" x14ac:dyDescent="0.25">
      <c r="A20" s="1267" t="s">
        <v>844</v>
      </c>
      <c r="B20" s="671" t="s">
        <v>845</v>
      </c>
      <c r="C20" s="87" t="str">
        <f>dms_Selected_Quality</f>
        <v>Consolidated</v>
      </c>
      <c r="D20" s="150" t="s">
        <v>846</v>
      </c>
      <c r="E20" s="84" t="s">
        <v>847</v>
      </c>
      <c r="F20" s="85"/>
      <c r="G20" s="85"/>
      <c r="H20" s="85"/>
      <c r="I20" s="85"/>
      <c r="J20" s="177"/>
      <c r="K20" s="178"/>
    </row>
    <row r="21" spans="1:11" s="35" customFormat="1" x14ac:dyDescent="0.25">
      <c r="A21" s="1268"/>
      <c r="B21" s="672" t="s">
        <v>201</v>
      </c>
      <c r="C21" s="77" t="str">
        <f>INDEX(dms_Sector_List,MATCH(dms_TradingName,dms_TradingName_List))</f>
        <v>Gas</v>
      </c>
      <c r="D21" s="103" t="s">
        <v>848</v>
      </c>
      <c r="E21" s="75" t="s">
        <v>849</v>
      </c>
      <c r="F21" s="76"/>
      <c r="G21" s="76"/>
      <c r="H21" s="76"/>
      <c r="I21" s="76"/>
      <c r="J21" s="173"/>
      <c r="K21" s="174"/>
    </row>
    <row r="22" spans="1:11" customFormat="1" x14ac:dyDescent="0.25">
      <c r="A22" s="1268"/>
      <c r="B22" s="672" t="s">
        <v>202</v>
      </c>
      <c r="C22" s="74" t="str">
        <f>INDEX(dms_Segment_List,MATCH(dms_TradingName,dms_TradingName_List))</f>
        <v>Transmission</v>
      </c>
      <c r="D22" s="103" t="s">
        <v>850</v>
      </c>
      <c r="E22" s="75" t="s">
        <v>851</v>
      </c>
      <c r="F22" s="76"/>
      <c r="G22" s="76"/>
      <c r="H22" s="76"/>
      <c r="I22" s="76"/>
      <c r="J22" s="173"/>
      <c r="K22" s="174"/>
    </row>
    <row r="23" spans="1:11" customFormat="1" x14ac:dyDescent="0.25">
      <c r="A23" s="1268"/>
      <c r="B23" s="672" t="s">
        <v>852</v>
      </c>
      <c r="C23" s="77" t="str">
        <f>dms_RYE_result</f>
        <v>2025</v>
      </c>
      <c r="D23" s="103" t="s">
        <v>853</v>
      </c>
      <c r="E23" s="75" t="s">
        <v>854</v>
      </c>
      <c r="F23" s="76"/>
      <c r="G23" s="76"/>
      <c r="H23" s="76"/>
      <c r="I23" s="76"/>
      <c r="J23" s="173"/>
      <c r="K23" s="174"/>
    </row>
    <row r="24" spans="1:11" customFormat="1" x14ac:dyDescent="0.25">
      <c r="A24" s="1268"/>
      <c r="B24" s="672" t="s">
        <v>855</v>
      </c>
      <c r="C24" s="74" t="str">
        <f>INDEX(dms_RPT_List,MATCH(dms_TradingName,dms_TradingName_List))</f>
        <v>Financial</v>
      </c>
      <c r="D24" s="103" t="s">
        <v>856</v>
      </c>
      <c r="E24" s="75" t="s">
        <v>857</v>
      </c>
      <c r="F24" s="76"/>
      <c r="G24" s="76"/>
      <c r="H24" s="76"/>
      <c r="I24" s="76"/>
      <c r="J24" s="173"/>
      <c r="K24" s="174"/>
    </row>
    <row r="25" spans="1:11" x14ac:dyDescent="0.25">
      <c r="A25" s="1268"/>
      <c r="B25" s="672" t="s">
        <v>858</v>
      </c>
      <c r="C25" s="98" t="s">
        <v>442</v>
      </c>
      <c r="D25" s="103" t="s">
        <v>859</v>
      </c>
      <c r="E25" s="247" t="s">
        <v>860</v>
      </c>
      <c r="F25" s="100"/>
      <c r="G25" s="100"/>
      <c r="H25" s="100"/>
      <c r="I25" s="100"/>
      <c r="J25" s="100"/>
      <c r="K25" s="101"/>
    </row>
    <row r="26" spans="1:11" customFormat="1" x14ac:dyDescent="0.25">
      <c r="A26" s="1268"/>
      <c r="B26" s="672" t="s">
        <v>861</v>
      </c>
      <c r="C26" s="74" t="s">
        <v>76</v>
      </c>
      <c r="D26" s="104" t="s">
        <v>862</v>
      </c>
      <c r="E26" s="248" t="s">
        <v>863</v>
      </c>
      <c r="F26" s="76"/>
      <c r="G26" s="76"/>
      <c r="H26" s="76"/>
      <c r="I26" s="76"/>
      <c r="J26" s="173"/>
      <c r="K26" s="174"/>
    </row>
    <row r="27" spans="1:11" customFormat="1" ht="15.75" customHeight="1" thickBot="1" x14ac:dyDescent="0.3">
      <c r="A27" s="1269"/>
      <c r="B27" s="673" t="s">
        <v>864</v>
      </c>
      <c r="C27" s="79" t="str">
        <f>INDEX(dms_JurisdictionList,MATCH(dms_TradingName,dms_TradingName_List))</f>
        <v>Qld</v>
      </c>
      <c r="D27" s="149" t="s">
        <v>865</v>
      </c>
      <c r="E27" s="80" t="s">
        <v>866</v>
      </c>
      <c r="F27" s="81"/>
      <c r="G27" s="81"/>
      <c r="H27" s="81"/>
      <c r="I27" s="81"/>
      <c r="J27" s="175"/>
      <c r="K27" s="176"/>
    </row>
    <row r="28" spans="1:11" customFormat="1" ht="22.5" customHeight="1" thickBot="1" x14ac:dyDescent="0.3">
      <c r="A28" s="1270" t="s">
        <v>867</v>
      </c>
      <c r="B28" s="755" t="s">
        <v>868</v>
      </c>
      <c r="C28" s="113"/>
      <c r="D28" s="113"/>
      <c r="E28" s="690"/>
      <c r="F28" s="691"/>
      <c r="G28" s="691"/>
      <c r="H28" s="691"/>
      <c r="I28" s="691"/>
      <c r="J28" s="691"/>
      <c r="K28" s="692"/>
    </row>
    <row r="29" spans="1:11" s="3" customFormat="1" ht="22.5" customHeight="1" x14ac:dyDescent="0.25">
      <c r="A29" s="1271"/>
      <c r="B29" s="752" t="s">
        <v>869</v>
      </c>
      <c r="C29" s="753" t="str">
        <f>IFERROR(CRY,"NO")</f>
        <v>2021-22</v>
      </c>
      <c r="D29" s="754"/>
      <c r="E29" s="698"/>
      <c r="F29" s="698"/>
      <c r="G29" s="698"/>
      <c r="H29" s="698"/>
      <c r="I29" s="698"/>
      <c r="J29" s="698"/>
      <c r="K29" s="699"/>
    </row>
    <row r="30" spans="1:11" customFormat="1" x14ac:dyDescent="0.25">
      <c r="A30" s="1271"/>
      <c r="B30" s="675" t="s">
        <v>870</v>
      </c>
      <c r="C30" s="98" t="str">
        <f>IFERROR(IF(dms_RPT="calendar",CRY-1,LEFT(CRY,4)),"CRY not present")</f>
        <v>2021</v>
      </c>
      <c r="D30" s="749" t="s">
        <v>871</v>
      </c>
      <c r="E30" s="649" t="s">
        <v>872</v>
      </c>
      <c r="F30" s="749"/>
      <c r="G30" s="749"/>
      <c r="H30" s="749"/>
      <c r="I30" s="749"/>
      <c r="J30" s="750"/>
      <c r="K30" s="751"/>
    </row>
    <row r="31" spans="1:11" customFormat="1" x14ac:dyDescent="0.25">
      <c r="A31" s="1271"/>
      <c r="B31" s="674" t="s">
        <v>873</v>
      </c>
      <c r="C31" s="74" t="str">
        <f>INDEX(dms_RPTMonth_List,MATCH(dms_TradingName,dms_TradingName_List))</f>
        <v>June</v>
      </c>
      <c r="D31" s="104" t="s">
        <v>874</v>
      </c>
      <c r="E31" s="103" t="s">
        <v>875</v>
      </c>
      <c r="F31" s="104"/>
      <c r="G31" s="104"/>
      <c r="H31" s="104"/>
      <c r="I31" s="104"/>
      <c r="J31" s="693"/>
      <c r="K31" s="694"/>
    </row>
    <row r="32" spans="1:11" customFormat="1" ht="14.25" customHeight="1" x14ac:dyDescent="0.25">
      <c r="A32" s="1271"/>
      <c r="B32" s="674" t="s">
        <v>876</v>
      </c>
      <c r="C32" s="78" t="str">
        <f>IF(dms_SingleYearModel="yes",CONCATENATE(dms_RPTMonth)&amp;" "&amp;VALUE((LEFT(CRY,2))&amp;RIGHT(CRY,2)),CONCATENATE(dms_RPTMonth)&amp;" "&amp;dms_DollarReal_year)</f>
        <v>June 2022</v>
      </c>
      <c r="D32" s="103" t="s">
        <v>877</v>
      </c>
      <c r="E32" s="103" t="s">
        <v>878</v>
      </c>
      <c r="F32" s="104"/>
      <c r="G32" s="104"/>
      <c r="H32" s="104"/>
      <c r="I32" s="104"/>
      <c r="J32" s="693"/>
      <c r="K32" s="694"/>
    </row>
    <row r="33" spans="1:90" customFormat="1" ht="24" customHeight="1" thickBot="1" x14ac:dyDescent="0.3">
      <c r="A33" s="1272"/>
      <c r="B33" s="700" t="s">
        <v>879</v>
      </c>
      <c r="C33" s="685" t="str">
        <f>IF(dms_SingleYearModel="yes",CONCATENATE(dms_RPTMonth)&amp;" "&amp;VALUE((LEFT(CRY,2))&amp;RIGHT(CRY,2)),CONCATENATE(dms_RPTMonth)&amp;" "&amp;dms_Previous_DollarReal_year)</f>
        <v>June 2022</v>
      </c>
      <c r="D33" s="149" t="s">
        <v>880</v>
      </c>
      <c r="E33" s="149" t="s">
        <v>881</v>
      </c>
      <c r="F33" s="695"/>
      <c r="G33" s="695"/>
      <c r="H33" s="695"/>
      <c r="I33" s="695"/>
      <c r="J33" s="696"/>
      <c r="K33" s="697"/>
    </row>
    <row r="34" spans="1:90" customFormat="1" ht="24" customHeight="1" thickBot="1" x14ac:dyDescent="0.3">
      <c r="B34" s="686" t="s">
        <v>882</v>
      </c>
      <c r="C34" s="687"/>
      <c r="D34" s="687"/>
      <c r="E34" s="687"/>
      <c r="F34" s="688"/>
      <c r="G34" s="688"/>
      <c r="H34" s="688"/>
      <c r="I34" s="688"/>
      <c r="J34" s="688"/>
      <c r="K34" s="689"/>
      <c r="AL34" s="1234"/>
      <c r="AM34" s="1234"/>
      <c r="AN34" s="1234"/>
      <c r="AO34" s="1234"/>
      <c r="AP34" s="1234"/>
      <c r="AQ34" s="1234"/>
      <c r="AR34" s="1234"/>
      <c r="AS34" s="1234"/>
      <c r="AT34" s="1234"/>
      <c r="AU34" s="1234"/>
      <c r="AV34" s="1234"/>
      <c r="AW34" s="1234"/>
      <c r="AX34" s="1234"/>
      <c r="AY34" s="1234"/>
      <c r="AZ34" s="1234"/>
      <c r="BA34" s="1234"/>
      <c r="BB34" s="1234"/>
      <c r="BC34" s="1234"/>
      <c r="BD34" s="1234"/>
      <c r="BE34" s="1234"/>
      <c r="BF34" s="1234"/>
      <c r="BG34" s="1234"/>
      <c r="BQ34" s="1234"/>
      <c r="BR34" s="1234"/>
      <c r="BS34" s="1234"/>
      <c r="BT34" s="1234"/>
      <c r="BU34" s="1234"/>
      <c r="BV34" s="1234"/>
      <c r="BW34" s="1234"/>
      <c r="BX34" s="1234"/>
      <c r="BY34" s="1234"/>
      <c r="BZ34" s="1234"/>
      <c r="CA34" s="1234"/>
      <c r="CB34" s="1234"/>
      <c r="CC34" s="1234"/>
      <c r="CD34" s="1234"/>
      <c r="CE34" s="1234"/>
      <c r="CF34" s="1234"/>
      <c r="CG34" s="1234"/>
      <c r="CH34" s="1234"/>
      <c r="CI34" s="1234"/>
      <c r="CJ34" s="1234"/>
      <c r="CK34" s="1234"/>
      <c r="CL34" s="1234"/>
    </row>
    <row r="35" spans="1:90" s="3" customFormat="1" ht="30.75" customHeight="1" thickBot="1" x14ac:dyDescent="0.3">
      <c r="B35" s="677" t="s">
        <v>883</v>
      </c>
      <c r="C35" s="676" t="str">
        <f>INDEX(dms_FormControl_List,MATCH(dms_TradingName,dms_TradingName_List))</f>
        <v>Tariff cap</v>
      </c>
      <c r="D35" s="649" t="s">
        <v>884</v>
      </c>
      <c r="E35" s="650" t="s">
        <v>885</v>
      </c>
      <c r="F35" s="651"/>
      <c r="G35" s="651"/>
      <c r="H35" s="651"/>
      <c r="I35" s="651"/>
      <c r="J35" s="652"/>
      <c r="K35" s="653"/>
      <c r="AL35" s="1234"/>
      <c r="AM35" s="1234"/>
      <c r="AN35" s="1234"/>
      <c r="AO35" s="1234"/>
      <c r="AP35" s="1234"/>
      <c r="AQ35" s="1234"/>
      <c r="AR35" s="1234"/>
      <c r="AS35" s="1234"/>
      <c r="AT35" s="1234"/>
      <c r="AU35" s="1234"/>
      <c r="AV35" s="1234"/>
      <c r="AW35" s="1234"/>
      <c r="AX35" s="1234"/>
      <c r="AY35" s="1234"/>
      <c r="AZ35" s="1234"/>
      <c r="BA35" s="1234"/>
      <c r="BB35" s="1234"/>
      <c r="BC35" s="1234"/>
      <c r="BD35" s="1234"/>
      <c r="BE35" s="1234"/>
      <c r="BF35" s="1234"/>
      <c r="BG35" s="1234"/>
      <c r="BQ35" s="1234"/>
      <c r="BR35" s="1234"/>
      <c r="BS35" s="1234"/>
      <c r="BT35" s="1234"/>
      <c r="BU35" s="1234"/>
      <c r="BV35" s="1234"/>
      <c r="BW35" s="1234"/>
      <c r="BX35" s="1234"/>
      <c r="BY35" s="1234"/>
      <c r="BZ35" s="1234"/>
      <c r="CA35" s="1234"/>
      <c r="CB35" s="1234"/>
      <c r="CC35" s="1234"/>
      <c r="CD35" s="1234"/>
      <c r="CE35" s="1234"/>
      <c r="CF35" s="1234"/>
      <c r="CG35" s="1234"/>
      <c r="CH35" s="1234"/>
      <c r="CI35" s="1234"/>
      <c r="CJ35" s="1234"/>
      <c r="CK35" s="1234"/>
      <c r="CL35" s="1234"/>
    </row>
    <row r="36" spans="1:90" customFormat="1" ht="24" customHeight="1" thickBot="1" x14ac:dyDescent="0.3">
      <c r="A36" s="1273" t="s">
        <v>886</v>
      </c>
      <c r="B36" s="189" t="s">
        <v>887</v>
      </c>
      <c r="C36" s="190"/>
      <c r="D36" s="690"/>
      <c r="E36" s="690"/>
      <c r="F36" s="691"/>
      <c r="G36" s="691"/>
      <c r="H36" s="691"/>
      <c r="I36" s="691"/>
      <c r="J36" s="691"/>
      <c r="K36" s="692"/>
      <c r="AL36" s="1234"/>
      <c r="AM36" s="1234"/>
      <c r="AN36" s="1234"/>
      <c r="AO36" s="1234"/>
      <c r="AP36" s="1234"/>
      <c r="AQ36" s="1234"/>
      <c r="AR36" s="1234"/>
      <c r="AS36" s="1234"/>
      <c r="AT36" s="1234"/>
      <c r="AU36" s="1234"/>
      <c r="AV36" s="1234"/>
      <c r="AW36" s="1234"/>
      <c r="AX36" s="1234"/>
      <c r="AY36" s="1234"/>
      <c r="AZ36" s="1234"/>
      <c r="BA36" s="1234"/>
      <c r="BB36" s="1234"/>
      <c r="BC36" s="1234"/>
      <c r="BD36" s="1234"/>
      <c r="BE36" s="1234"/>
      <c r="BF36" s="1234"/>
      <c r="BG36" s="1234"/>
      <c r="BQ36" s="1234"/>
      <c r="BR36" s="1234"/>
      <c r="BS36" s="1234"/>
      <c r="BT36" s="1234"/>
      <c r="BU36" s="1234"/>
      <c r="BV36" s="1234"/>
      <c r="BW36" s="1234"/>
      <c r="BX36" s="1234"/>
      <c r="BY36" s="1234"/>
      <c r="BZ36" s="1234"/>
      <c r="CA36" s="1234"/>
      <c r="CB36" s="1234"/>
      <c r="CC36" s="1234"/>
      <c r="CD36" s="1234"/>
      <c r="CE36" s="1234"/>
      <c r="CF36" s="1234"/>
      <c r="CG36" s="1234"/>
      <c r="CH36" s="1234"/>
      <c r="CI36" s="1234"/>
      <c r="CJ36" s="1234"/>
      <c r="CK36" s="1234"/>
      <c r="CL36" s="1234"/>
    </row>
    <row r="37" spans="1:90" customFormat="1" x14ac:dyDescent="0.25">
      <c r="A37" s="1274"/>
      <c r="B37" s="678" t="s">
        <v>888</v>
      </c>
      <c r="C37" s="746" t="str">
        <f>FRCP_y1</f>
        <v>2021-22</v>
      </c>
      <c r="D37" s="732" t="s">
        <v>889</v>
      </c>
      <c r="E37" s="733"/>
      <c r="F37" s="733"/>
      <c r="G37" s="733"/>
      <c r="H37" s="733"/>
      <c r="I37" s="733"/>
      <c r="J37" s="733"/>
      <c r="K37" s="734"/>
    </row>
    <row r="38" spans="1:90" customFormat="1" x14ac:dyDescent="0.25">
      <c r="A38" s="1274"/>
      <c r="B38" s="738" t="s">
        <v>890</v>
      </c>
      <c r="C38" s="808" t="str">
        <f>IFERROR(CRY,CRCP_y4)</f>
        <v>2021-22</v>
      </c>
      <c r="D38" s="809"/>
      <c r="E38" s="810"/>
      <c r="F38" s="810"/>
      <c r="G38" s="810"/>
      <c r="H38" s="810"/>
      <c r="I38" s="810"/>
      <c r="J38" s="810"/>
      <c r="K38" s="811"/>
    </row>
    <row r="39" spans="1:90" customFormat="1" x14ac:dyDescent="0.25">
      <c r="A39" s="1274"/>
      <c r="B39" s="738" t="s">
        <v>891</v>
      </c>
      <c r="C39" s="808">
        <f ca="1">IFERROR(MATCH(dms_CRY_start_year,INDIRECT(dms_RPT),0),0)</f>
        <v>35</v>
      </c>
      <c r="D39" s="809"/>
      <c r="E39" s="810"/>
      <c r="F39" s="810"/>
      <c r="G39" s="810"/>
      <c r="H39" s="810"/>
      <c r="I39" s="810"/>
      <c r="J39" s="810"/>
      <c r="K39" s="811"/>
    </row>
    <row r="40" spans="1:90" customFormat="1" x14ac:dyDescent="0.25">
      <c r="A40" s="1274"/>
      <c r="B40" s="679" t="s">
        <v>892</v>
      </c>
      <c r="C40" s="715">
        <f ca="1">MATCH(dms_start_year,INDIRECT(dms_RPT),0)</f>
        <v>35</v>
      </c>
      <c r="D40" s="729" t="s">
        <v>893</v>
      </c>
      <c r="E40" s="730"/>
      <c r="F40" s="730"/>
      <c r="G40" s="730"/>
      <c r="H40" s="730"/>
      <c r="I40" s="730"/>
      <c r="J40" s="730"/>
      <c r="K40" s="731"/>
    </row>
    <row r="41" spans="1:90" customFormat="1" x14ac:dyDescent="0.25">
      <c r="A41" s="1274"/>
      <c r="B41" s="680" t="s">
        <v>894</v>
      </c>
      <c r="C41" s="716">
        <f ca="1">dms_FRCP_start_row-dms_CRCPlength_Num</f>
        <v>30</v>
      </c>
      <c r="D41" s="722" t="s">
        <v>895</v>
      </c>
      <c r="E41" s="723"/>
      <c r="F41" s="723"/>
      <c r="G41" s="723"/>
      <c r="H41" s="723"/>
      <c r="I41" s="723"/>
      <c r="J41" s="723"/>
      <c r="K41" s="724"/>
    </row>
    <row r="42" spans="1:90" customFormat="1" x14ac:dyDescent="0.25">
      <c r="A42" s="1274"/>
      <c r="B42" s="680" t="s">
        <v>896</v>
      </c>
      <c r="C42" s="716">
        <f ca="1">dms_FRCP_start_row-dms_CRCPlength_Num-dms_PRCPlength_Num</f>
        <v>25</v>
      </c>
      <c r="D42" s="722" t="s">
        <v>897</v>
      </c>
      <c r="E42" s="723"/>
      <c r="F42" s="723"/>
      <c r="G42" s="723"/>
      <c r="H42" s="723"/>
      <c r="I42" s="723"/>
      <c r="J42" s="723"/>
      <c r="K42" s="724"/>
    </row>
    <row r="43" spans="1:90" customFormat="1" x14ac:dyDescent="0.25">
      <c r="A43" s="1274"/>
      <c r="B43" s="681" t="s">
        <v>898</v>
      </c>
      <c r="C43" s="717">
        <f ca="1">dms_FRCP_start_row+(dms_FRCPlength_Num-1)</f>
        <v>39</v>
      </c>
      <c r="D43" s="735" t="s">
        <v>899</v>
      </c>
      <c r="E43" s="736"/>
      <c r="F43" s="736"/>
      <c r="G43" s="736"/>
      <c r="H43" s="736"/>
      <c r="I43" s="736"/>
      <c r="J43" s="736"/>
      <c r="K43" s="737"/>
    </row>
    <row r="44" spans="1:90" customFormat="1" x14ac:dyDescent="0.25">
      <c r="A44" s="1274"/>
      <c r="B44" s="679" t="s">
        <v>900</v>
      </c>
      <c r="C44" s="718" t="str">
        <f ca="1">INDEX(INDIRECT(dms_RPT),dms_FRCP_start_row)</f>
        <v>2021-22</v>
      </c>
      <c r="D44" s="729" t="s">
        <v>901</v>
      </c>
      <c r="E44" s="730"/>
      <c r="F44" s="730"/>
      <c r="G44" s="730"/>
      <c r="H44" s="730"/>
      <c r="I44" s="730"/>
      <c r="J44" s="730"/>
      <c r="K44" s="731"/>
    </row>
    <row r="45" spans="1:90" customFormat="1" x14ac:dyDescent="0.25">
      <c r="A45" s="1274"/>
      <c r="B45" s="680" t="s">
        <v>902</v>
      </c>
      <c r="C45" s="716" t="str">
        <f ca="1">INDEX(INDIRECT(dms_RPT),dms_CRCP_start_row)</f>
        <v>2016-17</v>
      </c>
      <c r="D45" s="722" t="s">
        <v>903</v>
      </c>
      <c r="E45" s="723"/>
      <c r="F45" s="723"/>
      <c r="G45" s="723"/>
      <c r="H45" s="723"/>
      <c r="I45" s="723"/>
      <c r="J45" s="723"/>
      <c r="K45" s="724"/>
    </row>
    <row r="46" spans="1:90" customFormat="1" x14ac:dyDescent="0.25">
      <c r="A46" s="1274"/>
      <c r="B46" s="682" t="s">
        <v>904</v>
      </c>
      <c r="C46" s="719" t="str">
        <f ca="1">INDEX(INDIRECT(dms_RPT),dms_PRCP_start_row)</f>
        <v>2011-12</v>
      </c>
      <c r="D46" s="735" t="s">
        <v>905</v>
      </c>
      <c r="E46" s="736"/>
      <c r="F46" s="736"/>
      <c r="G46" s="736"/>
      <c r="H46" s="736"/>
      <c r="I46" s="736"/>
      <c r="J46" s="736"/>
      <c r="K46" s="737"/>
    </row>
    <row r="47" spans="1:90" customFormat="1" x14ac:dyDescent="0.25">
      <c r="A47" s="1274"/>
      <c r="B47" s="679" t="s">
        <v>906</v>
      </c>
      <c r="C47" s="718" t="str">
        <f ca="1">INDEX(INDIRECT(dms_RPT),dms_FRCP_start_row+dms_FRCPlength_Num-1)</f>
        <v>2025-26</v>
      </c>
      <c r="D47" s="722" t="s">
        <v>907</v>
      </c>
      <c r="E47" s="723"/>
      <c r="F47" s="723"/>
      <c r="G47" s="723"/>
      <c r="H47" s="723"/>
      <c r="I47" s="723"/>
      <c r="J47" s="723"/>
      <c r="K47" s="724"/>
    </row>
    <row r="48" spans="1:90" customFormat="1" x14ac:dyDescent="0.25">
      <c r="A48" s="1274"/>
      <c r="B48" s="680" t="s">
        <v>908</v>
      </c>
      <c r="C48" s="716" t="str">
        <f ca="1">INDEX(INDIRECT(dms_RPT),dms_CRCP_start_row+dms_CRCPlength_Num-1)</f>
        <v>2020-21</v>
      </c>
      <c r="D48" s="722" t="s">
        <v>909</v>
      </c>
      <c r="E48" s="723"/>
      <c r="F48" s="723"/>
      <c r="G48" s="723"/>
      <c r="H48" s="723"/>
      <c r="I48" s="723"/>
      <c r="J48" s="723"/>
      <c r="K48" s="724"/>
    </row>
    <row r="49" spans="1:11" customFormat="1" x14ac:dyDescent="0.25">
      <c r="A49" s="1274"/>
      <c r="B49" s="682" t="s">
        <v>910</v>
      </c>
      <c r="C49" s="719" t="str">
        <f ca="1">INDEX(INDIRECT(dms_RPT),dms_PRCP_start_row+dms_FRCPlength_Num-1)</f>
        <v>2015-16</v>
      </c>
      <c r="D49" s="735" t="s">
        <v>911</v>
      </c>
      <c r="E49" s="736"/>
      <c r="F49" s="736"/>
      <c r="G49" s="736"/>
      <c r="H49" s="736"/>
      <c r="I49" s="736"/>
      <c r="J49" s="736"/>
      <c r="K49" s="737"/>
    </row>
    <row r="50" spans="1:11" customFormat="1" x14ac:dyDescent="0.25">
      <c r="A50" s="1274"/>
      <c r="B50" s="679" t="s">
        <v>912</v>
      </c>
      <c r="C50" s="718" t="str">
        <f ca="1">INDEX(INDIRECT(dms_RPT),dms_RYE_start_row)</f>
        <v>2025-26</v>
      </c>
      <c r="D50" s="722" t="s">
        <v>913</v>
      </c>
      <c r="E50" s="723"/>
      <c r="F50" s="723"/>
      <c r="G50" s="723"/>
      <c r="H50" s="723"/>
      <c r="I50" s="723"/>
      <c r="J50" s="723"/>
      <c r="K50" s="724"/>
    </row>
    <row r="51" spans="1:11" customFormat="1" x14ac:dyDescent="0.25">
      <c r="A51" s="1274"/>
      <c r="B51" s="682" t="s">
        <v>914</v>
      </c>
      <c r="C51" s="747" t="str">
        <f>FRY</f>
        <v>2024-25</v>
      </c>
      <c r="D51" s="735" t="s">
        <v>915</v>
      </c>
      <c r="E51" s="736"/>
      <c r="F51" s="736"/>
      <c r="G51" s="736"/>
      <c r="H51" s="736"/>
      <c r="I51" s="736"/>
      <c r="J51" s="736"/>
      <c r="K51" s="737"/>
    </row>
    <row r="52" spans="1:11" customFormat="1" x14ac:dyDescent="0.25">
      <c r="A52" s="1274"/>
      <c r="B52" s="738" t="s">
        <v>916</v>
      </c>
      <c r="C52" s="739" t="str">
        <f ca="1">LEFT(CRCP_final_year,2)&amp;RIGHT(CRCP_final_year,2)</f>
        <v>2021</v>
      </c>
      <c r="D52" s="744" t="s">
        <v>917</v>
      </c>
      <c r="E52" s="745"/>
      <c r="F52" s="740"/>
      <c r="G52" s="740"/>
      <c r="H52" s="740"/>
      <c r="I52" s="740"/>
      <c r="J52" s="740"/>
      <c r="K52" s="741"/>
    </row>
    <row r="53" spans="1:11" customFormat="1" x14ac:dyDescent="0.25">
      <c r="A53" s="1274"/>
      <c r="B53" s="742" t="s">
        <v>918</v>
      </c>
      <c r="C53" s="743" t="str">
        <f ca="1">LEFT(PRCP_final_year,2)&amp;RIGHT(PRCP_final_year,2)</f>
        <v>2016</v>
      </c>
      <c r="D53" s="735" t="s">
        <v>919</v>
      </c>
      <c r="E53" s="736"/>
      <c r="F53" s="736"/>
      <c r="G53" s="736"/>
      <c r="H53" s="736"/>
      <c r="I53" s="736"/>
      <c r="J53" s="736"/>
      <c r="K53" s="737"/>
    </row>
    <row r="54" spans="1:11" customFormat="1" x14ac:dyDescent="0.25">
      <c r="A54" s="1274"/>
      <c r="B54" s="683" t="s">
        <v>920</v>
      </c>
      <c r="C54" s="720" t="str">
        <f>IFERROR(LEFT(CRY,2)&amp;RIGHT(CRY,2),0)</f>
        <v>2022</v>
      </c>
      <c r="D54" s="729" t="s">
        <v>921</v>
      </c>
      <c r="E54" s="730"/>
      <c r="F54" s="723"/>
      <c r="G54" s="723"/>
      <c r="H54" s="723"/>
      <c r="I54" s="723"/>
      <c r="J54" s="723"/>
      <c r="K54" s="724"/>
    </row>
    <row r="55" spans="1:11" customFormat="1" x14ac:dyDescent="0.25">
      <c r="A55" s="1274"/>
      <c r="B55" s="680" t="s">
        <v>922</v>
      </c>
      <c r="C55" s="716">
        <f>IF(dms_Model_Span&gt;1,IF(dms_Model="RFM",(LEFT(dms_DollarReal_year,2)&amp;RIGHT(dms_DollarReal_year,2)),(LEFT(dms_Reset_final_year,2)&amp;RIGHT(dms_Reset_final_year,2))),0)</f>
        <v>0</v>
      </c>
      <c r="D55" s="722" t="s">
        <v>923</v>
      </c>
      <c r="E55" s="723"/>
      <c r="F55" s="723"/>
      <c r="G55" s="723"/>
      <c r="H55" s="723"/>
      <c r="I55" s="723"/>
      <c r="J55" s="723"/>
      <c r="K55" s="724"/>
    </row>
    <row r="56" spans="1:11" customFormat="1" x14ac:dyDescent="0.25">
      <c r="A56" s="1274"/>
      <c r="B56" s="680" t="s">
        <v>924</v>
      </c>
      <c r="C56" s="716" t="str">
        <f>IF(dms_MultiYear_ResponseFlag="Yes",(LEFT(dms_Specified_FinalYear,2)&amp;RIGHT(dms_Specified_FinalYear,2)),0)</f>
        <v>2025</v>
      </c>
      <c r="D56" s="722" t="s">
        <v>925</v>
      </c>
      <c r="E56" s="723"/>
      <c r="F56" s="723"/>
      <c r="G56" s="723"/>
      <c r="H56" s="723"/>
      <c r="I56" s="723"/>
      <c r="J56" s="723"/>
      <c r="K56" s="724"/>
    </row>
    <row r="57" spans="1:11" customFormat="1" x14ac:dyDescent="0.25">
      <c r="A57" s="1274"/>
      <c r="B57" s="680" t="s">
        <v>926</v>
      </c>
      <c r="C57" s="716">
        <f>INDEX(dms_Model_Span_List,MATCH(dms_Model,dms_Model_List))</f>
        <v>1</v>
      </c>
      <c r="D57" s="722" t="s">
        <v>927</v>
      </c>
      <c r="E57" s="723"/>
      <c r="F57" s="723"/>
      <c r="G57" s="723"/>
      <c r="H57" s="723"/>
      <c r="I57" s="723"/>
      <c r="J57" s="723"/>
      <c r="K57" s="724"/>
    </row>
    <row r="58" spans="1:11" customFormat="1" x14ac:dyDescent="0.25">
      <c r="A58" s="1274"/>
      <c r="B58" s="682" t="s">
        <v>928</v>
      </c>
      <c r="C58" s="719" t="str">
        <f>IF(dms_MultiYear_ResponseFlag="yes",dms_Specified_RYE,(IF(dms_Model_Span&gt;1,dms_Reset_RYE,dms_CRY_RYE)))</f>
        <v>2025</v>
      </c>
      <c r="D58" s="735" t="s">
        <v>929</v>
      </c>
      <c r="E58" s="736"/>
      <c r="F58" s="736"/>
      <c r="G58" s="736"/>
      <c r="H58" s="736"/>
      <c r="I58" s="736"/>
      <c r="J58" s="736"/>
      <c r="K58" s="737"/>
    </row>
    <row r="59" spans="1:11" customFormat="1" x14ac:dyDescent="0.25">
      <c r="A59" s="1274"/>
      <c r="B59" s="683" t="s">
        <v>930</v>
      </c>
      <c r="C59" s="720">
        <f>IF(dms_Reset_RYE&gt;0,CONCATENATE(FRCP_y1," to ",FRCP_final_year),0)</f>
        <v>0</v>
      </c>
      <c r="D59" s="722" t="s">
        <v>931</v>
      </c>
      <c r="E59" s="723"/>
      <c r="F59" s="725"/>
      <c r="G59" s="723"/>
      <c r="H59" s="723"/>
      <c r="I59" s="723"/>
      <c r="J59" s="723"/>
      <c r="K59" s="724"/>
    </row>
    <row r="60" spans="1:11" customFormat="1" x14ac:dyDescent="0.25">
      <c r="A60" s="1274"/>
      <c r="B60" s="680" t="s">
        <v>932</v>
      </c>
      <c r="C60" s="716" t="str">
        <f>IF(dms_Specified_RYE&gt;0,CONCATENATE(CRY," to ",dms_Specified_FinalYear),0)</f>
        <v>2021-22 to 2024-25</v>
      </c>
      <c r="D60" s="722" t="s">
        <v>933</v>
      </c>
      <c r="E60" s="723"/>
      <c r="F60" s="723"/>
      <c r="G60" s="723"/>
      <c r="H60" s="723"/>
      <c r="I60" s="723"/>
      <c r="J60" s="723"/>
      <c r="K60" s="724"/>
    </row>
    <row r="61" spans="1:11" customFormat="1" ht="15.75" thickBot="1" x14ac:dyDescent="0.3">
      <c r="A61" s="1274"/>
      <c r="B61" s="684" t="s">
        <v>934</v>
      </c>
      <c r="C61" s="721" t="str">
        <f>IF(dms_MultiYear_Flag=1,CONCATENATE("Data Span ",dms_SpecifiedYear_Span),IF(dms_Model_Span&gt;1,CONCATENATE("Data Span ",dms_y1&amp;" - "&amp;FRCP_final_year)))</f>
        <v>Data Span 2021-22 to 2024-25</v>
      </c>
      <c r="D61" s="726" t="s">
        <v>935</v>
      </c>
      <c r="E61" s="727"/>
      <c r="F61" s="727"/>
      <c r="G61" s="727"/>
      <c r="H61" s="727"/>
      <c r="I61" s="727"/>
      <c r="J61" s="727"/>
      <c r="K61" s="728"/>
    </row>
    <row r="62" spans="1:11" customFormat="1" ht="25.5" customHeight="1" thickBot="1" x14ac:dyDescent="0.3">
      <c r="B62" s="189" t="s">
        <v>936</v>
      </c>
      <c r="C62" s="190"/>
      <c r="D62" s="687"/>
      <c r="E62" s="687"/>
      <c r="F62" s="688"/>
      <c r="G62" s="688"/>
      <c r="H62" s="688"/>
      <c r="I62" s="688"/>
      <c r="J62" s="688"/>
      <c r="K62" s="689"/>
    </row>
    <row r="63" spans="1:11" customFormat="1" ht="18" x14ac:dyDescent="0.25">
      <c r="B63" s="646" t="s">
        <v>937</v>
      </c>
      <c r="C63" s="416" t="s">
        <v>938</v>
      </c>
      <c r="D63" s="405"/>
      <c r="E63" s="768"/>
      <c r="F63" s="769"/>
      <c r="G63" s="769"/>
      <c r="H63" s="769"/>
      <c r="I63" s="769"/>
      <c r="J63" s="770"/>
      <c r="K63" s="771"/>
    </row>
    <row r="64" spans="1:11" customFormat="1" x14ac:dyDescent="0.25">
      <c r="B64" s="417"/>
      <c r="C64" s="412">
        <f>IF(dms_MultiYear_ResponseFlag="No",0,1)</f>
        <v>1</v>
      </c>
      <c r="D64" s="758" t="s">
        <v>939</v>
      </c>
      <c r="E64" s="765" t="s">
        <v>940</v>
      </c>
      <c r="F64" s="760"/>
      <c r="G64" s="760"/>
      <c r="H64" s="760"/>
      <c r="I64" s="760"/>
      <c r="J64" s="766"/>
      <c r="K64" s="767"/>
    </row>
    <row r="65" spans="2:11" customFormat="1" x14ac:dyDescent="0.25">
      <c r="B65" s="417"/>
      <c r="C65" s="757" t="str">
        <f>IF(dms_MultiYear_Flag=1,FRY,"not a Multiple year submission")</f>
        <v>2024-25</v>
      </c>
      <c r="D65" s="758" t="s">
        <v>941</v>
      </c>
      <c r="E65" s="759" t="s">
        <v>942</v>
      </c>
      <c r="F65" s="760"/>
      <c r="G65" s="760"/>
      <c r="H65" s="760"/>
      <c r="I65" s="761"/>
      <c r="J65" s="762"/>
      <c r="K65" s="763"/>
    </row>
    <row r="66" spans="2:11" customFormat="1" ht="15.75" thickBot="1" x14ac:dyDescent="0.3">
      <c r="B66" s="756" t="s">
        <v>943</v>
      </c>
      <c r="C66" s="409" t="str">
        <f>IFERROR(IF(dms_MultiYear_Flag=1,FRY,CRY),"not an ABC")</f>
        <v>2024-25</v>
      </c>
      <c r="D66" s="413" t="s">
        <v>944</v>
      </c>
      <c r="E66" s="413" t="s">
        <v>945</v>
      </c>
      <c r="F66" s="399"/>
      <c r="G66" s="399" t="s">
        <v>946</v>
      </c>
      <c r="H66" s="399"/>
      <c r="I66" s="399"/>
      <c r="J66" s="414"/>
      <c r="K66" s="415"/>
    </row>
    <row r="67" spans="2:11" customFormat="1" ht="22.5" customHeight="1" thickBot="1" x14ac:dyDescent="0.3">
      <c r="B67" s="189" t="s">
        <v>947</v>
      </c>
      <c r="C67" s="190"/>
      <c r="D67" s="190"/>
      <c r="E67" s="190"/>
      <c r="F67" s="191"/>
      <c r="G67" s="191"/>
      <c r="H67" s="191"/>
      <c r="I67" s="191"/>
      <c r="J67" s="191"/>
      <c r="K67" s="192"/>
    </row>
    <row r="68" spans="2:11" customFormat="1" x14ac:dyDescent="0.25">
      <c r="B68" s="423" t="s">
        <v>948</v>
      </c>
      <c r="C68" s="388"/>
      <c r="D68" s="389"/>
      <c r="E68" s="390"/>
      <c r="F68" s="391"/>
      <c r="G68" s="391"/>
      <c r="H68" s="391"/>
      <c r="I68" s="391"/>
      <c r="J68" s="392"/>
      <c r="K68" s="393"/>
    </row>
    <row r="69" spans="2:11" customFormat="1" x14ac:dyDescent="0.25">
      <c r="B69" s="417" t="s">
        <v>949</v>
      </c>
      <c r="C69" s="764">
        <f>INDEX(dms_PRCPlength_List,MATCH(dms_TradingName,dms_TradingName_List))</f>
        <v>5</v>
      </c>
      <c r="D69" s="405" t="s">
        <v>950</v>
      </c>
      <c r="E69" s="406" t="s">
        <v>951</v>
      </c>
      <c r="F69" s="400"/>
      <c r="G69" s="400"/>
      <c r="H69" s="400"/>
      <c r="I69" s="400"/>
      <c r="J69" s="400"/>
      <c r="K69" s="407"/>
    </row>
    <row r="70" spans="2:11" customFormat="1" x14ac:dyDescent="0.25">
      <c r="B70" s="417" t="s">
        <v>952</v>
      </c>
      <c r="C70" s="412">
        <f>INDEX(dms_CRCPlength_List,MATCH(dms_TradingName,dms_TradingName_List))</f>
        <v>5</v>
      </c>
      <c r="D70" s="410" t="s">
        <v>953</v>
      </c>
      <c r="E70" s="411" t="s">
        <v>954</v>
      </c>
      <c r="F70" s="391"/>
      <c r="G70" s="391"/>
      <c r="H70" s="391"/>
      <c r="I70" s="391"/>
      <c r="J70" s="391"/>
      <c r="K70" s="408"/>
    </row>
    <row r="71" spans="2:11" customFormat="1" x14ac:dyDescent="0.25">
      <c r="B71" s="419" t="s">
        <v>955</v>
      </c>
      <c r="C71" s="420">
        <f>INDEX(dms_FRCPlength_List,MATCH(dms_TradingName,dms_TradingName_List))</f>
        <v>5</v>
      </c>
      <c r="D71" s="401" t="s">
        <v>956</v>
      </c>
      <c r="E71" s="402" t="s">
        <v>957</v>
      </c>
      <c r="F71" s="421"/>
      <c r="G71" s="421"/>
      <c r="H71" s="421"/>
      <c r="I71" s="421"/>
      <c r="J71" s="421"/>
      <c r="K71" s="422"/>
    </row>
    <row r="72" spans="2:11" customFormat="1" x14ac:dyDescent="0.25">
      <c r="B72" s="424" t="s">
        <v>958</v>
      </c>
      <c r="C72" s="389"/>
      <c r="D72" s="389"/>
      <c r="E72" s="390"/>
      <c r="F72" s="391"/>
      <c r="G72" s="391"/>
      <c r="H72" s="391"/>
      <c r="I72" s="391"/>
      <c r="J72" s="392"/>
      <c r="K72" s="393"/>
    </row>
    <row r="73" spans="2:11" customFormat="1" x14ac:dyDescent="0.25">
      <c r="B73" s="1262" t="s">
        <v>959</v>
      </c>
      <c r="C73" s="431">
        <f>IF(dms_Model="EB",1,0)</f>
        <v>0</v>
      </c>
      <c r="D73" s="389" t="s">
        <v>960</v>
      </c>
      <c r="E73" s="390"/>
      <c r="F73" s="391"/>
      <c r="G73" s="391"/>
      <c r="H73" s="391"/>
      <c r="I73" s="391"/>
      <c r="J73" s="392"/>
      <c r="K73" s="393"/>
    </row>
    <row r="74" spans="2:11" customFormat="1" x14ac:dyDescent="0.25">
      <c r="B74" s="1262"/>
      <c r="C74" s="748">
        <f>IF(dms_Model="CA",1,0)</f>
        <v>0</v>
      </c>
      <c r="D74" s="394" t="s">
        <v>961</v>
      </c>
      <c r="E74" s="395" t="s">
        <v>962</v>
      </c>
      <c r="F74" s="396"/>
      <c r="G74" s="396"/>
      <c r="H74" s="396"/>
      <c r="I74" s="396"/>
      <c r="J74" s="397"/>
      <c r="K74" s="398"/>
    </row>
    <row r="75" spans="2:11" customFormat="1" x14ac:dyDescent="0.25">
      <c r="B75" s="1263"/>
      <c r="C75" s="748">
        <f>IF(dms_Model="ARR",1,0)</f>
        <v>1</v>
      </c>
      <c r="D75" s="394" t="s">
        <v>963</v>
      </c>
      <c r="E75" s="395"/>
      <c r="F75" s="396"/>
      <c r="G75" s="396"/>
      <c r="H75" s="396"/>
      <c r="I75" s="396"/>
      <c r="J75" s="397"/>
      <c r="K75" s="398"/>
    </row>
    <row r="76" spans="2:11" customFormat="1" x14ac:dyDescent="0.25">
      <c r="B76" s="418" t="s">
        <v>964</v>
      </c>
      <c r="C76" s="647" t="str">
        <f>IF(SUM(dms_SingleYear_Model)=1,"yes","no")</f>
        <v>yes</v>
      </c>
      <c r="D76" s="395" t="s">
        <v>965</v>
      </c>
      <c r="E76" s="395" t="s">
        <v>966</v>
      </c>
      <c r="F76" s="399"/>
      <c r="G76" s="399"/>
      <c r="H76" s="399"/>
      <c r="I76" s="396"/>
      <c r="J76" s="397"/>
      <c r="K76" s="398"/>
    </row>
    <row r="77" spans="2:11" customFormat="1" x14ac:dyDescent="0.25">
      <c r="B77" s="429" t="s">
        <v>967</v>
      </c>
      <c r="C77" s="430">
        <f>IF(AND(dms_SingleYearModel="yes",dms_MultiYear_Flag=0),CRY,0)</f>
        <v>0</v>
      </c>
      <c r="D77" s="401" t="s">
        <v>968</v>
      </c>
      <c r="E77" s="402" t="s">
        <v>969</v>
      </c>
      <c r="F77" s="403"/>
      <c r="G77" s="403"/>
      <c r="H77" s="403"/>
      <c r="I77" s="403"/>
      <c r="J77" s="403"/>
      <c r="K77" s="404"/>
    </row>
    <row r="78" spans="2:11" customFormat="1" x14ac:dyDescent="0.25">
      <c r="B78" s="423" t="s">
        <v>970</v>
      </c>
      <c r="C78" s="409"/>
      <c r="D78" s="410"/>
      <c r="E78" s="411"/>
      <c r="F78" s="391"/>
      <c r="G78" s="391"/>
      <c r="H78" s="391"/>
      <c r="I78" s="391"/>
      <c r="J78" s="391"/>
      <c r="K78" s="408"/>
    </row>
    <row r="79" spans="2:11" customFormat="1" x14ac:dyDescent="0.25">
      <c r="B79" s="417"/>
      <c r="C79" s="409"/>
      <c r="D79" s="410"/>
      <c r="E79" s="411"/>
      <c r="F79" s="391"/>
      <c r="G79" s="391"/>
      <c r="H79" s="391"/>
      <c r="I79" s="391"/>
      <c r="J79" s="391"/>
      <c r="K79" s="408"/>
    </row>
    <row r="80" spans="2:11" customFormat="1" x14ac:dyDescent="0.25">
      <c r="B80" s="417" t="s">
        <v>971</v>
      </c>
      <c r="C80" s="409" t="str">
        <f>IF(dms_Model_Span&gt;1,"yes","no")</f>
        <v>no</v>
      </c>
      <c r="D80" s="410"/>
      <c r="E80" s="411"/>
      <c r="F80" s="391"/>
      <c r="G80" s="391"/>
      <c r="H80" s="391"/>
      <c r="I80" s="391"/>
      <c r="J80" s="391"/>
      <c r="K80" s="408"/>
    </row>
    <row r="81" spans="2:12" customFormat="1" x14ac:dyDescent="0.25">
      <c r="B81" s="417" t="s">
        <v>972</v>
      </c>
      <c r="C81" s="428">
        <f>IF(dms_Model_Span&gt;1,dms_Reset_final_year,0)</f>
        <v>0</v>
      </c>
      <c r="D81" s="410" t="s">
        <v>973</v>
      </c>
      <c r="E81" s="411"/>
      <c r="F81" s="391"/>
      <c r="G81" s="391"/>
      <c r="H81" s="391"/>
      <c r="I81" s="391"/>
      <c r="J81" s="391"/>
      <c r="K81" s="408"/>
    </row>
    <row r="82" spans="2:12" customFormat="1" x14ac:dyDescent="0.25">
      <c r="B82" s="417"/>
      <c r="C82" s="409"/>
      <c r="D82" s="410"/>
      <c r="E82" s="411"/>
      <c r="F82" s="391"/>
      <c r="G82" s="391"/>
      <c r="H82" s="391"/>
      <c r="I82" s="391"/>
      <c r="J82" s="391"/>
      <c r="K82" s="408"/>
    </row>
    <row r="83" spans="2:12" customFormat="1" x14ac:dyDescent="0.25">
      <c r="B83" s="417" t="s">
        <v>974</v>
      </c>
      <c r="C83" s="409" t="str">
        <f>IF(dms_MultiYear_Flag=1,"yes","no")</f>
        <v>yes</v>
      </c>
      <c r="D83" s="410" t="s">
        <v>975</v>
      </c>
      <c r="E83" s="411"/>
      <c r="F83" s="391"/>
      <c r="G83" s="391"/>
      <c r="H83" s="391"/>
      <c r="I83" s="391"/>
      <c r="J83" s="391"/>
      <c r="K83" s="408"/>
    </row>
    <row r="84" spans="2:12" customFormat="1" x14ac:dyDescent="0.25">
      <c r="B84" s="419" t="s">
        <v>976</v>
      </c>
      <c r="C84" s="425" t="str">
        <f>IF(dms_MultiYear_Flag=1,C51,0)</f>
        <v>2024-25</v>
      </c>
      <c r="D84" s="426"/>
      <c r="E84" s="427"/>
      <c r="F84" s="421"/>
      <c r="G84" s="421"/>
      <c r="H84" s="421"/>
      <c r="I84" s="421"/>
      <c r="J84" s="421"/>
      <c r="K84" s="422"/>
    </row>
    <row r="85" spans="2:12" customFormat="1" ht="15.75" thickBot="1" x14ac:dyDescent="0.3">
      <c r="B85" s="417"/>
      <c r="C85" s="409"/>
      <c r="D85" s="410"/>
      <c r="E85" s="411"/>
      <c r="F85" s="391"/>
      <c r="G85" s="391"/>
      <c r="H85" s="391"/>
      <c r="I85" s="391"/>
      <c r="J85" s="391"/>
      <c r="K85" s="408"/>
    </row>
    <row r="86" spans="2:12" customFormat="1" ht="29.1" customHeight="1" thickBot="1" x14ac:dyDescent="0.3">
      <c r="B86" s="189" t="s">
        <v>977</v>
      </c>
      <c r="C86" s="190"/>
      <c r="D86" s="190"/>
      <c r="E86" s="190"/>
      <c r="F86" s="191"/>
      <c r="G86" s="191"/>
      <c r="H86" s="191"/>
      <c r="I86" s="191"/>
      <c r="J86" s="191"/>
      <c r="K86" s="192"/>
    </row>
    <row r="87" spans="2:12" s="3" customFormat="1" ht="24.75" customHeight="1" thickBot="1" x14ac:dyDescent="0.3">
      <c r="B87" s="648" t="s">
        <v>978</v>
      </c>
      <c r="C87" s="98" t="str">
        <f>IFERROR(IF(dms_Segment="Transmission",dms_Cal_Year_B4_CRY,CRY),"CRY not present")</f>
        <v>2021</v>
      </c>
      <c r="D87" s="649" t="s">
        <v>979</v>
      </c>
      <c r="E87" s="650" t="s">
        <v>980</v>
      </c>
      <c r="F87" s="651"/>
      <c r="G87" s="651"/>
      <c r="H87" s="651"/>
      <c r="I87" s="651"/>
      <c r="J87" s="652"/>
      <c r="K87" s="653"/>
    </row>
    <row r="88" spans="2:12" customFormat="1" ht="27.6" customHeight="1" thickBot="1" x14ac:dyDescent="0.3">
      <c r="B88" s="189" t="s">
        <v>981</v>
      </c>
      <c r="C88" s="190"/>
      <c r="D88" s="190"/>
      <c r="E88" s="190"/>
      <c r="F88" s="191"/>
      <c r="G88" s="191"/>
      <c r="H88" s="191"/>
      <c r="I88" s="191"/>
      <c r="J88" s="191"/>
      <c r="K88" s="192"/>
    </row>
    <row r="89" spans="2:12" customFormat="1" x14ac:dyDescent="0.25">
      <c r="B89" s="140" t="s">
        <v>982</v>
      </c>
      <c r="C89" s="161"/>
      <c r="D89" s="159"/>
      <c r="E89" s="248" t="s">
        <v>983</v>
      </c>
      <c r="F89" s="71"/>
      <c r="G89" s="71"/>
      <c r="H89" s="71"/>
      <c r="I89" s="71"/>
      <c r="J89" s="71"/>
      <c r="K89" s="72"/>
    </row>
    <row r="90" spans="2:12" customFormat="1" x14ac:dyDescent="0.25">
      <c r="B90" s="140"/>
      <c r="C90" s="161" t="str">
        <f>IF(dms_Model&lt;&gt;"CA","not a CA","Is a CA")</f>
        <v>not a CA</v>
      </c>
      <c r="D90" s="159"/>
      <c r="E90" s="146" t="s">
        <v>984</v>
      </c>
      <c r="F90" s="71"/>
      <c r="G90" s="71"/>
      <c r="H90" s="71"/>
      <c r="I90" s="71"/>
      <c r="J90" s="71"/>
      <c r="K90" s="72"/>
    </row>
    <row r="91" spans="2:12" customFormat="1" x14ac:dyDescent="0.25">
      <c r="B91" s="245" t="s">
        <v>985</v>
      </c>
      <c r="C91" s="161" t="str">
        <f>IFERROR(IF(INDEX(dms_060301_Avg_Duration_Sustained_Int_Values,1,1)&lt;&gt;"","yes","no"),"no")</f>
        <v>no</v>
      </c>
      <c r="D91" s="159" t="s">
        <v>986</v>
      </c>
      <c r="E91" s="94" t="s">
        <v>987</v>
      </c>
      <c r="F91" s="71"/>
      <c r="G91" s="71"/>
      <c r="H91" s="71"/>
      <c r="I91" s="71"/>
      <c r="J91" s="71"/>
      <c r="K91" s="72"/>
    </row>
    <row r="92" spans="2:12" customFormat="1" x14ac:dyDescent="0.25">
      <c r="B92" s="245"/>
      <c r="C92" s="252" t="str">
        <f>IF(AND(dms_Model="CA",(dms_060301_checkvalue="no")),"error - NR not present","no errors")</f>
        <v>no errors</v>
      </c>
      <c r="D92" s="159"/>
      <c r="E92" s="94" t="s">
        <v>988</v>
      </c>
      <c r="F92" s="71"/>
      <c r="G92" s="71"/>
      <c r="H92" s="71"/>
      <c r="I92" s="71"/>
      <c r="J92" s="71"/>
      <c r="K92" s="72"/>
    </row>
    <row r="93" spans="2:12" customFormat="1" x14ac:dyDescent="0.25">
      <c r="B93" s="141" t="s">
        <v>989</v>
      </c>
      <c r="C93" s="161" t="str">
        <f>IFERROR(IF(dms_Model="CA",LOOKUP(2,1/(dms_060301_Avg_Duration_Sustained_Int_Values&lt;&gt;""),(ROW(dms_060301_Avg_Duration_Sustained_Int_Values))),"not a CA"),"6.3 not present")</f>
        <v>not a CA</v>
      </c>
      <c r="D93" s="159" t="s">
        <v>990</v>
      </c>
      <c r="E93" s="94" t="s">
        <v>991</v>
      </c>
      <c r="F93" s="71"/>
      <c r="G93" s="71"/>
      <c r="H93" s="71"/>
      <c r="I93" s="71"/>
      <c r="J93" s="71"/>
      <c r="K93" s="72"/>
    </row>
    <row r="94" spans="2:12" customFormat="1" x14ac:dyDescent="0.25">
      <c r="B94" s="143" t="s">
        <v>992</v>
      </c>
      <c r="C94" s="251" t="str">
        <f>IFERROR(IF(dms_Model="CA",(dms_060301_LastRow-15),"not a CA"),"error")</f>
        <v>not a CA</v>
      </c>
      <c r="D94" s="160" t="s">
        <v>993</v>
      </c>
      <c r="E94" s="246" t="s">
        <v>994</v>
      </c>
      <c r="F94" s="82"/>
      <c r="G94" s="82"/>
      <c r="H94" s="82"/>
      <c r="I94" s="82"/>
      <c r="J94" s="82"/>
      <c r="K94" s="83"/>
      <c r="L94" s="70"/>
    </row>
    <row r="95" spans="2:12" ht="15.75" thickBot="1" x14ac:dyDescent="0.3">
      <c r="B95" s="163" t="s">
        <v>995</v>
      </c>
      <c r="C95" s="164" t="str">
        <f>INDEX(dms_663_List,MATCH(dms_TradingName,dms_TradingName_List))</f>
        <v>x</v>
      </c>
      <c r="D95" s="136" t="s">
        <v>996</v>
      </c>
      <c r="E95" s="94" t="s">
        <v>997</v>
      </c>
      <c r="F95" s="91"/>
      <c r="G95" s="91"/>
      <c r="H95" s="91"/>
      <c r="I95" s="91"/>
      <c r="J95" s="91"/>
      <c r="K95" s="92"/>
    </row>
    <row r="96" spans="2:12" customFormat="1" ht="21" customHeight="1" thickBot="1" x14ac:dyDescent="0.3">
      <c r="B96" s="189" t="s">
        <v>998</v>
      </c>
      <c r="C96" s="190"/>
      <c r="D96" s="190"/>
      <c r="E96" s="190"/>
      <c r="F96" s="191"/>
      <c r="G96" s="191"/>
      <c r="H96" s="191"/>
      <c r="I96" s="191"/>
      <c r="J96" s="191"/>
      <c r="K96" s="192"/>
    </row>
    <row r="97" spans="2:12" ht="25.5" x14ac:dyDescent="0.25">
      <c r="B97" s="140" t="s">
        <v>999</v>
      </c>
      <c r="C97" s="158" t="s">
        <v>1000</v>
      </c>
      <c r="D97" s="153"/>
      <c r="E97" s="249" t="s">
        <v>1001</v>
      </c>
      <c r="F97" s="152"/>
      <c r="G97" s="152"/>
      <c r="H97" s="91"/>
      <c r="I97" s="91"/>
      <c r="J97" s="91"/>
      <c r="K97" s="92"/>
    </row>
    <row r="98" spans="2:12" x14ac:dyDescent="0.25">
      <c r="B98" s="141" t="s">
        <v>1002</v>
      </c>
      <c r="C98" s="158" t="str">
        <f>IFERROR(IF(dms_LeapYear,"yes"),"no")</f>
        <v>no</v>
      </c>
      <c r="D98" s="153"/>
      <c r="E98" s="145"/>
      <c r="F98" s="152"/>
      <c r="G98" s="152"/>
      <c r="H98" s="91"/>
      <c r="I98" s="91"/>
      <c r="J98" s="91"/>
      <c r="K98" s="92"/>
    </row>
    <row r="99" spans="2:12" x14ac:dyDescent="0.25">
      <c r="B99" s="238" t="s">
        <v>1003</v>
      </c>
      <c r="C99" s="188" t="str">
        <f xml:space="preserve">
IFERROR(IF(MONTH(DATE(YEAR(dms_LeapYear),2,29))=2,"is a leap year","not a leap year"),
"dms_LeapYear not present")</f>
        <v>dms_LeapYear not present</v>
      </c>
      <c r="D99" s="136" t="s">
        <v>1004</v>
      </c>
      <c r="E99" s="136" t="s">
        <v>1005</v>
      </c>
      <c r="F99" s="91"/>
      <c r="G99" s="91"/>
      <c r="H99" s="91"/>
      <c r="I99" s="91"/>
      <c r="J99" s="91"/>
      <c r="K99" s="92"/>
    </row>
    <row r="100" spans="2:12" x14ac:dyDescent="0.25">
      <c r="B100" s="238" t="s">
        <v>1006</v>
      </c>
      <c r="C100" s="237">
        <f>IF(dms_LeapYear_Result="is a leap year",1827,1826)</f>
        <v>1826</v>
      </c>
      <c r="D100" s="136" t="s">
        <v>1007</v>
      </c>
      <c r="E100" s="96" t="s">
        <v>1008</v>
      </c>
      <c r="F100" s="91"/>
      <c r="G100" s="91"/>
      <c r="H100" s="76" t="s">
        <v>1009</v>
      </c>
      <c r="I100" s="91"/>
      <c r="J100" s="91"/>
      <c r="K100" s="92"/>
    </row>
    <row r="101" spans="2:12" x14ac:dyDescent="0.25">
      <c r="B101" s="238" t="s">
        <v>1010</v>
      </c>
      <c r="C101" s="237">
        <f>IF(dms_LeapYear_Result="is a leap year",366,365)</f>
        <v>365</v>
      </c>
      <c r="D101" s="136" t="s">
        <v>1011</v>
      </c>
      <c r="E101" s="96" t="s">
        <v>1012</v>
      </c>
      <c r="F101" s="91"/>
      <c r="G101" s="91"/>
      <c r="H101" s="76" t="s">
        <v>1013</v>
      </c>
      <c r="I101" s="91"/>
      <c r="J101" s="91"/>
      <c r="K101" s="92"/>
    </row>
    <row r="102" spans="2:12" ht="15.75" thickBot="1" x14ac:dyDescent="0.3">
      <c r="B102" s="142" t="s">
        <v>1014</v>
      </c>
      <c r="C102" s="230">
        <f>IF(dms_Model="ARR",dms_060701_ARR_MaxRows,IF(dms_Model="Reset",dms_060701_Reset_MaxRows,"not a relevant RIN type"))</f>
        <v>365</v>
      </c>
      <c r="D102" s="148" t="s">
        <v>1015</v>
      </c>
      <c r="E102" s="138" t="s">
        <v>1016</v>
      </c>
      <c r="F102" s="139"/>
      <c r="G102" s="139"/>
      <c r="H102" s="139"/>
      <c r="I102" s="139"/>
      <c r="J102" s="139"/>
      <c r="K102" s="179"/>
    </row>
    <row r="103" spans="2:12" ht="24" customHeight="1" x14ac:dyDescent="0.25">
      <c r="B103" s="239" t="s">
        <v>1017</v>
      </c>
      <c r="C103" s="240" t="str">
        <f>IF(dms_FifthFeeder_flag_NSP="NO","This NSP has only 4 feeder categories","This NSP has 5 feeder categories")</f>
        <v>This NSP has only 4 feeder categories</v>
      </c>
      <c r="D103" s="241"/>
      <c r="E103" s="242"/>
      <c r="F103" s="243"/>
      <c r="G103" s="243"/>
      <c r="H103" s="243"/>
      <c r="I103" s="243"/>
      <c r="J103" s="243"/>
      <c r="K103" s="244"/>
    </row>
    <row r="104" spans="2:12" x14ac:dyDescent="0.25">
      <c r="B104" s="141" t="s">
        <v>1018</v>
      </c>
      <c r="C104" s="229">
        <f>IF(dms_FifthFeeder_flag_NSP="NO",10,12)</f>
        <v>10</v>
      </c>
      <c r="D104" s="136" t="s">
        <v>1019</v>
      </c>
      <c r="E104" s="94" t="s">
        <v>1020</v>
      </c>
      <c r="F104" s="91"/>
      <c r="G104" s="91"/>
      <c r="H104" s="91"/>
      <c r="I104" s="91"/>
      <c r="J104" s="91"/>
      <c r="K104" s="92"/>
    </row>
    <row r="105" spans="2:12" x14ac:dyDescent="0.25">
      <c r="B105" s="143" t="s">
        <v>1021</v>
      </c>
      <c r="C105" s="95">
        <f>IF(dms_Model="ARR",15,9)</f>
        <v>15</v>
      </c>
      <c r="D105" s="137" t="s">
        <v>1022</v>
      </c>
      <c r="E105" s="250" t="s">
        <v>1023</v>
      </c>
      <c r="F105" s="89"/>
      <c r="G105" s="89"/>
      <c r="H105" s="89"/>
      <c r="I105" s="89"/>
      <c r="J105" s="89"/>
      <c r="K105" s="90"/>
    </row>
    <row r="106" spans="2:12" x14ac:dyDescent="0.25">
      <c r="B106" s="140" t="s">
        <v>1024</v>
      </c>
      <c r="C106" s="93"/>
      <c r="D106" s="147"/>
      <c r="E106" s="248" t="s">
        <v>1025</v>
      </c>
      <c r="F106" s="91"/>
      <c r="G106" s="91"/>
      <c r="H106" s="91"/>
      <c r="I106" s="91"/>
      <c r="J106" s="91"/>
      <c r="K106" s="92"/>
    </row>
    <row r="107" spans="2:12" x14ac:dyDescent="0.25">
      <c r="B107" s="141" t="s">
        <v>1026</v>
      </c>
      <c r="C107" s="93" t="str">
        <f>IF(dms_SingleYearModel="yes",(CONCATENATE(IF(LEN(CRY)=4,"1-Jan-","1-Jul-"),LEFT(CRY,4))),(CONCATENATE(IF(LEN(PRCP_y4)=4,"1-Jan-","1-Jul-"),LEFT(PRCP_y4,4))))</f>
        <v>1-Jul-2021</v>
      </c>
      <c r="D107" s="136" t="s">
        <v>508</v>
      </c>
      <c r="E107" s="146" t="s">
        <v>1027</v>
      </c>
      <c r="F107" s="91"/>
      <c r="G107" s="91"/>
      <c r="H107" s="91"/>
      <c r="I107" s="91"/>
      <c r="J107" s="91"/>
      <c r="K107" s="92"/>
    </row>
    <row r="108" spans="2:12" ht="15.75" thickBot="1" x14ac:dyDescent="0.3">
      <c r="B108" s="162" t="s">
        <v>1028</v>
      </c>
      <c r="C108" s="168">
        <f>DATEVALUE(dms_060701_StartDateTxt)</f>
        <v>44378</v>
      </c>
      <c r="D108" s="151" t="s">
        <v>1029</v>
      </c>
      <c r="E108" s="169" t="s">
        <v>1030</v>
      </c>
      <c r="F108" s="170"/>
      <c r="G108" s="170"/>
      <c r="H108" s="170"/>
      <c r="I108" s="170"/>
      <c r="J108" s="170"/>
      <c r="K108" s="171"/>
      <c r="L108" s="70"/>
    </row>
    <row r="109" spans="2:12" customFormat="1" ht="15.75" thickBot="1" x14ac:dyDescent="0.3">
      <c r="B109" s="189" t="s">
        <v>1031</v>
      </c>
      <c r="C109" s="190"/>
      <c r="D109" s="190"/>
      <c r="E109" s="190"/>
      <c r="F109" s="191"/>
      <c r="G109" s="191"/>
      <c r="H109" s="191"/>
      <c r="I109" s="191"/>
      <c r="J109" s="191"/>
      <c r="K109" s="192"/>
    </row>
    <row r="110" spans="2:12" ht="38.25" x14ac:dyDescent="0.25">
      <c r="B110" s="165" t="s">
        <v>1032</v>
      </c>
      <c r="C110" s="158" t="s">
        <v>1033</v>
      </c>
      <c r="D110" s="248"/>
      <c r="E110" s="248" t="s">
        <v>1034</v>
      </c>
      <c r="F110" s="166"/>
      <c r="G110" s="166"/>
      <c r="H110" s="166"/>
      <c r="I110" s="166"/>
      <c r="J110" s="166"/>
      <c r="K110" s="167"/>
      <c r="L110" s="70"/>
    </row>
    <row r="111" spans="2:12" x14ac:dyDescent="0.25">
      <c r="B111" s="140" t="s">
        <v>1035</v>
      </c>
      <c r="C111" s="158" t="s">
        <v>819</v>
      </c>
      <c r="D111" s="253"/>
      <c r="E111" s="94" t="s">
        <v>1036</v>
      </c>
      <c r="F111" s="91"/>
      <c r="G111" s="91"/>
      <c r="H111" s="91"/>
      <c r="I111" s="91"/>
      <c r="J111" s="91"/>
      <c r="K111" s="92"/>
      <c r="L111" s="70"/>
    </row>
    <row r="112" spans="2:12" x14ac:dyDescent="0.25">
      <c r="B112" s="141" t="s">
        <v>1037</v>
      </c>
      <c r="C112" s="93">
        <v>12</v>
      </c>
      <c r="D112" s="136" t="s">
        <v>1038</v>
      </c>
      <c r="E112" s="94" t="s">
        <v>1039</v>
      </c>
      <c r="F112" s="91"/>
      <c r="G112" s="91"/>
      <c r="H112" s="91"/>
      <c r="I112" s="91"/>
      <c r="J112" s="91"/>
      <c r="K112" s="92"/>
    </row>
    <row r="113" spans="2:11" x14ac:dyDescent="0.25">
      <c r="B113" s="141" t="s">
        <v>1040</v>
      </c>
      <c r="C113" s="270" t="s">
        <v>290</v>
      </c>
      <c r="D113" s="136" t="s">
        <v>1041</v>
      </c>
      <c r="E113" s="96" t="s">
        <v>1042</v>
      </c>
      <c r="F113" s="91"/>
      <c r="G113" s="91"/>
      <c r="H113" s="91"/>
      <c r="I113" s="91"/>
      <c r="J113" s="91"/>
      <c r="K113" s="92"/>
    </row>
    <row r="114" spans="2:11" ht="15.75" thickBot="1" x14ac:dyDescent="0.3">
      <c r="B114" s="162" t="s">
        <v>1043</v>
      </c>
      <c r="C114" s="272">
        <f>IFERROR(IF(dms_Model="ARR",(MAX(0,dms_0608_LastRow-dms_0608_OffsetRows)),"not an ARR"),"0")</f>
        <v>0</v>
      </c>
      <c r="D114" s="151" t="s">
        <v>1044</v>
      </c>
      <c r="E114" s="108" t="s">
        <v>1045</v>
      </c>
      <c r="F114" s="172"/>
      <c r="G114" s="170"/>
      <c r="H114" s="170"/>
      <c r="I114" s="170"/>
      <c r="J114" s="170"/>
      <c r="K114" s="171"/>
    </row>
    <row r="115" spans="2:11" customFormat="1" ht="15.75" thickBot="1" x14ac:dyDescent="0.3">
      <c r="B115" s="189" t="s">
        <v>1046</v>
      </c>
      <c r="C115" s="190"/>
      <c r="D115" s="190"/>
      <c r="E115" s="190"/>
      <c r="F115" s="191"/>
      <c r="G115" s="191"/>
      <c r="H115" s="191"/>
      <c r="I115" s="191"/>
      <c r="J115" s="191"/>
      <c r="K115" s="192"/>
    </row>
    <row r="116" spans="2:11" x14ac:dyDescent="0.25">
      <c r="B116" s="140" t="s">
        <v>1047</v>
      </c>
      <c r="C116" s="144"/>
      <c r="D116" s="136"/>
      <c r="E116" s="94"/>
      <c r="F116" s="155"/>
      <c r="G116" s="91"/>
      <c r="H116" s="91"/>
      <c r="I116" s="91"/>
      <c r="J116" s="91"/>
      <c r="K116" s="92"/>
    </row>
    <row r="117" spans="2:11" x14ac:dyDescent="0.25">
      <c r="B117" s="141" t="s">
        <v>1048</v>
      </c>
      <c r="C117" s="93" t="str">
        <f ca="1">LEFT(PRCP_y3,4)</f>
        <v>2013</v>
      </c>
      <c r="D117" s="136" t="s">
        <v>1049</v>
      </c>
      <c r="E117" s="97" t="s">
        <v>1050</v>
      </c>
      <c r="F117" s="91"/>
      <c r="G117" s="91"/>
      <c r="H117" s="91"/>
      <c r="I117" s="91"/>
      <c r="J117" s="91"/>
      <c r="K117" s="92"/>
    </row>
    <row r="118" spans="2:11" ht="15.75" thickBot="1" x14ac:dyDescent="0.3">
      <c r="B118" s="432"/>
      <c r="C118" s="433"/>
      <c r="D118" s="434"/>
      <c r="E118" s="435"/>
      <c r="F118" s="436"/>
      <c r="G118" s="436"/>
      <c r="H118" s="436"/>
      <c r="I118" s="436"/>
      <c r="J118" s="436"/>
      <c r="K118" s="437"/>
    </row>
    <row r="119" spans="2:11" customFormat="1" ht="15.75" thickBot="1" x14ac:dyDescent="0.3">
      <c r="B119" s="189" t="s">
        <v>1051</v>
      </c>
      <c r="C119" s="190"/>
      <c r="D119" s="190"/>
      <c r="E119" s="190"/>
      <c r="F119" s="191"/>
      <c r="G119" s="191"/>
      <c r="H119" s="191"/>
      <c r="I119" s="191"/>
      <c r="J119" s="191"/>
      <c r="K119" s="192"/>
    </row>
    <row r="120" spans="2:11" customFormat="1" ht="14.25" customHeight="1" x14ac:dyDescent="0.25">
      <c r="B120" s="200" t="s">
        <v>1052</v>
      </c>
      <c r="C120" s="210" t="e">
        <f>INDEX(dms_DeterminationRef_List,MATCH(dms_TradingName,dms_TradingName_List))</f>
        <v>#NAME?</v>
      </c>
      <c r="D120" s="201" t="s">
        <v>1053</v>
      </c>
      <c r="E120" s="202"/>
      <c r="F120" s="203"/>
      <c r="G120" s="203"/>
      <c r="H120" s="203"/>
      <c r="I120" s="203"/>
      <c r="J120" s="203"/>
      <c r="K120" s="204"/>
    </row>
    <row r="121" spans="2:11" customFormat="1" ht="14.25" customHeight="1" x14ac:dyDescent="0.25">
      <c r="B121" s="214" t="s">
        <v>1054</v>
      </c>
      <c r="C121" s="215" t="str">
        <f>INDEX(dms_Public_Lighting_List,MATCH(dms_TradingName,dms_TradingName_List))</f>
        <v>NO</v>
      </c>
      <c r="D121" s="216" t="s">
        <v>1055</v>
      </c>
      <c r="E121" s="221" t="s">
        <v>1056</v>
      </c>
      <c r="F121" s="217"/>
      <c r="G121" s="217"/>
      <c r="H121" s="217"/>
      <c r="I121" s="217"/>
      <c r="J121" s="217"/>
      <c r="K121" s="218"/>
    </row>
    <row r="122" spans="2:11" ht="15" customHeight="1" x14ac:dyDescent="0.25">
      <c r="B122" s="86" t="s">
        <v>1057</v>
      </c>
      <c r="C122" s="87" t="str">
        <f>INDEX(dms_CBD_flag,MATCH(dms_TradingName,dms_TradingName_List))</f>
        <v>NO</v>
      </c>
      <c r="D122" s="150" t="s">
        <v>1058</v>
      </c>
      <c r="E122" s="150"/>
      <c r="F122" s="198"/>
      <c r="G122" s="198"/>
      <c r="H122" s="198"/>
      <c r="I122" s="198"/>
      <c r="J122" s="198"/>
      <c r="K122" s="199"/>
    </row>
    <row r="123" spans="2:11" ht="15" customHeight="1" x14ac:dyDescent="0.25">
      <c r="B123" s="88" t="s">
        <v>1059</v>
      </c>
      <c r="C123" s="74" t="str">
        <f>INDEX(dms_Urban_flag,MATCH(dms_TradingName,dms_TradingName_List))</f>
        <v>NO</v>
      </c>
      <c r="D123" s="103" t="s">
        <v>1060</v>
      </c>
      <c r="E123" s="103"/>
      <c r="F123" s="104"/>
      <c r="G123" s="104"/>
      <c r="H123" s="104"/>
      <c r="I123" s="104"/>
      <c r="J123" s="104"/>
      <c r="K123" s="105"/>
    </row>
    <row r="124" spans="2:11" ht="15" customHeight="1" x14ac:dyDescent="0.25">
      <c r="B124" s="88" t="s">
        <v>1061</v>
      </c>
      <c r="C124" s="74" t="str">
        <f>INDEX(dms_ShortRural_flag,MATCH(dms_TradingName,dms_TradingName_List))</f>
        <v>NO</v>
      </c>
      <c r="D124" s="103" t="s">
        <v>1062</v>
      </c>
      <c r="E124" s="103"/>
      <c r="F124" s="104"/>
      <c r="G124" s="104"/>
      <c r="H124" s="104"/>
      <c r="I124" s="104"/>
      <c r="J124" s="104"/>
      <c r="K124" s="105"/>
    </row>
    <row r="125" spans="2:11" ht="15" customHeight="1" x14ac:dyDescent="0.25">
      <c r="B125" s="205" t="s">
        <v>1063</v>
      </c>
      <c r="C125" s="206" t="str">
        <f>INDEX(dms_LongRural_flag,MATCH(dms_TradingName,dms_TradingName_List))</f>
        <v>NO</v>
      </c>
      <c r="D125" s="207" t="s">
        <v>1064</v>
      </c>
      <c r="E125" s="207"/>
      <c r="F125" s="208"/>
      <c r="G125" s="208"/>
      <c r="H125" s="208"/>
      <c r="I125" s="208"/>
      <c r="J125" s="208"/>
      <c r="K125" s="209"/>
    </row>
    <row r="126" spans="2:11" ht="15.75" thickBot="1" x14ac:dyDescent="0.3">
      <c r="B126" s="106" t="s">
        <v>1065</v>
      </c>
      <c r="C126" s="107" t="str">
        <f>INDEX(dms_FeederType_5_flag,MATCH(dms_TradingName,dms_TradingName_List))</f>
        <v>NO</v>
      </c>
      <c r="D126" s="151" t="s">
        <v>1066</v>
      </c>
      <c r="E126" s="108" t="s">
        <v>1067</v>
      </c>
      <c r="F126" s="109"/>
      <c r="G126" s="109"/>
      <c r="H126" s="109"/>
      <c r="I126" s="109"/>
      <c r="J126" s="109"/>
      <c r="K126" s="110"/>
    </row>
    <row r="127" spans="2:11" ht="15.75" thickBot="1" x14ac:dyDescent="0.3">
      <c r="B127" s="432"/>
      <c r="C127" s="433"/>
      <c r="D127" s="434"/>
      <c r="E127" s="435"/>
      <c r="F127" s="436"/>
      <c r="G127" s="436"/>
      <c r="H127" s="436"/>
      <c r="I127" s="436"/>
      <c r="J127" s="436"/>
      <c r="K127" s="437"/>
    </row>
    <row r="128" spans="2:11" customFormat="1" ht="15.75" thickBot="1" x14ac:dyDescent="0.3">
      <c r="B128" s="707" t="s">
        <v>1068</v>
      </c>
      <c r="C128" s="708"/>
      <c r="D128" s="708"/>
      <c r="E128" s="708"/>
      <c r="F128" s="709"/>
      <c r="G128" s="709"/>
      <c r="H128" s="709"/>
      <c r="I128" s="709"/>
      <c r="J128" s="709"/>
      <c r="K128" s="710"/>
    </row>
    <row r="129" spans="2:11" ht="15.75" thickBot="1" x14ac:dyDescent="0.3">
      <c r="B129" s="180" t="s">
        <v>1069</v>
      </c>
      <c r="C129" s="181" t="s">
        <v>629</v>
      </c>
      <c r="D129" s="182" t="s">
        <v>1070</v>
      </c>
      <c r="E129" s="183" t="s">
        <v>1071</v>
      </c>
      <c r="F129" s="184"/>
      <c r="G129" s="184"/>
      <c r="H129" s="184"/>
      <c r="I129" s="184"/>
      <c r="J129" s="184"/>
      <c r="K129" s="185"/>
    </row>
    <row r="130" spans="2:11" customFormat="1" ht="15.75" thickBot="1" x14ac:dyDescent="0.3"/>
    <row r="131" spans="2:11" customFormat="1" ht="15.75" thickBot="1" x14ac:dyDescent="0.3">
      <c r="B131" s="707" t="s">
        <v>1072</v>
      </c>
      <c r="C131" s="708"/>
      <c r="D131" s="708"/>
      <c r="E131" s="708"/>
      <c r="F131" s="709"/>
      <c r="G131" s="709"/>
      <c r="H131" s="709"/>
      <c r="I131" s="709"/>
      <c r="J131" s="709"/>
      <c r="K131" s="710"/>
    </row>
    <row r="132" spans="2:11" x14ac:dyDescent="0.25">
      <c r="B132" s="73" t="s">
        <v>1073</v>
      </c>
      <c r="C132" s="102" t="s">
        <v>629</v>
      </c>
      <c r="D132" s="103" t="s">
        <v>1074</v>
      </c>
      <c r="E132" s="99"/>
      <c r="F132" s="100"/>
      <c r="G132" s="100"/>
      <c r="H132" s="100"/>
      <c r="I132" s="100"/>
      <c r="J132" s="100"/>
      <c r="K132" s="101"/>
    </row>
    <row r="133" spans="2:11" customFormat="1" x14ac:dyDescent="0.25"/>
    <row r="134" spans="2:11" ht="15.75" thickBot="1" x14ac:dyDescent="0.3">
      <c r="B134" s="432"/>
      <c r="C134" s="433"/>
      <c r="D134" s="434"/>
      <c r="E134" s="435"/>
      <c r="F134" s="436"/>
      <c r="G134" s="436"/>
      <c r="H134" s="436"/>
      <c r="I134" s="436"/>
      <c r="J134" s="436"/>
      <c r="K134" s="437"/>
    </row>
    <row r="135" spans="2:11" ht="15.75" thickBot="1" x14ac:dyDescent="0.3">
      <c r="B135" s="711" t="s">
        <v>1075</v>
      </c>
      <c r="C135" s="712"/>
      <c r="D135" s="712"/>
      <c r="E135" s="712"/>
      <c r="F135" s="713"/>
      <c r="G135" s="713"/>
      <c r="H135" s="713"/>
      <c r="I135" s="713"/>
      <c r="J135" s="713"/>
      <c r="K135" s="714"/>
    </row>
    <row r="136" spans="2:11" x14ac:dyDescent="0.25">
      <c r="B136" s="114" t="s">
        <v>1076</v>
      </c>
      <c r="C136" s="102" t="s">
        <v>631</v>
      </c>
      <c r="D136" s="115" t="s">
        <v>1077</v>
      </c>
      <c r="E136" s="116"/>
      <c r="F136" s="117"/>
      <c r="G136" s="117"/>
      <c r="H136" s="117"/>
      <c r="I136" s="117"/>
      <c r="J136" s="117"/>
      <c r="K136" s="118"/>
    </row>
    <row r="137" spans="2:11" x14ac:dyDescent="0.25">
      <c r="B137" s="119"/>
      <c r="C137" s="120" t="s">
        <v>1078</v>
      </c>
      <c r="D137" s="121" t="s">
        <v>1079</v>
      </c>
      <c r="E137" s="122"/>
      <c r="F137" s="123"/>
      <c r="G137" s="123"/>
      <c r="H137" s="123"/>
      <c r="I137" s="123"/>
      <c r="J137" s="123"/>
      <c r="K137" s="124"/>
    </row>
    <row r="138" spans="2:11" x14ac:dyDescent="0.25">
      <c r="B138" s="119"/>
      <c r="C138" s="125">
        <v>2015</v>
      </c>
      <c r="D138" s="126" t="s">
        <v>1080</v>
      </c>
      <c r="E138" s="127"/>
      <c r="F138" s="128"/>
      <c r="G138" s="128"/>
      <c r="H138" s="128"/>
      <c r="I138" s="128"/>
      <c r="J138" s="128"/>
      <c r="K138" s="129"/>
    </row>
    <row r="139" spans="2:11" x14ac:dyDescent="0.25">
      <c r="B139" s="119"/>
      <c r="C139" s="125">
        <v>2016</v>
      </c>
      <c r="D139" s="126" t="s">
        <v>1081</v>
      </c>
      <c r="E139" s="127"/>
      <c r="F139" s="128"/>
      <c r="G139" s="128"/>
      <c r="H139" s="128"/>
      <c r="I139" s="128"/>
      <c r="J139" s="128"/>
      <c r="K139" s="129"/>
    </row>
    <row r="140" spans="2:11" x14ac:dyDescent="0.25">
      <c r="B140" s="119"/>
      <c r="C140" s="125">
        <v>2017</v>
      </c>
      <c r="D140" s="126" t="s">
        <v>1082</v>
      </c>
      <c r="E140" s="127"/>
      <c r="F140" s="128"/>
      <c r="G140" s="128"/>
      <c r="H140" s="128"/>
      <c r="I140" s="128"/>
      <c r="J140" s="128"/>
      <c r="K140" s="129"/>
    </row>
    <row r="141" spans="2:11" x14ac:dyDescent="0.25">
      <c r="B141" s="119"/>
      <c r="C141" s="125">
        <v>2018</v>
      </c>
      <c r="D141" s="126" t="s">
        <v>1083</v>
      </c>
      <c r="E141" s="127"/>
      <c r="F141" s="128"/>
      <c r="G141" s="128"/>
      <c r="H141" s="128"/>
      <c r="I141" s="128"/>
      <c r="J141" s="128"/>
      <c r="K141" s="129"/>
    </row>
    <row r="142" spans="2:11" x14ac:dyDescent="0.25">
      <c r="B142" s="222"/>
      <c r="C142" s="223">
        <v>2019</v>
      </c>
      <c r="D142" s="224" t="s">
        <v>1084</v>
      </c>
      <c r="E142" s="225"/>
      <c r="F142" s="226"/>
      <c r="G142" s="226"/>
      <c r="H142" s="226"/>
      <c r="I142" s="226"/>
      <c r="J142" s="226"/>
      <c r="K142" s="227"/>
    </row>
    <row r="143" spans="2:11" x14ac:dyDescent="0.25">
      <c r="B143" s="222"/>
      <c r="C143" s="223">
        <v>2020</v>
      </c>
      <c r="D143" s="224" t="s">
        <v>1085</v>
      </c>
      <c r="E143" s="225"/>
      <c r="F143" s="226"/>
      <c r="G143" s="226"/>
      <c r="H143" s="226"/>
      <c r="I143" s="226"/>
      <c r="J143" s="226"/>
      <c r="K143" s="227"/>
    </row>
    <row r="144" spans="2:11" x14ac:dyDescent="0.25">
      <c r="B144" s="222"/>
      <c r="C144" s="223">
        <v>2021</v>
      </c>
      <c r="D144" s="224" t="s">
        <v>1086</v>
      </c>
      <c r="E144" s="225"/>
      <c r="F144" s="226"/>
      <c r="G144" s="226"/>
      <c r="H144" s="226"/>
      <c r="I144" s="226"/>
      <c r="J144" s="226"/>
      <c r="K144" s="227"/>
    </row>
    <row r="145" spans="2:11" x14ac:dyDescent="0.25">
      <c r="B145" s="222"/>
      <c r="C145" s="223">
        <v>2022</v>
      </c>
      <c r="D145" s="224" t="s">
        <v>1087</v>
      </c>
      <c r="E145" s="225"/>
      <c r="F145" s="226"/>
      <c r="G145" s="226"/>
      <c r="H145" s="226"/>
      <c r="I145" s="226"/>
      <c r="J145" s="226"/>
      <c r="K145" s="227"/>
    </row>
    <row r="146" spans="2:11" ht="15.75" thickBot="1" x14ac:dyDescent="0.3">
      <c r="B146" s="130"/>
      <c r="C146" s="131">
        <v>2023</v>
      </c>
      <c r="D146" s="132" t="s">
        <v>1088</v>
      </c>
      <c r="E146" s="133"/>
      <c r="F146" s="134"/>
      <c r="G146" s="134"/>
      <c r="H146" s="134"/>
      <c r="I146" s="134"/>
      <c r="J146" s="134"/>
      <c r="K146" s="135"/>
    </row>
    <row r="147" spans="2:11" x14ac:dyDescent="0.25">
      <c r="B147"/>
      <c r="C147"/>
    </row>
    <row r="148" spans="2:11" x14ac:dyDescent="0.25">
      <c r="B148"/>
      <c r="C148"/>
    </row>
    <row r="149" spans="2:11" x14ac:dyDescent="0.25">
      <c r="B149"/>
      <c r="C149"/>
      <c r="D149"/>
      <c r="E149"/>
      <c r="F149"/>
      <c r="G149"/>
      <c r="H149"/>
      <c r="I149"/>
    </row>
    <row r="150" spans="2:11" x14ac:dyDescent="0.25">
      <c r="B150"/>
      <c r="C150"/>
      <c r="D150"/>
      <c r="E150"/>
      <c r="F150"/>
      <c r="G150"/>
      <c r="H150"/>
      <c r="I150"/>
    </row>
    <row r="151" spans="2:11" x14ac:dyDescent="0.25">
      <c r="B151"/>
      <c r="C151"/>
      <c r="D151"/>
      <c r="E151"/>
      <c r="F151"/>
      <c r="G151"/>
      <c r="H151"/>
      <c r="I151"/>
    </row>
    <row r="152" spans="2:11" x14ac:dyDescent="0.25">
      <c r="B152"/>
      <c r="C152"/>
      <c r="D152"/>
      <c r="E152"/>
      <c r="F152"/>
      <c r="G152"/>
      <c r="H152"/>
      <c r="I152"/>
    </row>
    <row r="153" spans="2:11" x14ac:dyDescent="0.25">
      <c r="B153"/>
      <c r="C153"/>
      <c r="D153"/>
      <c r="E153"/>
      <c r="F153"/>
      <c r="G153"/>
      <c r="H153"/>
      <c r="I153"/>
    </row>
  </sheetData>
  <sheetProtection algorithmName="SHA-256" hashValue="JiNqQw86fDQcoMjL6gP/NbU0xAgVedbpFfqFxMv4ZNs=" saltValue="iWWjucpQmL50cnQMDYD8TA==" spinCount="100000" sheet="1" objects="1" scenarios="1" formatCells="0" insertRows="0"/>
  <dataConsolidate/>
  <mergeCells count="13">
    <mergeCell ref="E14:I14"/>
    <mergeCell ref="B73:B75"/>
    <mergeCell ref="A13:A17"/>
    <mergeCell ref="A20:A27"/>
    <mergeCell ref="A28:A33"/>
    <mergeCell ref="A36:A61"/>
    <mergeCell ref="C16:E16"/>
    <mergeCell ref="AL34:BG34"/>
    <mergeCell ref="AL35:BG35"/>
    <mergeCell ref="AL36:BG36"/>
    <mergeCell ref="BQ34:CL34"/>
    <mergeCell ref="BQ35:CL35"/>
    <mergeCell ref="BQ36:CL36"/>
  </mergeCells>
  <conditionalFormatting sqref="B86">
    <cfRule type="expression" dxfId="12" priority="13">
      <formula>dms_Model="EB"</formula>
    </cfRule>
  </conditionalFormatting>
  <conditionalFormatting sqref="B88">
    <cfRule type="expression" dxfId="11" priority="14">
      <formula>dms_Model="CA"</formula>
    </cfRule>
  </conditionalFormatting>
  <conditionalFormatting sqref="B96">
    <cfRule type="expression" dxfId="10" priority="11">
      <formula>IF(OR(dms_Model="ARR",dms_Model="Reset"),"True")</formula>
    </cfRule>
  </conditionalFormatting>
  <conditionalFormatting sqref="B109">
    <cfRule type="expression" dxfId="9" priority="12">
      <formula>dms_Model="ARR"</formula>
    </cfRule>
  </conditionalFormatting>
  <conditionalFormatting sqref="B115">
    <cfRule type="expression" dxfId="8" priority="5">
      <formula>AND(dms_Model="Reset",dms_Segment="Transmission")</formula>
    </cfRule>
  </conditionalFormatting>
  <conditionalFormatting sqref="C25">
    <cfRule type="expression" dxfId="7" priority="53">
      <formula>SUM(dms_SingleYear_Model)&gt;0</formula>
    </cfRule>
  </conditionalFormatting>
  <conditionalFormatting sqref="C63">
    <cfRule type="cellIs" dxfId="6" priority="6" operator="equal">
      <formula>"YES"</formula>
    </cfRule>
  </conditionalFormatting>
  <conditionalFormatting sqref="C65">
    <cfRule type="expression" dxfId="5" priority="52">
      <formula>dms_MultiYear_Flag=1</formula>
    </cfRule>
  </conditionalFormatting>
  <conditionalFormatting sqref="C77">
    <cfRule type="cellIs" dxfId="4" priority="2" operator="greaterThan">
      <formula>0</formula>
    </cfRule>
  </conditionalFormatting>
  <conditionalFormatting sqref="C81 C84">
    <cfRule type="cellIs" dxfId="3" priority="4" operator="greaterThan">
      <formula>0</formula>
    </cfRule>
  </conditionalFormatting>
  <conditionalFormatting sqref="C94">
    <cfRule type="cellIs" dxfId="1" priority="9" operator="equal">
      <formula>"error"</formula>
    </cfRule>
  </conditionalFormatting>
  <conditionalFormatting sqref="C132 C136">
    <cfRule type="cellIs" dxfId="0" priority="7" operator="equal">
      <formula>"YES"</formula>
    </cfRule>
  </conditionalFormatting>
  <dataValidations xWindow="933" yWindow="345" count="9">
    <dataValidation type="list" allowBlank="1" showInputMessage="1" showErrorMessage="1" sqref="C13" xr:uid="{00000000-0002-0000-0D00-000000000000}">
      <formula1>dms_SourceList</formula1>
    </dataValidation>
    <dataValidation type="list" allowBlank="1" showInputMessage="1" showErrorMessage="1" sqref="C19 C63" xr:uid="{00000000-0002-0000-0D00-000001000000}">
      <formula1>"Yes, No"</formula1>
    </dataValidation>
    <dataValidation type="list" allowBlank="1" showInputMessage="1" showErrorMessage="1" sqref="C26" xr:uid="{00000000-0002-0000-0D00-000002000000}">
      <formula1>"Public, Confidential"</formula1>
    </dataValidation>
    <dataValidation type="list" allowBlank="1" showInputMessage="1" showErrorMessage="1" sqref="C24" xr:uid="{00000000-0002-0000-0D00-000003000000}">
      <formula1>"Financial, Calendar, Other"</formula1>
    </dataValidation>
    <dataValidation type="list" allowBlank="1" showInputMessage="1" showErrorMessage="1" sqref="C14" xr:uid="{00000000-0002-0000-0D00-000004000000}">
      <formula1>dms_DataQuality_List</formula1>
    </dataValidation>
    <dataValidation type="list" allowBlank="1" showInputMessage="1" showErrorMessage="1" promptTitle="Model" prompt="Make sure corresponding Source type is correctly selected !!!_x000a__x000a_eg: ABC=Reporting, Reset=Regulatory proposal  etc" sqref="C12" xr:uid="{00000000-0002-0000-0D00-000005000000}">
      <formula1>dms_Model_List</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5" xr:uid="{00000000-0002-0000-0D00-000006000000}"/>
    <dataValidation type="list" allowBlank="1" showInputMessage="1" showErrorMessage="1" sqref="C129 C136 C132" xr:uid="{00000000-0002-0000-0D00-000007000000}">
      <formula1>"YES, NO"</formula1>
    </dataValidation>
    <dataValidation type="list" allowBlank="1" showInputMessage="1" showErrorMessage="1" sqref="C15" xr:uid="{00000000-0002-0000-0D00-000008000000}">
      <formula1>dms_Confid_status_List</formula1>
    </dataValidation>
  </dataValidations>
  <pageMargins left="0.25" right="0.25" top="0.75" bottom="0.75" header="0.3" footer="0.3"/>
  <pageSetup paperSize="9" scale="90" orientation="landscape" r:id="rId1"/>
  <headerFooter>
    <oddFooter>&amp;C_x000D_&amp;1#&amp;"Aptos"&amp;10&amp;K008000 APA-INTERNAL</oddFooter>
  </headerFooter>
  <ignoredErrors>
    <ignoredError sqref="C14:C17" unlockedFormula="1"/>
  </ignoredErrors>
  <extLst>
    <ext xmlns:x14="http://schemas.microsoft.com/office/spreadsheetml/2009/9/main" uri="{78C0D931-6437-407d-A8EE-F0AAD7539E65}">
      <x14:conditionalFormattings>
        <x14:conditionalFormatting xmlns:xm="http://schemas.microsoft.com/office/excel/2006/main">
          <x14:cfRule type="containsText" priority="8" operator="containsText" id="{5F162DA5-441B-415D-AFC2-6045F606FD20}">
            <xm:f>NOT(ISERROR(SEARCH("error - NR not present",C92)))</xm:f>
            <xm:f>"error - NR not present"</xm:f>
            <x14:dxf>
              <font>
                <color rgb="FF9C0006"/>
              </font>
              <fill>
                <patternFill>
                  <bgColor rgb="FFFFC7CE"/>
                </patternFill>
              </fill>
            </x14:dxf>
          </x14:cfRule>
          <xm:sqref>C92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theme="9" tint="-0.249977111117893"/>
  </sheetPr>
  <dimension ref="A1:P39"/>
  <sheetViews>
    <sheetView showGridLines="0" zoomScaleNormal="100" workbookViewId="0"/>
  </sheetViews>
  <sheetFormatPr defaultColWidth="9.140625" defaultRowHeight="15" x14ac:dyDescent="0.25"/>
  <cols>
    <col min="1" max="1" width="36.5703125" style="899" customWidth="1"/>
    <col min="2" max="2" width="15.140625" style="899" customWidth="1"/>
    <col min="3" max="3" width="40" style="899" customWidth="1"/>
    <col min="4" max="4" width="39.140625" style="899" customWidth="1"/>
    <col min="5" max="5" width="16.5703125" style="899" customWidth="1"/>
    <col min="6" max="16384" width="9.140625" style="899"/>
  </cols>
  <sheetData>
    <row r="1" spans="1:16" ht="26.25" x14ac:dyDescent="0.25">
      <c r="A1"/>
      <c r="B1" s="968" t="str">
        <f>INDEX(dms_Worksheet_List,MATCH(dms_Model,dms_Model_List))</f>
        <v>REGULATORY REPORTING STATEMENT - HISTORICAL</v>
      </c>
      <c r="C1" s="439"/>
      <c r="D1" s="439"/>
      <c r="E1" s="439"/>
      <c r="F1"/>
      <c r="G1"/>
      <c r="H1"/>
      <c r="I1"/>
      <c r="J1"/>
      <c r="K1"/>
      <c r="L1"/>
      <c r="M1"/>
      <c r="N1"/>
      <c r="O1"/>
      <c r="P1"/>
    </row>
    <row r="2" spans="1:16" ht="26.25" x14ac:dyDescent="0.25">
      <c r="A2"/>
      <c r="B2" s="969" t="str">
        <f>INDEX(dms_TradingNameFull_List,MATCH(dms_TradingName,dms_TradingName_List))</f>
        <v>APT Petroleum Pipelines Limited t/a Roma to Brisbane Pipeline</v>
      </c>
      <c r="C2" s="440"/>
      <c r="D2" s="440"/>
      <c r="E2" s="440"/>
      <c r="F2"/>
      <c r="G2"/>
      <c r="H2"/>
      <c r="I2"/>
      <c r="J2"/>
      <c r="K2"/>
      <c r="L2"/>
      <c r="M2"/>
      <c r="N2"/>
      <c r="O2"/>
      <c r="P2"/>
    </row>
    <row r="3" spans="1:16" ht="26.25" x14ac:dyDescent="0.25">
      <c r="A3"/>
      <c r="B3" s="970" t="str">
        <f>dms_Header_Span</f>
        <v>Data Span 2021-22 to 2024-25</v>
      </c>
      <c r="C3" s="643"/>
      <c r="D3" s="643"/>
      <c r="E3" s="643"/>
      <c r="F3"/>
      <c r="G3"/>
      <c r="H3"/>
      <c r="I3"/>
      <c r="J3"/>
      <c r="K3"/>
      <c r="L3"/>
      <c r="M3"/>
      <c r="N3"/>
      <c r="O3"/>
      <c r="P3"/>
    </row>
    <row r="4" spans="1:16" x14ac:dyDescent="0.25">
      <c r="A4"/>
      <c r="B4"/>
      <c r="C4"/>
      <c r="D4"/>
      <c r="E4"/>
      <c r="F4"/>
      <c r="G4"/>
      <c r="H4"/>
      <c r="I4"/>
      <c r="J4"/>
      <c r="K4"/>
      <c r="L4"/>
      <c r="M4"/>
      <c r="N4"/>
      <c r="O4"/>
      <c r="P4"/>
    </row>
    <row r="5" spans="1:16" ht="16.5" thickBot="1" x14ac:dyDescent="0.3">
      <c r="B5" s="903"/>
      <c r="C5" s="903"/>
      <c r="D5" s="903"/>
      <c r="E5" s="903"/>
    </row>
    <row r="6" spans="1:16" ht="15.75" x14ac:dyDescent="0.25">
      <c r="B6" s="900"/>
      <c r="C6" s="901"/>
      <c r="D6" s="901"/>
      <c r="E6" s="902"/>
    </row>
    <row r="7" spans="1:16" s="904" customFormat="1" ht="23.25" x14ac:dyDescent="0.25">
      <c r="B7" s="905"/>
      <c r="C7" s="1161" t="s">
        <v>19</v>
      </c>
      <c r="D7" s="1161" t="s">
        <v>19</v>
      </c>
      <c r="E7" s="906"/>
    </row>
    <row r="8" spans="1:16" s="904" customFormat="1" ht="12.6" customHeight="1" x14ac:dyDescent="0.25">
      <c r="B8" s="907"/>
      <c r="C8" s="908"/>
      <c r="D8" s="908"/>
      <c r="E8" s="906"/>
    </row>
    <row r="9" spans="1:16" s="904" customFormat="1" ht="19.5" customHeight="1" x14ac:dyDescent="0.25">
      <c r="B9" s="907"/>
      <c r="C9" s="990" t="s">
        <v>20</v>
      </c>
      <c r="D9" s="996" t="s">
        <v>21</v>
      </c>
      <c r="E9" s="906"/>
    </row>
    <row r="10" spans="1:16" s="904" customFormat="1" ht="19.5" customHeight="1" x14ac:dyDescent="0.25">
      <c r="B10" s="907"/>
      <c r="C10" s="991"/>
      <c r="D10" s="908"/>
      <c r="E10" s="906"/>
    </row>
    <row r="11" spans="1:16" s="904" customFormat="1" ht="19.5" customHeight="1" x14ac:dyDescent="0.25">
      <c r="B11" s="909"/>
      <c r="C11" s="992" t="s">
        <v>22</v>
      </c>
      <c r="D11" s="910" t="s">
        <v>23</v>
      </c>
      <c r="E11" s="906"/>
    </row>
    <row r="12" spans="1:16" s="904" customFormat="1" ht="19.5" customHeight="1" x14ac:dyDescent="0.25">
      <c r="A12" s="932"/>
      <c r="B12" s="909"/>
      <c r="C12" s="991"/>
      <c r="D12" s="908"/>
      <c r="E12" s="906"/>
      <c r="H12" s="3"/>
      <c r="I12" s="3"/>
    </row>
    <row r="13" spans="1:16" s="904" customFormat="1" ht="19.5" customHeight="1" x14ac:dyDescent="0.25">
      <c r="B13" s="909"/>
      <c r="C13" s="993" t="s">
        <v>24</v>
      </c>
      <c r="D13" s="911" t="s">
        <v>25</v>
      </c>
      <c r="E13" s="906"/>
      <c r="H13"/>
      <c r="I13"/>
      <c r="J13"/>
    </row>
    <row r="14" spans="1:16" s="904" customFormat="1" ht="19.5" customHeight="1" x14ac:dyDescent="0.25">
      <c r="B14" s="909"/>
      <c r="C14" s="993"/>
      <c r="D14" s="911" t="s">
        <v>26</v>
      </c>
      <c r="E14" s="906"/>
      <c r="H14"/>
      <c r="I14"/>
      <c r="J14"/>
    </row>
    <row r="15" spans="1:16" s="904" customFormat="1" ht="19.5" customHeight="1" x14ac:dyDescent="0.25">
      <c r="B15" s="909"/>
      <c r="C15" s="993"/>
      <c r="D15" s="911" t="s">
        <v>27</v>
      </c>
      <c r="E15" s="906"/>
      <c r="H15"/>
      <c r="I15"/>
      <c r="J15"/>
      <c r="K15"/>
      <c r="L15"/>
    </row>
    <row r="16" spans="1:16" s="904" customFormat="1" ht="19.5" customHeight="1" x14ac:dyDescent="0.25">
      <c r="B16" s="909"/>
      <c r="C16" s="993"/>
      <c r="D16" s="911" t="s">
        <v>28</v>
      </c>
      <c r="E16" s="906"/>
      <c r="H16" s="3"/>
    </row>
    <row r="17" spans="1:16" s="904" customFormat="1" ht="19.5" customHeight="1" x14ac:dyDescent="0.25">
      <c r="B17" s="909"/>
      <c r="C17" s="993"/>
      <c r="D17" s="911" t="s">
        <v>29</v>
      </c>
      <c r="E17" s="906"/>
      <c r="H17" s="3"/>
    </row>
    <row r="18" spans="1:16" s="904" customFormat="1" ht="19.5" customHeight="1" x14ac:dyDescent="0.25">
      <c r="B18" s="909"/>
      <c r="C18" s="994"/>
      <c r="D18"/>
      <c r="E18" s="906"/>
      <c r="H18" s="3"/>
    </row>
    <row r="19" spans="1:16" s="904" customFormat="1" ht="19.5" customHeight="1" x14ac:dyDescent="0.25">
      <c r="B19" s="909"/>
      <c r="C19" s="995" t="s">
        <v>30</v>
      </c>
      <c r="D19" s="971" t="s">
        <v>31</v>
      </c>
      <c r="E19" s="906"/>
      <c r="H19" s="3"/>
    </row>
    <row r="20" spans="1:16" s="904" customFormat="1" ht="19.5" customHeight="1" thickBot="1" x14ac:dyDescent="0.3">
      <c r="B20" s="912"/>
      <c r="C20" s="913"/>
      <c r="D20" s="913"/>
      <c r="E20" s="914"/>
      <c r="H20"/>
      <c r="I20"/>
      <c r="J20"/>
      <c r="K20"/>
      <c r="L20"/>
    </row>
    <row r="21" spans="1:16" s="904" customFormat="1" ht="15.75" x14ac:dyDescent="0.25">
      <c r="B21" s="908"/>
      <c r="C21" s="908"/>
      <c r="D21" s="908"/>
      <c r="E21" s="908"/>
      <c r="H21"/>
      <c r="I21"/>
      <c r="J21"/>
      <c r="K21"/>
      <c r="L21"/>
    </row>
    <row r="23" spans="1:16" x14ac:dyDescent="0.25">
      <c r="A23"/>
      <c r="B23"/>
      <c r="C23"/>
      <c r="D23"/>
      <c r="E23"/>
      <c r="F23"/>
      <c r="G23"/>
      <c r="H23"/>
      <c r="I23"/>
      <c r="J23"/>
      <c r="K23"/>
      <c r="L23"/>
      <c r="M23"/>
      <c r="N23"/>
      <c r="O23"/>
      <c r="P23"/>
    </row>
    <row r="24" spans="1:16" x14ac:dyDescent="0.25">
      <c r="A24"/>
      <c r="B24"/>
      <c r="C24"/>
      <c r="D24"/>
      <c r="E24"/>
      <c r="F24"/>
      <c r="G24"/>
      <c r="H24"/>
      <c r="I24"/>
      <c r="J24"/>
      <c r="K24"/>
      <c r="L24"/>
      <c r="M24"/>
      <c r="N24"/>
      <c r="O24"/>
      <c r="P24"/>
    </row>
    <row r="25" spans="1:16" x14ac:dyDescent="0.25">
      <c r="A25"/>
      <c r="B25"/>
      <c r="C25"/>
      <c r="D25"/>
      <c r="E25"/>
      <c r="F25"/>
      <c r="G25"/>
      <c r="H25"/>
      <c r="I25"/>
      <c r="J25"/>
      <c r="K25"/>
      <c r="L25"/>
      <c r="M25"/>
      <c r="N25"/>
      <c r="O25"/>
      <c r="P25"/>
    </row>
    <row r="26" spans="1:16" x14ac:dyDescent="0.25">
      <c r="A26"/>
      <c r="B26"/>
      <c r="C26"/>
      <c r="D26"/>
      <c r="E26"/>
      <c r="F26"/>
      <c r="G26"/>
      <c r="H26"/>
      <c r="I26"/>
      <c r="J26"/>
      <c r="K26"/>
      <c r="L26"/>
      <c r="M26"/>
      <c r="N26"/>
      <c r="O26"/>
      <c r="P26"/>
    </row>
    <row r="27" spans="1:16" x14ac:dyDescent="0.25">
      <c r="A27"/>
      <c r="B27"/>
      <c r="C27"/>
      <c r="D27"/>
      <c r="E27"/>
      <c r="F27"/>
      <c r="G27"/>
      <c r="H27"/>
      <c r="I27"/>
      <c r="J27"/>
      <c r="K27"/>
      <c r="L27"/>
      <c r="M27"/>
      <c r="N27"/>
      <c r="O27"/>
      <c r="P27"/>
    </row>
    <row r="28" spans="1:16" x14ac:dyDescent="0.25">
      <c r="A28"/>
      <c r="B28"/>
      <c r="C28"/>
      <c r="D28"/>
      <c r="E28"/>
      <c r="F28"/>
      <c r="G28"/>
      <c r="H28"/>
      <c r="I28"/>
      <c r="J28"/>
      <c r="K28"/>
      <c r="L28"/>
      <c r="M28"/>
      <c r="N28"/>
      <c r="O28"/>
      <c r="P28"/>
    </row>
    <row r="29" spans="1:16" x14ac:dyDescent="0.25">
      <c r="A29"/>
      <c r="B29"/>
      <c r="C29"/>
      <c r="D29"/>
      <c r="E29"/>
      <c r="F29"/>
      <c r="G29"/>
      <c r="H29"/>
      <c r="I29"/>
      <c r="J29"/>
      <c r="K29"/>
      <c r="L29"/>
      <c r="M29"/>
      <c r="N29"/>
      <c r="O29"/>
      <c r="P29"/>
    </row>
    <row r="30" spans="1:16" x14ac:dyDescent="0.25">
      <c r="A30"/>
      <c r="B30"/>
      <c r="C30"/>
      <c r="D30"/>
      <c r="E30"/>
      <c r="F30"/>
      <c r="G30"/>
      <c r="H30"/>
      <c r="I30"/>
      <c r="J30"/>
      <c r="K30"/>
      <c r="L30"/>
      <c r="M30"/>
      <c r="N30"/>
      <c r="O30"/>
      <c r="P30"/>
    </row>
    <row r="31" spans="1:16" x14ac:dyDescent="0.25">
      <c r="A31"/>
      <c r="B31"/>
      <c r="C31"/>
      <c r="D31"/>
      <c r="E31"/>
      <c r="F31"/>
      <c r="G31"/>
      <c r="H31"/>
      <c r="I31"/>
      <c r="J31"/>
      <c r="K31"/>
      <c r="L31"/>
      <c r="M31"/>
      <c r="N31"/>
      <c r="O31"/>
      <c r="P31"/>
    </row>
    <row r="32" spans="1:16" x14ac:dyDescent="0.25">
      <c r="A32"/>
      <c r="B32"/>
      <c r="C32"/>
      <c r="D32"/>
      <c r="E32"/>
      <c r="F32"/>
      <c r="G32"/>
      <c r="H32"/>
      <c r="I32"/>
      <c r="J32"/>
      <c r="K32"/>
      <c r="L32"/>
      <c r="M32"/>
      <c r="N32"/>
      <c r="O32"/>
      <c r="P32"/>
    </row>
    <row r="33" spans="1:16" x14ac:dyDescent="0.25">
      <c r="A33"/>
      <c r="B33"/>
      <c r="C33"/>
      <c r="D33"/>
      <c r="E33"/>
      <c r="F33"/>
      <c r="G33"/>
      <c r="H33"/>
      <c r="I33"/>
      <c r="J33"/>
      <c r="K33"/>
      <c r="L33"/>
      <c r="M33"/>
      <c r="N33"/>
      <c r="O33"/>
      <c r="P33"/>
    </row>
    <row r="34" spans="1:16" x14ac:dyDescent="0.25">
      <c r="A34"/>
      <c r="B34"/>
      <c r="C34"/>
      <c r="D34"/>
      <c r="E34"/>
      <c r="F34"/>
      <c r="G34"/>
      <c r="H34"/>
      <c r="I34"/>
      <c r="J34"/>
      <c r="K34"/>
      <c r="L34"/>
      <c r="M34"/>
      <c r="N34"/>
      <c r="O34"/>
      <c r="P34"/>
    </row>
    <row r="35" spans="1:16" x14ac:dyDescent="0.25">
      <c r="A35"/>
      <c r="B35"/>
      <c r="C35"/>
      <c r="D35"/>
      <c r="E35"/>
      <c r="F35"/>
      <c r="G35"/>
      <c r="H35"/>
      <c r="I35"/>
      <c r="J35"/>
      <c r="K35"/>
      <c r="L35"/>
      <c r="M35"/>
      <c r="N35"/>
      <c r="O35"/>
      <c r="P35"/>
    </row>
    <row r="36" spans="1:16" x14ac:dyDescent="0.25">
      <c r="A36"/>
      <c r="B36"/>
      <c r="C36"/>
      <c r="D36"/>
      <c r="E36"/>
      <c r="F36"/>
      <c r="G36"/>
      <c r="H36"/>
      <c r="I36"/>
      <c r="J36"/>
      <c r="K36"/>
      <c r="L36"/>
      <c r="M36"/>
      <c r="N36"/>
      <c r="O36"/>
      <c r="P36"/>
    </row>
    <row r="37" spans="1:16" x14ac:dyDescent="0.25">
      <c r="A37"/>
      <c r="B37"/>
      <c r="C37"/>
      <c r="D37"/>
      <c r="E37"/>
      <c r="F37"/>
      <c r="G37"/>
      <c r="H37"/>
      <c r="I37"/>
      <c r="J37"/>
      <c r="K37"/>
      <c r="L37"/>
      <c r="M37"/>
      <c r="N37"/>
      <c r="O37"/>
      <c r="P37"/>
    </row>
    <row r="38" spans="1:16" x14ac:dyDescent="0.25">
      <c r="A38"/>
      <c r="B38"/>
      <c r="C38"/>
      <c r="D38"/>
      <c r="E38"/>
      <c r="F38"/>
      <c r="G38"/>
      <c r="H38"/>
      <c r="I38"/>
      <c r="J38"/>
      <c r="K38"/>
      <c r="L38"/>
      <c r="M38"/>
      <c r="N38"/>
      <c r="O38"/>
      <c r="P38"/>
    </row>
    <row r="39" spans="1:16" x14ac:dyDescent="0.25">
      <c r="A39"/>
      <c r="B39"/>
      <c r="C39"/>
      <c r="D39"/>
      <c r="E39"/>
      <c r="F39"/>
      <c r="G39"/>
      <c r="H39"/>
      <c r="I39"/>
      <c r="J39"/>
      <c r="K39"/>
      <c r="L39"/>
      <c r="M39"/>
      <c r="N39"/>
      <c r="O39"/>
      <c r="P39"/>
    </row>
  </sheetData>
  <sheetProtection algorithmName="SHA-256" hashValue="eVVdmCGMGyT74SNI5N9XIdiJtb5h8lKfg1cxovfDj4g=" saltValue="T1YgrY/jQjMKUj7fI3ICsw==" spinCount="100000" sheet="1" objects="1" scenarios="1" formatCells="0" insertRows="0"/>
  <sortState xmlns:xlrd2="http://schemas.microsoft.com/office/spreadsheetml/2017/richdata2" ref="C2:E16">
    <sortCondition ref="C2"/>
  </sortState>
  <mergeCells count="1">
    <mergeCell ref="C7:D7"/>
  </mergeCells>
  <hyperlinks>
    <hyperlink ref="D11" location="'Business &amp; other details'!A1" display="'Business &amp; other details'!A1" xr:uid="{00000000-0004-0000-0100-000000000000}"/>
    <hyperlink ref="D13" location="'E2. Repex'!A1" display="'E2. Repex'!A1" xr:uid="{00000000-0004-0000-0100-000001000000}"/>
    <hyperlink ref="D14" location="'E3. Expansion'!A1" display="E3. Expansion" xr:uid="{00000000-0004-0000-0100-000002000000}"/>
    <hyperlink ref="D15" location="'E6. Non-network'!A1" display="'E6. Non-network'!A1" xr:uid="{00000000-0004-0000-0100-000003000000}"/>
    <hyperlink ref="D16" location="'E10. Overheads'!A1" display="'E10. Overheads'!A1" xr:uid="{00000000-0004-0000-0100-000004000000}"/>
    <hyperlink ref="D19" location="'Additional disclosures'!A1" display="Additional disclosures" xr:uid="{00000000-0004-0000-0100-000006000000}"/>
    <hyperlink ref="D17" location="'E13. Other capex'!A1" display="'E13. Other capex'!A1" xr:uid="{CE583626-45C3-4689-88C9-F1CF60E06772}"/>
  </hyperlinks>
  <pageMargins left="0.7" right="0.7" top="0.75" bottom="0.75" header="0.3" footer="0.3"/>
  <pageSetup paperSize="9" orientation="portrait" r:id="rId1"/>
  <headerFooter>
    <oddFooter>&amp;C_x000D_&amp;1#&amp;"Aptos"&amp;10&amp;K008000 APA-INTERNAL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3" tint="0.59999389629810485"/>
  </sheetPr>
  <dimension ref="A1:CU77"/>
  <sheetViews>
    <sheetView showGridLines="0" tabSelected="1" zoomScale="77" zoomScaleNormal="77" workbookViewId="0"/>
  </sheetViews>
  <sheetFormatPr defaultRowHeight="15" x14ac:dyDescent="0.25"/>
  <cols>
    <col min="1" max="96" width="2.85546875" customWidth="1"/>
  </cols>
  <sheetData>
    <row r="1" spans="1:96" ht="44.25" customHeight="1" x14ac:dyDescent="0.25">
      <c r="H1" s="1178"/>
      <c r="I1" s="1178"/>
      <c r="J1" s="1178"/>
      <c r="K1" s="1178"/>
      <c r="L1" s="1178"/>
      <c r="M1" s="1178"/>
      <c r="N1" s="1178"/>
      <c r="O1" s="1178"/>
      <c r="P1" s="1178"/>
      <c r="Q1" s="297"/>
      <c r="R1" s="297"/>
      <c r="S1" s="297"/>
      <c r="T1" s="297"/>
      <c r="U1" s="297"/>
      <c r="V1" s="438" t="str">
        <f>INDEX(dms_Worksheet_List,MATCH(dms_Model,dms_Model_List))</f>
        <v>REGULATORY REPORTING STATEMENT - HISTORICAL</v>
      </c>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297"/>
      <c r="BJ1" s="297"/>
      <c r="BK1" s="297"/>
      <c r="BL1" s="297"/>
      <c r="BM1" s="297"/>
      <c r="BN1" s="297"/>
      <c r="BO1" s="297"/>
      <c r="BP1" s="297"/>
      <c r="BQ1" s="297"/>
      <c r="BR1" s="297"/>
      <c r="BS1" s="297"/>
      <c r="BT1" s="297"/>
      <c r="BU1" s="297"/>
      <c r="BV1" s="297"/>
      <c r="BW1" s="297"/>
      <c r="BX1" s="297"/>
      <c r="BY1" s="297"/>
      <c r="BZ1" s="297"/>
      <c r="CA1" s="297"/>
      <c r="CB1" s="297"/>
      <c r="CC1" s="297"/>
      <c r="CD1" s="297"/>
      <c r="CE1" s="297"/>
      <c r="CF1" s="297"/>
      <c r="CG1" s="297"/>
      <c r="CH1" s="297"/>
      <c r="CI1" s="297"/>
      <c r="CJ1" s="297"/>
      <c r="CK1" s="297"/>
      <c r="CL1" s="297"/>
      <c r="CM1" s="297"/>
      <c r="CN1" s="297"/>
      <c r="CO1" s="297"/>
      <c r="CP1" s="297"/>
    </row>
    <row r="2" spans="1:96" ht="44.25" customHeight="1" x14ac:dyDescent="0.25">
      <c r="H2" s="1178"/>
      <c r="I2" s="1178"/>
      <c r="J2" s="1178"/>
      <c r="K2" s="1178"/>
      <c r="L2" s="1178"/>
      <c r="M2" s="1178"/>
      <c r="N2" s="1178"/>
      <c r="O2" s="1178"/>
      <c r="P2" s="1178"/>
      <c r="Q2" s="297"/>
      <c r="R2" s="297"/>
      <c r="S2" s="297"/>
      <c r="T2" s="297"/>
      <c r="U2" s="297"/>
      <c r="V2" s="440" t="str">
        <f>INDEX(dms_TradingNameFull_List,MATCH(dms_TradingName,dms_TradingName_List))</f>
        <v>APT Petroleum Pipelines Limited t/a Roma to Brisbane Pipeline</v>
      </c>
      <c r="W2" s="440"/>
      <c r="X2" s="440"/>
      <c r="Y2" s="440"/>
      <c r="Z2" s="440"/>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c r="BA2" s="440"/>
      <c r="BB2" s="440"/>
      <c r="BC2" s="440"/>
      <c r="BD2" s="440"/>
      <c r="BE2" s="440"/>
      <c r="BF2" s="440"/>
      <c r="BG2" s="440"/>
      <c r="BH2" s="440"/>
      <c r="BI2" s="297"/>
      <c r="BJ2" s="297"/>
      <c r="BK2" s="297"/>
      <c r="BL2" s="297"/>
      <c r="BM2" s="297"/>
      <c r="BN2" s="297"/>
      <c r="BO2" s="297"/>
      <c r="BP2" s="297"/>
      <c r="BQ2" s="297"/>
      <c r="BR2" s="297"/>
      <c r="BS2" s="297"/>
      <c r="BT2" s="297"/>
      <c r="BU2" s="297"/>
      <c r="BV2" s="297"/>
      <c r="BW2" s="297"/>
      <c r="BX2" s="297"/>
      <c r="BY2" s="297"/>
      <c r="BZ2" s="297"/>
      <c r="CA2" s="297"/>
      <c r="CB2" s="297"/>
      <c r="CC2" s="297"/>
      <c r="CD2" s="297"/>
      <c r="CE2" s="297"/>
      <c r="CF2" s="297"/>
      <c r="CG2" s="297"/>
      <c r="CH2" s="297"/>
      <c r="CI2" s="297"/>
      <c r="CJ2" s="297"/>
      <c r="CK2" s="297"/>
      <c r="CL2" s="297"/>
      <c r="CM2" s="297"/>
      <c r="CN2" s="297"/>
      <c r="CO2" s="297"/>
      <c r="CP2" s="297"/>
    </row>
    <row r="3" spans="1:96" ht="44.25" customHeight="1" x14ac:dyDescent="0.25">
      <c r="H3" s="1178"/>
      <c r="I3" s="1178"/>
      <c r="J3" s="1178"/>
      <c r="K3" s="1178"/>
      <c r="L3" s="1178"/>
      <c r="M3" s="1178"/>
      <c r="N3" s="1178"/>
      <c r="O3" s="1178"/>
      <c r="P3" s="1178"/>
      <c r="Q3" s="297"/>
      <c r="R3" s="297"/>
      <c r="S3" s="297"/>
      <c r="T3" s="297"/>
      <c r="U3" s="297"/>
      <c r="V3" s="643" t="str">
        <f>dms_Header_Span</f>
        <v>Data Span 2021-22 to 2024-25</v>
      </c>
      <c r="W3" s="643"/>
      <c r="X3" s="643"/>
      <c r="Y3" s="643"/>
      <c r="Z3" s="643"/>
      <c r="AA3" s="643"/>
      <c r="AB3" s="643"/>
      <c r="AC3" s="643"/>
      <c r="AD3" s="643"/>
      <c r="AE3" s="643"/>
      <c r="AF3" s="643"/>
      <c r="AG3" s="643"/>
      <c r="AH3" s="643"/>
      <c r="AI3" s="643"/>
      <c r="AJ3" s="643"/>
      <c r="AK3" s="643"/>
      <c r="AL3" s="643"/>
      <c r="AM3" s="643"/>
      <c r="AN3" s="643"/>
      <c r="AO3" s="643"/>
      <c r="AP3" s="643"/>
      <c r="AQ3" s="643"/>
      <c r="AR3" s="643"/>
      <c r="AS3" s="643"/>
      <c r="AT3" s="643"/>
      <c r="AU3" s="643"/>
      <c r="AV3" s="643"/>
      <c r="AW3" s="643"/>
      <c r="AX3" s="643"/>
      <c r="AY3" s="643"/>
      <c r="AZ3" s="643"/>
      <c r="BA3" s="643"/>
      <c r="BB3" s="643"/>
      <c r="BC3" s="643"/>
      <c r="BD3" s="643"/>
      <c r="BE3" s="643"/>
      <c r="BF3" s="643"/>
      <c r="BG3" s="643"/>
      <c r="BH3" s="643"/>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row>
    <row r="4" spans="1:96" ht="31.5" customHeight="1" x14ac:dyDescent="0.25">
      <c r="Q4" s="279"/>
      <c r="R4" s="279"/>
      <c r="S4" s="279"/>
      <c r="T4" s="279"/>
      <c r="U4" s="279"/>
      <c r="V4" s="1180" t="s">
        <v>32</v>
      </c>
      <c r="W4" s="1180"/>
      <c r="X4" s="1180"/>
      <c r="Y4" s="1180"/>
      <c r="Z4" s="1180"/>
      <c r="AA4" s="1180"/>
      <c r="AB4" s="1180"/>
      <c r="AC4" s="1180"/>
      <c r="AD4" s="1180"/>
      <c r="AE4" s="1180"/>
      <c r="AF4" s="1180"/>
      <c r="AG4" s="1180"/>
      <c r="AH4" s="1180"/>
      <c r="AI4" s="1180"/>
      <c r="AJ4" s="1180"/>
      <c r="AK4" s="1180"/>
      <c r="AL4" s="1180"/>
      <c r="AM4" s="1180"/>
      <c r="AN4" s="1180"/>
      <c r="AO4" s="1180"/>
      <c r="AP4" s="1180"/>
      <c r="AQ4" s="1180"/>
      <c r="AR4" s="1180"/>
      <c r="AS4" s="1180"/>
      <c r="AT4" s="1180"/>
      <c r="AU4" s="1180"/>
      <c r="AV4" s="1180"/>
      <c r="AW4" s="1180"/>
      <c r="AX4" s="1180"/>
      <c r="AY4" s="1180"/>
      <c r="AZ4" s="1180"/>
      <c r="BA4" s="1180"/>
      <c r="BB4" s="1180"/>
      <c r="BC4" s="1180"/>
      <c r="BD4" s="1180"/>
      <c r="BE4" s="1180"/>
      <c r="BF4" s="1180"/>
      <c r="BG4" s="279"/>
      <c r="BH4" s="279"/>
      <c r="BI4" s="279"/>
      <c r="BJ4" s="279"/>
      <c r="BK4" s="279"/>
      <c r="BL4" s="279"/>
      <c r="BM4" s="279"/>
      <c r="BN4" s="279"/>
      <c r="BO4" s="279"/>
      <c r="BP4" s="279"/>
      <c r="BQ4" s="279"/>
      <c r="BR4" s="279"/>
      <c r="BS4" s="279"/>
      <c r="BT4" s="279"/>
      <c r="BU4" s="279"/>
      <c r="BV4" s="279"/>
      <c r="BW4" s="279"/>
      <c r="BX4" s="279"/>
      <c r="BY4" s="279"/>
      <c r="BZ4" s="279"/>
      <c r="CA4" s="279"/>
      <c r="CB4" s="279"/>
      <c r="CC4" s="279"/>
      <c r="CD4" s="279"/>
      <c r="CE4" s="279"/>
      <c r="CF4" s="279"/>
      <c r="CG4" s="279"/>
      <c r="CH4" s="279"/>
      <c r="CI4" s="279"/>
      <c r="CJ4" s="279"/>
      <c r="CK4" s="279"/>
      <c r="CL4" s="279"/>
      <c r="CM4" s="279"/>
      <c r="CN4" s="279"/>
      <c r="CO4" s="279"/>
      <c r="CP4" s="279"/>
    </row>
    <row r="6" spans="1:96" ht="20.25" x14ac:dyDescent="0.25">
      <c r="H6" s="312"/>
      <c r="I6" s="312"/>
      <c r="J6" s="312"/>
      <c r="K6" s="312"/>
      <c r="L6" s="312"/>
      <c r="M6" s="312"/>
      <c r="N6" s="312"/>
      <c r="O6" s="312"/>
      <c r="P6" s="312"/>
      <c r="Q6" s="340"/>
      <c r="R6" s="340"/>
      <c r="S6" s="340"/>
      <c r="T6" s="340"/>
      <c r="U6" s="340"/>
      <c r="V6" s="341" t="s">
        <v>0</v>
      </c>
      <c r="W6" s="340"/>
      <c r="X6" s="340"/>
      <c r="Y6" s="340"/>
      <c r="Z6" s="340"/>
      <c r="AA6" s="340"/>
      <c r="AB6" s="340"/>
      <c r="AC6" s="340"/>
      <c r="AD6" s="340"/>
      <c r="AE6" s="340"/>
      <c r="AF6" s="340"/>
      <c r="AG6" s="340"/>
      <c r="AH6" s="340"/>
      <c r="AI6" s="340"/>
      <c r="AJ6" s="340"/>
      <c r="AK6" s="340"/>
      <c r="AL6" s="340"/>
      <c r="AM6" s="340"/>
      <c r="AN6" s="340"/>
      <c r="AO6" s="340"/>
      <c r="AP6" s="340"/>
      <c r="AQ6" s="340"/>
      <c r="AR6" s="340"/>
      <c r="AS6" s="340"/>
      <c r="AT6" s="340"/>
      <c r="AU6" s="340"/>
      <c r="AV6" s="340"/>
      <c r="AW6" s="340"/>
      <c r="AX6" s="340"/>
      <c r="AY6" s="340"/>
      <c r="AZ6" s="340"/>
      <c r="BA6" s="340"/>
      <c r="BB6" s="340"/>
      <c r="BC6" s="340"/>
      <c r="BD6" s="340"/>
      <c r="BE6" s="340"/>
      <c r="BF6" s="340"/>
      <c r="BG6" s="340"/>
      <c r="BH6" s="340"/>
      <c r="BI6" s="340"/>
      <c r="BJ6" s="340"/>
      <c r="BK6" s="340"/>
      <c r="BL6" s="340"/>
      <c r="BM6" s="340"/>
      <c r="BN6" s="340"/>
      <c r="BO6" s="340"/>
      <c r="BP6" s="340"/>
      <c r="BQ6" s="340"/>
      <c r="BR6" s="340"/>
      <c r="BS6" s="340"/>
      <c r="BT6" s="340"/>
      <c r="BU6" s="340"/>
      <c r="BV6" s="340"/>
      <c r="BW6" s="340"/>
      <c r="BX6" s="340"/>
      <c r="BY6" s="340"/>
      <c r="BZ6" s="340"/>
      <c r="CA6" s="340"/>
      <c r="CB6" s="340"/>
      <c r="CC6" s="340"/>
      <c r="CD6" s="340"/>
      <c r="CE6" s="340"/>
      <c r="CF6" s="340"/>
      <c r="CG6" s="340"/>
      <c r="CH6" s="340"/>
      <c r="CI6" s="340"/>
      <c r="CJ6" s="340"/>
      <c r="CK6" s="340"/>
      <c r="CL6" s="340"/>
      <c r="CM6" s="340"/>
      <c r="CN6" s="340"/>
      <c r="CO6" s="340"/>
      <c r="CP6" s="340"/>
    </row>
    <row r="7" spans="1:96" ht="50.25" customHeight="1" x14ac:dyDescent="0.25">
      <c r="H7" s="312"/>
      <c r="I7" s="312"/>
      <c r="J7" s="312"/>
      <c r="K7" s="312"/>
      <c r="L7" s="312"/>
      <c r="M7" s="312"/>
      <c r="N7" s="312"/>
      <c r="O7" s="312"/>
      <c r="P7" s="312"/>
      <c r="Q7" s="340"/>
      <c r="R7" s="340"/>
      <c r="S7" s="340"/>
      <c r="T7" s="340"/>
      <c r="U7" s="340"/>
      <c r="V7" s="1179" t="s">
        <v>33</v>
      </c>
      <c r="W7" s="1179"/>
      <c r="X7" s="1179"/>
      <c r="Y7" s="1179"/>
      <c r="Z7" s="1179"/>
      <c r="AA7" s="1179"/>
      <c r="AB7" s="1179"/>
      <c r="AC7" s="1179"/>
      <c r="AD7" s="1179"/>
      <c r="AE7" s="1179"/>
      <c r="AF7" s="1179"/>
      <c r="AG7" s="1179"/>
      <c r="AH7" s="1179"/>
      <c r="AI7" s="1179"/>
      <c r="AJ7" s="1179"/>
      <c r="AK7" s="1179"/>
      <c r="AL7" s="1179"/>
      <c r="AM7" s="1179"/>
      <c r="AN7" s="1179"/>
      <c r="AO7" s="1179"/>
      <c r="AP7" s="1179"/>
      <c r="AQ7" s="1179"/>
      <c r="AR7" s="1179"/>
      <c r="AS7" s="1179"/>
      <c r="AT7" s="1179"/>
      <c r="AU7" s="1179"/>
      <c r="AV7" s="1179"/>
      <c r="AW7" s="1179"/>
      <c r="AX7" s="1179"/>
      <c r="AY7" s="1179"/>
      <c r="AZ7" s="1179"/>
      <c r="BA7" s="1179"/>
      <c r="BB7" s="1179"/>
      <c r="BC7" s="1179"/>
      <c r="BD7" s="1179"/>
      <c r="BE7" s="1179"/>
      <c r="BF7" s="1179"/>
      <c r="BG7" s="1179"/>
      <c r="BH7" s="1179"/>
      <c r="BI7" s="1179"/>
      <c r="BJ7" s="1179"/>
      <c r="BK7" s="1179"/>
      <c r="BL7" s="1179"/>
      <c r="BM7" s="1179"/>
      <c r="BN7" s="1179"/>
      <c r="BO7" s="1179"/>
      <c r="BP7" s="1179"/>
      <c r="BQ7" s="1179"/>
      <c r="BR7" s="1179"/>
      <c r="BS7" s="1179"/>
      <c r="BT7" s="1179"/>
      <c r="BU7" s="1179"/>
      <c r="BV7" s="1179"/>
      <c r="BW7" s="1179"/>
      <c r="BX7" s="1179"/>
      <c r="BY7" s="340"/>
      <c r="BZ7" s="340"/>
      <c r="CA7" s="340"/>
      <c r="CB7" s="340"/>
      <c r="CC7" s="340"/>
      <c r="CD7" s="340"/>
      <c r="CE7" s="340"/>
      <c r="CF7" s="340"/>
      <c r="CG7" s="340"/>
      <c r="CH7" s="340"/>
      <c r="CI7" s="340"/>
      <c r="CJ7" s="340"/>
      <c r="CK7" s="340"/>
      <c r="CL7" s="340"/>
      <c r="CM7" s="340"/>
      <c r="CN7" s="340"/>
      <c r="CO7" s="340"/>
      <c r="CP7" s="340"/>
    </row>
    <row r="8" spans="1:96" ht="20.25" x14ac:dyDescent="0.25">
      <c r="H8" s="312"/>
      <c r="I8" s="312"/>
      <c r="J8" s="312"/>
      <c r="K8" s="312"/>
      <c r="L8" s="312"/>
      <c r="M8" s="312"/>
      <c r="N8" s="312"/>
      <c r="O8" s="312"/>
      <c r="P8" s="312"/>
      <c r="Q8" s="312"/>
      <c r="R8" s="312"/>
      <c r="S8" s="312"/>
      <c r="T8" s="312"/>
      <c r="U8" s="312"/>
      <c r="V8" s="325"/>
      <c r="W8" s="325"/>
      <c r="X8" s="325"/>
      <c r="Y8" s="325"/>
      <c r="Z8" s="325"/>
      <c r="AA8" s="325"/>
      <c r="AB8" s="325"/>
      <c r="AC8" s="325"/>
      <c r="AD8" s="325"/>
      <c r="AE8" s="325"/>
      <c r="AF8" s="325"/>
      <c r="AG8" s="325"/>
      <c r="AH8" s="325"/>
      <c r="AI8" s="325"/>
      <c r="AJ8" s="325"/>
      <c r="AK8" s="325"/>
      <c r="AL8" s="325"/>
      <c r="AM8" s="325"/>
      <c r="AN8" s="325"/>
      <c r="AO8" s="325"/>
      <c r="AP8" s="325"/>
      <c r="AQ8" s="325"/>
      <c r="AR8" s="325"/>
      <c r="AS8" s="325"/>
      <c r="AT8" s="325"/>
      <c r="AU8" s="325"/>
      <c r="AV8" s="325"/>
      <c r="AW8" s="325"/>
      <c r="AX8" s="325"/>
      <c r="AY8" s="325"/>
      <c r="AZ8" s="325"/>
      <c r="BA8" s="325"/>
      <c r="BB8" s="325"/>
      <c r="BC8" s="325"/>
      <c r="BD8" s="325"/>
      <c r="BE8" s="325"/>
      <c r="BF8" s="325"/>
      <c r="BG8" s="325"/>
      <c r="BH8" s="325"/>
      <c r="BI8" s="325"/>
      <c r="BJ8" s="325"/>
      <c r="BK8" s="325"/>
      <c r="BL8" s="325"/>
      <c r="BM8" s="325"/>
      <c r="BN8" s="325"/>
      <c r="BO8" s="325"/>
      <c r="BP8" s="325"/>
      <c r="BQ8" s="325"/>
      <c r="BR8" s="325"/>
      <c r="BS8" s="325"/>
      <c r="BT8" s="325"/>
      <c r="BU8" s="325"/>
      <c r="BV8" s="325"/>
      <c r="BW8" s="325"/>
      <c r="BX8" s="325"/>
      <c r="BY8" s="312"/>
      <c r="BZ8" s="312"/>
      <c r="CA8" s="312"/>
      <c r="CB8" s="312"/>
      <c r="CC8" s="312"/>
      <c r="CD8" s="312"/>
      <c r="CE8" s="312"/>
      <c r="CF8" s="312"/>
      <c r="CG8" s="312"/>
      <c r="CH8" s="312"/>
      <c r="CI8" s="312"/>
      <c r="CJ8" s="312"/>
      <c r="CK8" s="312"/>
      <c r="CL8" s="312"/>
      <c r="CM8" s="312"/>
      <c r="CN8" s="312"/>
      <c r="CO8" s="312"/>
      <c r="CP8" s="312"/>
    </row>
    <row r="9" spans="1:96" s="37" customFormat="1" ht="45.6" customHeight="1" x14ac:dyDescent="0.25">
      <c r="H9" s="339"/>
      <c r="I9" s="339"/>
      <c r="J9" s="339"/>
      <c r="K9" s="339"/>
      <c r="L9" s="339"/>
      <c r="M9" s="339"/>
      <c r="N9" s="339"/>
      <c r="O9" s="339"/>
      <c r="P9" s="339"/>
      <c r="Q9" s="1181" t="s">
        <v>34</v>
      </c>
      <c r="R9" s="1181"/>
      <c r="S9" s="1181"/>
      <c r="T9" s="1181"/>
      <c r="U9" s="1181"/>
      <c r="V9" s="1181"/>
      <c r="W9" s="1181"/>
      <c r="X9" s="1181"/>
      <c r="Y9" s="1181"/>
      <c r="Z9" s="1181"/>
      <c r="AA9" s="1181"/>
      <c r="AB9" s="1181"/>
      <c r="AC9" s="1181"/>
      <c r="AD9" s="1181"/>
      <c r="AE9" s="1181"/>
      <c r="AF9" s="1181"/>
      <c r="AG9" s="1181"/>
      <c r="AH9" s="1181"/>
      <c r="AI9" s="1181"/>
      <c r="AJ9" s="1181"/>
      <c r="AK9" s="1181"/>
      <c r="AL9" s="1181"/>
      <c r="AM9" s="1181"/>
      <c r="AN9" s="1181"/>
      <c r="AO9" s="1181"/>
      <c r="AP9" s="1181"/>
      <c r="AQ9" s="1181"/>
      <c r="AR9" s="1181"/>
      <c r="AS9" s="1181"/>
      <c r="AT9" s="1181"/>
      <c r="AU9" s="1181"/>
      <c r="AV9" s="1181"/>
      <c r="AW9" s="1181"/>
      <c r="AX9" s="1181"/>
      <c r="AY9" s="1181"/>
      <c r="AZ9" s="1181"/>
      <c r="BA9" s="1181"/>
      <c r="BB9" s="1181"/>
      <c r="BC9" s="1181"/>
      <c r="BD9" s="1181"/>
      <c r="BE9" s="1181"/>
      <c r="BF9" s="1181"/>
      <c r="BG9" s="1181"/>
      <c r="BH9" s="1181"/>
      <c r="BI9" s="1181"/>
      <c r="BJ9" s="1181"/>
      <c r="BK9" s="1181"/>
      <c r="BL9" s="1181"/>
      <c r="BM9" s="1181"/>
      <c r="BN9" s="1181"/>
      <c r="BO9" s="1181"/>
      <c r="BP9" s="1181"/>
      <c r="BQ9" s="1181"/>
      <c r="BR9" s="1181"/>
      <c r="BS9" s="1181"/>
      <c r="BT9" s="1181"/>
      <c r="BU9" s="1181"/>
      <c r="BV9" s="1181"/>
      <c r="BW9" s="1181"/>
      <c r="BX9" s="1181"/>
      <c r="BY9" s="1181"/>
      <c r="BZ9" s="1181"/>
      <c r="CA9" s="1181"/>
      <c r="CB9" s="1181"/>
      <c r="CC9" s="1181"/>
      <c r="CD9" s="1181"/>
      <c r="CE9" s="1181"/>
      <c r="CF9" s="1181"/>
      <c r="CG9" s="1181"/>
      <c r="CH9" s="1181"/>
      <c r="CI9" s="1181"/>
      <c r="CJ9" s="1181"/>
      <c r="CK9" s="1181"/>
      <c r="CL9" s="1181"/>
      <c r="CM9" s="1181"/>
      <c r="CN9" s="1181"/>
      <c r="CO9" s="1181"/>
      <c r="CP9" s="1181"/>
      <c r="CQ9"/>
      <c r="CR9"/>
    </row>
    <row r="10" spans="1:96" x14ac:dyDescent="0.25">
      <c r="H10" s="313"/>
      <c r="I10" s="313"/>
      <c r="J10" s="313"/>
      <c r="K10" s="313"/>
      <c r="L10" s="313"/>
      <c r="M10" s="313"/>
      <c r="N10" s="313"/>
      <c r="O10" s="313"/>
      <c r="P10" s="313"/>
      <c r="Q10" s="313"/>
      <c r="R10" s="313"/>
      <c r="S10" s="313"/>
      <c r="T10" s="313"/>
      <c r="U10" s="313"/>
      <c r="V10" s="313"/>
      <c r="W10" s="313"/>
      <c r="X10" s="313"/>
      <c r="Y10" s="313"/>
      <c r="Z10" s="313"/>
      <c r="AA10" s="313"/>
      <c r="AB10" s="313"/>
      <c r="AC10" s="313"/>
      <c r="AD10" s="313"/>
      <c r="AE10" s="313"/>
      <c r="AF10" s="313"/>
      <c r="AG10" s="313"/>
      <c r="AH10" s="313"/>
      <c r="AI10" s="313"/>
      <c r="AJ10" s="313"/>
      <c r="AK10" s="313"/>
      <c r="AL10" s="313"/>
      <c r="AM10" s="313"/>
      <c r="AN10" s="313"/>
      <c r="AO10" s="313"/>
      <c r="AP10" s="313"/>
      <c r="AQ10" s="313"/>
      <c r="AR10" s="313"/>
      <c r="AS10" s="313"/>
      <c r="AT10" s="313"/>
      <c r="AU10" s="313"/>
      <c r="AV10" s="313"/>
      <c r="AW10" s="313"/>
      <c r="AX10" s="313"/>
      <c r="AY10" s="313"/>
      <c r="AZ10" s="313"/>
      <c r="BA10" s="313"/>
      <c r="BB10" s="313"/>
      <c r="BC10" s="313"/>
      <c r="BD10" s="313"/>
      <c r="BE10" s="313"/>
      <c r="BF10" s="313"/>
      <c r="BG10" s="313"/>
      <c r="BH10" s="313"/>
      <c r="BI10" s="313"/>
      <c r="BJ10" s="313"/>
      <c r="BK10" s="313"/>
      <c r="BL10" s="313"/>
      <c r="BM10" s="313"/>
      <c r="BN10" s="313"/>
      <c r="BO10" s="313"/>
      <c r="BP10" s="313"/>
      <c r="BQ10" s="313"/>
      <c r="BR10" s="313"/>
      <c r="BS10" s="313"/>
      <c r="BT10" s="313"/>
      <c r="BU10" s="313"/>
      <c r="BV10" s="313"/>
      <c r="BW10" s="313"/>
      <c r="BX10" s="313"/>
      <c r="BY10" s="313"/>
      <c r="BZ10" s="313"/>
      <c r="CA10" s="313"/>
      <c r="CB10" s="313"/>
      <c r="CC10" s="313"/>
      <c r="CD10" s="313"/>
      <c r="CE10" s="313"/>
      <c r="CF10" s="313"/>
      <c r="CG10" s="313"/>
      <c r="CH10" s="313"/>
      <c r="CI10" s="313"/>
      <c r="CJ10" s="313"/>
      <c r="CK10" s="313"/>
      <c r="CL10" s="313"/>
      <c r="CM10" s="313"/>
      <c r="CN10" s="313"/>
      <c r="CO10" s="313"/>
      <c r="CP10" s="313"/>
    </row>
    <row r="11" spans="1:96" ht="12.6" customHeight="1" x14ac:dyDescent="0.4">
      <c r="H11" s="336"/>
      <c r="I11" s="336"/>
      <c r="J11" s="336"/>
      <c r="K11" s="336"/>
      <c r="L11" s="336"/>
      <c r="M11" s="336"/>
      <c r="N11" s="336"/>
      <c r="O11" s="336"/>
      <c r="P11" s="336"/>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331"/>
      <c r="AY11" s="331"/>
      <c r="AZ11" s="331"/>
      <c r="BA11" s="331"/>
      <c r="BB11" s="331"/>
      <c r="BC11" s="331"/>
      <c r="BD11" s="331"/>
      <c r="BE11" s="331"/>
      <c r="BF11" s="331"/>
      <c r="BG11" s="331"/>
      <c r="BH11" s="331"/>
      <c r="BI11" s="331"/>
      <c r="BJ11" s="331"/>
      <c r="BK11" s="331"/>
      <c r="BL11" s="331"/>
      <c r="BM11" s="331"/>
      <c r="BN11" s="331"/>
      <c r="BO11" s="331"/>
      <c r="BP11" s="331"/>
      <c r="BQ11" s="331"/>
      <c r="BR11" s="331"/>
      <c r="BS11" s="331"/>
      <c r="BT11" s="331"/>
      <c r="BU11" s="331"/>
      <c r="BV11" s="331"/>
      <c r="BW11" s="331"/>
      <c r="BX11" s="331"/>
      <c r="BY11" s="331"/>
      <c r="BZ11" s="331"/>
      <c r="CA11" s="331"/>
      <c r="CB11" s="331"/>
      <c r="CC11" s="331"/>
      <c r="CD11" s="331"/>
      <c r="CE11" s="331"/>
      <c r="CF11" s="331"/>
      <c r="CG11" s="331"/>
      <c r="CH11" s="331"/>
      <c r="CI11" s="331"/>
      <c r="CJ11" s="331"/>
      <c r="CK11" s="331"/>
      <c r="CL11" s="331"/>
      <c r="CM11" s="331"/>
      <c r="CN11" s="331"/>
      <c r="CO11" s="331"/>
      <c r="CP11" s="331"/>
    </row>
    <row r="12" spans="1:96" ht="30" x14ac:dyDescent="0.4">
      <c r="H12" s="336"/>
      <c r="I12" s="336"/>
      <c r="J12" s="336"/>
      <c r="K12" s="336"/>
      <c r="L12" s="336"/>
      <c r="M12" s="336"/>
      <c r="N12" s="336"/>
      <c r="O12" s="336"/>
      <c r="P12" s="336"/>
      <c r="Q12" s="330"/>
      <c r="R12" s="330"/>
      <c r="S12" s="330"/>
      <c r="T12" s="330"/>
      <c r="U12" s="330"/>
      <c r="V12" s="344" t="s">
        <v>35</v>
      </c>
      <c r="W12" s="344"/>
      <c r="X12" s="344"/>
      <c r="Y12" s="344"/>
      <c r="Z12" s="344"/>
      <c r="AA12" s="344"/>
      <c r="AB12" s="344"/>
      <c r="AC12" s="344"/>
      <c r="AD12" s="344"/>
      <c r="AE12" s="344"/>
      <c r="AF12" s="344"/>
      <c r="AG12" s="344"/>
      <c r="AH12" s="344"/>
      <c r="AI12" s="344"/>
      <c r="AJ12" s="344"/>
      <c r="AK12" s="344"/>
      <c r="AL12" s="344"/>
      <c r="AM12" s="344"/>
      <c r="AN12" s="344"/>
      <c r="AO12" s="344"/>
      <c r="AP12" s="344"/>
      <c r="AQ12" s="344"/>
      <c r="AR12" s="344"/>
      <c r="AS12" s="344"/>
      <c r="AT12" s="344"/>
      <c r="AU12" s="344"/>
      <c r="AV12" s="344"/>
      <c r="AW12" s="344"/>
      <c r="AX12" s="344"/>
      <c r="AY12" s="344"/>
      <c r="AZ12" s="344"/>
      <c r="BA12" s="344"/>
      <c r="BB12" s="344"/>
      <c r="BC12" s="344"/>
      <c r="BD12" s="344"/>
      <c r="BE12" s="344"/>
      <c r="BF12" s="344"/>
      <c r="BG12" s="344"/>
      <c r="BH12" s="344"/>
      <c r="BI12" s="344"/>
      <c r="BJ12" s="344"/>
      <c r="BK12" s="344"/>
      <c r="BL12" s="344"/>
      <c r="BM12" s="344"/>
      <c r="BN12" s="344"/>
      <c r="BO12" s="344"/>
      <c r="BP12" s="344"/>
      <c r="BQ12" s="344"/>
      <c r="BR12" s="344"/>
      <c r="BS12" s="344"/>
      <c r="BT12" s="344"/>
      <c r="BU12" s="344"/>
      <c r="BV12" s="344"/>
      <c r="BW12" s="344"/>
      <c r="BX12" s="344"/>
      <c r="BY12" s="344"/>
      <c r="BZ12" s="344"/>
      <c r="CA12" s="344"/>
      <c r="CB12" s="344"/>
      <c r="CC12" s="344"/>
      <c r="CD12" s="344"/>
      <c r="CE12" s="344"/>
      <c r="CF12" s="344"/>
      <c r="CG12" s="344"/>
      <c r="CH12" s="344"/>
      <c r="CI12" s="344"/>
      <c r="CJ12" s="334"/>
      <c r="CK12" s="334"/>
      <c r="CL12" s="334"/>
      <c r="CM12" s="330"/>
      <c r="CN12" s="330"/>
      <c r="CO12" s="330"/>
      <c r="CP12" s="330"/>
    </row>
    <row r="13" spans="1:96" x14ac:dyDescent="0.25">
      <c r="H13" s="313"/>
      <c r="I13" s="313"/>
      <c r="J13" s="313"/>
      <c r="K13" s="313"/>
      <c r="L13" s="313"/>
      <c r="M13" s="313"/>
      <c r="N13" s="313"/>
      <c r="O13" s="313"/>
      <c r="P13" s="313"/>
      <c r="Q13" s="314"/>
      <c r="R13" s="314"/>
      <c r="S13" s="314"/>
      <c r="T13" s="314"/>
      <c r="U13" s="314"/>
      <c r="V13" s="314"/>
      <c r="W13" s="314"/>
      <c r="X13" s="314"/>
      <c r="Y13" s="314"/>
      <c r="Z13" s="314"/>
      <c r="AA13" s="314"/>
      <c r="AB13" s="314"/>
      <c r="AC13" s="314"/>
      <c r="AD13" s="314"/>
      <c r="AE13" s="314"/>
      <c r="AF13" s="314"/>
      <c r="AG13" s="314"/>
      <c r="AH13" s="314"/>
      <c r="AI13" s="314"/>
      <c r="AJ13" s="314"/>
      <c r="AK13" s="314"/>
      <c r="AL13" s="314"/>
      <c r="AM13" s="314"/>
      <c r="AN13" s="314"/>
      <c r="AO13" s="314"/>
      <c r="AP13" s="314"/>
      <c r="AQ13" s="314"/>
      <c r="AR13" s="314"/>
      <c r="AS13" s="314"/>
      <c r="AT13" s="314"/>
      <c r="AU13" s="314"/>
      <c r="AV13" s="314"/>
      <c r="AW13" s="314"/>
      <c r="AX13" s="314"/>
      <c r="AY13" s="314"/>
      <c r="AZ13" s="314"/>
      <c r="BA13" s="314"/>
      <c r="BB13" s="314"/>
      <c r="BC13" s="314"/>
      <c r="BD13" s="314"/>
      <c r="BE13" s="314"/>
      <c r="BF13" s="314"/>
      <c r="BG13" s="314"/>
      <c r="BH13" s="314"/>
      <c r="BI13" s="314"/>
      <c r="BJ13" s="314"/>
      <c r="BK13" s="314"/>
      <c r="BL13" s="314"/>
      <c r="BM13" s="314"/>
      <c r="BN13" s="314"/>
      <c r="BO13" s="314"/>
      <c r="BP13" s="314"/>
      <c r="BQ13" s="314"/>
      <c r="BR13" s="314"/>
      <c r="BS13" s="314"/>
      <c r="BT13" s="314"/>
      <c r="BU13" s="314"/>
      <c r="BV13" s="314"/>
      <c r="BW13" s="314"/>
      <c r="BX13" s="314"/>
      <c r="BY13" s="314"/>
      <c r="BZ13" s="314"/>
      <c r="CA13" s="314"/>
      <c r="CB13" s="314"/>
      <c r="CC13" s="314"/>
      <c r="CD13" s="314"/>
      <c r="CE13" s="314"/>
      <c r="CF13" s="314"/>
      <c r="CG13" s="314"/>
      <c r="CH13" s="314"/>
      <c r="CI13" s="314"/>
      <c r="CJ13" s="314"/>
      <c r="CK13" s="314"/>
      <c r="CL13" s="314"/>
      <c r="CM13" s="314"/>
      <c r="CN13" s="314"/>
      <c r="CO13" s="314"/>
      <c r="CP13" s="314"/>
    </row>
    <row r="14" spans="1:96" ht="18" x14ac:dyDescent="0.25">
      <c r="H14" s="4"/>
      <c r="I14" s="4"/>
      <c r="J14" s="4"/>
      <c r="K14" s="4"/>
      <c r="L14" s="4"/>
      <c r="M14" s="4"/>
      <c r="N14" s="4"/>
      <c r="O14" s="4"/>
      <c r="P14" s="4"/>
      <c r="Q14" s="315"/>
      <c r="R14" s="315"/>
      <c r="S14" s="315"/>
      <c r="T14" s="315"/>
      <c r="U14" s="315"/>
      <c r="V14" s="357" t="s">
        <v>36</v>
      </c>
      <c r="W14" s="357"/>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15"/>
      <c r="BI14" s="315"/>
      <c r="BJ14" s="315"/>
      <c r="BK14" s="315"/>
      <c r="BL14" s="315"/>
      <c r="BM14" s="315"/>
      <c r="BN14" s="315"/>
      <c r="BO14" s="315"/>
      <c r="BP14" s="315"/>
      <c r="BQ14" s="315"/>
      <c r="BR14" s="315"/>
      <c r="BS14" s="315"/>
      <c r="BT14" s="315"/>
      <c r="BU14" s="315"/>
      <c r="BV14" s="315"/>
      <c r="BW14" s="315"/>
      <c r="BX14" s="315"/>
      <c r="BY14" s="315"/>
      <c r="BZ14" s="315"/>
      <c r="CA14" s="315"/>
      <c r="CB14" s="315"/>
      <c r="CC14" s="315"/>
      <c r="CD14" s="315"/>
      <c r="CE14" s="315"/>
      <c r="CF14" s="315"/>
      <c r="CG14" s="315"/>
      <c r="CH14" s="315"/>
      <c r="CI14" s="315"/>
      <c r="CJ14" s="315"/>
      <c r="CK14" s="315"/>
      <c r="CL14" s="315"/>
      <c r="CM14" s="315"/>
      <c r="CN14" s="315"/>
      <c r="CO14" s="315"/>
      <c r="CP14" s="315"/>
    </row>
    <row r="15" spans="1:96" x14ac:dyDescent="0.25">
      <c r="H15" s="4"/>
      <c r="I15" s="4"/>
      <c r="J15" s="4"/>
      <c r="K15" s="4"/>
      <c r="L15" s="4"/>
      <c r="M15" s="4"/>
      <c r="N15" s="4"/>
      <c r="O15" s="4"/>
      <c r="P15" s="4"/>
      <c r="Q15" s="315"/>
      <c r="R15" s="315"/>
      <c r="S15" s="315"/>
      <c r="T15" s="315"/>
      <c r="U15" s="315"/>
      <c r="V15" s="315"/>
      <c r="W15" s="315"/>
      <c r="X15" s="315"/>
      <c r="Y15" s="315"/>
      <c r="Z15" s="315"/>
      <c r="AA15" s="315"/>
      <c r="AB15" s="315"/>
      <c r="AC15" s="315"/>
      <c r="AD15" s="315"/>
      <c r="AE15" s="315"/>
      <c r="AF15" s="315"/>
      <c r="AG15" s="315"/>
      <c r="AH15" s="315"/>
      <c r="AI15" s="315"/>
      <c r="AJ15" s="315"/>
      <c r="AK15" s="315"/>
      <c r="AL15" s="315"/>
      <c r="AM15" s="315"/>
      <c r="AN15" s="315"/>
      <c r="AO15" s="315"/>
      <c r="AP15" s="315"/>
      <c r="AQ15" s="315"/>
      <c r="AR15" s="315"/>
      <c r="AS15" s="315"/>
      <c r="AT15" s="315"/>
      <c r="AU15" s="315"/>
      <c r="AV15" s="315"/>
      <c r="AW15" s="315"/>
      <c r="AX15" s="315"/>
      <c r="AY15" s="315"/>
      <c r="AZ15" s="315"/>
      <c r="BA15" s="315"/>
      <c r="BB15" s="315"/>
      <c r="BC15" s="315"/>
      <c r="BD15" s="315"/>
      <c r="BE15" s="315"/>
      <c r="BF15" s="315"/>
      <c r="BG15" s="315"/>
      <c r="BH15" s="315"/>
      <c r="BI15" s="315"/>
      <c r="BJ15" s="315"/>
      <c r="BK15" s="315"/>
      <c r="BL15" s="315"/>
      <c r="BM15" s="315"/>
      <c r="BN15" s="315"/>
      <c r="BO15" s="315"/>
      <c r="BP15" s="315"/>
      <c r="BQ15" s="315"/>
      <c r="BR15" s="315"/>
      <c r="BS15" s="315"/>
      <c r="BT15" s="315"/>
      <c r="BU15" s="315"/>
      <c r="BV15" s="315"/>
      <c r="BW15" s="315"/>
      <c r="BX15" s="315"/>
      <c r="BY15" s="315"/>
      <c r="BZ15" s="315"/>
      <c r="CA15" s="315"/>
      <c r="CB15" s="315"/>
      <c r="CC15" s="315"/>
      <c r="CD15" s="315"/>
      <c r="CE15" s="315"/>
      <c r="CF15" s="315"/>
      <c r="CG15" s="315"/>
      <c r="CH15" s="315"/>
      <c r="CI15" s="315"/>
      <c r="CJ15" s="315"/>
      <c r="CK15" s="315"/>
      <c r="CL15" s="315"/>
      <c r="CM15" s="315"/>
      <c r="CN15" s="315"/>
      <c r="CO15" s="315"/>
      <c r="CP15" s="315"/>
    </row>
    <row r="16" spans="1:96" s="3" customFormat="1" ht="28.35" customHeight="1" x14ac:dyDescent="0.25">
      <c r="A16"/>
      <c r="H16" s="35"/>
      <c r="I16" s="35"/>
      <c r="J16" s="35"/>
      <c r="K16" s="35"/>
      <c r="L16" s="35"/>
      <c r="M16" s="35"/>
      <c r="N16" s="35"/>
      <c r="O16" s="35"/>
      <c r="P16" s="35"/>
      <c r="Q16" s="321"/>
      <c r="R16" s="321"/>
      <c r="S16" s="321"/>
      <c r="T16" s="321"/>
      <c r="U16" s="321"/>
      <c r="V16" s="1186" t="s">
        <v>37</v>
      </c>
      <c r="W16" s="1186"/>
      <c r="X16" s="1186"/>
      <c r="Y16" s="1186"/>
      <c r="Z16" s="1186"/>
      <c r="AA16" s="1186"/>
      <c r="AB16" s="1186"/>
      <c r="AC16" s="1186"/>
      <c r="AD16" s="1186"/>
      <c r="AE16" s="1186"/>
      <c r="AF16" s="1186"/>
      <c r="AG16" s="1186"/>
      <c r="AH16" s="1186"/>
      <c r="AI16" s="1186"/>
      <c r="AJ16" s="1186"/>
      <c r="AK16" s="321"/>
      <c r="AL16" s="1187" t="s">
        <v>38</v>
      </c>
      <c r="AM16" s="1187"/>
      <c r="AN16" s="1187"/>
      <c r="AO16" s="1187"/>
      <c r="AP16" s="1187"/>
      <c r="AQ16" s="1187"/>
      <c r="AR16" s="1187"/>
      <c r="AS16" s="1187"/>
      <c r="AT16" s="1187"/>
      <c r="AU16" s="1187"/>
      <c r="AV16" s="1187"/>
      <c r="AW16" s="1187"/>
      <c r="AX16" s="1187"/>
      <c r="AY16" s="1187"/>
      <c r="AZ16" s="1187"/>
      <c r="BA16" s="1187"/>
      <c r="BB16" s="1187"/>
      <c r="BC16" s="1187"/>
      <c r="BD16" s="1187"/>
      <c r="BE16" s="1187"/>
      <c r="BF16" s="1187"/>
      <c r="BG16" s="1187"/>
      <c r="BH16" s="321"/>
      <c r="BI16" s="321"/>
      <c r="BJ16" s="321"/>
      <c r="BK16" s="321"/>
      <c r="BL16" s="321"/>
      <c r="BM16" s="321"/>
      <c r="BN16" s="321"/>
      <c r="BO16" s="321"/>
      <c r="BP16" s="321"/>
      <c r="BQ16" s="321"/>
      <c r="BR16" s="321"/>
      <c r="BS16" s="321"/>
      <c r="BT16" s="321"/>
      <c r="BU16" s="321"/>
      <c r="BV16" s="321"/>
      <c r="BW16" s="321"/>
      <c r="BX16" s="321"/>
      <c r="BY16" s="321"/>
      <c r="BZ16" s="321"/>
      <c r="CA16" s="321"/>
      <c r="CB16" s="321"/>
      <c r="CC16" s="321"/>
      <c r="CD16" s="321"/>
      <c r="CE16" s="321"/>
      <c r="CF16" s="321"/>
      <c r="CG16" s="321"/>
      <c r="CH16" s="321"/>
      <c r="CI16" s="321"/>
      <c r="CJ16" s="321"/>
      <c r="CK16" s="321"/>
      <c r="CL16" s="321"/>
      <c r="CM16" s="321"/>
      <c r="CN16" s="321"/>
      <c r="CO16" s="321"/>
      <c r="CP16" s="321"/>
      <c r="CQ16"/>
      <c r="CR16"/>
    </row>
    <row r="17" spans="1:99" s="323" customFormat="1" ht="25.5" customHeight="1" x14ac:dyDescent="0.25">
      <c r="A17"/>
      <c r="H17" s="337"/>
      <c r="I17" s="337"/>
      <c r="J17" s="337"/>
      <c r="K17" s="337"/>
      <c r="L17" s="337"/>
      <c r="M17" s="337"/>
      <c r="N17" s="337"/>
      <c r="O17" s="337"/>
      <c r="P17" s="337"/>
      <c r="Q17" s="322"/>
      <c r="R17" s="322"/>
      <c r="S17" s="322"/>
      <c r="T17" s="322"/>
      <c r="U17" s="322"/>
      <c r="V17" s="1183" t="s">
        <v>39</v>
      </c>
      <c r="W17" s="1184"/>
      <c r="X17" s="1184"/>
      <c r="Y17" s="1184"/>
      <c r="Z17" s="1184"/>
      <c r="AA17" s="1184"/>
      <c r="AB17" s="1184"/>
      <c r="AC17" s="1184"/>
      <c r="AD17" s="1184"/>
      <c r="AE17" s="1184"/>
      <c r="AF17" s="1184"/>
      <c r="AG17" s="1184"/>
      <c r="AH17" s="1184"/>
      <c r="AI17" s="1184"/>
      <c r="AJ17" s="1184"/>
      <c r="AK17" s="322"/>
      <c r="AL17" s="1185" t="str">
        <f>INDEX(dms_ABN_List,MATCH(dms_TradingName,dms_TradingName_List))</f>
        <v>009 737 393</v>
      </c>
      <c r="AM17" s="1185"/>
      <c r="AN17" s="1185"/>
      <c r="AO17" s="1185"/>
      <c r="AP17" s="1185"/>
      <c r="AQ17" s="1185"/>
      <c r="AR17" s="1185"/>
      <c r="AS17" s="1185"/>
      <c r="AT17" s="1185"/>
      <c r="AU17" s="1185"/>
      <c r="AV17" s="1185"/>
      <c r="AW17" s="1185"/>
      <c r="AX17" s="322"/>
      <c r="AY17" s="322"/>
      <c r="AZ17" s="322"/>
      <c r="BA17" s="322"/>
      <c r="BB17" s="322"/>
      <c r="BC17" s="322"/>
      <c r="BD17" s="322"/>
      <c r="BE17" s="322"/>
      <c r="BF17" s="322"/>
      <c r="BG17" s="322"/>
      <c r="BH17" s="322"/>
      <c r="BI17" s="322"/>
      <c r="BJ17" s="322"/>
      <c r="BK17" s="322"/>
      <c r="BL17" s="322"/>
      <c r="BM17" s="322"/>
      <c r="BN17" s="322"/>
      <c r="BO17" s="322"/>
      <c r="BP17" s="322"/>
      <c r="BQ17" s="322"/>
      <c r="BR17" s="322"/>
      <c r="BS17" s="322"/>
      <c r="BT17" s="322"/>
      <c r="BU17" s="322"/>
      <c r="BV17" s="322"/>
      <c r="BW17" s="322"/>
      <c r="BX17" s="322"/>
      <c r="BY17" s="322"/>
      <c r="BZ17" s="322"/>
      <c r="CA17" s="322"/>
      <c r="CB17" s="322"/>
      <c r="CC17" s="322"/>
      <c r="CD17" s="322"/>
      <c r="CE17" s="322"/>
      <c r="CF17" s="322"/>
      <c r="CG17" s="322"/>
      <c r="CH17" s="322"/>
      <c r="CI17" s="322"/>
      <c r="CJ17" s="322"/>
      <c r="CK17" s="322"/>
      <c r="CL17" s="322"/>
      <c r="CM17" s="322"/>
      <c r="CN17" s="322"/>
      <c r="CO17" s="322"/>
      <c r="CP17" s="322"/>
      <c r="CQ17"/>
      <c r="CR17"/>
    </row>
    <row r="18" spans="1:99" x14ac:dyDescent="0.25">
      <c r="H18" s="4"/>
      <c r="I18" s="4"/>
      <c r="J18" s="4"/>
      <c r="K18" s="4"/>
      <c r="L18" s="4"/>
      <c r="M18" s="4"/>
      <c r="N18" s="4"/>
      <c r="O18" s="4"/>
      <c r="P18" s="4"/>
      <c r="Q18" s="315"/>
      <c r="R18" s="315"/>
      <c r="S18" s="315"/>
      <c r="T18" s="315"/>
      <c r="U18" s="315"/>
      <c r="V18" s="315"/>
      <c r="W18" s="315"/>
      <c r="X18" s="315"/>
      <c r="Y18" s="315"/>
      <c r="Z18" s="315"/>
      <c r="AA18" s="315"/>
      <c r="AB18" s="315"/>
      <c r="AC18" s="315"/>
      <c r="AD18" s="315"/>
      <c r="AE18" s="315"/>
      <c r="AF18" s="315"/>
      <c r="AG18" s="315"/>
      <c r="AH18" s="315"/>
      <c r="AI18" s="315"/>
      <c r="AJ18" s="315"/>
      <c r="AK18" s="315"/>
      <c r="AL18" s="315"/>
      <c r="AM18" s="315"/>
      <c r="AN18" s="315"/>
      <c r="AO18" s="315"/>
      <c r="AP18" s="315"/>
      <c r="AQ18" s="315"/>
      <c r="AR18" s="315"/>
      <c r="AS18" s="315"/>
      <c r="AT18" s="315"/>
      <c r="AU18" s="315"/>
      <c r="AV18" s="315"/>
      <c r="AW18" s="315"/>
      <c r="AX18" s="315"/>
      <c r="AY18" s="315"/>
      <c r="AZ18" s="315"/>
      <c r="BA18" s="315"/>
      <c r="BB18" s="315"/>
      <c r="BC18" s="315"/>
      <c r="BD18" s="315"/>
      <c r="BE18" s="315"/>
      <c r="BF18" s="315"/>
      <c r="BG18" s="315"/>
      <c r="BH18" s="315"/>
      <c r="BI18" s="315"/>
      <c r="BJ18" s="315"/>
      <c r="BK18" s="315"/>
      <c r="BL18" s="315"/>
      <c r="BM18" s="315"/>
      <c r="BN18" s="315"/>
      <c r="BO18" s="315"/>
      <c r="BP18" s="315"/>
      <c r="BQ18" s="315"/>
      <c r="BR18" s="315"/>
      <c r="BS18" s="315"/>
      <c r="BT18" s="315"/>
      <c r="BU18" s="315"/>
      <c r="BV18" s="315"/>
      <c r="BW18" s="315"/>
      <c r="BX18" s="315"/>
      <c r="BY18" s="315"/>
      <c r="BZ18" s="315"/>
      <c r="CA18" s="315"/>
      <c r="CB18" s="315"/>
      <c r="CC18" s="315"/>
      <c r="CD18" s="315"/>
      <c r="CE18" s="315"/>
      <c r="CF18" s="315"/>
      <c r="CG18" s="315"/>
      <c r="CH18" s="315"/>
      <c r="CI18" s="315"/>
      <c r="CJ18" s="315"/>
      <c r="CK18" s="315"/>
      <c r="CL18" s="315"/>
      <c r="CM18" s="315"/>
      <c r="CN18" s="315"/>
      <c r="CO18" s="315"/>
      <c r="CP18" s="315"/>
    </row>
    <row r="19" spans="1:99" x14ac:dyDescent="0.25">
      <c r="H19" s="4"/>
      <c r="I19" s="4"/>
      <c r="J19" s="4"/>
      <c r="K19" s="4"/>
      <c r="L19" s="4"/>
      <c r="M19" s="4"/>
      <c r="N19" s="4"/>
      <c r="O19" s="4"/>
      <c r="P19" s="4"/>
      <c r="Q19" s="315"/>
      <c r="R19" s="315"/>
      <c r="S19" s="315"/>
      <c r="T19" s="315"/>
      <c r="U19" s="315"/>
      <c r="V19" s="315"/>
      <c r="W19" s="315"/>
      <c r="X19" s="315"/>
      <c r="Y19" s="315"/>
      <c r="Z19" s="315"/>
      <c r="AA19" s="315"/>
      <c r="AB19" s="315"/>
      <c r="AC19" s="315"/>
      <c r="AD19" s="315"/>
      <c r="AE19" s="315"/>
      <c r="AF19" s="315"/>
      <c r="AG19" s="315"/>
      <c r="AH19" s="315"/>
      <c r="AI19" s="315"/>
      <c r="AJ19" s="315"/>
      <c r="AK19" s="315"/>
      <c r="AL19" s="315"/>
      <c r="AM19" s="315"/>
      <c r="AN19" s="315"/>
      <c r="AO19" s="315"/>
      <c r="AP19" s="315"/>
      <c r="AQ19" s="315"/>
      <c r="AR19" s="315"/>
      <c r="AS19" s="315"/>
      <c r="AT19" s="315"/>
      <c r="AU19" s="315"/>
      <c r="AV19" s="315"/>
      <c r="AW19" s="315"/>
      <c r="AX19" s="315"/>
      <c r="AY19" s="315"/>
      <c r="AZ19" s="315"/>
      <c r="BA19" s="315"/>
      <c r="BB19" s="315"/>
      <c r="BC19" s="315"/>
      <c r="BD19" s="315"/>
      <c r="BE19" s="315"/>
      <c r="BF19" s="315"/>
      <c r="BG19" s="315"/>
      <c r="BH19" s="315"/>
      <c r="BI19" s="315"/>
      <c r="BJ19" s="315"/>
      <c r="BK19" s="315"/>
      <c r="BL19" s="315"/>
      <c r="BM19" s="315"/>
      <c r="BN19" s="315"/>
      <c r="BO19" s="315"/>
      <c r="BP19" s="315"/>
      <c r="BQ19" s="315"/>
      <c r="BR19" s="315"/>
      <c r="BS19" s="315"/>
      <c r="BT19" s="315"/>
      <c r="BU19" s="315"/>
      <c r="BV19" s="315"/>
      <c r="BW19" s="315"/>
      <c r="BX19" s="315"/>
      <c r="BY19" s="315"/>
      <c r="BZ19" s="315"/>
      <c r="CA19" s="315"/>
      <c r="CB19" s="315"/>
      <c r="CC19" s="315"/>
      <c r="CD19" s="315"/>
      <c r="CE19" s="315"/>
      <c r="CF19" s="315"/>
      <c r="CG19" s="315"/>
      <c r="CH19" s="315"/>
      <c r="CI19" s="315"/>
      <c r="CJ19" s="315"/>
      <c r="CK19" s="315"/>
      <c r="CL19" s="315"/>
      <c r="CM19" s="315"/>
      <c r="CN19" s="315"/>
      <c r="CO19" s="315"/>
      <c r="CP19" s="315"/>
    </row>
    <row r="20" spans="1:99" x14ac:dyDescent="0.25">
      <c r="H20" s="4"/>
      <c r="I20" s="4"/>
      <c r="J20" s="4"/>
      <c r="K20" s="4"/>
      <c r="L20" s="4"/>
      <c r="M20" s="4"/>
      <c r="N20" s="4"/>
      <c r="O20" s="4"/>
      <c r="P20" s="4"/>
      <c r="Q20" s="315"/>
      <c r="R20" s="315"/>
      <c r="S20" s="315"/>
      <c r="T20" s="315"/>
      <c r="U20" s="315"/>
      <c r="V20" s="315"/>
      <c r="W20" s="315"/>
      <c r="X20" s="315"/>
      <c r="Y20" s="315"/>
      <c r="Z20" s="315"/>
      <c r="AA20" s="315"/>
      <c r="AB20" s="315"/>
      <c r="AC20" s="315"/>
      <c r="AD20" s="315"/>
      <c r="AE20" s="315"/>
      <c r="AF20" s="315"/>
      <c r="AG20" s="315"/>
      <c r="AH20" s="315"/>
      <c r="AI20" s="315"/>
      <c r="AJ20" s="315"/>
      <c r="AK20" s="315"/>
      <c r="AL20" s="315"/>
      <c r="AM20" s="315"/>
      <c r="AN20" s="315"/>
      <c r="AO20" s="315"/>
      <c r="AP20" s="315"/>
      <c r="AQ20" s="315"/>
      <c r="AR20" s="315"/>
      <c r="AS20" s="315"/>
      <c r="AT20" s="315"/>
      <c r="AU20" s="315"/>
      <c r="AV20" s="315"/>
      <c r="AW20" s="315"/>
      <c r="AX20" s="315"/>
      <c r="AY20" s="315"/>
      <c r="AZ20" s="315"/>
      <c r="BA20" s="315"/>
      <c r="BB20" s="315"/>
      <c r="BC20" s="315"/>
      <c r="BD20" s="315"/>
      <c r="BE20" s="315"/>
      <c r="BF20" s="315"/>
      <c r="BG20" s="315"/>
      <c r="BH20" s="315"/>
      <c r="BI20" s="315"/>
      <c r="BJ20" s="315"/>
      <c r="BK20" s="315"/>
      <c r="BL20" s="315"/>
      <c r="BM20" s="315"/>
      <c r="BN20" s="315"/>
      <c r="BO20" s="315"/>
      <c r="BP20" s="315"/>
      <c r="BQ20" s="315"/>
      <c r="BR20" s="315"/>
      <c r="BS20" s="315"/>
      <c r="BT20" s="315"/>
      <c r="BU20" s="315"/>
      <c r="BV20" s="315"/>
      <c r="BW20" s="315"/>
      <c r="BX20" s="315"/>
      <c r="BY20" s="315"/>
      <c r="BZ20" s="315"/>
      <c r="CA20" s="315"/>
      <c r="CB20" s="315"/>
      <c r="CC20" s="315"/>
      <c r="CD20" s="315"/>
      <c r="CE20" s="315"/>
      <c r="CF20" s="315"/>
      <c r="CG20" s="315"/>
      <c r="CH20" s="315"/>
      <c r="CI20" s="315"/>
      <c r="CJ20" s="315"/>
      <c r="CK20" s="315"/>
      <c r="CL20" s="315"/>
      <c r="CM20" s="315"/>
      <c r="CN20" s="315"/>
      <c r="CO20" s="315"/>
      <c r="CP20" s="315"/>
    </row>
    <row r="21" spans="1:99" ht="15" customHeight="1" x14ac:dyDescent="0.25">
      <c r="H21" s="4"/>
      <c r="I21" s="4"/>
      <c r="J21" s="4"/>
      <c r="K21" s="4"/>
      <c r="L21" s="4"/>
      <c r="M21" s="4"/>
      <c r="N21" s="4"/>
      <c r="O21" s="4"/>
      <c r="P21" s="4"/>
      <c r="Q21" s="315"/>
      <c r="R21" s="315"/>
      <c r="S21" s="315"/>
      <c r="T21" s="315"/>
      <c r="U21" s="316"/>
      <c r="V21" s="357" t="s">
        <v>40</v>
      </c>
      <c r="W21" s="357"/>
      <c r="X21" s="357"/>
      <c r="Y21" s="357"/>
      <c r="Z21" s="357"/>
      <c r="AA21" s="357"/>
      <c r="AB21" s="357"/>
      <c r="AC21" s="357"/>
      <c r="AD21" s="357"/>
      <c r="AE21" s="357"/>
      <c r="AF21" s="357"/>
      <c r="AG21" s="357"/>
      <c r="AH21" s="357"/>
      <c r="AI21" s="357"/>
      <c r="AJ21" s="357"/>
      <c r="AK21" s="357"/>
      <c r="AL21" s="357"/>
      <c r="AM21" s="357"/>
      <c r="AN21" s="357"/>
      <c r="AO21" s="357"/>
      <c r="AP21" s="357"/>
      <c r="AQ21" s="357"/>
      <c r="AR21" s="357"/>
      <c r="AS21" s="357"/>
      <c r="AT21" s="357"/>
      <c r="AU21" s="357"/>
      <c r="AV21" s="357"/>
      <c r="AW21" s="357"/>
      <c r="AX21" s="357"/>
      <c r="AY21" s="357"/>
      <c r="AZ21" s="357"/>
      <c r="BA21" s="357"/>
      <c r="BB21" s="357"/>
      <c r="BC21" s="357"/>
      <c r="BD21" s="357"/>
      <c r="BE21" s="357"/>
      <c r="BF21" s="357"/>
      <c r="BG21" s="357"/>
      <c r="BH21" s="315"/>
      <c r="BI21" s="316"/>
      <c r="BJ21" s="317"/>
      <c r="BK21" s="317"/>
      <c r="BL21" s="317"/>
      <c r="BM21" s="317"/>
      <c r="BN21" s="317"/>
      <c r="BO21" s="317"/>
      <c r="BP21" s="317"/>
      <c r="BQ21" s="335" t="s">
        <v>41</v>
      </c>
      <c r="BR21" s="335"/>
      <c r="BS21" s="335"/>
      <c r="BT21" s="335"/>
      <c r="BU21" s="335"/>
      <c r="BV21" s="335"/>
      <c r="BW21" s="335"/>
      <c r="BX21" s="335"/>
      <c r="BY21" s="335"/>
      <c r="BZ21" s="335"/>
      <c r="CA21" s="335"/>
      <c r="CB21" s="335"/>
      <c r="CC21" s="335"/>
      <c r="CD21" s="335"/>
      <c r="CE21" s="335"/>
      <c r="CF21" s="335"/>
      <c r="CG21" s="335"/>
      <c r="CH21" s="335"/>
      <c r="CI21" s="335"/>
      <c r="CJ21" s="335"/>
      <c r="CK21" s="335"/>
      <c r="CL21" s="335"/>
      <c r="CM21" s="335"/>
      <c r="CN21" s="335"/>
      <c r="CO21" s="335"/>
      <c r="CP21" s="335"/>
    </row>
    <row r="22" spans="1:99" x14ac:dyDescent="0.25">
      <c r="H22" s="4"/>
      <c r="I22" s="4"/>
      <c r="J22" s="4"/>
      <c r="K22" s="4"/>
      <c r="L22" s="4"/>
      <c r="M22" s="4"/>
      <c r="N22" s="4"/>
      <c r="O22" s="4"/>
      <c r="P22" s="4"/>
      <c r="Q22" s="315"/>
      <c r="R22" s="315"/>
      <c r="S22" s="315"/>
      <c r="T22" s="315"/>
      <c r="U22" s="315"/>
      <c r="V22" s="315"/>
      <c r="W22" s="315"/>
      <c r="X22" s="315"/>
      <c r="Y22" s="315"/>
      <c r="Z22" s="315"/>
      <c r="AA22" s="315"/>
      <c r="AB22" s="315"/>
      <c r="AC22" s="315"/>
      <c r="AD22" s="315"/>
      <c r="AE22" s="315"/>
      <c r="AF22" s="315"/>
      <c r="AG22" s="315"/>
      <c r="AH22" s="315"/>
      <c r="AI22" s="315"/>
      <c r="AJ22" s="315"/>
      <c r="AK22" s="316"/>
      <c r="AL22" s="316"/>
      <c r="AM22" s="317"/>
      <c r="AN22" s="317"/>
      <c r="AO22" s="317"/>
      <c r="AP22" s="317"/>
      <c r="AQ22" s="317"/>
      <c r="AR22" s="317"/>
      <c r="AS22" s="317"/>
      <c r="AT22" s="317"/>
      <c r="AU22" s="317"/>
      <c r="AV22" s="317"/>
      <c r="AW22" s="317"/>
      <c r="AX22" s="317"/>
      <c r="AY22" s="317"/>
      <c r="AZ22" s="317"/>
      <c r="BA22" s="317"/>
      <c r="BB22" s="317"/>
      <c r="BC22" s="317"/>
      <c r="BD22" s="317"/>
      <c r="BE22" s="317"/>
      <c r="BF22" s="317"/>
      <c r="BG22" s="317"/>
      <c r="BH22" s="315"/>
      <c r="BI22" s="315"/>
      <c r="BJ22" s="315"/>
      <c r="BK22" s="315"/>
      <c r="BL22" s="315"/>
      <c r="BM22" s="315"/>
      <c r="BN22" s="315"/>
      <c r="BO22" s="315"/>
      <c r="BP22" s="315"/>
      <c r="BQ22" s="316"/>
      <c r="BR22" s="317"/>
      <c r="BS22" s="317"/>
      <c r="BT22" s="317"/>
      <c r="BU22" s="317"/>
      <c r="BV22" s="317"/>
      <c r="BW22" s="317"/>
      <c r="BX22" s="317"/>
      <c r="BY22" s="317"/>
      <c r="BZ22" s="317"/>
      <c r="CA22" s="317"/>
      <c r="CB22" s="317"/>
      <c r="CC22" s="317"/>
      <c r="CD22" s="317"/>
      <c r="CE22" s="317"/>
      <c r="CF22" s="317"/>
      <c r="CG22" s="317"/>
      <c r="CH22" s="317"/>
      <c r="CI22" s="317"/>
      <c r="CJ22" s="317"/>
      <c r="CK22" s="317"/>
      <c r="CL22" s="317"/>
      <c r="CM22" s="315"/>
      <c r="CN22" s="315"/>
      <c r="CO22" s="315"/>
      <c r="CP22" s="315"/>
    </row>
    <row r="23" spans="1:99" x14ac:dyDescent="0.25">
      <c r="H23" s="4"/>
      <c r="I23" s="4"/>
      <c r="J23" s="4"/>
      <c r="K23" s="4"/>
      <c r="L23" s="4"/>
      <c r="M23" s="4"/>
      <c r="N23" s="4"/>
      <c r="O23" s="4"/>
      <c r="P23" s="4"/>
      <c r="Q23" s="315"/>
      <c r="R23" s="315"/>
      <c r="S23" s="315"/>
      <c r="T23" s="315"/>
      <c r="U23" s="315"/>
      <c r="V23" s="1168" t="s">
        <v>42</v>
      </c>
      <c r="W23" s="1168"/>
      <c r="X23" s="1168"/>
      <c r="Y23" s="1168"/>
      <c r="Z23" s="1168"/>
      <c r="AA23" s="1168"/>
      <c r="AB23" s="1168"/>
      <c r="AC23" s="1168"/>
      <c r="AD23" s="1168"/>
      <c r="AE23" s="1168"/>
      <c r="AF23" s="1168"/>
      <c r="AG23" s="1168"/>
      <c r="AH23" s="1168"/>
      <c r="AI23" s="1168"/>
      <c r="AJ23" s="1168"/>
      <c r="AK23" s="315"/>
      <c r="AL23" s="1176" t="s">
        <v>43</v>
      </c>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82"/>
      <c r="BH23" s="315"/>
      <c r="BI23" s="1168" t="s">
        <v>42</v>
      </c>
      <c r="BJ23" s="1168"/>
      <c r="BK23" s="1168"/>
      <c r="BL23" s="1168"/>
      <c r="BM23" s="1168"/>
      <c r="BN23" s="1168"/>
      <c r="BO23" s="1168"/>
      <c r="BP23" s="319"/>
      <c r="BQ23" s="1176" t="s">
        <v>44</v>
      </c>
      <c r="BR23" s="1177"/>
      <c r="BS23" s="1177"/>
      <c r="BT23" s="1177"/>
      <c r="BU23" s="1177"/>
      <c r="BV23" s="1177"/>
      <c r="BW23" s="1177"/>
      <c r="BX23" s="1177"/>
      <c r="BY23" s="1177"/>
      <c r="BZ23" s="1177"/>
      <c r="CA23" s="1177"/>
      <c r="CB23" s="1177"/>
      <c r="CC23" s="1177"/>
      <c r="CD23" s="1177"/>
      <c r="CE23" s="1177"/>
      <c r="CF23" s="1177"/>
      <c r="CG23" s="1177"/>
      <c r="CH23" s="1177"/>
      <c r="CI23" s="1177"/>
      <c r="CJ23" s="1177"/>
      <c r="CK23" s="1177"/>
      <c r="CL23" s="1182"/>
      <c r="CM23" s="315"/>
      <c r="CN23" s="315"/>
      <c r="CO23" s="315"/>
      <c r="CP23" s="315"/>
    </row>
    <row r="24" spans="1:99" x14ac:dyDescent="0.25">
      <c r="H24" s="4"/>
      <c r="I24" s="4"/>
      <c r="J24" s="4"/>
      <c r="K24" s="4"/>
      <c r="L24" s="4"/>
      <c r="M24" s="4"/>
      <c r="N24" s="4"/>
      <c r="O24" s="4"/>
      <c r="P24" s="4"/>
      <c r="Q24" s="315"/>
      <c r="R24" s="315"/>
      <c r="S24" s="315"/>
      <c r="T24" s="315"/>
      <c r="U24" s="315"/>
      <c r="V24" s="1168" t="s">
        <v>45</v>
      </c>
      <c r="W24" s="1168"/>
      <c r="X24" s="1168"/>
      <c r="Y24" s="1168"/>
      <c r="Z24" s="1168"/>
      <c r="AA24" s="1168"/>
      <c r="AB24" s="1168"/>
      <c r="AC24" s="1168"/>
      <c r="AD24" s="1168"/>
      <c r="AE24" s="1168"/>
      <c r="AF24" s="1168"/>
      <c r="AG24" s="1168"/>
      <c r="AH24" s="1168"/>
      <c r="AI24" s="1168"/>
      <c r="AJ24" s="1168"/>
      <c r="AK24" s="315"/>
      <c r="AL24" s="1176" t="s">
        <v>46</v>
      </c>
      <c r="AM24" s="1177"/>
      <c r="AN24" s="1177"/>
      <c r="AO24" s="1177"/>
      <c r="AP24" s="1177"/>
      <c r="AQ24" s="1177"/>
      <c r="AR24" s="1177"/>
      <c r="AS24" s="1177"/>
      <c r="AT24" s="1177"/>
      <c r="AU24" s="1177"/>
      <c r="AV24" s="1177"/>
      <c r="AW24" s="1177"/>
      <c r="AX24" s="1177"/>
      <c r="AY24" s="1177"/>
      <c r="AZ24" s="1177"/>
      <c r="BA24" s="1177"/>
      <c r="BB24" s="1177"/>
      <c r="BC24" s="1177"/>
      <c r="BD24" s="1177"/>
      <c r="BE24" s="1177"/>
      <c r="BF24" s="1177"/>
      <c r="BG24" s="1182"/>
      <c r="BH24" s="315"/>
      <c r="BI24" s="1168" t="s">
        <v>45</v>
      </c>
      <c r="BJ24" s="1168"/>
      <c r="BK24" s="1168"/>
      <c r="BL24" s="1168"/>
      <c r="BM24" s="1168"/>
      <c r="BN24" s="1168"/>
      <c r="BO24" s="1168"/>
      <c r="BP24" s="319"/>
      <c r="BQ24" s="1176"/>
      <c r="BR24" s="1177"/>
      <c r="BS24" s="1177"/>
      <c r="BT24" s="1177"/>
      <c r="BU24" s="1177"/>
      <c r="BV24" s="1177"/>
      <c r="BW24" s="1177"/>
      <c r="BX24" s="1177"/>
      <c r="BY24" s="1177"/>
      <c r="BZ24" s="1177"/>
      <c r="CA24" s="1177"/>
      <c r="CB24" s="1177"/>
      <c r="CC24" s="1177"/>
      <c r="CD24" s="1177"/>
      <c r="CE24" s="1177"/>
      <c r="CF24" s="1177"/>
      <c r="CG24" s="1177"/>
      <c r="CH24" s="1177"/>
      <c r="CI24" s="1177"/>
      <c r="CJ24" s="1177"/>
      <c r="CK24" s="1177"/>
      <c r="CL24" s="1182"/>
      <c r="CM24" s="315"/>
      <c r="CN24" s="315"/>
      <c r="CO24" s="315"/>
      <c r="CP24" s="315"/>
    </row>
    <row r="25" spans="1:99" x14ac:dyDescent="0.25">
      <c r="H25" s="4"/>
      <c r="I25" s="4"/>
      <c r="J25" s="4"/>
      <c r="K25" s="4"/>
      <c r="L25" s="4"/>
      <c r="M25" s="4"/>
      <c r="N25" s="4"/>
      <c r="O25" s="4"/>
      <c r="P25" s="4"/>
      <c r="Q25" s="315"/>
      <c r="R25" s="315"/>
      <c r="S25" s="315"/>
      <c r="T25" s="315"/>
      <c r="U25" s="315"/>
      <c r="V25" s="1168" t="s">
        <v>47</v>
      </c>
      <c r="W25" s="1168"/>
      <c r="X25" s="1168"/>
      <c r="Y25" s="1168"/>
      <c r="Z25" s="1168"/>
      <c r="AA25" s="1168"/>
      <c r="AB25" s="1168"/>
      <c r="AC25" s="1168"/>
      <c r="AD25" s="1168"/>
      <c r="AE25" s="1168"/>
      <c r="AF25" s="1168"/>
      <c r="AG25" s="1168"/>
      <c r="AH25" s="1168"/>
      <c r="AI25" s="1168"/>
      <c r="AJ25" s="1168"/>
      <c r="AK25" s="315"/>
      <c r="AL25" s="1176" t="s">
        <v>48</v>
      </c>
      <c r="AM25" s="1177"/>
      <c r="AN25" s="1177"/>
      <c r="AO25" s="1177"/>
      <c r="AP25" s="1177"/>
      <c r="AQ25" s="1177"/>
      <c r="AR25" s="1177"/>
      <c r="AS25" s="1177"/>
      <c r="AT25" s="1177"/>
      <c r="AU25" s="1177"/>
      <c r="AV25" s="1177"/>
      <c r="AW25" s="1177"/>
      <c r="AX25" s="1177"/>
      <c r="AY25" s="1177"/>
      <c r="AZ25" s="1177"/>
      <c r="BA25" s="318"/>
      <c r="BB25" s="318"/>
      <c r="BC25" s="318"/>
      <c r="BD25" s="318"/>
      <c r="BE25" s="318"/>
      <c r="BF25" s="318"/>
      <c r="BG25" s="318"/>
      <c r="BH25" s="315"/>
      <c r="BI25" s="1168" t="s">
        <v>47</v>
      </c>
      <c r="BJ25" s="1168"/>
      <c r="BK25" s="1168"/>
      <c r="BL25" s="1168"/>
      <c r="BM25" s="1168"/>
      <c r="BN25" s="1168"/>
      <c r="BO25" s="1168"/>
      <c r="BP25" s="319"/>
      <c r="BQ25" s="1176" t="s">
        <v>49</v>
      </c>
      <c r="BR25" s="1177"/>
      <c r="BS25" s="1177"/>
      <c r="BT25" s="1177"/>
      <c r="BU25" s="1177"/>
      <c r="BV25" s="1177"/>
      <c r="BW25" s="1177"/>
      <c r="BX25" s="1177"/>
      <c r="BY25" s="1177"/>
      <c r="BZ25" s="1177"/>
      <c r="CA25" s="1177"/>
      <c r="CB25" s="1177"/>
      <c r="CC25" s="1177"/>
      <c r="CD25" s="1177"/>
      <c r="CE25" s="1177"/>
      <c r="CF25" s="318"/>
      <c r="CG25" s="318"/>
      <c r="CH25" s="318"/>
      <c r="CI25" s="318"/>
      <c r="CJ25" s="318"/>
      <c r="CK25" s="318"/>
      <c r="CL25" s="318"/>
      <c r="CM25" s="315"/>
      <c r="CN25" s="315"/>
      <c r="CO25" s="315"/>
      <c r="CP25" s="315"/>
    </row>
    <row r="26" spans="1:99" x14ac:dyDescent="0.25">
      <c r="H26" s="4"/>
      <c r="I26" s="4"/>
      <c r="J26" s="4"/>
      <c r="K26" s="4"/>
      <c r="L26" s="4"/>
      <c r="M26" s="4"/>
      <c r="N26" s="4"/>
      <c r="O26" s="4"/>
      <c r="P26" s="4"/>
      <c r="Q26" s="315"/>
      <c r="R26" s="315"/>
      <c r="S26" s="315"/>
      <c r="T26" s="315"/>
      <c r="U26" s="315"/>
      <c r="V26" s="1168" t="s">
        <v>50</v>
      </c>
      <c r="W26" s="1168"/>
      <c r="X26" s="1168"/>
      <c r="Y26" s="1168"/>
      <c r="Z26" s="1168"/>
      <c r="AA26" s="1168"/>
      <c r="AB26" s="1168"/>
      <c r="AC26" s="1168"/>
      <c r="AD26" s="1168"/>
      <c r="AE26" s="1168"/>
      <c r="AF26" s="1168"/>
      <c r="AG26" s="1168"/>
      <c r="AH26" s="1168"/>
      <c r="AI26" s="1168"/>
      <c r="AJ26" s="1168"/>
      <c r="AK26" s="315"/>
      <c r="AL26" s="1169" t="s">
        <v>51</v>
      </c>
      <c r="AM26" s="1169"/>
      <c r="AN26" s="1169"/>
      <c r="AO26" s="1053"/>
      <c r="AP26" s="315"/>
      <c r="AQ26" s="320"/>
      <c r="AR26" s="315"/>
      <c r="AS26" s="315"/>
      <c r="AT26" s="315"/>
      <c r="AU26" s="315"/>
      <c r="AV26" s="320" t="s">
        <v>52</v>
      </c>
      <c r="AW26" s="320"/>
      <c r="AX26" s="1169">
        <v>2000</v>
      </c>
      <c r="AY26" s="1169"/>
      <c r="AZ26" s="1169"/>
      <c r="BA26" s="315"/>
      <c r="BB26" s="315"/>
      <c r="BC26" s="315"/>
      <c r="BD26" s="315"/>
      <c r="BE26" s="315"/>
      <c r="BF26" s="315"/>
      <c r="BG26" s="315"/>
      <c r="BH26" s="315"/>
      <c r="BI26" s="1168" t="s">
        <v>50</v>
      </c>
      <c r="BJ26" s="1168"/>
      <c r="BK26" s="1168"/>
      <c r="BL26" s="1168"/>
      <c r="BM26" s="1168"/>
      <c r="BN26" s="1168"/>
      <c r="BO26" s="1168"/>
      <c r="BP26" s="319"/>
      <c r="BQ26" s="1169" t="s">
        <v>51</v>
      </c>
      <c r="BR26" s="1169"/>
      <c r="BS26" s="1169"/>
      <c r="BT26" s="1053"/>
      <c r="BU26" s="315"/>
      <c r="BV26" s="315"/>
      <c r="BW26" s="319"/>
      <c r="BX26" s="315"/>
      <c r="BY26" s="315"/>
      <c r="BZ26" s="315"/>
      <c r="CA26" s="320" t="s">
        <v>52</v>
      </c>
      <c r="CB26" s="315"/>
      <c r="CC26" s="1169">
        <v>1225</v>
      </c>
      <c r="CD26" s="1169"/>
      <c r="CE26" s="1169"/>
      <c r="CF26" s="315"/>
      <c r="CG26" s="315"/>
      <c r="CH26" s="315"/>
      <c r="CI26" s="315"/>
      <c r="CJ26" s="315"/>
      <c r="CK26" s="315"/>
      <c r="CL26" s="315"/>
      <c r="CM26" s="315"/>
      <c r="CN26" s="315"/>
      <c r="CO26" s="315"/>
      <c r="CP26" s="315"/>
    </row>
    <row r="27" spans="1:99" x14ac:dyDescent="0.25">
      <c r="H27" s="4"/>
      <c r="I27" s="4"/>
      <c r="J27" s="4"/>
      <c r="K27" s="4"/>
      <c r="L27" s="4"/>
      <c r="M27" s="4"/>
      <c r="N27" s="4"/>
      <c r="O27" s="4"/>
      <c r="P27" s="4"/>
      <c r="Q27" s="315"/>
      <c r="R27" s="315"/>
      <c r="S27" s="315"/>
      <c r="T27" s="315"/>
      <c r="U27" s="315"/>
      <c r="V27" s="315"/>
      <c r="W27" s="315"/>
      <c r="X27" s="315"/>
      <c r="Y27" s="315"/>
      <c r="Z27" s="315"/>
      <c r="AA27" s="315"/>
      <c r="AB27" s="315"/>
      <c r="AC27" s="315"/>
      <c r="AD27" s="315"/>
      <c r="AE27" s="315"/>
      <c r="AF27" s="315"/>
      <c r="AG27" s="315"/>
      <c r="AH27" s="315"/>
      <c r="AI27" s="315"/>
      <c r="AJ27" s="315"/>
      <c r="AK27" s="315"/>
      <c r="AL27" s="315"/>
      <c r="AM27" s="315"/>
      <c r="AN27" s="315"/>
      <c r="AO27" s="315"/>
      <c r="AP27" s="315"/>
      <c r="AQ27" s="315"/>
      <c r="AR27" s="315"/>
      <c r="AS27" s="315"/>
      <c r="AT27" s="315"/>
      <c r="AU27" s="315"/>
      <c r="AV27" s="315"/>
      <c r="AW27" s="315"/>
      <c r="AX27" s="315"/>
      <c r="AY27" s="315"/>
      <c r="AZ27" s="315"/>
      <c r="BA27" s="315"/>
      <c r="BB27" s="315"/>
      <c r="BC27" s="315"/>
      <c r="BD27" s="315"/>
      <c r="BE27" s="315"/>
      <c r="BF27" s="315"/>
      <c r="BG27" s="315"/>
      <c r="BH27" s="315"/>
      <c r="BI27" s="315"/>
      <c r="BJ27" s="315"/>
      <c r="BK27" s="315"/>
      <c r="BL27" s="315"/>
      <c r="BM27" s="315"/>
      <c r="BN27" s="315"/>
      <c r="BO27" s="315"/>
      <c r="BP27" s="315"/>
      <c r="BQ27" s="315"/>
      <c r="BR27" s="315"/>
      <c r="BS27" s="315"/>
      <c r="BT27" s="315"/>
      <c r="BU27" s="315"/>
      <c r="BV27" s="315"/>
      <c r="BW27" s="315"/>
      <c r="BX27" s="315"/>
      <c r="BY27" s="315"/>
      <c r="BZ27" s="315"/>
      <c r="CA27" s="315"/>
      <c r="CB27" s="315"/>
      <c r="CC27" s="315"/>
      <c r="CD27" s="315"/>
      <c r="CE27" s="315"/>
      <c r="CF27" s="315"/>
      <c r="CG27" s="315"/>
      <c r="CH27" s="315"/>
      <c r="CI27" s="315"/>
      <c r="CJ27" s="315"/>
      <c r="CK27" s="315"/>
      <c r="CL27" s="315"/>
      <c r="CM27" s="315"/>
      <c r="CN27" s="315"/>
      <c r="CO27" s="315"/>
      <c r="CP27" s="315"/>
      <c r="CU27" s="70"/>
    </row>
    <row r="28" spans="1:99" x14ac:dyDescent="0.25">
      <c r="H28" s="4"/>
      <c r="I28" s="4"/>
      <c r="J28" s="4"/>
      <c r="K28" s="4"/>
      <c r="L28" s="4"/>
      <c r="M28" s="4"/>
      <c r="N28" s="4"/>
      <c r="O28" s="4"/>
      <c r="P28" s="4"/>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315"/>
      <c r="AY28" s="315"/>
      <c r="AZ28" s="315"/>
      <c r="BA28" s="315" t="s">
        <v>53</v>
      </c>
      <c r="BB28" s="315"/>
      <c r="BC28" s="315"/>
      <c r="BD28" s="315"/>
      <c r="BE28" s="315"/>
      <c r="BF28" s="315"/>
      <c r="BG28" s="315"/>
      <c r="BH28" s="315"/>
      <c r="BI28" s="315"/>
      <c r="BJ28" s="315"/>
      <c r="BK28" s="315"/>
      <c r="BL28" s="315"/>
      <c r="BM28" s="315"/>
      <c r="BN28" s="315"/>
      <c r="BO28" s="315"/>
      <c r="BP28" s="315"/>
      <c r="BQ28" s="315"/>
      <c r="BR28" s="315"/>
      <c r="BS28" s="315"/>
      <c r="BT28" s="315"/>
      <c r="BU28" s="315"/>
      <c r="BV28" s="315"/>
      <c r="BW28" s="315"/>
      <c r="BX28" s="315"/>
      <c r="BY28" s="315"/>
      <c r="BZ28" s="315"/>
      <c r="CA28" s="315"/>
      <c r="CB28" s="315"/>
      <c r="CC28" s="315"/>
      <c r="CD28" s="315"/>
      <c r="CE28" s="315"/>
      <c r="CF28" s="315"/>
      <c r="CG28" s="315"/>
      <c r="CH28" s="315"/>
      <c r="CI28" s="315"/>
      <c r="CJ28" s="315"/>
      <c r="CK28" s="315"/>
      <c r="CL28" s="315"/>
      <c r="CM28" s="315"/>
      <c r="CN28" s="315"/>
      <c r="CO28" s="315"/>
      <c r="CP28" s="315"/>
    </row>
    <row r="29" spans="1:99" x14ac:dyDescent="0.25">
      <c r="H29" s="4"/>
      <c r="I29" s="4"/>
      <c r="J29" s="4"/>
      <c r="K29" s="4"/>
      <c r="L29" s="4"/>
      <c r="M29" s="4"/>
      <c r="N29" s="4"/>
      <c r="O29" s="4"/>
      <c r="P29" s="4"/>
      <c r="Q29" s="315"/>
      <c r="R29" s="315"/>
      <c r="S29" s="315"/>
      <c r="T29" s="315"/>
      <c r="U29" s="315"/>
      <c r="V29" s="315"/>
      <c r="W29" s="315"/>
      <c r="X29" s="315"/>
      <c r="Y29" s="315"/>
      <c r="Z29" s="315"/>
      <c r="AA29" s="315"/>
      <c r="AB29" s="315"/>
      <c r="AC29" s="315"/>
      <c r="AD29" s="315"/>
      <c r="AE29" s="315"/>
      <c r="AF29" s="315"/>
      <c r="AG29" s="315"/>
      <c r="AH29" s="315"/>
      <c r="AI29" s="315"/>
      <c r="AJ29" s="315"/>
      <c r="AK29" s="315"/>
      <c r="AL29" s="315"/>
      <c r="AM29" s="315"/>
      <c r="AN29" s="315"/>
      <c r="AO29" s="315"/>
      <c r="AP29" s="315"/>
      <c r="AQ29" s="315"/>
      <c r="AR29" s="315"/>
      <c r="AS29" s="315"/>
      <c r="AT29" s="315"/>
      <c r="AU29" s="315"/>
      <c r="AV29" s="315"/>
      <c r="AW29" s="315"/>
      <c r="AX29" s="315"/>
      <c r="AY29" s="315"/>
      <c r="AZ29" s="315"/>
      <c r="BA29" s="315"/>
      <c r="BB29" s="315"/>
      <c r="BC29" s="315"/>
      <c r="BD29" s="315"/>
      <c r="BE29" s="315"/>
      <c r="BF29" s="315"/>
      <c r="BG29" s="315"/>
      <c r="BH29" s="315"/>
      <c r="BI29" s="315"/>
      <c r="BJ29" s="315"/>
      <c r="BK29" s="315"/>
      <c r="BL29" s="315"/>
      <c r="BM29" s="315"/>
      <c r="BN29" s="315"/>
      <c r="BO29" s="315"/>
      <c r="BP29" s="315"/>
      <c r="BQ29" s="315"/>
      <c r="BR29" s="315"/>
      <c r="BS29" s="315"/>
      <c r="BT29" s="315"/>
      <c r="BU29" s="315"/>
      <c r="BV29" s="315"/>
      <c r="BW29" s="315"/>
      <c r="BX29" s="315"/>
      <c r="BY29" s="315"/>
      <c r="BZ29" s="315"/>
      <c r="CA29" s="315"/>
      <c r="CB29" s="315"/>
      <c r="CC29" s="315"/>
      <c r="CD29" s="315"/>
      <c r="CE29" s="315"/>
      <c r="CF29" s="315"/>
      <c r="CG29" s="315"/>
      <c r="CH29" s="315"/>
      <c r="CI29" s="315"/>
      <c r="CJ29" s="315"/>
      <c r="CK29" s="315"/>
      <c r="CL29" s="315"/>
      <c r="CM29" s="315"/>
      <c r="CN29" s="315"/>
      <c r="CO29" s="315"/>
      <c r="CP29" s="315"/>
    </row>
    <row r="30" spans="1:99" ht="18" hidden="1" x14ac:dyDescent="0.25">
      <c r="H30" s="4"/>
      <c r="I30" s="4"/>
      <c r="J30" s="4"/>
      <c r="K30" s="4"/>
      <c r="L30" s="4"/>
      <c r="M30" s="4"/>
      <c r="N30" s="4"/>
      <c r="O30" s="4"/>
      <c r="P30" s="4"/>
      <c r="Q30" s="315"/>
      <c r="R30" s="315"/>
      <c r="S30" s="315"/>
      <c r="T30" s="315"/>
      <c r="U30" s="315"/>
      <c r="V30" s="357" t="s">
        <v>54</v>
      </c>
      <c r="W30" s="357"/>
      <c r="X30" s="357"/>
      <c r="Y30" s="357"/>
      <c r="Z30" s="357"/>
      <c r="AA30" s="357"/>
      <c r="AB30" s="357"/>
      <c r="AC30" s="357"/>
      <c r="AD30" s="357"/>
      <c r="AE30" s="357"/>
      <c r="AF30" s="357"/>
      <c r="AG30" s="357"/>
      <c r="AH30" s="357"/>
      <c r="AI30" s="357"/>
      <c r="AJ30" s="357"/>
      <c r="AK30" s="357"/>
      <c r="AL30" s="357"/>
      <c r="AM30" s="357"/>
      <c r="AN30" s="357"/>
      <c r="AO30" s="357"/>
      <c r="AP30" s="357"/>
      <c r="AQ30" s="357"/>
      <c r="AR30" s="357"/>
      <c r="AS30" s="357"/>
      <c r="AT30" s="357"/>
      <c r="AU30" s="357"/>
      <c r="AV30" s="357"/>
      <c r="AW30" s="357"/>
      <c r="AX30" s="357"/>
      <c r="AY30" s="357"/>
      <c r="AZ30" s="357"/>
      <c r="BA30" s="357"/>
      <c r="BB30" s="357"/>
      <c r="BC30" s="357"/>
      <c r="BD30" s="357"/>
      <c r="BE30" s="357"/>
      <c r="BF30" s="357"/>
      <c r="BG30" s="357"/>
      <c r="BH30" s="315"/>
      <c r="BI30" s="315"/>
      <c r="BJ30" s="315"/>
      <c r="BK30" s="315"/>
      <c r="BL30" s="315"/>
      <c r="BM30" s="315"/>
      <c r="BN30" s="315"/>
      <c r="BO30" s="315"/>
      <c r="BP30" s="315"/>
      <c r="BQ30" s="315"/>
      <c r="BR30" s="315"/>
      <c r="BS30" s="315"/>
      <c r="BT30" s="315"/>
      <c r="BU30" s="315"/>
      <c r="BV30" s="315"/>
      <c r="BW30" s="315"/>
      <c r="BX30" s="315"/>
      <c r="BY30" s="315"/>
      <c r="BZ30" s="315"/>
      <c r="CA30" s="315"/>
      <c r="CB30" s="315"/>
      <c r="CC30" s="315"/>
      <c r="CD30" s="315"/>
      <c r="CE30" s="315"/>
      <c r="CF30" s="315"/>
      <c r="CG30" s="315"/>
      <c r="CH30" s="315"/>
      <c r="CI30" s="315"/>
      <c r="CJ30" s="315"/>
      <c r="CK30" s="315"/>
      <c r="CL30" s="315"/>
      <c r="CM30" s="315"/>
      <c r="CN30" s="315"/>
      <c r="CO30" s="315"/>
      <c r="CP30" s="315"/>
    </row>
    <row r="31" spans="1:99" hidden="1" x14ac:dyDescent="0.25">
      <c r="H31" s="4"/>
      <c r="I31" s="4"/>
      <c r="J31" s="4"/>
      <c r="K31" s="4"/>
      <c r="L31" s="4"/>
      <c r="M31" s="4"/>
      <c r="N31" s="4"/>
      <c r="O31" s="4"/>
      <c r="P31" s="4"/>
      <c r="Q31" s="315"/>
      <c r="R31" s="315"/>
      <c r="S31" s="315"/>
      <c r="T31" s="315"/>
      <c r="U31" s="315"/>
      <c r="V31" s="315"/>
      <c r="W31" s="315"/>
      <c r="X31" s="315"/>
      <c r="Y31" s="315"/>
      <c r="Z31" s="315"/>
      <c r="AA31" s="315"/>
      <c r="AB31" s="315"/>
      <c r="AC31" s="315"/>
      <c r="AD31" s="315"/>
      <c r="AE31" s="315"/>
      <c r="AF31" s="315"/>
      <c r="AG31" s="315"/>
      <c r="AH31" s="315"/>
      <c r="AI31" s="315"/>
      <c r="AJ31" s="315"/>
      <c r="AK31" s="315"/>
      <c r="AL31" s="315"/>
      <c r="AM31" s="315"/>
      <c r="AN31" s="315"/>
      <c r="AO31" s="315"/>
      <c r="AP31" s="315"/>
      <c r="AQ31" s="315"/>
      <c r="AR31" s="315"/>
      <c r="AS31" s="315"/>
      <c r="AT31" s="315"/>
      <c r="AU31" s="315"/>
      <c r="AV31" s="315"/>
      <c r="AW31" s="315"/>
      <c r="AX31" s="315"/>
      <c r="AY31" s="315"/>
      <c r="AZ31" s="315"/>
      <c r="BA31" s="315"/>
      <c r="BB31" s="315"/>
      <c r="BC31" s="315"/>
      <c r="BD31" s="315"/>
      <c r="BE31" s="315"/>
      <c r="BF31" s="315"/>
      <c r="BG31" s="315"/>
      <c r="BH31" s="315"/>
      <c r="BI31" s="315"/>
      <c r="BJ31" s="315"/>
      <c r="BK31" s="315"/>
      <c r="BL31" s="315"/>
      <c r="BM31" s="315"/>
      <c r="BN31" s="315"/>
      <c r="BO31" s="315"/>
      <c r="BP31" s="315"/>
      <c r="BQ31" s="315"/>
      <c r="BR31" s="315"/>
      <c r="BS31" s="315"/>
      <c r="BT31" s="315"/>
      <c r="BU31" s="315"/>
      <c r="BV31" s="315"/>
      <c r="BW31" s="315"/>
      <c r="BX31" s="315"/>
      <c r="BY31" s="315"/>
      <c r="BZ31" s="315"/>
      <c r="CA31" s="315"/>
      <c r="CB31" s="315"/>
      <c r="CC31" s="315"/>
      <c r="CD31" s="315"/>
      <c r="CE31" s="315"/>
      <c r="CF31" s="315"/>
      <c r="CG31" s="315"/>
      <c r="CH31" s="315"/>
      <c r="CI31" s="315"/>
      <c r="CJ31" s="315"/>
      <c r="CK31" s="315"/>
      <c r="CL31" s="315"/>
      <c r="CM31" s="315"/>
      <c r="CN31" s="315"/>
      <c r="CO31" s="315"/>
      <c r="CP31" s="315"/>
    </row>
    <row r="32" spans="1:99" hidden="1" x14ac:dyDescent="0.25">
      <c r="H32" s="4"/>
      <c r="I32" s="4"/>
      <c r="J32" s="4"/>
      <c r="K32" s="4"/>
      <c r="L32" s="4"/>
      <c r="M32" s="4"/>
      <c r="N32" s="4"/>
      <c r="O32" s="4"/>
      <c r="P32" s="4"/>
      <c r="Q32" s="315"/>
      <c r="R32" s="315"/>
      <c r="S32" s="315"/>
      <c r="T32" s="315"/>
      <c r="U32" s="315"/>
      <c r="V32" s="1168" t="s">
        <v>55</v>
      </c>
      <c r="W32" s="1168"/>
      <c r="X32" s="1168"/>
      <c r="Y32" s="1168"/>
      <c r="Z32" s="1168"/>
      <c r="AA32" s="1168"/>
      <c r="AB32" s="1168"/>
      <c r="AC32" s="1168"/>
      <c r="AD32" s="1168"/>
      <c r="AE32" s="1168"/>
      <c r="AF32" s="1168"/>
      <c r="AG32" s="1168"/>
      <c r="AH32" s="1168"/>
      <c r="AI32" s="1168"/>
      <c r="AJ32" s="1168"/>
      <c r="AK32" s="315"/>
      <c r="AL32" s="1164"/>
      <c r="AM32" s="1164"/>
      <c r="AN32" s="1164"/>
      <c r="AO32" s="1164"/>
      <c r="AP32" s="1164"/>
      <c r="AQ32" s="1164"/>
      <c r="AR32" s="1164"/>
      <c r="AS32" s="1164"/>
      <c r="AT32" s="1164"/>
      <c r="AU32" s="1164"/>
      <c r="AV32" s="1164"/>
      <c r="AW32" s="1164"/>
      <c r="AX32" s="1164"/>
      <c r="AY32" s="1164"/>
      <c r="AZ32" s="1164"/>
      <c r="BA32" s="1164"/>
      <c r="BB32" s="1164"/>
      <c r="BC32" s="1164"/>
      <c r="BD32" s="1164"/>
      <c r="BE32" s="1164"/>
      <c r="BF32" s="1164"/>
      <c r="BG32" s="1164"/>
      <c r="BH32" s="315"/>
      <c r="BI32" s="1168" t="s">
        <v>55</v>
      </c>
      <c r="BJ32" s="1168"/>
      <c r="BK32" s="1168"/>
      <c r="BL32" s="1168"/>
      <c r="BM32" s="1168"/>
      <c r="BN32" s="1168"/>
      <c r="BO32" s="1168"/>
      <c r="BP32" s="319"/>
      <c r="BQ32" s="1164"/>
      <c r="BR32" s="1164"/>
      <c r="BS32" s="1164"/>
      <c r="BT32" s="1164"/>
      <c r="BU32" s="1164"/>
      <c r="BV32" s="1164"/>
      <c r="BW32" s="1164"/>
      <c r="BX32" s="1164"/>
      <c r="BY32" s="1164"/>
      <c r="BZ32" s="1164"/>
      <c r="CA32" s="1164"/>
      <c r="CB32" s="1164"/>
      <c r="CC32" s="1164"/>
      <c r="CD32" s="1164"/>
      <c r="CE32" s="1164"/>
      <c r="CF32" s="1164"/>
      <c r="CG32" s="1164"/>
      <c r="CH32" s="1164"/>
      <c r="CI32" s="1164"/>
      <c r="CJ32" s="1164"/>
      <c r="CK32" s="1164"/>
      <c r="CL32" s="1164"/>
      <c r="CM32" s="315"/>
      <c r="CN32" s="315"/>
      <c r="CO32" s="315"/>
      <c r="CP32" s="315"/>
    </row>
    <row r="33" spans="2:94" hidden="1" x14ac:dyDescent="0.25">
      <c r="H33" s="4"/>
      <c r="I33" s="4"/>
      <c r="J33" s="4"/>
      <c r="K33" s="4"/>
      <c r="L33" s="4"/>
      <c r="M33" s="4"/>
      <c r="N33" s="4"/>
      <c r="O33" s="4"/>
      <c r="P33" s="4"/>
      <c r="Q33" s="315"/>
      <c r="R33" s="315"/>
      <c r="S33" s="315"/>
      <c r="T33" s="315"/>
      <c r="U33" s="315"/>
      <c r="V33" s="1168" t="s">
        <v>56</v>
      </c>
      <c r="W33" s="1168"/>
      <c r="X33" s="1168"/>
      <c r="Y33" s="1168"/>
      <c r="Z33" s="1168"/>
      <c r="AA33" s="1168"/>
      <c r="AB33" s="1168"/>
      <c r="AC33" s="1168"/>
      <c r="AD33" s="1168"/>
      <c r="AE33" s="1168"/>
      <c r="AF33" s="1168"/>
      <c r="AG33" s="1168"/>
      <c r="AH33" s="1168"/>
      <c r="AI33" s="1168"/>
      <c r="AJ33" s="1168"/>
      <c r="AK33" s="315"/>
      <c r="AL33" s="1165"/>
      <c r="AM33" s="1165"/>
      <c r="AN33" s="1165"/>
      <c r="AO33" s="1165"/>
      <c r="AP33" s="1165"/>
      <c r="AQ33" s="1165"/>
      <c r="AR33" s="1165"/>
      <c r="AS33" s="1165"/>
      <c r="AT33" s="1165"/>
      <c r="AU33" s="1165"/>
      <c r="AV33" s="1165"/>
      <c r="AW33" s="1165"/>
      <c r="AX33" s="1165"/>
      <c r="AY33" s="1165"/>
      <c r="AZ33" s="1165"/>
      <c r="BA33" s="1165"/>
      <c r="BB33" s="1165"/>
      <c r="BC33" s="1165"/>
      <c r="BD33" s="1165"/>
      <c r="BE33" s="1165"/>
      <c r="BF33" s="1165"/>
      <c r="BG33" s="1165"/>
      <c r="BH33" s="316"/>
      <c r="BI33" s="1168" t="s">
        <v>56</v>
      </c>
      <c r="BJ33" s="1168"/>
      <c r="BK33" s="1168"/>
      <c r="BL33" s="1168"/>
      <c r="BM33" s="1168"/>
      <c r="BN33" s="1168"/>
      <c r="BO33" s="1168"/>
      <c r="BP33" s="319"/>
      <c r="BQ33" s="1165"/>
      <c r="BR33" s="1165"/>
      <c r="BS33" s="1165"/>
      <c r="BT33" s="1165"/>
      <c r="BU33" s="1165"/>
      <c r="BV33" s="1165"/>
      <c r="BW33" s="1165"/>
      <c r="BX33" s="1165"/>
      <c r="BY33" s="1165"/>
      <c r="BZ33" s="1165"/>
      <c r="CA33" s="1165"/>
      <c r="CB33" s="1165"/>
      <c r="CC33" s="1165"/>
      <c r="CD33" s="1165"/>
      <c r="CE33" s="1165"/>
      <c r="CF33" s="1165"/>
      <c r="CG33" s="1165"/>
      <c r="CH33" s="1165"/>
      <c r="CI33" s="1165"/>
      <c r="CJ33" s="1165"/>
      <c r="CK33" s="1165"/>
      <c r="CL33" s="1165"/>
      <c r="CM33" s="315"/>
      <c r="CN33" s="315"/>
      <c r="CO33" s="315"/>
      <c r="CP33" s="315"/>
    </row>
    <row r="34" spans="2:94" hidden="1" x14ac:dyDescent="0.25">
      <c r="H34" s="4"/>
      <c r="I34" s="4"/>
      <c r="J34" s="4"/>
      <c r="K34" s="4"/>
      <c r="L34" s="4"/>
      <c r="M34" s="4"/>
      <c r="N34" s="4"/>
      <c r="O34" s="4"/>
      <c r="P34" s="4"/>
      <c r="Q34" s="315"/>
      <c r="R34" s="315"/>
      <c r="S34" s="315"/>
      <c r="T34" s="315"/>
      <c r="U34" s="315"/>
      <c r="V34" s="1168" t="s">
        <v>57</v>
      </c>
      <c r="W34" s="1168"/>
      <c r="X34" s="1168"/>
      <c r="Y34" s="1168"/>
      <c r="Z34" s="1168"/>
      <c r="AA34" s="1168"/>
      <c r="AB34" s="1168"/>
      <c r="AC34" s="1168"/>
      <c r="AD34" s="1168"/>
      <c r="AE34" s="1168"/>
      <c r="AF34" s="1168"/>
      <c r="AG34" s="1168"/>
      <c r="AH34" s="1168"/>
      <c r="AI34" s="1168"/>
      <c r="AJ34" s="1168"/>
      <c r="AK34" s="315"/>
      <c r="AL34" s="1164"/>
      <c r="AM34" s="1164"/>
      <c r="AN34" s="1164"/>
      <c r="AO34" s="1164"/>
      <c r="AP34" s="1164"/>
      <c r="AQ34" s="1164"/>
      <c r="AR34" s="1164"/>
      <c r="AS34" s="1164"/>
      <c r="AT34" s="1164"/>
      <c r="AU34" s="1164"/>
      <c r="AV34" s="1164"/>
      <c r="AW34" s="1164"/>
      <c r="AX34" s="1164"/>
      <c r="AY34" s="1164"/>
      <c r="AZ34" s="1164"/>
      <c r="BA34" s="1164"/>
      <c r="BB34" s="1164"/>
      <c r="BC34" s="1164"/>
      <c r="BD34" s="1164"/>
      <c r="BE34" s="1164"/>
      <c r="BF34" s="1164"/>
      <c r="BG34" s="1164"/>
      <c r="BH34" s="315"/>
      <c r="BI34" s="1168" t="s">
        <v>57</v>
      </c>
      <c r="BJ34" s="1168"/>
      <c r="BK34" s="1168"/>
      <c r="BL34" s="1168"/>
      <c r="BM34" s="1168"/>
      <c r="BN34" s="1168"/>
      <c r="BO34" s="1168"/>
      <c r="BP34" s="319"/>
      <c r="BQ34" s="1164"/>
      <c r="BR34" s="1164"/>
      <c r="BS34" s="1164"/>
      <c r="BT34" s="1164"/>
      <c r="BU34" s="1164"/>
      <c r="BV34" s="1164"/>
      <c r="BW34" s="1164"/>
      <c r="BX34" s="1164"/>
      <c r="BY34" s="1164"/>
      <c r="BZ34" s="1164"/>
      <c r="CA34" s="1164"/>
      <c r="CB34" s="1164"/>
      <c r="CC34" s="1164"/>
      <c r="CD34" s="1164"/>
      <c r="CE34" s="1164"/>
      <c r="CF34" s="1164"/>
      <c r="CG34" s="1164"/>
      <c r="CH34" s="1164"/>
      <c r="CI34" s="1164"/>
      <c r="CJ34" s="1164"/>
      <c r="CK34" s="1164"/>
      <c r="CL34" s="1164"/>
      <c r="CM34" s="315"/>
      <c r="CN34" s="315"/>
      <c r="CO34" s="315"/>
      <c r="CP34" s="315"/>
    </row>
    <row r="35" spans="2:94" hidden="1" x14ac:dyDescent="0.25">
      <c r="H35" s="4"/>
      <c r="I35" s="4"/>
      <c r="J35" s="4"/>
      <c r="K35" s="4"/>
      <c r="L35" s="4"/>
      <c r="M35" s="4"/>
      <c r="N35" s="4"/>
      <c r="O35" s="4"/>
      <c r="P35" s="4"/>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5"/>
      <c r="AY35" s="315"/>
      <c r="AZ35" s="315"/>
      <c r="BA35" s="315"/>
      <c r="BB35" s="315"/>
      <c r="BC35" s="315"/>
      <c r="BD35" s="315"/>
      <c r="BE35" s="315"/>
      <c r="BF35" s="315"/>
      <c r="BG35" s="315"/>
      <c r="BH35" s="315"/>
      <c r="BI35" s="315"/>
      <c r="BJ35" s="315"/>
      <c r="BK35" s="315"/>
      <c r="BL35" s="315"/>
      <c r="BM35" s="315"/>
      <c r="BN35" s="315"/>
      <c r="BO35" s="315"/>
      <c r="BP35" s="315"/>
      <c r="BQ35" s="315"/>
      <c r="BR35" s="315"/>
      <c r="BS35" s="315"/>
      <c r="BT35" s="315"/>
      <c r="BU35" s="315"/>
      <c r="BV35" s="315"/>
      <c r="BW35" s="315"/>
      <c r="BX35" s="315"/>
      <c r="BY35" s="315"/>
      <c r="BZ35" s="315"/>
      <c r="CA35" s="315"/>
      <c r="CB35" s="315"/>
      <c r="CC35" s="315"/>
      <c r="CD35" s="315"/>
      <c r="CE35" s="315"/>
      <c r="CF35" s="315"/>
      <c r="CG35" s="315"/>
      <c r="CH35" s="315"/>
      <c r="CI35" s="315"/>
      <c r="CJ35" s="315"/>
      <c r="CK35" s="315"/>
      <c r="CL35" s="315"/>
      <c r="CM35" s="315"/>
      <c r="CN35" s="315"/>
      <c r="CO35" s="315"/>
      <c r="CP35" s="315"/>
    </row>
    <row r="36" spans="2:94" x14ac:dyDescent="0.25">
      <c r="H36" s="4"/>
      <c r="I36" s="4"/>
      <c r="J36" s="4"/>
      <c r="K36" s="4"/>
      <c r="L36" s="4"/>
      <c r="M36" s="4"/>
      <c r="N36" s="4"/>
      <c r="O36" s="4"/>
      <c r="P36" s="4"/>
      <c r="Q36" s="315"/>
      <c r="R36" s="315"/>
      <c r="S36" s="315"/>
      <c r="T36" s="315"/>
      <c r="U36" s="315"/>
      <c r="V36" s="315"/>
      <c r="W36" s="315"/>
      <c r="X36" s="315"/>
      <c r="Y36" s="315"/>
      <c r="Z36" s="315"/>
      <c r="AA36" s="315"/>
      <c r="AB36" s="315"/>
      <c r="AC36" s="315"/>
      <c r="AD36" s="315"/>
      <c r="AE36" s="315"/>
      <c r="AF36" s="315"/>
      <c r="AG36" s="315"/>
      <c r="AH36" s="315"/>
      <c r="AI36" s="315"/>
      <c r="AJ36" s="315"/>
      <c r="AK36" s="315"/>
      <c r="AL36" s="315"/>
      <c r="AM36" s="315"/>
      <c r="AN36" s="315"/>
      <c r="AO36" s="315"/>
      <c r="AP36" s="315"/>
      <c r="AQ36" s="315"/>
      <c r="AR36" s="315"/>
      <c r="AS36" s="315"/>
      <c r="AT36" s="315"/>
      <c r="AU36" s="315"/>
      <c r="AV36" s="315"/>
      <c r="AW36" s="315"/>
      <c r="AX36" s="315"/>
      <c r="AY36" s="315"/>
      <c r="AZ36" s="315"/>
      <c r="BA36" s="315"/>
      <c r="BB36" s="315"/>
      <c r="BC36" s="315"/>
      <c r="BD36" s="315"/>
      <c r="BE36" s="315"/>
      <c r="BF36" s="315"/>
      <c r="BG36" s="315"/>
      <c r="BH36" s="315"/>
      <c r="BI36" s="315"/>
      <c r="BJ36" s="315"/>
      <c r="BK36" s="315"/>
      <c r="BL36" s="315"/>
      <c r="BM36" s="315"/>
      <c r="BN36" s="315"/>
      <c r="BO36" s="315"/>
      <c r="BP36" s="315"/>
      <c r="BQ36" s="315"/>
      <c r="BR36" s="315"/>
      <c r="BS36" s="315"/>
      <c r="BT36" s="315"/>
      <c r="BU36" s="315"/>
      <c r="BV36" s="315"/>
      <c r="BW36" s="315"/>
      <c r="BX36" s="315"/>
      <c r="BY36" s="315"/>
      <c r="BZ36" s="315"/>
      <c r="CA36" s="315"/>
      <c r="CB36" s="315"/>
      <c r="CC36" s="315"/>
      <c r="CD36" s="315"/>
      <c r="CE36" s="315"/>
      <c r="CF36" s="315"/>
      <c r="CG36" s="315"/>
      <c r="CH36" s="315"/>
      <c r="CI36" s="315"/>
      <c r="CJ36" s="315"/>
      <c r="CK36" s="315"/>
      <c r="CL36" s="315"/>
      <c r="CM36" s="315"/>
      <c r="CN36" s="315"/>
      <c r="CO36" s="315"/>
      <c r="CP36" s="315"/>
    </row>
    <row r="37" spans="2:94" x14ac:dyDescent="0.25">
      <c r="H37" s="332"/>
      <c r="I37" s="332"/>
      <c r="J37" s="332"/>
      <c r="K37" s="332"/>
      <c r="L37" s="332"/>
      <c r="M37" s="332"/>
      <c r="N37" s="332"/>
      <c r="O37" s="332"/>
      <c r="P37" s="332"/>
      <c r="Q37" s="332"/>
      <c r="R37" s="332"/>
      <c r="S37" s="332"/>
      <c r="T37" s="332"/>
      <c r="U37" s="332"/>
      <c r="V37" s="332"/>
      <c r="W37" s="332"/>
      <c r="X37" s="332"/>
      <c r="Y37" s="332"/>
      <c r="Z37" s="332"/>
      <c r="AA37" s="332"/>
      <c r="AB37" s="332"/>
      <c r="AC37" s="332"/>
      <c r="AD37" s="332"/>
      <c r="AE37" s="332"/>
      <c r="AF37" s="333"/>
      <c r="AG37" s="333"/>
      <c r="AH37" s="333"/>
      <c r="AI37" s="333"/>
      <c r="AJ37" s="333"/>
      <c r="AK37" s="333"/>
      <c r="AL37" s="333"/>
      <c r="AM37" s="333"/>
      <c r="AN37" s="333"/>
      <c r="AO37" s="333"/>
      <c r="AP37" s="333"/>
      <c r="AQ37" s="333"/>
      <c r="AR37" s="333"/>
      <c r="AS37" s="333"/>
      <c r="AT37" s="333"/>
      <c r="AU37" s="333"/>
      <c r="AV37" s="333"/>
      <c r="AW37" s="333"/>
      <c r="AX37" s="333"/>
      <c r="AY37" s="332"/>
      <c r="AZ37" s="332"/>
      <c r="BA37" s="332"/>
      <c r="BB37" s="332"/>
      <c r="BC37" s="332"/>
      <c r="BD37" s="332"/>
      <c r="BE37" s="332"/>
      <c r="BF37" s="332"/>
      <c r="BG37" s="332"/>
      <c r="BH37" s="332"/>
      <c r="BI37" s="332"/>
      <c r="BJ37" s="332"/>
      <c r="BK37" s="332"/>
      <c r="BL37" s="332"/>
      <c r="BM37" s="332"/>
      <c r="BN37" s="332"/>
      <c r="BO37" s="332"/>
      <c r="BP37" s="332"/>
      <c r="BQ37" s="332"/>
      <c r="BR37" s="332"/>
      <c r="BS37" s="332"/>
      <c r="BT37" s="332"/>
      <c r="BU37" s="332"/>
      <c r="BV37" s="332"/>
      <c r="BW37" s="332"/>
      <c r="BX37" s="332"/>
      <c r="BY37" s="332"/>
      <c r="BZ37" s="332"/>
      <c r="CA37" s="332"/>
      <c r="CB37" s="332"/>
      <c r="CC37" s="332"/>
      <c r="CD37" s="332"/>
      <c r="CE37" s="332"/>
      <c r="CF37" s="332"/>
      <c r="CG37" s="332"/>
      <c r="CH37" s="332"/>
      <c r="CI37" s="332"/>
      <c r="CJ37" s="332"/>
      <c r="CK37" s="332"/>
      <c r="CL37" s="332"/>
      <c r="CM37" s="332"/>
      <c r="CN37" s="332"/>
      <c r="CO37" s="332"/>
      <c r="CP37" s="332"/>
    </row>
    <row r="38" spans="2:94" x14ac:dyDescent="0.25">
      <c r="H38" s="4"/>
      <c r="I38" s="4"/>
      <c r="J38" s="4"/>
      <c r="Q38" s="315"/>
      <c r="R38" s="315"/>
      <c r="S38" s="315"/>
      <c r="T38" s="315"/>
      <c r="U38" s="315"/>
      <c r="V38" s="315"/>
      <c r="W38" s="315"/>
      <c r="X38" s="315"/>
      <c r="Y38" s="315"/>
      <c r="Z38" s="315"/>
      <c r="AA38" s="315"/>
      <c r="AB38" s="315"/>
      <c r="AC38" s="315"/>
      <c r="AD38" s="315"/>
      <c r="AE38" s="315"/>
      <c r="AF38" s="315"/>
      <c r="AG38" s="315"/>
      <c r="AH38" s="315"/>
      <c r="AI38" s="315"/>
      <c r="AJ38" s="315"/>
      <c r="AK38" s="315"/>
      <c r="AL38" s="315"/>
      <c r="AM38" s="315"/>
      <c r="AN38" s="315"/>
      <c r="AO38" s="315"/>
      <c r="AP38" s="315"/>
      <c r="AQ38" s="315"/>
      <c r="AR38" s="315"/>
      <c r="AS38" s="315"/>
      <c r="AT38" s="315"/>
      <c r="AU38" s="315"/>
      <c r="AV38" s="315"/>
      <c r="AW38" s="315"/>
      <c r="AX38" s="315"/>
      <c r="AY38" s="315"/>
      <c r="AZ38" s="315"/>
      <c r="BA38" s="315"/>
      <c r="BB38" s="315"/>
      <c r="BC38" s="315"/>
      <c r="BD38" s="315"/>
      <c r="BE38" s="315"/>
      <c r="BF38" s="315"/>
      <c r="BG38" s="315"/>
      <c r="BH38" s="315"/>
      <c r="BI38" s="315"/>
      <c r="BJ38" s="315"/>
      <c r="BK38" s="315"/>
      <c r="BL38" s="315"/>
      <c r="BM38" s="315"/>
      <c r="BN38" s="315"/>
      <c r="BO38" s="315"/>
      <c r="BP38" s="315"/>
      <c r="BQ38" s="315"/>
      <c r="BR38" s="315"/>
      <c r="BS38" s="315"/>
      <c r="BT38" s="315"/>
      <c r="BU38" s="315"/>
      <c r="BV38" s="315"/>
      <c r="BW38" s="315"/>
      <c r="BX38" s="315"/>
      <c r="BY38" s="315"/>
      <c r="BZ38" s="315"/>
      <c r="CA38" s="315"/>
      <c r="CB38" s="315"/>
      <c r="CC38" s="315"/>
      <c r="CD38" s="315"/>
      <c r="CE38" s="315"/>
      <c r="CF38" s="315"/>
      <c r="CG38" s="315"/>
      <c r="CH38" s="315"/>
      <c r="CI38" s="315"/>
      <c r="CJ38" s="315"/>
      <c r="CK38" s="315"/>
      <c r="CL38" s="315"/>
      <c r="CM38" s="315"/>
      <c r="CN38" s="315"/>
      <c r="CO38" s="315"/>
      <c r="CP38" s="315"/>
    </row>
    <row r="39" spans="2:94" ht="30" x14ac:dyDescent="0.25">
      <c r="H39" s="338"/>
      <c r="I39" s="338"/>
      <c r="J39" s="338"/>
      <c r="Q39" s="344" t="s">
        <v>58</v>
      </c>
      <c r="R39" s="344"/>
      <c r="S39" s="344"/>
      <c r="T39" s="344"/>
      <c r="U39" s="344"/>
      <c r="V39" s="344"/>
      <c r="W39" s="344"/>
      <c r="X39" s="344"/>
      <c r="Y39" s="344"/>
      <c r="Z39" s="344"/>
      <c r="AA39" s="344"/>
      <c r="AB39" s="344"/>
      <c r="AC39" s="344"/>
      <c r="AD39" s="344"/>
      <c r="AE39" s="344"/>
      <c r="AF39" s="344"/>
      <c r="AG39" s="344"/>
      <c r="AH39" s="344"/>
      <c r="AI39" s="344"/>
      <c r="AJ39" s="344"/>
      <c r="AK39" s="344"/>
      <c r="AL39" s="344"/>
      <c r="AM39" s="344"/>
      <c r="AN39" s="344"/>
      <c r="AO39" s="344"/>
      <c r="AP39" s="344"/>
      <c r="AQ39" s="344"/>
      <c r="AR39" s="344"/>
      <c r="AS39" s="344"/>
      <c r="AT39" s="344"/>
      <c r="AU39" s="344"/>
      <c r="AV39" s="344"/>
      <c r="AW39" s="344"/>
      <c r="AX39" s="344"/>
      <c r="AY39" s="344"/>
      <c r="AZ39" s="344"/>
      <c r="BA39" s="344"/>
      <c r="BB39" s="344"/>
      <c r="BC39" s="344"/>
      <c r="BD39" s="344"/>
      <c r="BE39" s="344"/>
      <c r="BF39" s="344"/>
      <c r="BG39" s="344"/>
      <c r="BH39" s="344"/>
      <c r="BI39" s="344"/>
      <c r="BJ39" s="344"/>
      <c r="BK39" s="344"/>
      <c r="BL39" s="344"/>
      <c r="BM39" s="344"/>
      <c r="BN39" s="344"/>
      <c r="BO39" s="344"/>
      <c r="BP39" s="344"/>
      <c r="BQ39" s="344"/>
      <c r="BR39" s="344"/>
      <c r="BS39" s="344"/>
      <c r="BT39" s="344"/>
      <c r="BU39" s="344"/>
      <c r="BV39" s="344"/>
      <c r="BW39" s="344"/>
      <c r="BX39" s="344"/>
      <c r="BY39" s="344"/>
      <c r="BZ39" s="344"/>
      <c r="CA39" s="344"/>
      <c r="CB39" s="344"/>
      <c r="CC39" s="344"/>
      <c r="CD39" s="344"/>
      <c r="CE39" s="344"/>
      <c r="CF39" s="344"/>
      <c r="CG39" s="344"/>
      <c r="CH39" s="344"/>
      <c r="CI39" s="344"/>
      <c r="CJ39" s="344"/>
      <c r="CK39" s="344"/>
      <c r="CL39" s="344"/>
      <c r="CM39" s="344"/>
      <c r="CN39" s="344"/>
      <c r="CO39" s="344"/>
      <c r="CP39" s="344"/>
    </row>
    <row r="40" spans="2:94" hidden="1" x14ac:dyDescent="0.25">
      <c r="H40" s="332"/>
      <c r="I40" s="332"/>
      <c r="J40" s="332"/>
      <c r="Q40" s="326"/>
      <c r="R40" s="326"/>
      <c r="S40" s="326"/>
      <c r="T40" s="326"/>
      <c r="U40" s="326"/>
      <c r="V40" s="326"/>
      <c r="W40" s="326"/>
      <c r="X40" s="326"/>
      <c r="Y40" s="326"/>
      <c r="Z40" s="326"/>
      <c r="AA40" s="326"/>
      <c r="AB40" s="326"/>
      <c r="AC40" s="326"/>
      <c r="AD40" s="326"/>
      <c r="AE40" s="326"/>
      <c r="AF40" s="326"/>
      <c r="AG40" s="326"/>
      <c r="AH40" s="326"/>
      <c r="AI40" s="326"/>
      <c r="AJ40" s="326"/>
      <c r="AK40" s="326"/>
      <c r="AL40" s="326"/>
      <c r="AM40" s="326"/>
      <c r="AN40" s="326"/>
      <c r="AO40" s="326"/>
      <c r="AP40" s="326"/>
      <c r="AQ40" s="326"/>
      <c r="AR40" s="326"/>
      <c r="AS40" s="326"/>
      <c r="AT40" s="326"/>
      <c r="AU40" s="326"/>
      <c r="AV40" s="326"/>
      <c r="AW40" s="326"/>
      <c r="AX40" s="326"/>
      <c r="AY40" s="326"/>
      <c r="AZ40" s="326"/>
      <c r="BA40" s="326"/>
      <c r="BB40" s="326"/>
      <c r="BC40" s="326"/>
      <c r="BD40" s="326"/>
      <c r="BE40" s="326"/>
      <c r="BF40" s="326"/>
      <c r="BG40" s="326"/>
      <c r="BH40" s="326"/>
      <c r="BI40" s="326"/>
      <c r="BJ40" s="326"/>
      <c r="BK40" s="326"/>
      <c r="BL40" s="326"/>
      <c r="BM40" s="326"/>
      <c r="BN40" s="326"/>
      <c r="BO40" s="326"/>
      <c r="BP40" s="326"/>
      <c r="BQ40" s="326"/>
      <c r="BR40" s="326"/>
      <c r="BS40" s="326"/>
      <c r="BT40" s="326"/>
      <c r="BU40" s="326"/>
      <c r="BV40" s="326"/>
      <c r="BW40" s="326"/>
      <c r="BX40" s="326"/>
      <c r="BY40" s="326"/>
      <c r="BZ40" s="326"/>
      <c r="CA40" s="326"/>
      <c r="CB40" s="326"/>
      <c r="CC40" s="326"/>
      <c r="CD40" s="326"/>
      <c r="CE40" s="326"/>
      <c r="CF40" s="326"/>
      <c r="CG40" s="326"/>
      <c r="CH40" s="326"/>
      <c r="CI40" s="326"/>
      <c r="CJ40" s="326"/>
      <c r="CK40" s="326"/>
      <c r="CL40" s="326"/>
      <c r="CM40" s="326"/>
      <c r="CN40" s="326"/>
      <c r="CO40" s="326"/>
      <c r="CP40" s="326"/>
    </row>
    <row r="41" spans="2:94" hidden="1" x14ac:dyDescent="0.25">
      <c r="H41" s="332"/>
      <c r="I41" s="332"/>
      <c r="J41" s="332"/>
      <c r="Q41" s="326"/>
      <c r="R41" s="326"/>
      <c r="S41" s="326"/>
      <c r="T41" s="326"/>
      <c r="U41" s="326"/>
      <c r="V41" s="326"/>
      <c r="W41" s="326"/>
      <c r="X41" s="326"/>
      <c r="Y41" s="326"/>
      <c r="Z41" s="326"/>
      <c r="AA41" s="326"/>
      <c r="AB41" s="326"/>
      <c r="AC41" s="326"/>
      <c r="AD41" s="326"/>
      <c r="AE41" s="326"/>
      <c r="AF41" s="326"/>
      <c r="AG41" s="326"/>
      <c r="AH41" s="326"/>
      <c r="AI41" s="326"/>
      <c r="AJ41" s="326"/>
      <c r="AK41" s="326"/>
      <c r="AL41" s="343"/>
      <c r="AM41" s="342"/>
      <c r="AN41" s="342"/>
      <c r="AO41" s="342"/>
      <c r="AP41" s="342"/>
      <c r="AQ41" s="342"/>
      <c r="AR41" s="342"/>
      <c r="AS41" s="342"/>
      <c r="AT41" s="342"/>
      <c r="AU41" s="343"/>
      <c r="AV41" s="342"/>
      <c r="AW41" s="342"/>
      <c r="AX41" s="342"/>
      <c r="AY41" s="342"/>
      <c r="AZ41" s="342"/>
      <c r="BA41" s="342"/>
      <c r="BB41" s="342"/>
      <c r="BC41" s="342"/>
      <c r="BD41" s="343"/>
      <c r="BE41" s="342"/>
      <c r="BF41" s="342"/>
      <c r="BG41" s="342"/>
      <c r="BH41" s="342"/>
      <c r="BI41" s="342"/>
      <c r="BJ41" s="342"/>
      <c r="BK41" s="342"/>
      <c r="BL41" s="342"/>
      <c r="BM41" s="343"/>
      <c r="BN41" s="342"/>
      <c r="BO41" s="342"/>
      <c r="BP41" s="342"/>
      <c r="BQ41" s="342"/>
      <c r="BR41" s="342"/>
      <c r="BS41" s="342"/>
      <c r="BT41" s="342"/>
      <c r="BU41" s="342"/>
      <c r="BV41" s="343"/>
      <c r="BW41" s="342"/>
      <c r="BX41" s="342"/>
      <c r="BY41" s="342"/>
      <c r="BZ41" s="342"/>
      <c r="CA41" s="342"/>
      <c r="CB41" s="342"/>
      <c r="CC41" s="342"/>
      <c r="CD41" s="342"/>
      <c r="CE41" s="326"/>
      <c r="CF41" s="326"/>
      <c r="CG41" s="326"/>
      <c r="CH41" s="326"/>
      <c r="CI41" s="326"/>
      <c r="CJ41" s="326"/>
      <c r="CK41" s="326"/>
      <c r="CL41" s="326"/>
      <c r="CM41" s="326"/>
      <c r="CN41" s="326"/>
      <c r="CO41" s="326"/>
      <c r="CP41" s="326"/>
    </row>
    <row r="42" spans="2:94" ht="15.75" hidden="1" customHeight="1" x14ac:dyDescent="0.25">
      <c r="B42" s="70"/>
      <c r="H42" s="332"/>
      <c r="I42" s="332"/>
      <c r="J42" s="332"/>
      <c r="Q42" s="827"/>
      <c r="R42" s="827"/>
      <c r="S42" s="827"/>
      <c r="T42" s="827"/>
      <c r="U42" s="827"/>
      <c r="V42" s="827"/>
      <c r="W42" s="326"/>
      <c r="X42" s="326"/>
      <c r="Y42" s="326"/>
      <c r="Z42" s="1167" t="s">
        <v>59</v>
      </c>
      <c r="AA42" s="1167"/>
      <c r="AB42" s="1167"/>
      <c r="AC42" s="1167"/>
      <c r="AD42" s="1167"/>
      <c r="AE42" s="1167"/>
      <c r="AF42" s="1167"/>
      <c r="AG42" s="1167"/>
      <c r="AH42" s="1167"/>
      <c r="AI42" s="1167"/>
      <c r="AJ42" s="327"/>
      <c r="AK42" s="327"/>
      <c r="AL42" s="1162" t="s">
        <v>60</v>
      </c>
      <c r="AM42" s="1162"/>
      <c r="AN42" s="1162"/>
      <c r="AO42" s="1162"/>
      <c r="AP42" s="1162"/>
      <c r="AQ42" s="1162"/>
      <c r="AR42" s="1162"/>
      <c r="AS42" s="1162"/>
      <c r="AT42" s="345"/>
      <c r="AU42" s="1163" t="str">
        <f ca="1">FRCP_y2</f>
        <v>2022-23</v>
      </c>
      <c r="AV42" s="1163"/>
      <c r="AW42" s="1163"/>
      <c r="AX42" s="1163"/>
      <c r="AY42" s="1163"/>
      <c r="AZ42" s="1163"/>
      <c r="BA42" s="1163"/>
      <c r="BB42" s="1163"/>
      <c r="BC42" s="345"/>
      <c r="BD42" s="1163" t="str">
        <f ca="1">FRCP_y3</f>
        <v>2023-24</v>
      </c>
      <c r="BE42" s="1163"/>
      <c r="BF42" s="1163"/>
      <c r="BG42" s="1163"/>
      <c r="BH42" s="1163"/>
      <c r="BI42" s="1163"/>
      <c r="BJ42" s="1163"/>
      <c r="BK42" s="1163"/>
      <c r="BL42" s="345"/>
      <c r="BM42" s="1163" t="str">
        <f ca="1">FRCP_y4</f>
        <v>2024-25</v>
      </c>
      <c r="BN42" s="1163"/>
      <c r="BO42" s="1163"/>
      <c r="BP42" s="1163"/>
      <c r="BQ42" s="1163"/>
      <c r="BR42" s="1163"/>
      <c r="BS42" s="1163"/>
      <c r="BT42" s="1163"/>
      <c r="BU42" s="345"/>
      <c r="BV42" s="1163" t="str">
        <f ca="1">FRCP_y5</f>
        <v>2025-26</v>
      </c>
      <c r="BW42" s="1163"/>
      <c r="BX42" s="1163"/>
      <c r="BY42" s="1163"/>
      <c r="BZ42" s="1163"/>
      <c r="CA42" s="1163"/>
      <c r="CB42" s="1163"/>
      <c r="CC42" s="1163"/>
      <c r="CD42" s="326"/>
      <c r="CE42" s="326"/>
      <c r="CF42" s="326"/>
      <c r="CG42" s="326"/>
      <c r="CH42" s="326"/>
      <c r="CI42" s="326"/>
      <c r="CJ42" s="326"/>
      <c r="CK42" s="326"/>
      <c r="CL42" s="326"/>
      <c r="CM42" s="326"/>
      <c r="CN42" s="326"/>
      <c r="CO42" s="326"/>
      <c r="CP42" s="326"/>
    </row>
    <row r="43" spans="2:94" ht="18" hidden="1" x14ac:dyDescent="0.25">
      <c r="B43" s="70"/>
      <c r="H43" s="332"/>
      <c r="I43" s="332"/>
      <c r="J43" s="332"/>
      <c r="Q43" s="827"/>
      <c r="R43" s="827"/>
      <c r="S43" s="827"/>
      <c r="T43" s="827"/>
      <c r="U43" s="827"/>
      <c r="V43" s="827"/>
      <c r="W43" s="326"/>
      <c r="X43" s="326"/>
      <c r="Y43" s="326"/>
      <c r="Z43" s="327"/>
      <c r="AA43" s="328"/>
      <c r="AB43" s="328"/>
      <c r="AC43" s="328"/>
      <c r="AD43" s="328"/>
      <c r="AE43" s="328"/>
      <c r="AF43" s="328"/>
      <c r="AG43" s="328"/>
      <c r="AH43" s="328"/>
      <c r="AI43" s="328"/>
      <c r="AJ43" s="328"/>
      <c r="AK43" s="328"/>
      <c r="AL43" s="1166" t="str">
        <f ca="1">FRCP_y6</f>
        <v>2026-27</v>
      </c>
      <c r="AM43" s="1166"/>
      <c r="AN43" s="1166"/>
      <c r="AO43" s="1166"/>
      <c r="AP43" s="1166"/>
      <c r="AQ43" s="1166"/>
      <c r="AR43" s="1166"/>
      <c r="AS43" s="1166"/>
      <c r="AT43" s="354"/>
      <c r="AU43" s="1166" t="str">
        <f ca="1">FRCP_y7</f>
        <v>2027-28</v>
      </c>
      <c r="AV43" s="1166"/>
      <c r="AW43" s="1166"/>
      <c r="AX43" s="1166"/>
      <c r="AY43" s="1166"/>
      <c r="AZ43" s="1166"/>
      <c r="BA43" s="1166"/>
      <c r="BB43" s="1166"/>
      <c r="BC43" s="354"/>
      <c r="BD43" s="1166" t="str">
        <f ca="1">FRCP_y8</f>
        <v>2028-29</v>
      </c>
      <c r="BE43" s="1166"/>
      <c r="BF43" s="1166"/>
      <c r="BG43" s="1166"/>
      <c r="BH43" s="1166"/>
      <c r="BI43" s="1166"/>
      <c r="BJ43" s="1166"/>
      <c r="BK43" s="1166"/>
      <c r="BL43" s="352"/>
      <c r="BM43" s="1166" t="str">
        <f ca="1">FRCP_y9</f>
        <v>2029-30</v>
      </c>
      <c r="BN43" s="1166"/>
      <c r="BO43" s="1166"/>
      <c r="BP43" s="1166"/>
      <c r="BQ43" s="1166"/>
      <c r="BR43" s="1166"/>
      <c r="BS43" s="1166"/>
      <c r="BT43" s="1166"/>
      <c r="BU43" s="352"/>
      <c r="BV43" s="1166" t="str">
        <f ca="1">FRCP_y10</f>
        <v>2030-31</v>
      </c>
      <c r="BW43" s="1166"/>
      <c r="BX43" s="1166"/>
      <c r="BY43" s="1166"/>
      <c r="BZ43" s="1166"/>
      <c r="CA43" s="1166"/>
      <c r="CB43" s="1166"/>
      <c r="CC43" s="1166"/>
      <c r="CD43" s="326"/>
      <c r="CE43" s="326"/>
      <c r="CF43" s="326"/>
      <c r="CG43" s="326"/>
      <c r="CH43" s="326"/>
      <c r="CI43" s="326"/>
      <c r="CJ43" s="326"/>
      <c r="CK43" s="326"/>
      <c r="CL43" s="326"/>
      <c r="CM43" s="326"/>
      <c r="CN43" s="326"/>
      <c r="CO43" s="326"/>
      <c r="CP43" s="326"/>
    </row>
    <row r="44" spans="2:94" ht="15" hidden="1" customHeight="1" x14ac:dyDescent="0.25">
      <c r="H44" s="332"/>
      <c r="I44" s="332"/>
      <c r="J44" s="332"/>
      <c r="Q44" s="827"/>
      <c r="R44" s="827"/>
      <c r="S44" s="827"/>
      <c r="T44" s="827"/>
      <c r="U44" s="827"/>
      <c r="V44" s="827"/>
      <c r="W44" s="326"/>
      <c r="X44" s="326"/>
      <c r="Y44" s="326"/>
      <c r="Z44" s="327"/>
      <c r="AA44" s="327"/>
      <c r="AB44" s="327"/>
      <c r="AC44" s="327"/>
      <c r="AD44" s="327"/>
      <c r="AE44" s="327"/>
      <c r="AF44" s="327"/>
      <c r="AG44" s="327"/>
      <c r="AH44" s="327"/>
      <c r="AI44" s="327"/>
      <c r="AJ44" s="327"/>
      <c r="AK44" s="327"/>
      <c r="AL44" s="1166" t="str">
        <f ca="1">FRCP_y11</f>
        <v>2031-32</v>
      </c>
      <c r="AM44" s="1166"/>
      <c r="AN44" s="1166"/>
      <c r="AO44" s="1166"/>
      <c r="AP44" s="1166"/>
      <c r="AQ44" s="1166"/>
      <c r="AR44" s="1166"/>
      <c r="AS44" s="1166"/>
      <c r="AT44" s="347"/>
      <c r="AU44" s="1166" t="str">
        <f ca="1">FRCP_y12</f>
        <v>2032-33</v>
      </c>
      <c r="AV44" s="1166"/>
      <c r="AW44" s="1166"/>
      <c r="AX44" s="1166"/>
      <c r="AY44" s="1166"/>
      <c r="AZ44" s="1166"/>
      <c r="BA44" s="1166"/>
      <c r="BB44" s="1166"/>
      <c r="BC44" s="347"/>
      <c r="BD44" s="1166" t="str">
        <f ca="1">FRCP_y13</f>
        <v>2033-34</v>
      </c>
      <c r="BE44" s="1166"/>
      <c r="BF44" s="1166"/>
      <c r="BG44" s="1166"/>
      <c r="BH44" s="1166"/>
      <c r="BI44" s="1166"/>
      <c r="BJ44" s="1166"/>
      <c r="BK44" s="1166"/>
      <c r="BL44" s="347"/>
      <c r="BM44" s="1166" t="str">
        <f ca="1">FRCP_y14</f>
        <v>2034-35</v>
      </c>
      <c r="BN44" s="1166"/>
      <c r="BO44" s="1166"/>
      <c r="BP44" s="1166"/>
      <c r="BQ44" s="1166"/>
      <c r="BR44" s="1166"/>
      <c r="BS44" s="1166"/>
      <c r="BT44" s="1166"/>
      <c r="BU44" s="347"/>
      <c r="BV44" s="1166" t="str">
        <f ca="1">FRCP_y15</f>
        <v>2035-36</v>
      </c>
      <c r="BW44" s="1166"/>
      <c r="BX44" s="1166"/>
      <c r="BY44" s="1166"/>
      <c r="BZ44" s="1166"/>
      <c r="CA44" s="1166"/>
      <c r="CB44" s="1166"/>
      <c r="CC44" s="1166"/>
      <c r="CD44" s="326"/>
      <c r="CE44" s="326"/>
      <c r="CF44" s="326"/>
      <c r="CG44" s="326"/>
      <c r="CH44" s="326"/>
      <c r="CI44" s="326"/>
      <c r="CJ44" s="326"/>
      <c r="CK44" s="326"/>
      <c r="CL44" s="326"/>
      <c r="CM44" s="326"/>
      <c r="CN44" s="326"/>
      <c r="CO44" s="326"/>
      <c r="CP44" s="827"/>
    </row>
    <row r="45" spans="2:94" ht="15" hidden="1" customHeight="1" x14ac:dyDescent="0.25">
      <c r="B45" s="70"/>
      <c r="H45" s="332"/>
      <c r="I45" s="332"/>
      <c r="J45" s="332"/>
      <c r="Q45" s="827"/>
      <c r="R45" s="827"/>
      <c r="S45" s="827"/>
      <c r="T45" s="827"/>
      <c r="U45" s="827"/>
      <c r="V45" s="827"/>
      <c r="W45" s="326"/>
      <c r="X45" s="326"/>
      <c r="Y45" s="326"/>
      <c r="Z45" s="327"/>
      <c r="AA45" s="327"/>
      <c r="AB45" s="327"/>
      <c r="AC45" s="327"/>
      <c r="AD45" s="327"/>
      <c r="AE45" s="327"/>
      <c r="AF45" s="327"/>
      <c r="AG45" s="327"/>
      <c r="AH45" s="327"/>
      <c r="AI45" s="327"/>
      <c r="AJ45" s="327"/>
      <c r="AK45" s="327"/>
      <c r="AL45" s="346"/>
      <c r="AM45" s="347"/>
      <c r="AN45" s="347"/>
      <c r="AO45" s="347"/>
      <c r="AP45" s="347"/>
      <c r="AQ45" s="347"/>
      <c r="AR45" s="347"/>
      <c r="AS45" s="347"/>
      <c r="AT45" s="347"/>
      <c r="AU45" s="346"/>
      <c r="AV45" s="347"/>
      <c r="AW45" s="347"/>
      <c r="AX45" s="347"/>
      <c r="AY45" s="347"/>
      <c r="AZ45" s="347"/>
      <c r="BA45" s="347"/>
      <c r="BB45" s="347"/>
      <c r="BC45" s="347"/>
      <c r="BD45" s="346"/>
      <c r="BE45" s="347"/>
      <c r="BF45" s="347"/>
      <c r="BG45" s="347"/>
      <c r="BH45" s="347"/>
      <c r="BI45" s="347"/>
      <c r="BJ45" s="347"/>
      <c r="BK45" s="347"/>
      <c r="BL45" s="347"/>
      <c r="BM45" s="346"/>
      <c r="BN45" s="347"/>
      <c r="BO45" s="347"/>
      <c r="BP45" s="347"/>
      <c r="BQ45" s="347"/>
      <c r="BR45" s="347"/>
      <c r="BS45" s="347"/>
      <c r="BT45" s="347"/>
      <c r="BU45" s="347"/>
      <c r="BV45" s="346"/>
      <c r="BW45" s="347"/>
      <c r="BX45" s="347"/>
      <c r="BY45" s="347"/>
      <c r="BZ45" s="347"/>
      <c r="CA45" s="347"/>
      <c r="CB45" s="347"/>
      <c r="CC45" s="347"/>
      <c r="CD45" s="326"/>
      <c r="CE45" s="326"/>
      <c r="CF45" s="326"/>
      <c r="CG45" s="326"/>
      <c r="CH45" s="326"/>
      <c r="CI45" s="326"/>
      <c r="CJ45" s="326"/>
      <c r="CK45" s="326"/>
      <c r="CL45" s="326"/>
      <c r="CM45" s="326"/>
      <c r="CN45" s="326"/>
      <c r="CO45" s="326"/>
      <c r="CP45" s="827"/>
    </row>
    <row r="46" spans="2:94" ht="15.75" hidden="1" customHeight="1" x14ac:dyDescent="0.25">
      <c r="B46" s="70"/>
      <c r="H46" s="332"/>
      <c r="I46" s="332"/>
      <c r="J46" s="332"/>
      <c r="Q46" s="827"/>
      <c r="R46" s="827"/>
      <c r="S46" s="827"/>
      <c r="T46" s="827"/>
      <c r="U46" s="827"/>
      <c r="V46" s="827"/>
      <c r="W46" s="326"/>
      <c r="X46" s="827" t="s">
        <v>61</v>
      </c>
      <c r="Y46" s="326"/>
      <c r="Z46" s="1167" t="s">
        <v>62</v>
      </c>
      <c r="AA46" s="1167"/>
      <c r="AB46" s="1167"/>
      <c r="AC46" s="1167"/>
      <c r="AD46" s="1167"/>
      <c r="AE46" s="1167"/>
      <c r="AF46" s="1167"/>
      <c r="AG46" s="1167"/>
      <c r="AH46" s="1167"/>
      <c r="AI46" s="1167"/>
      <c r="AJ46" s="327"/>
      <c r="AK46" s="327"/>
      <c r="AL46" s="1163" t="str">
        <f ca="1">CRCP_y1</f>
        <v>2016-17</v>
      </c>
      <c r="AM46" s="1163"/>
      <c r="AN46" s="1163"/>
      <c r="AO46" s="1163"/>
      <c r="AP46" s="1163"/>
      <c r="AQ46" s="1163"/>
      <c r="AR46" s="1163"/>
      <c r="AS46" s="1163"/>
      <c r="AT46" s="345"/>
      <c r="AU46" s="1163" t="str">
        <f ca="1">CRCP_y2</f>
        <v>2017-18</v>
      </c>
      <c r="AV46" s="1163"/>
      <c r="AW46" s="1163"/>
      <c r="AX46" s="1163"/>
      <c r="AY46" s="1163"/>
      <c r="AZ46" s="1163"/>
      <c r="BA46" s="1163"/>
      <c r="BB46" s="1163"/>
      <c r="BC46" s="345"/>
      <c r="BD46" s="1163" t="str">
        <f ca="1">CRCP_y3</f>
        <v>2018-19</v>
      </c>
      <c r="BE46" s="1163"/>
      <c r="BF46" s="1163"/>
      <c r="BG46" s="1163"/>
      <c r="BH46" s="1163"/>
      <c r="BI46" s="1163"/>
      <c r="BJ46" s="1163"/>
      <c r="BK46" s="1163"/>
      <c r="BL46" s="345"/>
      <c r="BM46" s="1163" t="str">
        <f ca="1">CRCP_y4</f>
        <v>2019-20</v>
      </c>
      <c r="BN46" s="1163"/>
      <c r="BO46" s="1163"/>
      <c r="BP46" s="1163"/>
      <c r="BQ46" s="1163"/>
      <c r="BR46" s="1163"/>
      <c r="BS46" s="1163"/>
      <c r="BT46" s="1163"/>
      <c r="BU46" s="345"/>
      <c r="BV46" s="1163" t="str">
        <f ca="1">CRCP_y5</f>
        <v>2020-21</v>
      </c>
      <c r="BW46" s="1163"/>
      <c r="BX46" s="1163"/>
      <c r="BY46" s="1163"/>
      <c r="BZ46" s="1163"/>
      <c r="CA46" s="1163"/>
      <c r="CB46" s="1163"/>
      <c r="CC46" s="1163"/>
      <c r="CD46" s="326"/>
      <c r="CE46" s="326"/>
      <c r="CF46" s="326"/>
      <c r="CG46" s="326"/>
      <c r="CH46" s="326"/>
      <c r="CI46" s="326"/>
      <c r="CJ46" s="326"/>
      <c r="CK46" s="326"/>
      <c r="CL46" s="326"/>
      <c r="CM46" s="326"/>
      <c r="CN46" s="326"/>
      <c r="CO46" s="326"/>
      <c r="CP46" s="827"/>
    </row>
    <row r="47" spans="2:94" ht="15" hidden="1" customHeight="1" x14ac:dyDescent="0.25">
      <c r="H47" s="332"/>
      <c r="I47" s="332"/>
      <c r="J47" s="332"/>
      <c r="Q47" s="827"/>
      <c r="R47" s="827"/>
      <c r="S47" s="827"/>
      <c r="T47" s="827"/>
      <c r="U47" s="827"/>
      <c r="V47" s="827"/>
      <c r="W47" s="326"/>
      <c r="X47" s="326"/>
      <c r="Y47" s="326"/>
      <c r="Z47" s="327"/>
      <c r="AA47" s="327"/>
      <c r="AB47" s="327"/>
      <c r="AC47" s="327"/>
      <c r="AD47" s="327"/>
      <c r="AE47" s="327"/>
      <c r="AF47" s="327"/>
      <c r="AG47" s="327"/>
      <c r="AH47" s="327"/>
      <c r="AI47" s="327"/>
      <c r="AJ47" s="327"/>
      <c r="AK47" s="327"/>
      <c r="AL47" s="1166" t="str">
        <f ca="1">CRCP_y6</f>
        <v>2021-22</v>
      </c>
      <c r="AM47" s="1166"/>
      <c r="AN47" s="1166"/>
      <c r="AO47" s="1166"/>
      <c r="AP47" s="1166"/>
      <c r="AQ47" s="1166"/>
      <c r="AR47" s="1166"/>
      <c r="AS47" s="1166"/>
      <c r="AT47" s="350"/>
      <c r="AU47" s="1166" t="str">
        <f ca="1">CRCP_y7</f>
        <v>2022-23</v>
      </c>
      <c r="AV47" s="1166"/>
      <c r="AW47" s="1166"/>
      <c r="AX47" s="1166"/>
      <c r="AY47" s="1166"/>
      <c r="AZ47" s="1166"/>
      <c r="BA47" s="1166"/>
      <c r="BB47" s="1166"/>
      <c r="BC47" s="351"/>
      <c r="BD47" s="1166" t="str">
        <f ca="1">CRCP_y8</f>
        <v>2023-24</v>
      </c>
      <c r="BE47" s="1166"/>
      <c r="BF47" s="1166"/>
      <c r="BG47" s="1166"/>
      <c r="BH47" s="1166"/>
      <c r="BI47" s="1166"/>
      <c r="BJ47" s="1166"/>
      <c r="BK47" s="1166"/>
      <c r="BL47" s="351"/>
      <c r="BM47" s="1166" t="str">
        <f ca="1">CRCP_y9</f>
        <v>2024-25</v>
      </c>
      <c r="BN47" s="1166"/>
      <c r="BO47" s="1166"/>
      <c r="BP47" s="1166"/>
      <c r="BQ47" s="1166"/>
      <c r="BR47" s="1166"/>
      <c r="BS47" s="1166"/>
      <c r="BT47" s="1166"/>
      <c r="BU47" s="351"/>
      <c r="BV47" s="1166" t="str">
        <f ca="1">CRCP_y10</f>
        <v>2025-26</v>
      </c>
      <c r="BW47" s="1166"/>
      <c r="BX47" s="1166"/>
      <c r="BY47" s="1166"/>
      <c r="BZ47" s="1166"/>
      <c r="CA47" s="1166"/>
      <c r="CB47" s="1166"/>
      <c r="CC47" s="1166"/>
      <c r="CD47" s="326"/>
      <c r="CE47" s="326"/>
      <c r="CF47" s="326"/>
      <c r="CG47" s="326"/>
      <c r="CH47" s="326"/>
      <c r="CI47" s="326"/>
      <c r="CJ47" s="326"/>
      <c r="CK47" s="326"/>
      <c r="CL47" s="326"/>
      <c r="CM47" s="326"/>
      <c r="CN47" s="326"/>
      <c r="CO47" s="326"/>
      <c r="CP47" s="827"/>
    </row>
    <row r="48" spans="2:94" ht="15" hidden="1" customHeight="1" x14ac:dyDescent="0.25">
      <c r="H48" s="332"/>
      <c r="I48" s="332"/>
      <c r="J48" s="332"/>
      <c r="Q48" s="827"/>
      <c r="R48" s="827"/>
      <c r="S48" s="827"/>
      <c r="T48" s="827"/>
      <c r="U48" s="827"/>
      <c r="V48" s="827"/>
      <c r="W48" s="326"/>
      <c r="X48" s="326"/>
      <c r="Y48" s="326"/>
      <c r="Z48" s="327"/>
      <c r="AA48" s="327"/>
      <c r="AB48" s="327"/>
      <c r="AC48" s="327"/>
      <c r="AD48" s="327"/>
      <c r="AE48" s="327"/>
      <c r="AF48" s="327"/>
      <c r="AG48" s="327"/>
      <c r="AH48" s="327"/>
      <c r="AI48" s="327"/>
      <c r="AJ48" s="327"/>
      <c r="AK48" s="327"/>
      <c r="AL48" s="1166" t="str">
        <f ca="1">CRCP_y11</f>
        <v>2026-27</v>
      </c>
      <c r="AM48" s="1166"/>
      <c r="AN48" s="1166"/>
      <c r="AO48" s="1166"/>
      <c r="AP48" s="1166"/>
      <c r="AQ48" s="1166"/>
      <c r="AR48" s="1166"/>
      <c r="AS48" s="1166"/>
      <c r="AT48" s="350"/>
      <c r="AU48" s="1166" t="str">
        <f ca="1">CRCP_y12</f>
        <v>2027-28</v>
      </c>
      <c r="AV48" s="1166"/>
      <c r="AW48" s="1166"/>
      <c r="AX48" s="1166"/>
      <c r="AY48" s="1166"/>
      <c r="AZ48" s="1166"/>
      <c r="BA48" s="1166"/>
      <c r="BB48" s="1166"/>
      <c r="BC48" s="351"/>
      <c r="BD48" s="1166" t="str">
        <f ca="1">CRCP_y13</f>
        <v>2028-29</v>
      </c>
      <c r="BE48" s="1166"/>
      <c r="BF48" s="1166"/>
      <c r="BG48" s="1166"/>
      <c r="BH48" s="1166"/>
      <c r="BI48" s="1166"/>
      <c r="BJ48" s="1166"/>
      <c r="BK48" s="1166"/>
      <c r="BL48" s="351"/>
      <c r="BM48" s="1166" t="str">
        <f ca="1">CRCP_y14</f>
        <v>2029-30</v>
      </c>
      <c r="BN48" s="1166"/>
      <c r="BO48" s="1166"/>
      <c r="BP48" s="1166"/>
      <c r="BQ48" s="1166"/>
      <c r="BR48" s="1166"/>
      <c r="BS48" s="1166"/>
      <c r="BT48" s="1166"/>
      <c r="BU48" s="351"/>
      <c r="BV48" s="1166" t="str">
        <f ca="1">CRCP_y15</f>
        <v>2030-31</v>
      </c>
      <c r="BW48" s="1166"/>
      <c r="BX48" s="1166"/>
      <c r="BY48" s="1166"/>
      <c r="BZ48" s="1166"/>
      <c r="CA48" s="1166"/>
      <c r="CB48" s="1166"/>
      <c r="CC48" s="1166"/>
      <c r="CD48" s="326"/>
      <c r="CE48" s="326"/>
      <c r="CF48" s="326"/>
      <c r="CG48" s="326"/>
      <c r="CH48" s="326"/>
      <c r="CI48" s="326"/>
      <c r="CJ48" s="326"/>
      <c r="CK48" s="326"/>
      <c r="CL48" s="326"/>
      <c r="CM48" s="326"/>
      <c r="CN48" s="326"/>
      <c r="CO48" s="326"/>
      <c r="CP48" s="827"/>
    </row>
    <row r="49" spans="5:94" ht="15" hidden="1" customHeight="1" x14ac:dyDescent="0.25">
      <c r="H49" s="332"/>
      <c r="I49" s="332"/>
      <c r="J49" s="332"/>
      <c r="Q49" s="827"/>
      <c r="R49" s="827"/>
      <c r="S49" s="827"/>
      <c r="T49" s="827"/>
      <c r="U49" s="827"/>
      <c r="V49" s="827"/>
      <c r="W49" s="326"/>
      <c r="X49" s="326"/>
      <c r="Y49" s="326"/>
      <c r="Z49" s="327"/>
      <c r="AA49" s="327"/>
      <c r="AB49" s="327"/>
      <c r="AC49" s="327"/>
      <c r="AD49" s="327"/>
      <c r="AE49" s="327"/>
      <c r="AF49" s="327"/>
      <c r="AG49" s="327"/>
      <c r="AH49" s="327"/>
      <c r="AI49" s="327"/>
      <c r="AJ49" s="327"/>
      <c r="AK49" s="327"/>
      <c r="AL49" s="352"/>
      <c r="AM49" s="352"/>
      <c r="AN49" s="352"/>
      <c r="AO49" s="352"/>
      <c r="AP49" s="352"/>
      <c r="AQ49" s="352"/>
      <c r="AR49" s="352"/>
      <c r="AS49" s="352"/>
      <c r="AT49" s="352"/>
      <c r="AU49" s="352"/>
      <c r="AV49" s="352"/>
      <c r="AW49" s="352"/>
      <c r="AX49" s="352"/>
      <c r="AY49" s="352"/>
      <c r="AZ49" s="352"/>
      <c r="BA49" s="352"/>
      <c r="BB49" s="352"/>
      <c r="BC49" s="352"/>
      <c r="BD49" s="352"/>
      <c r="BE49" s="352"/>
      <c r="BF49" s="352"/>
      <c r="BG49" s="352"/>
      <c r="BH49" s="352"/>
      <c r="BI49" s="352"/>
      <c r="BJ49" s="352"/>
      <c r="BK49" s="352"/>
      <c r="BL49" s="352"/>
      <c r="BM49" s="352"/>
      <c r="BN49" s="352"/>
      <c r="BO49" s="352"/>
      <c r="BP49" s="352"/>
      <c r="BQ49" s="352"/>
      <c r="BR49" s="352"/>
      <c r="BS49" s="352"/>
      <c r="BT49" s="352"/>
      <c r="BU49" s="352"/>
      <c r="BV49" s="352"/>
      <c r="BW49" s="352"/>
      <c r="BX49" s="352"/>
      <c r="BY49" s="352"/>
      <c r="BZ49" s="352"/>
      <c r="CA49" s="352"/>
      <c r="CB49" s="352"/>
      <c r="CC49" s="353"/>
      <c r="CD49" s="326"/>
      <c r="CE49" s="326"/>
      <c r="CF49" s="326"/>
      <c r="CG49" s="326"/>
      <c r="CH49" s="326"/>
      <c r="CI49" s="326"/>
      <c r="CJ49" s="326"/>
      <c r="CK49" s="326"/>
      <c r="CL49" s="326"/>
      <c r="CM49" s="326"/>
      <c r="CN49" s="326"/>
      <c r="CO49" s="326"/>
      <c r="CP49" s="827"/>
    </row>
    <row r="50" spans="5:94" ht="15.75" hidden="1" customHeight="1" x14ac:dyDescent="0.25">
      <c r="H50" s="332"/>
      <c r="I50" s="332"/>
      <c r="J50" s="332"/>
      <c r="Q50" s="827"/>
      <c r="R50" s="827"/>
      <c r="S50" s="827"/>
      <c r="T50" s="827"/>
      <c r="U50" s="827"/>
      <c r="V50" s="827"/>
      <c r="W50" s="326"/>
      <c r="X50" s="326"/>
      <c r="Y50" s="326"/>
      <c r="Z50" s="1167" t="s">
        <v>63</v>
      </c>
      <c r="AA50" s="1167"/>
      <c r="AB50" s="1167"/>
      <c r="AC50" s="1167"/>
      <c r="AD50" s="1167"/>
      <c r="AE50" s="1167"/>
      <c r="AF50" s="1167"/>
      <c r="AG50" s="1167"/>
      <c r="AH50" s="1167"/>
      <c r="AI50" s="1167"/>
      <c r="AJ50" s="327"/>
      <c r="AK50" s="327"/>
      <c r="AL50" s="1163" t="str">
        <f ca="1">PRCP_y1</f>
        <v>2011-12</v>
      </c>
      <c r="AM50" s="1163"/>
      <c r="AN50" s="1163"/>
      <c r="AO50" s="1163"/>
      <c r="AP50" s="1163"/>
      <c r="AQ50" s="1163"/>
      <c r="AR50" s="1163"/>
      <c r="AS50" s="1163"/>
      <c r="AT50" s="345"/>
      <c r="AU50" s="1163" t="str">
        <f ca="1">PRCP_y2</f>
        <v>2012-13</v>
      </c>
      <c r="AV50" s="1163"/>
      <c r="AW50" s="1163"/>
      <c r="AX50" s="1163"/>
      <c r="AY50" s="1163"/>
      <c r="AZ50" s="1163"/>
      <c r="BA50" s="1163"/>
      <c r="BB50" s="1163"/>
      <c r="BC50" s="345"/>
      <c r="BD50" s="1163" t="str">
        <f ca="1">PRCP_y3</f>
        <v>2013-14</v>
      </c>
      <c r="BE50" s="1163"/>
      <c r="BF50" s="1163"/>
      <c r="BG50" s="1163"/>
      <c r="BH50" s="1163"/>
      <c r="BI50" s="1163"/>
      <c r="BJ50" s="1163"/>
      <c r="BK50" s="1163"/>
      <c r="BL50" s="345"/>
      <c r="BM50" s="1163" t="str">
        <f ca="1">PRCP_y4</f>
        <v>2014-15</v>
      </c>
      <c r="BN50" s="1163"/>
      <c r="BO50" s="1163"/>
      <c r="BP50" s="1163"/>
      <c r="BQ50" s="1163"/>
      <c r="BR50" s="1163"/>
      <c r="BS50" s="1163"/>
      <c r="BT50" s="1163"/>
      <c r="BU50" s="345"/>
      <c r="BV50" s="1163" t="str">
        <f ca="1">PRCP_y5</f>
        <v>2015-16</v>
      </c>
      <c r="BW50" s="1163"/>
      <c r="BX50" s="1163"/>
      <c r="BY50" s="1163"/>
      <c r="BZ50" s="1163"/>
      <c r="CA50" s="1163"/>
      <c r="CB50" s="1163"/>
      <c r="CC50" s="1163"/>
      <c r="CD50" s="326"/>
      <c r="CE50" s="326"/>
      <c r="CF50" s="326"/>
      <c r="CG50" s="326"/>
      <c r="CH50" s="326"/>
      <c r="CI50" s="326"/>
      <c r="CJ50" s="326"/>
      <c r="CK50" s="326"/>
      <c r="CL50" s="326"/>
      <c r="CM50" s="326"/>
      <c r="CN50" s="326"/>
      <c r="CO50" s="326"/>
      <c r="CP50" s="827"/>
    </row>
    <row r="51" spans="5:94" ht="15.75" hidden="1" x14ac:dyDescent="0.25">
      <c r="H51" s="332"/>
      <c r="I51" s="332"/>
      <c r="J51" s="332"/>
      <c r="Q51" s="326"/>
      <c r="R51" s="326"/>
      <c r="S51" s="326"/>
      <c r="T51" s="326"/>
      <c r="U51" s="326"/>
      <c r="V51" s="326"/>
      <c r="W51" s="326"/>
      <c r="X51" s="326"/>
      <c r="Y51" s="326"/>
      <c r="Z51" s="327"/>
      <c r="AA51" s="327"/>
      <c r="AB51" s="327"/>
      <c r="AC51" s="327"/>
      <c r="AD51" s="327"/>
      <c r="AE51" s="327"/>
      <c r="AF51" s="327"/>
      <c r="AG51" s="327"/>
      <c r="AH51" s="327"/>
      <c r="AI51" s="327"/>
      <c r="AJ51" s="327"/>
      <c r="AK51" s="327"/>
      <c r="AL51" s="1166" t="str">
        <f ca="1">PRCP_y6</f>
        <v>2016-17</v>
      </c>
      <c r="AM51" s="1166"/>
      <c r="AN51" s="1166"/>
      <c r="AO51" s="1166"/>
      <c r="AP51" s="1166"/>
      <c r="AQ51" s="1166"/>
      <c r="AR51" s="1166"/>
      <c r="AS51" s="1166"/>
      <c r="AT51" s="350"/>
      <c r="AU51" s="1166" t="str">
        <f ca="1">PRCP_y7</f>
        <v>2017-18</v>
      </c>
      <c r="AV51" s="1166"/>
      <c r="AW51" s="1166"/>
      <c r="AX51" s="1166"/>
      <c r="AY51" s="1166"/>
      <c r="AZ51" s="1166"/>
      <c r="BA51" s="1166"/>
      <c r="BB51" s="1166"/>
      <c r="BC51" s="351"/>
      <c r="BD51" s="1166" t="str">
        <f ca="1">PRCP_y8</f>
        <v>2018-19</v>
      </c>
      <c r="BE51" s="1166"/>
      <c r="BF51" s="1166"/>
      <c r="BG51" s="1166"/>
      <c r="BH51" s="1166"/>
      <c r="BI51" s="1166"/>
      <c r="BJ51" s="1166"/>
      <c r="BK51" s="1166"/>
      <c r="BL51" s="351"/>
      <c r="BM51" s="1166" t="str">
        <f ca="1">PRCP_y9</f>
        <v>2019-20</v>
      </c>
      <c r="BN51" s="1166"/>
      <c r="BO51" s="1166"/>
      <c r="BP51" s="1166"/>
      <c r="BQ51" s="1166"/>
      <c r="BR51" s="1166"/>
      <c r="BS51" s="1166"/>
      <c r="BT51" s="1166"/>
      <c r="BU51" s="351"/>
      <c r="BV51" s="1166" t="str">
        <f ca="1">PRCP_y10</f>
        <v>2020-21</v>
      </c>
      <c r="BW51" s="1166"/>
      <c r="BX51" s="1166"/>
      <c r="BY51" s="1166"/>
      <c r="BZ51" s="1166"/>
      <c r="CA51" s="1166"/>
      <c r="CB51" s="1166"/>
      <c r="CC51" s="1166"/>
      <c r="CD51" s="326"/>
      <c r="CE51" s="326"/>
      <c r="CF51" s="326"/>
      <c r="CG51" s="326"/>
      <c r="CH51" s="326"/>
      <c r="CI51" s="326"/>
      <c r="CJ51" s="326"/>
      <c r="CK51" s="326"/>
      <c r="CL51" s="326"/>
      <c r="CM51" s="326"/>
      <c r="CN51" s="326"/>
      <c r="CO51" s="326"/>
      <c r="CP51" s="326"/>
    </row>
    <row r="52" spans="5:94" ht="15.75" hidden="1" x14ac:dyDescent="0.25">
      <c r="H52" s="332"/>
      <c r="I52" s="332"/>
      <c r="J52" s="332"/>
      <c r="Q52" s="326"/>
      <c r="R52" s="326"/>
      <c r="S52" s="326"/>
      <c r="T52" s="326"/>
      <c r="U52" s="326"/>
      <c r="V52" s="326"/>
      <c r="W52" s="326"/>
      <c r="X52" s="326"/>
      <c r="Y52" s="326"/>
      <c r="Z52" s="327"/>
      <c r="AA52" s="327"/>
      <c r="AB52" s="327"/>
      <c r="AC52" s="327"/>
      <c r="AD52" s="327"/>
      <c r="AE52" s="327"/>
      <c r="AF52" s="327"/>
      <c r="AG52" s="327"/>
      <c r="AH52" s="327"/>
      <c r="AI52" s="327"/>
      <c r="AJ52" s="327"/>
      <c r="AK52" s="327"/>
      <c r="AL52" s="1166" t="str">
        <f ca="1">PRCP_y11</f>
        <v>2021-22</v>
      </c>
      <c r="AM52" s="1166"/>
      <c r="AN52" s="1166"/>
      <c r="AO52" s="1166"/>
      <c r="AP52" s="1166"/>
      <c r="AQ52" s="1166"/>
      <c r="AR52" s="1166"/>
      <c r="AS52" s="1166"/>
      <c r="AT52" s="350"/>
      <c r="AU52" s="1166" t="str">
        <f ca="1">PRCP_y12</f>
        <v>2022-23</v>
      </c>
      <c r="AV52" s="1166"/>
      <c r="AW52" s="1166"/>
      <c r="AX52" s="1166"/>
      <c r="AY52" s="1166"/>
      <c r="AZ52" s="1166"/>
      <c r="BA52" s="1166"/>
      <c r="BB52" s="1166"/>
      <c r="BC52" s="351"/>
      <c r="BD52" s="1166" t="str">
        <f ca="1">PRCP_y13</f>
        <v>2023-24</v>
      </c>
      <c r="BE52" s="1166"/>
      <c r="BF52" s="1166"/>
      <c r="BG52" s="1166"/>
      <c r="BH52" s="1166"/>
      <c r="BI52" s="1166"/>
      <c r="BJ52" s="1166"/>
      <c r="BK52" s="1166"/>
      <c r="BL52" s="351"/>
      <c r="BM52" s="1166" t="str">
        <f ca="1">PRCP_y14</f>
        <v>2024-25</v>
      </c>
      <c r="BN52" s="1166"/>
      <c r="BO52" s="1166"/>
      <c r="BP52" s="1166"/>
      <c r="BQ52" s="1166"/>
      <c r="BR52" s="1166"/>
      <c r="BS52" s="1166"/>
      <c r="BT52" s="1166"/>
      <c r="BU52" s="351"/>
      <c r="BV52" s="1166" t="str">
        <f ca="1">PRCP_y15</f>
        <v>2025-26</v>
      </c>
      <c r="BW52" s="1166"/>
      <c r="BX52" s="1166"/>
      <c r="BY52" s="1166"/>
      <c r="BZ52" s="1166"/>
      <c r="CA52" s="1166"/>
      <c r="CB52" s="1166"/>
      <c r="CC52" s="1166"/>
      <c r="CD52" s="326"/>
      <c r="CE52" s="326"/>
      <c r="CF52" s="326"/>
      <c r="CG52" s="326"/>
      <c r="CH52" s="326"/>
      <c r="CI52" s="326"/>
      <c r="CJ52" s="326"/>
      <c r="CK52" s="326"/>
      <c r="CL52" s="326"/>
      <c r="CM52" s="326"/>
      <c r="CN52" s="326"/>
      <c r="CO52" s="326"/>
      <c r="CP52" s="326"/>
    </row>
    <row r="53" spans="5:94" x14ac:dyDescent="0.25">
      <c r="E53" s="358"/>
      <c r="H53" s="332"/>
      <c r="I53" s="332"/>
      <c r="J53" s="332"/>
      <c r="Q53" s="326"/>
      <c r="R53" s="326"/>
      <c r="S53" s="326"/>
      <c r="T53" s="326"/>
      <c r="U53" s="326"/>
      <c r="V53" s="326"/>
      <c r="W53" s="326"/>
      <c r="X53" s="326"/>
      <c r="Y53" s="326"/>
      <c r="Z53" s="327"/>
      <c r="AA53" s="327"/>
      <c r="AB53" s="327"/>
      <c r="AC53" s="327"/>
      <c r="AD53" s="327"/>
      <c r="AE53" s="327"/>
      <c r="AF53" s="327"/>
      <c r="AG53" s="327"/>
      <c r="AH53" s="327"/>
      <c r="AI53" s="327"/>
      <c r="AJ53" s="327"/>
      <c r="AK53" s="327"/>
      <c r="AL53" s="327"/>
      <c r="AM53" s="327"/>
      <c r="AN53" s="327"/>
      <c r="AO53" s="327"/>
      <c r="AP53" s="327"/>
      <c r="AQ53" s="327"/>
      <c r="AR53" s="327"/>
      <c r="AS53" s="326"/>
      <c r="AT53" s="326"/>
      <c r="AU53" s="326"/>
      <c r="AV53" s="326"/>
      <c r="AW53" s="326"/>
      <c r="AX53" s="326"/>
      <c r="AY53" s="326"/>
      <c r="AZ53" s="326"/>
      <c r="BA53" s="326"/>
      <c r="BB53" s="326"/>
      <c r="BC53" s="326"/>
      <c r="BD53" s="326"/>
      <c r="BE53" s="326"/>
      <c r="BF53" s="326"/>
      <c r="BG53" s="326"/>
      <c r="BH53" s="326"/>
      <c r="BI53" s="326"/>
      <c r="BJ53" s="326"/>
      <c r="BK53" s="326"/>
      <c r="BL53" s="326"/>
      <c r="BM53" s="326"/>
      <c r="BN53" s="326"/>
      <c r="BO53" s="326"/>
      <c r="BP53" s="326"/>
      <c r="BQ53" s="326"/>
      <c r="BR53" s="326"/>
      <c r="BS53" s="326"/>
      <c r="BT53" s="326"/>
      <c r="BU53" s="326"/>
      <c r="BV53" s="326"/>
      <c r="BW53" s="326"/>
      <c r="BX53" s="326"/>
      <c r="BY53" s="326"/>
      <c r="BZ53" s="326"/>
      <c r="CA53" s="326"/>
      <c r="CB53" s="326"/>
      <c r="CC53" s="326"/>
      <c r="CD53" s="326"/>
      <c r="CE53" s="326"/>
      <c r="CF53" s="326"/>
      <c r="CG53" s="326"/>
      <c r="CH53" s="326"/>
      <c r="CI53" s="326"/>
      <c r="CJ53" s="326"/>
      <c r="CK53" s="326"/>
      <c r="CL53" s="326"/>
      <c r="CM53" s="326"/>
      <c r="CN53" s="326"/>
      <c r="CO53" s="326"/>
      <c r="CP53" s="326"/>
    </row>
    <row r="54" spans="5:94" ht="15.75" customHeight="1" x14ac:dyDescent="0.25">
      <c r="H54" s="332"/>
      <c r="I54" s="332"/>
      <c r="J54" s="332"/>
      <c r="Q54" s="827"/>
      <c r="R54" s="827"/>
      <c r="S54" s="827"/>
      <c r="T54" s="827"/>
      <c r="U54" s="827"/>
      <c r="V54" s="827"/>
      <c r="W54" s="329"/>
      <c r="X54" s="827"/>
      <c r="Y54" s="326"/>
      <c r="Z54" s="1167" t="s">
        <v>64</v>
      </c>
      <c r="AA54" s="1167"/>
      <c r="AB54" s="1167"/>
      <c r="AC54" s="1167"/>
      <c r="AD54" s="1167"/>
      <c r="AE54" s="1167"/>
      <c r="AF54" s="1167"/>
      <c r="AG54" s="1167"/>
      <c r="AH54" s="1167"/>
      <c r="AI54" s="1167"/>
      <c r="AJ54" s="327"/>
      <c r="AK54" s="327"/>
      <c r="AL54" s="1162" t="s">
        <v>60</v>
      </c>
      <c r="AM54" s="1162"/>
      <c r="AN54" s="1162"/>
      <c r="AO54" s="1162"/>
      <c r="AP54" s="1162"/>
      <c r="AQ54" s="1162"/>
      <c r="AR54" s="1162"/>
      <c r="AS54" s="1162"/>
      <c r="AT54" s="326"/>
      <c r="AU54" s="326"/>
      <c r="AV54" s="326"/>
      <c r="AW54" s="326"/>
      <c r="AX54" s="326"/>
      <c r="AY54" s="326"/>
      <c r="AZ54" s="326"/>
      <c r="BA54" s="326"/>
      <c r="BB54" s="326"/>
      <c r="BC54" s="326"/>
      <c r="BD54" s="326"/>
      <c r="BE54" s="326"/>
      <c r="BF54" s="326"/>
      <c r="BG54" s="326"/>
      <c r="BH54" s="326"/>
      <c r="BI54" s="326"/>
      <c r="BJ54" s="326"/>
      <c r="BK54" s="326"/>
      <c r="BL54" s="326"/>
      <c r="BM54" s="326"/>
      <c r="BN54" s="326"/>
      <c r="BO54" s="326"/>
      <c r="BP54" s="326"/>
      <c r="BQ54" s="326"/>
      <c r="BR54" s="326"/>
      <c r="BS54" s="326"/>
      <c r="BT54" s="326"/>
      <c r="BU54" s="326"/>
      <c r="BV54" s="326"/>
      <c r="BW54" s="326"/>
      <c r="BX54" s="326"/>
      <c r="BY54" s="326"/>
      <c r="BZ54" s="326"/>
      <c r="CA54" s="326"/>
      <c r="CB54" s="326"/>
      <c r="CC54" s="326"/>
      <c r="CD54" s="326"/>
      <c r="CE54" s="326"/>
      <c r="CF54" s="326"/>
      <c r="CG54" s="326"/>
      <c r="CH54" s="326"/>
      <c r="CI54" s="326"/>
      <c r="CJ54" s="326"/>
      <c r="CK54" s="326"/>
      <c r="CL54" s="326"/>
      <c r="CM54" s="326"/>
      <c r="CN54" s="326"/>
      <c r="CO54" s="326"/>
      <c r="CP54" s="326"/>
    </row>
    <row r="55" spans="5:94" ht="15.75" customHeight="1" x14ac:dyDescent="0.25">
      <c r="H55" s="332"/>
      <c r="I55" s="332"/>
      <c r="J55" s="332"/>
      <c r="Q55" s="827"/>
      <c r="R55" s="827"/>
      <c r="S55" s="827"/>
      <c r="T55" s="827"/>
      <c r="U55" s="827"/>
      <c r="V55" s="827"/>
      <c r="W55" s="329"/>
      <c r="X55" s="827" t="s">
        <v>65</v>
      </c>
      <c r="Y55" s="326"/>
      <c r="Z55" s="327"/>
      <c r="AA55" s="327"/>
      <c r="AB55" s="327"/>
      <c r="AC55" s="327"/>
      <c r="AD55" s="327"/>
      <c r="AE55" s="327"/>
      <c r="AF55" s="327"/>
      <c r="AG55" s="327"/>
      <c r="AH55" s="327"/>
      <c r="AI55" s="327"/>
      <c r="AJ55" s="327"/>
      <c r="AK55" s="327"/>
      <c r="AL55" s="327"/>
      <c r="AM55" s="327"/>
      <c r="AN55" s="327"/>
      <c r="AO55" s="327"/>
      <c r="AP55" s="327"/>
      <c r="AQ55" s="327"/>
      <c r="AR55" s="327"/>
      <c r="AS55" s="326"/>
      <c r="AT55" s="326"/>
      <c r="AU55" s="326"/>
      <c r="AV55" s="326"/>
      <c r="AW55" s="326"/>
      <c r="AX55" s="326"/>
      <c r="AY55" s="326"/>
      <c r="AZ55" s="326"/>
      <c r="BA55" s="326"/>
      <c r="BB55" s="326"/>
      <c r="BC55" s="326"/>
      <c r="BD55" s="326"/>
      <c r="BE55" s="326"/>
      <c r="BF55" s="326"/>
      <c r="BG55" s="326"/>
      <c r="BH55" s="326"/>
      <c r="BI55" s="326"/>
      <c r="BJ55" s="326"/>
      <c r="BK55" s="326"/>
      <c r="BL55" s="326"/>
      <c r="BM55" s="326"/>
      <c r="BN55" s="326"/>
      <c r="BO55" s="326"/>
      <c r="BP55" s="326"/>
      <c r="BQ55" s="326"/>
      <c r="BR55" s="326"/>
      <c r="BS55" s="326"/>
      <c r="BT55" s="326"/>
      <c r="BU55" s="326"/>
      <c r="BV55" s="326"/>
      <c r="BW55" s="326"/>
      <c r="BX55" s="326"/>
      <c r="BY55" s="326"/>
      <c r="BZ55" s="326"/>
      <c r="CA55" s="326"/>
      <c r="CB55" s="326"/>
      <c r="CC55" s="326"/>
      <c r="CD55" s="326"/>
      <c r="CE55" s="326"/>
      <c r="CF55" s="326"/>
      <c r="CG55" s="326"/>
      <c r="CH55" s="326"/>
      <c r="CI55" s="326"/>
      <c r="CJ55" s="326"/>
      <c r="CK55" s="326"/>
      <c r="CL55" s="326"/>
      <c r="CM55" s="326"/>
      <c r="CN55" s="326"/>
      <c r="CO55" s="326"/>
      <c r="CP55" s="326"/>
    </row>
    <row r="56" spans="5:94" ht="15.75" customHeight="1" x14ac:dyDescent="0.25">
      <c r="H56" s="332"/>
      <c r="I56" s="332"/>
      <c r="J56" s="332"/>
      <c r="Q56" s="827"/>
      <c r="R56" s="827"/>
      <c r="S56" s="827"/>
      <c r="T56" s="827"/>
      <c r="U56" s="827"/>
      <c r="V56" s="827"/>
      <c r="W56" s="329"/>
      <c r="X56" s="329"/>
      <c r="Y56" s="326"/>
      <c r="Z56" s="1167" t="s">
        <v>66</v>
      </c>
      <c r="AA56" s="1167"/>
      <c r="AB56" s="1167"/>
      <c r="AC56" s="1167"/>
      <c r="AD56" s="1167"/>
      <c r="AE56" s="1167"/>
      <c r="AF56" s="1167"/>
      <c r="AG56" s="1167"/>
      <c r="AH56" s="1167"/>
      <c r="AI56" s="1167"/>
      <c r="AJ56" s="327"/>
      <c r="AK56" s="327"/>
      <c r="AL56" s="1162" t="s">
        <v>67</v>
      </c>
      <c r="AM56" s="1162"/>
      <c r="AN56" s="1162"/>
      <c r="AO56" s="1162"/>
      <c r="AP56" s="1162"/>
      <c r="AQ56" s="1162"/>
      <c r="AR56" s="1162"/>
      <c r="AS56" s="1162"/>
      <c r="AT56" s="326"/>
      <c r="AU56" s="326"/>
      <c r="AV56" s="326"/>
      <c r="AW56" s="326"/>
      <c r="AX56" s="326"/>
      <c r="AY56" s="326"/>
      <c r="AZ56" s="326"/>
      <c r="BA56" s="326"/>
      <c r="BB56" s="326"/>
      <c r="BC56" s="326"/>
      <c r="BD56" s="326"/>
      <c r="BE56" s="326"/>
      <c r="BF56" s="326"/>
      <c r="BG56" s="326"/>
      <c r="BH56" s="326"/>
      <c r="BI56" s="326"/>
      <c r="BJ56" s="326"/>
      <c r="BK56" s="326"/>
      <c r="BL56" s="326"/>
      <c r="BM56" s="326"/>
      <c r="BN56" s="326"/>
      <c r="BO56" s="326"/>
      <c r="BP56" s="326"/>
      <c r="BQ56" s="326"/>
      <c r="BR56" s="326"/>
      <c r="BS56" s="326"/>
      <c r="BT56" s="326"/>
      <c r="BU56" s="326"/>
      <c r="BV56" s="326"/>
      <c r="BW56" s="326"/>
      <c r="BX56" s="326"/>
      <c r="BY56" s="326"/>
      <c r="BZ56" s="326"/>
      <c r="CA56" s="326"/>
      <c r="CB56" s="326"/>
      <c r="CC56" s="326"/>
      <c r="CD56" s="326"/>
      <c r="CE56" s="326"/>
      <c r="CF56" s="326"/>
      <c r="CG56" s="326"/>
      <c r="CH56" s="326"/>
      <c r="CI56" s="326"/>
      <c r="CJ56" s="326"/>
      <c r="CK56" s="326"/>
      <c r="CL56" s="326"/>
      <c r="CM56" s="326"/>
      <c r="CN56" s="326"/>
      <c r="CO56" s="326"/>
      <c r="CP56" s="827"/>
    </row>
    <row r="57" spans="5:94" x14ac:dyDescent="0.25">
      <c r="H57" s="332"/>
      <c r="I57" s="332"/>
      <c r="J57" s="332"/>
      <c r="Q57" s="326"/>
      <c r="R57" s="326"/>
      <c r="S57" s="326"/>
      <c r="T57" s="326"/>
      <c r="U57" s="326"/>
      <c r="V57" s="326"/>
      <c r="W57" s="326"/>
      <c r="X57" s="326"/>
      <c r="Y57" s="326"/>
      <c r="Z57" s="327"/>
      <c r="AA57" s="327"/>
      <c r="AB57" s="327"/>
      <c r="AC57" s="327"/>
      <c r="AD57" s="327"/>
      <c r="AE57" s="327"/>
      <c r="AF57" s="327"/>
      <c r="AG57" s="327"/>
      <c r="AH57" s="327"/>
      <c r="AI57" s="327"/>
      <c r="AJ57" s="327"/>
      <c r="AK57" s="327"/>
      <c r="AL57" s="327"/>
      <c r="AM57" s="327"/>
      <c r="AN57" s="327"/>
      <c r="AO57" s="327"/>
      <c r="AP57" s="327"/>
      <c r="AQ57" s="327"/>
      <c r="AR57" s="327"/>
      <c r="AS57" s="326"/>
      <c r="AT57" s="326"/>
      <c r="AU57" s="326"/>
      <c r="AV57" s="326"/>
      <c r="AW57" s="326"/>
      <c r="AX57" s="326"/>
      <c r="AY57" s="326"/>
      <c r="AZ57" s="326"/>
      <c r="BA57" s="326"/>
      <c r="BB57" s="326"/>
      <c r="BC57" s="326"/>
      <c r="BD57" s="326"/>
      <c r="BE57" s="326"/>
      <c r="BF57" s="326"/>
      <c r="BG57" s="326"/>
      <c r="BH57" s="326"/>
      <c r="BI57" s="326"/>
      <c r="BJ57" s="326"/>
      <c r="BK57" s="326"/>
      <c r="BL57" s="326"/>
      <c r="BM57" s="326"/>
      <c r="BN57" s="326"/>
      <c r="BO57" s="326"/>
      <c r="BP57" s="326"/>
      <c r="BQ57" s="326"/>
      <c r="BR57" s="326"/>
      <c r="BS57" s="326"/>
      <c r="BT57" s="326"/>
      <c r="BU57" s="326"/>
      <c r="BV57" s="326"/>
      <c r="BW57" s="326"/>
      <c r="BX57" s="326"/>
      <c r="BY57" s="326"/>
      <c r="BZ57" s="326"/>
      <c r="CA57" s="326"/>
      <c r="CB57" s="326"/>
      <c r="CC57" s="326"/>
      <c r="CD57" s="326"/>
      <c r="CE57" s="326"/>
      <c r="CF57" s="326"/>
      <c r="CG57" s="326"/>
      <c r="CH57" s="326"/>
      <c r="CI57" s="326"/>
      <c r="CJ57" s="326"/>
      <c r="CK57" s="326"/>
      <c r="CL57" s="326"/>
      <c r="CM57" s="326"/>
      <c r="CN57" s="326"/>
      <c r="CO57" s="326"/>
      <c r="CP57" s="326"/>
    </row>
    <row r="58" spans="5:94" x14ac:dyDescent="0.25">
      <c r="H58" s="332"/>
      <c r="I58" s="332"/>
      <c r="J58" s="332"/>
      <c r="Q58" s="332"/>
      <c r="R58" s="332"/>
      <c r="S58" s="332"/>
      <c r="T58" s="332"/>
      <c r="U58" s="332"/>
      <c r="V58" s="332"/>
      <c r="W58" s="332"/>
      <c r="X58" s="332"/>
      <c r="Y58" s="332"/>
      <c r="Z58" s="333"/>
      <c r="AA58" s="333"/>
      <c r="AB58" s="333"/>
      <c r="AC58" s="333"/>
      <c r="AD58" s="333"/>
      <c r="AE58" s="333"/>
      <c r="AF58" s="333"/>
      <c r="AG58" s="333"/>
      <c r="AH58" s="333"/>
      <c r="AI58" s="333"/>
      <c r="AJ58" s="333"/>
      <c r="AK58" s="333"/>
      <c r="AL58" s="333"/>
      <c r="AM58" s="333"/>
      <c r="AN58" s="333"/>
      <c r="AO58" s="333"/>
      <c r="AP58" s="333"/>
      <c r="AQ58" s="333"/>
      <c r="AR58" s="333"/>
      <c r="AS58" s="332"/>
      <c r="AT58" s="332"/>
      <c r="AU58" s="332"/>
      <c r="AV58" s="332"/>
      <c r="AW58" s="332"/>
      <c r="AX58" s="332"/>
      <c r="AY58" s="332"/>
      <c r="AZ58" s="332"/>
      <c r="BA58" s="332"/>
      <c r="BB58" s="332"/>
      <c r="BC58" s="332"/>
      <c r="BD58" s="332"/>
      <c r="BE58" s="332"/>
      <c r="BF58" s="332"/>
      <c r="BG58" s="332"/>
      <c r="BH58" s="332"/>
      <c r="BI58" s="332"/>
      <c r="BJ58" s="332"/>
      <c r="BK58" s="332"/>
      <c r="BL58" s="332"/>
      <c r="BM58" s="332"/>
      <c r="BN58" s="332"/>
      <c r="BO58" s="332"/>
      <c r="BP58" s="332"/>
      <c r="BQ58" s="332"/>
      <c r="BR58" s="332"/>
      <c r="BS58" s="332"/>
      <c r="BT58" s="332"/>
      <c r="BU58" s="332"/>
      <c r="BV58" s="332"/>
      <c r="BW58" s="332"/>
      <c r="BX58" s="332"/>
      <c r="BY58" s="332"/>
      <c r="BZ58" s="332"/>
      <c r="CA58" s="332"/>
      <c r="CB58" s="332"/>
      <c r="CC58" s="332"/>
      <c r="CD58" s="332"/>
      <c r="CE58" s="332"/>
      <c r="CF58" s="332"/>
      <c r="CG58" s="332"/>
      <c r="CH58" s="332"/>
      <c r="CI58" s="332"/>
      <c r="CJ58" s="332"/>
      <c r="CK58" s="332"/>
      <c r="CL58" s="332"/>
      <c r="CM58" s="332"/>
      <c r="CN58" s="332"/>
      <c r="CO58" s="332"/>
      <c r="CP58" s="332"/>
    </row>
    <row r="59" spans="5:94" ht="15.75" customHeight="1" x14ac:dyDescent="0.25">
      <c r="H59" s="332"/>
      <c r="I59" s="332"/>
      <c r="J59" s="332"/>
      <c r="Q59" s="326"/>
      <c r="R59" s="326"/>
      <c r="S59" s="326"/>
      <c r="T59" s="326"/>
      <c r="U59" s="329"/>
      <c r="V59" s="329"/>
      <c r="W59" s="329"/>
      <c r="X59" s="329"/>
      <c r="Y59" s="326"/>
      <c r="Z59" s="327"/>
      <c r="AA59" s="327"/>
      <c r="AB59" s="327"/>
      <c r="AC59" s="327"/>
      <c r="AD59" s="327"/>
      <c r="AE59" s="327"/>
      <c r="AF59" s="327"/>
      <c r="AG59" s="327"/>
      <c r="AH59" s="327"/>
      <c r="AI59" s="327"/>
      <c r="AJ59" s="327"/>
      <c r="AK59" s="327"/>
      <c r="AL59" s="327"/>
      <c r="AM59" s="327"/>
      <c r="AN59" s="327"/>
      <c r="AO59" s="327"/>
      <c r="AP59" s="327"/>
      <c r="AQ59" s="327"/>
      <c r="AR59" s="327"/>
      <c r="AS59" s="326"/>
      <c r="AT59" s="326"/>
      <c r="AU59" s="326"/>
      <c r="AV59" s="326"/>
      <c r="AW59" s="326"/>
      <c r="AX59" s="326"/>
      <c r="AY59" s="326"/>
      <c r="AZ59" s="326"/>
      <c r="BA59" s="326"/>
      <c r="BB59" s="326"/>
      <c r="BC59" s="326"/>
      <c r="BD59" s="326"/>
      <c r="BE59" s="326"/>
      <c r="BF59" s="326"/>
      <c r="BG59" s="326"/>
      <c r="BH59" s="326"/>
      <c r="BI59" s="326"/>
      <c r="BJ59" s="326"/>
      <c r="BK59" s="326"/>
      <c r="BL59" s="326"/>
      <c r="BM59" s="326"/>
      <c r="BN59" s="326"/>
      <c r="BO59" s="326"/>
      <c r="BP59" s="326"/>
      <c r="BQ59" s="326"/>
      <c r="BR59" s="326"/>
      <c r="BS59" s="326"/>
      <c r="BT59" s="326"/>
      <c r="BU59" s="326"/>
      <c r="BV59" s="326"/>
      <c r="BW59" s="326"/>
      <c r="BX59" s="326"/>
      <c r="BY59" s="326"/>
      <c r="BZ59" s="326"/>
      <c r="CA59" s="326"/>
      <c r="CB59" s="326"/>
      <c r="CC59" s="326"/>
      <c r="CD59" s="326"/>
      <c r="CE59" s="326"/>
      <c r="CF59" s="326"/>
      <c r="CG59" s="326"/>
      <c r="CH59" s="326"/>
      <c r="CI59" s="326"/>
      <c r="CJ59" s="326"/>
      <c r="CK59" s="326"/>
      <c r="CL59" s="326"/>
      <c r="CM59" s="326"/>
      <c r="CN59" s="326"/>
      <c r="CO59" s="326"/>
      <c r="CP59" s="326"/>
    </row>
    <row r="60" spans="5:94" ht="30" x14ac:dyDescent="0.25">
      <c r="H60" s="338"/>
      <c r="I60" s="338"/>
      <c r="J60" s="338"/>
      <c r="Q60" s="344" t="s">
        <v>68</v>
      </c>
      <c r="R60" s="344"/>
      <c r="S60" s="344"/>
      <c r="T60" s="344"/>
      <c r="U60" s="344"/>
      <c r="V60" s="344"/>
      <c r="W60" s="344"/>
      <c r="X60" s="344"/>
      <c r="Y60" s="344"/>
      <c r="Z60" s="344"/>
      <c r="AA60" s="344"/>
      <c r="AB60" s="344"/>
      <c r="AC60" s="344"/>
      <c r="AD60" s="344"/>
      <c r="AE60" s="344"/>
      <c r="AF60" s="344"/>
      <c r="AG60" s="344"/>
      <c r="AH60" s="344"/>
      <c r="AI60" s="344"/>
      <c r="AJ60" s="344"/>
      <c r="AK60" s="344"/>
      <c r="AL60" s="344"/>
      <c r="AM60" s="344"/>
      <c r="AN60" s="344"/>
      <c r="AO60" s="344"/>
      <c r="AP60" s="344"/>
      <c r="AQ60" s="344"/>
      <c r="AR60" s="344"/>
      <c r="AS60" s="344"/>
      <c r="AT60" s="344"/>
      <c r="AU60" s="344"/>
      <c r="AV60" s="344"/>
      <c r="AW60" s="344"/>
      <c r="AX60" s="344"/>
      <c r="AY60" s="344"/>
      <c r="AZ60" s="344"/>
      <c r="BA60" s="344"/>
      <c r="BB60" s="344"/>
      <c r="BC60" s="344"/>
      <c r="BD60" s="344"/>
      <c r="BE60" s="344"/>
      <c r="BF60" s="344"/>
      <c r="BG60" s="344"/>
      <c r="BH60" s="344"/>
      <c r="BI60" s="344"/>
      <c r="BJ60" s="344"/>
      <c r="BK60" s="344"/>
      <c r="BL60" s="344"/>
      <c r="BM60" s="344"/>
      <c r="BN60" s="344"/>
      <c r="BO60" s="344"/>
      <c r="BP60" s="344"/>
      <c r="BQ60" s="344"/>
      <c r="BR60" s="344"/>
      <c r="BS60" s="344"/>
      <c r="BT60" s="344"/>
      <c r="BU60" s="344"/>
      <c r="BV60" s="344"/>
      <c r="BW60" s="344"/>
      <c r="BX60" s="344"/>
      <c r="BY60" s="344"/>
      <c r="BZ60" s="344"/>
      <c r="CA60" s="344"/>
      <c r="CB60" s="344"/>
      <c r="CC60" s="344"/>
      <c r="CD60" s="344"/>
      <c r="CE60" s="344"/>
      <c r="CF60" s="344"/>
      <c r="CG60" s="344"/>
      <c r="CH60" s="344"/>
      <c r="CI60" s="344"/>
      <c r="CJ60" s="344"/>
      <c r="CK60" s="344"/>
      <c r="CL60" s="344"/>
      <c r="CM60" s="344"/>
      <c r="CN60" s="344"/>
      <c r="CO60" s="344"/>
      <c r="CP60" s="344"/>
    </row>
    <row r="61" spans="5:94" ht="18" x14ac:dyDescent="0.25">
      <c r="Q61" s="326"/>
      <c r="R61" s="326"/>
      <c r="S61" s="326"/>
      <c r="T61" s="326"/>
      <c r="U61" s="329"/>
      <c r="V61" s="329"/>
      <c r="W61" s="329"/>
      <c r="X61" s="329"/>
      <c r="Y61" s="326"/>
      <c r="Z61" s="327"/>
      <c r="AA61" s="327"/>
      <c r="AB61" s="327"/>
      <c r="AC61" s="327"/>
      <c r="AD61" s="327"/>
      <c r="AE61" s="327"/>
      <c r="AF61" s="327"/>
      <c r="AG61" s="327"/>
      <c r="AH61" s="327"/>
      <c r="AI61" s="327"/>
      <c r="AJ61" s="327"/>
      <c r="AK61" s="327"/>
      <c r="AL61" s="327"/>
      <c r="AM61" s="327"/>
      <c r="AN61" s="327"/>
      <c r="AO61" s="327"/>
      <c r="AP61" s="327"/>
      <c r="AQ61" s="327"/>
      <c r="AR61" s="327"/>
      <c r="AS61" s="326"/>
      <c r="AT61" s="326"/>
      <c r="AU61" s="326"/>
      <c r="AV61" s="326"/>
      <c r="AW61" s="326"/>
      <c r="AX61" s="326"/>
      <c r="AY61" s="326"/>
      <c r="AZ61" s="326"/>
      <c r="BA61" s="326"/>
      <c r="BB61" s="326"/>
      <c r="BC61" s="326"/>
      <c r="BD61" s="326"/>
      <c r="BE61" s="326"/>
      <c r="BF61" s="326"/>
      <c r="BG61" s="326"/>
      <c r="BH61" s="326"/>
      <c r="BI61" s="326"/>
      <c r="BJ61" s="326"/>
      <c r="BK61" s="326"/>
      <c r="BL61" s="326"/>
      <c r="BM61" s="326"/>
      <c r="BN61" s="326"/>
      <c r="BO61" s="326"/>
      <c r="BP61" s="326"/>
      <c r="BQ61" s="326"/>
      <c r="BR61" s="326"/>
      <c r="BS61" s="326"/>
      <c r="BT61" s="326"/>
      <c r="BU61" s="326"/>
      <c r="BV61" s="326"/>
      <c r="BW61" s="326"/>
      <c r="BX61" s="326"/>
      <c r="BY61" s="326"/>
      <c r="BZ61" s="326"/>
      <c r="CA61" s="326"/>
      <c r="CB61" s="326"/>
      <c r="CC61" s="326"/>
      <c r="CD61" s="326"/>
      <c r="CE61" s="326"/>
      <c r="CF61" s="326"/>
      <c r="CG61" s="326"/>
      <c r="CH61" s="326"/>
      <c r="CI61" s="326"/>
      <c r="CJ61" s="326"/>
      <c r="CK61" s="326"/>
      <c r="CL61" s="326"/>
      <c r="CM61" s="326"/>
      <c r="CN61" s="326"/>
      <c r="CO61" s="326"/>
      <c r="CP61" s="326"/>
    </row>
    <row r="62" spans="5:94" ht="18" x14ac:dyDescent="0.25">
      <c r="Q62" s="326"/>
      <c r="R62" s="326"/>
      <c r="S62" s="326"/>
      <c r="T62" s="326"/>
      <c r="U62" s="329"/>
      <c r="V62" s="329"/>
      <c r="W62" s="329"/>
      <c r="X62" s="329"/>
      <c r="Y62" s="326"/>
      <c r="Z62" s="1167" t="s">
        <v>69</v>
      </c>
      <c r="AA62" s="1167"/>
      <c r="AB62" s="1167"/>
      <c r="AC62" s="1167"/>
      <c r="AD62" s="1167"/>
      <c r="AE62" s="1167"/>
      <c r="AF62" s="1167"/>
      <c r="AG62" s="1167"/>
      <c r="AH62" s="1167"/>
      <c r="AI62" s="1167"/>
      <c r="AJ62" s="326"/>
      <c r="AK62" s="326"/>
      <c r="AL62" s="1172" t="str">
        <f ca="1">INDIRECT(dms_Model)</f>
        <v>Annual Reporting</v>
      </c>
      <c r="AM62" s="1172"/>
      <c r="AN62" s="1172"/>
      <c r="AO62" s="1172"/>
      <c r="AP62" s="1172"/>
      <c r="AQ62" s="1172"/>
      <c r="AR62" s="1172"/>
      <c r="AS62" s="1172"/>
      <c r="AT62" s="1172"/>
      <c r="AU62" s="1172"/>
      <c r="AV62" s="1172"/>
      <c r="AW62" s="1172"/>
      <c r="AX62" s="1172"/>
      <c r="AY62" s="1172"/>
      <c r="AZ62" s="1172"/>
      <c r="BA62" s="1172"/>
      <c r="BB62" s="326"/>
      <c r="BC62" s="326"/>
      <c r="BD62" s="326"/>
      <c r="BE62" s="326"/>
      <c r="BF62" s="326"/>
      <c r="BG62" s="326"/>
      <c r="BH62" s="326"/>
      <c r="BI62" s="326"/>
      <c r="BJ62" s="326"/>
      <c r="BK62" s="326"/>
      <c r="BL62" s="326"/>
      <c r="BM62" s="326"/>
      <c r="BN62" s="326"/>
      <c r="BO62" s="326"/>
      <c r="BP62" s="326"/>
      <c r="BQ62" s="326"/>
      <c r="BR62" s="326"/>
      <c r="BS62" s="326"/>
      <c r="BT62" s="326"/>
      <c r="BU62" s="326"/>
      <c r="BV62" s="326"/>
      <c r="BW62" s="326"/>
      <c r="BX62" s="326"/>
      <c r="BY62" s="326"/>
      <c r="BZ62" s="326"/>
      <c r="CA62" s="326"/>
      <c r="CB62" s="326"/>
      <c r="CC62" s="326"/>
      <c r="CD62" s="326"/>
      <c r="CE62" s="326"/>
      <c r="CF62" s="326"/>
      <c r="CG62" s="326"/>
      <c r="CH62" s="326"/>
      <c r="CI62" s="326"/>
      <c r="CJ62" s="326"/>
      <c r="CK62" s="326"/>
      <c r="CL62" s="326"/>
      <c r="CM62" s="326"/>
      <c r="CN62" s="326"/>
      <c r="CO62" s="326"/>
      <c r="CP62" s="326"/>
    </row>
    <row r="63" spans="5:94" ht="18" x14ac:dyDescent="0.25">
      <c r="Q63" s="326"/>
      <c r="R63" s="326"/>
      <c r="S63" s="326"/>
      <c r="T63" s="326"/>
      <c r="U63" s="329"/>
      <c r="V63" s="329"/>
      <c r="W63" s="329"/>
      <c r="X63" s="329"/>
      <c r="Y63" s="326"/>
      <c r="Z63" s="327"/>
      <c r="AA63" s="327"/>
      <c r="AB63" s="327"/>
      <c r="AC63" s="327"/>
      <c r="AD63" s="327"/>
      <c r="AE63" s="327"/>
      <c r="AF63" s="327"/>
      <c r="AG63" s="327"/>
      <c r="AH63" s="327"/>
      <c r="AI63" s="327"/>
      <c r="AJ63" s="327"/>
      <c r="AK63" s="327"/>
      <c r="AL63" s="327"/>
      <c r="AM63" s="327"/>
      <c r="AN63" s="327"/>
      <c r="AO63" s="327"/>
      <c r="AP63" s="327"/>
      <c r="AQ63" s="327"/>
      <c r="AR63" s="327"/>
      <c r="AS63" s="326"/>
      <c r="AT63" s="326"/>
      <c r="AU63" s="326"/>
      <c r="AV63" s="326"/>
      <c r="AW63" s="326"/>
      <c r="AX63" s="326"/>
      <c r="AY63" s="326"/>
      <c r="AZ63" s="326"/>
      <c r="BA63" s="326"/>
      <c r="BB63" s="326"/>
      <c r="BC63" s="326"/>
      <c r="BD63" s="326"/>
      <c r="BE63" s="326"/>
      <c r="BF63" s="326"/>
      <c r="BG63" s="326"/>
      <c r="BH63" s="326"/>
      <c r="BI63" s="326"/>
      <c r="BJ63" s="326"/>
      <c r="BK63" s="326"/>
      <c r="BL63" s="326"/>
      <c r="BM63" s="326"/>
      <c r="BN63" s="326"/>
      <c r="BO63" s="326"/>
      <c r="BP63" s="326"/>
      <c r="BQ63" s="326"/>
      <c r="BR63" s="326"/>
      <c r="BS63" s="326"/>
      <c r="BT63" s="326"/>
      <c r="BU63" s="326"/>
      <c r="BV63" s="326"/>
      <c r="BW63" s="326"/>
      <c r="BX63" s="326"/>
      <c r="BY63" s="326"/>
      <c r="BZ63" s="326"/>
      <c r="CA63" s="326"/>
      <c r="CB63" s="326"/>
      <c r="CC63" s="326"/>
      <c r="CD63" s="326"/>
      <c r="CE63" s="326"/>
      <c r="CF63" s="326"/>
      <c r="CG63" s="326"/>
      <c r="CH63" s="326"/>
      <c r="CI63" s="326"/>
      <c r="CJ63" s="326"/>
      <c r="CK63" s="326"/>
      <c r="CL63" s="326"/>
      <c r="CM63" s="326"/>
      <c r="CN63" s="326"/>
      <c r="CO63" s="326"/>
      <c r="CP63" s="326"/>
    </row>
    <row r="64" spans="5:94" ht="15.75" customHeight="1" x14ac:dyDescent="0.25">
      <c r="H64" s="332"/>
      <c r="I64" s="332"/>
      <c r="J64" s="332"/>
      <c r="Q64" s="827"/>
      <c r="R64" s="827"/>
      <c r="S64" s="827"/>
      <c r="T64" s="827"/>
      <c r="U64" s="827"/>
      <c r="V64" s="827"/>
      <c r="W64" s="327"/>
      <c r="X64" s="327"/>
      <c r="Y64" s="327"/>
      <c r="Z64" s="1167" t="s">
        <v>70</v>
      </c>
      <c r="AA64" s="1167"/>
      <c r="AB64" s="1167"/>
      <c r="AC64" s="1167"/>
      <c r="AD64" s="1167"/>
      <c r="AE64" s="1167"/>
      <c r="AF64" s="1167"/>
      <c r="AG64" s="1167"/>
      <c r="AH64" s="1167"/>
      <c r="AI64" s="1167"/>
      <c r="AJ64" s="326"/>
      <c r="AK64" s="326"/>
      <c r="AL64" s="1175" t="s">
        <v>71</v>
      </c>
      <c r="AM64" s="1175"/>
      <c r="AN64" s="1175"/>
      <c r="AO64" s="1175"/>
      <c r="AP64" s="1175"/>
      <c r="AQ64" s="1175"/>
      <c r="AR64" s="1175"/>
      <c r="AS64" s="1175"/>
      <c r="AT64" s="1175"/>
      <c r="AU64" s="1175"/>
      <c r="AV64" s="1175"/>
      <c r="AW64" s="1175"/>
      <c r="AX64" s="1175"/>
      <c r="AY64" s="1175"/>
      <c r="AZ64" s="1175"/>
      <c r="BA64" s="1175"/>
      <c r="BB64" s="326"/>
      <c r="BC64" s="326"/>
      <c r="BD64" s="326"/>
      <c r="BE64" s="326"/>
      <c r="BF64" s="326"/>
      <c r="BG64" s="326"/>
      <c r="BH64" s="326"/>
      <c r="BI64" s="326"/>
      <c r="BJ64" s="326"/>
      <c r="BK64" s="326"/>
      <c r="BL64" s="326"/>
      <c r="BM64" s="326"/>
      <c r="BN64" s="326"/>
      <c r="BO64" s="326"/>
      <c r="BP64" s="326"/>
      <c r="BQ64" s="326"/>
      <c r="BR64" s="326"/>
      <c r="BS64" s="326"/>
      <c r="BT64" s="326"/>
      <c r="BU64" s="326"/>
      <c r="BV64" s="326"/>
      <c r="BW64" s="326"/>
      <c r="BX64" s="326"/>
      <c r="BY64" s="326"/>
      <c r="BZ64" s="326"/>
      <c r="CA64" s="326"/>
      <c r="CB64" s="326"/>
      <c r="CC64" s="326"/>
      <c r="CD64" s="326"/>
      <c r="CE64" s="326"/>
      <c r="CF64" s="326"/>
      <c r="CG64" s="326"/>
      <c r="CH64" s="326"/>
      <c r="CI64" s="326"/>
      <c r="CJ64" s="326"/>
      <c r="CK64" s="326"/>
      <c r="CL64" s="326"/>
      <c r="CM64" s="326"/>
      <c r="CN64" s="326"/>
      <c r="CO64" s="326"/>
      <c r="CP64" s="326"/>
    </row>
    <row r="65" spans="8:94" ht="15" customHeight="1" x14ac:dyDescent="0.25">
      <c r="H65" s="332"/>
      <c r="I65" s="332"/>
      <c r="J65" s="332"/>
      <c r="Q65" s="827"/>
      <c r="R65" s="827"/>
      <c r="S65" s="827"/>
      <c r="T65" s="827"/>
      <c r="U65" s="827"/>
      <c r="V65" s="827"/>
      <c r="W65" s="327"/>
      <c r="X65" s="327"/>
      <c r="Y65" s="327"/>
      <c r="Z65" s="327"/>
      <c r="AA65" s="327"/>
      <c r="AB65" s="327"/>
      <c r="AC65" s="327"/>
      <c r="AD65" s="327"/>
      <c r="AE65" s="327"/>
      <c r="AF65" s="327"/>
      <c r="AG65" s="327"/>
      <c r="AH65" s="327"/>
      <c r="AI65" s="326"/>
      <c r="AJ65" s="326"/>
      <c r="AK65" s="326"/>
      <c r="AL65" s="326"/>
      <c r="AM65" s="326"/>
      <c r="AN65" s="326"/>
      <c r="AO65" s="326"/>
      <c r="AP65" s="326"/>
      <c r="AQ65" s="326"/>
      <c r="AR65" s="326"/>
      <c r="AS65" s="326"/>
      <c r="AT65" s="326"/>
      <c r="AU65" s="326"/>
      <c r="AV65" s="326"/>
      <c r="AW65" s="326"/>
      <c r="AX65" s="326"/>
      <c r="AY65" s="326"/>
      <c r="AZ65" s="326"/>
      <c r="BA65" s="326"/>
      <c r="BB65" s="326"/>
      <c r="BC65" s="326"/>
      <c r="BD65" s="326"/>
      <c r="BE65" s="326"/>
      <c r="BF65" s="326"/>
      <c r="BG65" s="326"/>
      <c r="BH65" s="326"/>
      <c r="BI65" s="326"/>
      <c r="BJ65" s="326"/>
      <c r="BK65" s="326"/>
      <c r="BL65" s="326"/>
      <c r="BM65" s="326"/>
      <c r="BN65" s="326"/>
      <c r="BO65" s="326"/>
      <c r="BP65" s="326"/>
      <c r="BQ65" s="326"/>
      <c r="BR65" s="326"/>
      <c r="BS65" s="326"/>
      <c r="BT65" s="326"/>
      <c r="BU65" s="326"/>
      <c r="BV65" s="326"/>
      <c r="BW65" s="326"/>
      <c r="BX65" s="326"/>
      <c r="BY65" s="326"/>
      <c r="BZ65" s="326"/>
      <c r="CA65" s="326"/>
      <c r="CB65" s="326"/>
      <c r="CC65" s="326"/>
      <c r="CD65" s="326"/>
      <c r="CE65" s="326"/>
      <c r="CF65" s="326"/>
      <c r="CG65" s="326"/>
      <c r="CH65" s="326"/>
      <c r="CI65" s="326"/>
      <c r="CJ65" s="326"/>
      <c r="CK65" s="326"/>
      <c r="CL65" s="326"/>
      <c r="CM65" s="326"/>
      <c r="CN65" s="326"/>
      <c r="CO65" s="326"/>
      <c r="CP65" s="326"/>
    </row>
    <row r="66" spans="8:94" ht="15.75" customHeight="1" x14ac:dyDescent="0.25">
      <c r="H66" s="332"/>
      <c r="I66" s="332"/>
      <c r="J66" s="332"/>
      <c r="Q66" s="827"/>
      <c r="R66" s="827"/>
      <c r="S66" s="827"/>
      <c r="T66" s="827"/>
      <c r="U66" s="827"/>
      <c r="V66" s="827"/>
      <c r="W66" s="827"/>
      <c r="X66" s="827" t="s">
        <v>72</v>
      </c>
      <c r="Y66" s="327"/>
      <c r="Z66" s="1167" t="s">
        <v>73</v>
      </c>
      <c r="AA66" s="1167"/>
      <c r="AB66" s="1167"/>
      <c r="AC66" s="1167"/>
      <c r="AD66" s="1167"/>
      <c r="AE66" s="1167"/>
      <c r="AF66" s="1167"/>
      <c r="AG66" s="1167"/>
      <c r="AH66" s="1167"/>
      <c r="AI66" s="1167"/>
      <c r="AJ66" s="326"/>
      <c r="AK66" s="326"/>
      <c r="AL66" s="1175" t="s">
        <v>74</v>
      </c>
      <c r="AM66" s="1175"/>
      <c r="AN66" s="1175"/>
      <c r="AO66" s="1175"/>
      <c r="AP66" s="1175"/>
      <c r="AQ66" s="1175"/>
      <c r="AR66" s="1175"/>
      <c r="AS66" s="1175"/>
      <c r="AT66" s="1175"/>
      <c r="AU66" s="1175"/>
      <c r="AV66" s="1175"/>
      <c r="AW66" s="1175"/>
      <c r="AX66" s="1175"/>
      <c r="AY66" s="1175"/>
      <c r="AZ66" s="1175"/>
      <c r="BA66" s="1175"/>
      <c r="BB66" s="326"/>
      <c r="BC66" s="326"/>
      <c r="BD66" s="326"/>
      <c r="BE66" s="326"/>
      <c r="BF66" s="326"/>
      <c r="BG66" s="326"/>
      <c r="BH66" s="326"/>
      <c r="BI66" s="326"/>
      <c r="BJ66" s="326"/>
      <c r="BK66" s="326"/>
      <c r="BL66" s="326"/>
      <c r="BM66" s="326"/>
      <c r="BN66" s="326"/>
      <c r="BO66" s="326"/>
      <c r="BP66" s="326"/>
      <c r="BQ66" s="326"/>
      <c r="BR66" s="326"/>
      <c r="BS66" s="326"/>
      <c r="BT66" s="326"/>
      <c r="BU66" s="326"/>
      <c r="BV66" s="326"/>
      <c r="BW66" s="326"/>
      <c r="BX66" s="326"/>
      <c r="BY66" s="326"/>
      <c r="BZ66" s="326"/>
      <c r="CA66" s="326"/>
      <c r="CB66" s="326"/>
      <c r="CC66" s="326"/>
      <c r="CD66" s="326"/>
      <c r="CE66" s="326"/>
      <c r="CF66" s="326"/>
      <c r="CG66" s="326"/>
      <c r="CH66" s="326"/>
      <c r="CI66" s="326"/>
      <c r="CJ66" s="326"/>
      <c r="CK66" s="326"/>
      <c r="CL66" s="326"/>
      <c r="CM66" s="326"/>
      <c r="CN66" s="326"/>
      <c r="CO66" s="327"/>
      <c r="CP66" s="827"/>
    </row>
    <row r="67" spans="8:94" ht="15" customHeight="1" x14ac:dyDescent="0.25">
      <c r="H67" s="332"/>
      <c r="I67" s="332"/>
      <c r="J67" s="332"/>
      <c r="Q67" s="827"/>
      <c r="R67" s="827"/>
      <c r="S67" s="827"/>
      <c r="T67" s="827"/>
      <c r="U67" s="827"/>
      <c r="V67" s="827"/>
      <c r="W67" s="327"/>
      <c r="X67" s="327"/>
      <c r="Y67" s="327"/>
      <c r="Z67" s="327"/>
      <c r="AA67" s="327"/>
      <c r="AB67" s="327"/>
      <c r="AC67" s="327"/>
      <c r="AD67" s="327"/>
      <c r="AE67" s="327"/>
      <c r="AF67" s="327"/>
      <c r="AG67" s="327"/>
      <c r="AH67" s="327"/>
      <c r="AI67" s="326"/>
      <c r="AJ67" s="326"/>
      <c r="AK67" s="326"/>
      <c r="AL67" s="326"/>
      <c r="AM67" s="326"/>
      <c r="AN67" s="326"/>
      <c r="AO67" s="326"/>
      <c r="AP67" s="326"/>
      <c r="AQ67" s="326"/>
      <c r="AR67" s="326"/>
      <c r="AS67" s="326"/>
      <c r="AT67" s="326"/>
      <c r="AU67" s="326"/>
      <c r="AV67" s="326"/>
      <c r="AW67" s="326"/>
      <c r="AX67" s="326"/>
      <c r="AY67" s="326"/>
      <c r="AZ67" s="326"/>
      <c r="BA67" s="326"/>
      <c r="BB67" s="326"/>
      <c r="BC67" s="326"/>
      <c r="BD67" s="326"/>
      <c r="BE67" s="326"/>
      <c r="BF67" s="326"/>
      <c r="BG67" s="326"/>
      <c r="BH67" s="326"/>
      <c r="BI67" s="326"/>
      <c r="BJ67" s="326"/>
      <c r="BK67" s="326"/>
      <c r="BL67" s="326"/>
      <c r="BM67" s="326"/>
      <c r="BN67" s="326"/>
      <c r="BO67" s="326"/>
      <c r="BP67" s="326"/>
      <c r="BQ67" s="326"/>
      <c r="BR67" s="326"/>
      <c r="BS67" s="326"/>
      <c r="BT67" s="326"/>
      <c r="BU67" s="326"/>
      <c r="BV67" s="326"/>
      <c r="BW67" s="326"/>
      <c r="BX67" s="326"/>
      <c r="BY67" s="326"/>
      <c r="BZ67" s="326"/>
      <c r="CA67" s="326"/>
      <c r="CB67" s="326"/>
      <c r="CC67" s="326"/>
      <c r="CD67" s="326"/>
      <c r="CE67" s="326"/>
      <c r="CF67" s="326"/>
      <c r="CG67" s="326"/>
      <c r="CH67" s="326"/>
      <c r="CI67" s="326"/>
      <c r="CJ67" s="326"/>
      <c r="CK67" s="326"/>
      <c r="CL67" s="326"/>
      <c r="CM67" s="326"/>
      <c r="CN67" s="326"/>
      <c r="CO67" s="327"/>
      <c r="CP67" s="827"/>
    </row>
    <row r="68" spans="8:94" ht="15.75" customHeight="1" x14ac:dyDescent="0.25">
      <c r="H68" s="332"/>
      <c r="I68" s="332"/>
      <c r="J68" s="332"/>
      <c r="Q68" s="827"/>
      <c r="R68" s="827"/>
      <c r="S68" s="827"/>
      <c r="T68" s="827"/>
      <c r="U68" s="827"/>
      <c r="V68" s="827"/>
      <c r="W68" s="327"/>
      <c r="X68" s="327"/>
      <c r="Y68" s="327"/>
      <c r="Z68" s="1167" t="s">
        <v>75</v>
      </c>
      <c r="AA68" s="1167"/>
      <c r="AB68" s="1167"/>
      <c r="AC68" s="1167"/>
      <c r="AD68" s="1167"/>
      <c r="AE68" s="1167"/>
      <c r="AF68" s="1167"/>
      <c r="AG68" s="1167"/>
      <c r="AH68" s="1167"/>
      <c r="AI68" s="1167"/>
      <c r="AJ68" s="326"/>
      <c r="AK68" s="326"/>
      <c r="AL68" s="1175" t="s">
        <v>76</v>
      </c>
      <c r="AM68" s="1175"/>
      <c r="AN68" s="1175"/>
      <c r="AO68" s="1175"/>
      <c r="AP68" s="1175"/>
      <c r="AQ68" s="1175"/>
      <c r="AR68" s="1175"/>
      <c r="AS68" s="1175"/>
      <c r="AT68" s="1175"/>
      <c r="AU68" s="1175"/>
      <c r="AV68" s="1175"/>
      <c r="AW68" s="1175"/>
      <c r="AX68" s="1175"/>
      <c r="AY68" s="1175"/>
      <c r="AZ68" s="1175"/>
      <c r="BA68" s="1175"/>
      <c r="BB68" s="326"/>
      <c r="BC68" s="326"/>
      <c r="BD68" s="326"/>
      <c r="BE68" s="326"/>
      <c r="BF68" s="326"/>
      <c r="BG68" s="326"/>
      <c r="BH68" s="326"/>
      <c r="BI68" s="326"/>
      <c r="BJ68" s="326"/>
      <c r="BK68" s="326"/>
      <c r="BL68" s="326"/>
      <c r="BM68" s="326"/>
      <c r="BN68" s="326"/>
      <c r="BO68" s="326"/>
      <c r="BP68" s="326"/>
      <c r="BQ68" s="326"/>
      <c r="BR68" s="326"/>
      <c r="BS68" s="326"/>
      <c r="BT68" s="326"/>
      <c r="BU68" s="326"/>
      <c r="BV68" s="326"/>
      <c r="BW68" s="326"/>
      <c r="BX68" s="326"/>
      <c r="BY68" s="326"/>
      <c r="BZ68" s="326"/>
      <c r="CA68" s="326"/>
      <c r="CB68" s="326"/>
      <c r="CC68" s="326"/>
      <c r="CD68" s="326"/>
      <c r="CE68" s="326"/>
      <c r="CF68" s="326"/>
      <c r="CG68" s="326"/>
      <c r="CH68" s="326"/>
      <c r="CI68" s="326"/>
      <c r="CJ68" s="326"/>
      <c r="CK68" s="326"/>
      <c r="CL68" s="326"/>
      <c r="CM68" s="326"/>
      <c r="CN68" s="326"/>
      <c r="CO68" s="327"/>
      <c r="CP68" s="827"/>
    </row>
    <row r="69" spans="8:94" ht="15" customHeight="1" x14ac:dyDescent="0.25">
      <c r="H69" s="332"/>
      <c r="I69" s="332"/>
      <c r="J69" s="332"/>
      <c r="Q69" s="827"/>
      <c r="R69" s="827"/>
      <c r="S69" s="827"/>
      <c r="T69" s="827"/>
      <c r="U69" s="827"/>
      <c r="V69" s="827"/>
      <c r="W69" s="327"/>
      <c r="X69" s="327"/>
      <c r="Y69" s="327"/>
      <c r="Z69" s="327"/>
      <c r="AA69" s="327"/>
      <c r="AB69" s="327"/>
      <c r="AC69" s="327"/>
      <c r="AD69" s="327"/>
      <c r="AE69" s="327"/>
      <c r="AF69" s="327"/>
      <c r="AG69" s="327"/>
      <c r="AH69" s="327"/>
      <c r="AI69" s="326"/>
      <c r="AJ69" s="326"/>
      <c r="AK69" s="326"/>
      <c r="AL69" s="326"/>
      <c r="AM69" s="326"/>
      <c r="AN69" s="326"/>
      <c r="AO69" s="326"/>
      <c r="AP69" s="326"/>
      <c r="AQ69" s="326"/>
      <c r="AR69" s="326"/>
      <c r="AS69" s="326"/>
      <c r="AT69" s="326"/>
      <c r="AU69" s="326"/>
      <c r="AV69" s="326"/>
      <c r="AW69" s="326"/>
      <c r="AX69" s="326"/>
      <c r="AY69" s="326"/>
      <c r="AZ69" s="326"/>
      <c r="BA69" s="326"/>
      <c r="BB69" s="326"/>
      <c r="BC69" s="326"/>
      <c r="BD69" s="326"/>
      <c r="BE69" s="326"/>
      <c r="BF69" s="326"/>
      <c r="BG69" s="326"/>
      <c r="BH69" s="326"/>
      <c r="BI69" s="326"/>
      <c r="BJ69" s="326"/>
      <c r="BK69" s="326"/>
      <c r="BL69" s="326"/>
      <c r="BM69" s="326"/>
      <c r="BN69" s="326"/>
      <c r="BO69" s="326"/>
      <c r="BP69" s="326"/>
      <c r="BQ69" s="326"/>
      <c r="BR69" s="326"/>
      <c r="BS69" s="326"/>
      <c r="BT69" s="326"/>
      <c r="BU69" s="326"/>
      <c r="BV69" s="326"/>
      <c r="BW69" s="326"/>
      <c r="BX69" s="326"/>
      <c r="BY69" s="326"/>
      <c r="BZ69" s="326"/>
      <c r="CA69" s="326"/>
      <c r="CB69" s="326"/>
      <c r="CC69" s="326"/>
      <c r="CD69" s="326"/>
      <c r="CE69" s="326"/>
      <c r="CF69" s="326"/>
      <c r="CG69" s="326"/>
      <c r="CH69" s="326"/>
      <c r="CI69" s="326"/>
      <c r="CJ69" s="326"/>
      <c r="CK69" s="326"/>
      <c r="CL69" s="326"/>
      <c r="CM69" s="326"/>
      <c r="CN69" s="326"/>
      <c r="CO69" s="327"/>
      <c r="CP69" s="827"/>
    </row>
    <row r="70" spans="8:94" ht="15" customHeight="1" x14ac:dyDescent="0.25">
      <c r="H70" s="332"/>
      <c r="I70" s="332"/>
      <c r="J70" s="332"/>
      <c r="Q70" s="827"/>
      <c r="R70" s="827"/>
      <c r="S70" s="827"/>
      <c r="T70" s="827"/>
      <c r="U70" s="827"/>
      <c r="V70" s="827"/>
      <c r="W70" s="327"/>
      <c r="X70" s="327"/>
      <c r="Y70" s="327"/>
      <c r="Z70" s="1174" t="s">
        <v>77</v>
      </c>
      <c r="AA70" s="1174"/>
      <c r="AB70" s="1174"/>
      <c r="AC70" s="1174"/>
      <c r="AD70" s="1174"/>
      <c r="AE70" s="1174"/>
      <c r="AF70" s="1174"/>
      <c r="AG70" s="1174"/>
      <c r="AH70" s="1174"/>
      <c r="AI70" s="1174"/>
      <c r="AJ70" s="326"/>
      <c r="AK70" s="326"/>
      <c r="AL70" s="1173" t="s">
        <v>78</v>
      </c>
      <c r="AM70" s="1173"/>
      <c r="AN70" s="1173"/>
      <c r="AO70" s="1173"/>
      <c r="AP70" s="1173"/>
      <c r="AQ70" s="1173"/>
      <c r="AR70" s="1173"/>
      <c r="AS70" s="1173"/>
      <c r="AT70" s="1173"/>
      <c r="AU70" s="1173"/>
      <c r="AV70" s="1173"/>
      <c r="AW70" s="1173"/>
      <c r="AX70" s="1173"/>
      <c r="AY70" s="1173"/>
      <c r="AZ70" s="1173"/>
      <c r="BA70" s="1173"/>
      <c r="BB70" s="1173"/>
      <c r="BC70" s="1173"/>
      <c r="BD70" s="1173"/>
      <c r="BE70" s="1173"/>
      <c r="BF70" s="1173"/>
      <c r="BG70" s="1173"/>
      <c r="BH70" s="1173"/>
      <c r="BI70" s="1173"/>
      <c r="BJ70" s="1173"/>
      <c r="BK70" s="1173"/>
      <c r="BL70" s="1173"/>
      <c r="BM70" s="1173"/>
      <c r="BN70" s="1173"/>
      <c r="BO70" s="1173"/>
      <c r="BP70" s="1173"/>
      <c r="BQ70" s="1173"/>
      <c r="BR70" s="1173"/>
      <c r="BS70" s="1173"/>
      <c r="BT70" s="1173"/>
      <c r="BU70" s="1173"/>
      <c r="BV70" s="1173"/>
      <c r="BW70" s="1173"/>
      <c r="BX70" s="1173"/>
      <c r="BY70" s="1173"/>
      <c r="BZ70" s="1173"/>
      <c r="CA70" s="1173"/>
      <c r="CB70" s="1173"/>
      <c r="CC70" s="1173"/>
      <c r="CD70" s="1173"/>
      <c r="CE70" s="326"/>
      <c r="CF70" s="326"/>
      <c r="CG70" s="326"/>
      <c r="CH70" s="326"/>
      <c r="CI70" s="326"/>
      <c r="CJ70" s="326"/>
      <c r="CK70" s="326"/>
      <c r="CL70" s="326"/>
      <c r="CM70" s="326"/>
      <c r="CN70" s="326"/>
      <c r="CO70" s="327"/>
      <c r="CP70" s="827"/>
    </row>
    <row r="71" spans="8:94" ht="15" customHeight="1" x14ac:dyDescent="0.25">
      <c r="H71" s="332"/>
      <c r="I71" s="332"/>
      <c r="J71" s="332"/>
      <c r="Q71" s="827"/>
      <c r="R71" s="827"/>
      <c r="S71" s="827"/>
      <c r="T71" s="827"/>
      <c r="U71" s="827"/>
      <c r="V71" s="827"/>
      <c r="W71" s="327"/>
      <c r="X71" s="327"/>
      <c r="Y71" s="327"/>
      <c r="Z71" s="1174"/>
      <c r="AA71" s="1174"/>
      <c r="AB71" s="1174"/>
      <c r="AC71" s="1174"/>
      <c r="AD71" s="1174"/>
      <c r="AE71" s="1174"/>
      <c r="AF71" s="1174"/>
      <c r="AG71" s="1174"/>
      <c r="AH71" s="1174"/>
      <c r="AI71" s="1174"/>
      <c r="AJ71" s="326"/>
      <c r="AK71" s="326"/>
      <c r="AL71" s="1173"/>
      <c r="AM71" s="1173"/>
      <c r="AN71" s="1173"/>
      <c r="AO71" s="1173"/>
      <c r="AP71" s="1173"/>
      <c r="AQ71" s="1173"/>
      <c r="AR71" s="1173"/>
      <c r="AS71" s="1173"/>
      <c r="AT71" s="1173"/>
      <c r="AU71" s="1173"/>
      <c r="AV71" s="1173"/>
      <c r="AW71" s="1173"/>
      <c r="AX71" s="1173"/>
      <c r="AY71" s="1173"/>
      <c r="AZ71" s="1173"/>
      <c r="BA71" s="1173"/>
      <c r="BB71" s="1173"/>
      <c r="BC71" s="1173"/>
      <c r="BD71" s="1173"/>
      <c r="BE71" s="1173"/>
      <c r="BF71" s="1173"/>
      <c r="BG71" s="1173"/>
      <c r="BH71" s="1173"/>
      <c r="BI71" s="1173"/>
      <c r="BJ71" s="1173"/>
      <c r="BK71" s="1173"/>
      <c r="BL71" s="1173"/>
      <c r="BM71" s="1173"/>
      <c r="BN71" s="1173"/>
      <c r="BO71" s="1173"/>
      <c r="BP71" s="1173"/>
      <c r="BQ71" s="1173"/>
      <c r="BR71" s="1173"/>
      <c r="BS71" s="1173"/>
      <c r="BT71" s="1173"/>
      <c r="BU71" s="1173"/>
      <c r="BV71" s="1173"/>
      <c r="BW71" s="1173"/>
      <c r="BX71" s="1173"/>
      <c r="BY71" s="1173"/>
      <c r="BZ71" s="1173"/>
      <c r="CA71" s="1173"/>
      <c r="CB71" s="1173"/>
      <c r="CC71" s="1173"/>
      <c r="CD71" s="1173"/>
      <c r="CE71" s="326"/>
      <c r="CF71" s="326"/>
      <c r="CG71" s="326"/>
      <c r="CH71" s="326"/>
      <c r="CI71" s="326"/>
      <c r="CJ71" s="326"/>
      <c r="CK71" s="326"/>
      <c r="CL71" s="326"/>
      <c r="CM71" s="326"/>
      <c r="CN71" s="326"/>
      <c r="CO71" s="327"/>
      <c r="CP71" s="827"/>
    </row>
    <row r="72" spans="8:94" ht="15" customHeight="1" x14ac:dyDescent="0.25">
      <c r="H72" s="332"/>
      <c r="I72" s="332"/>
      <c r="J72" s="332"/>
      <c r="Q72" s="827"/>
      <c r="R72" s="827"/>
      <c r="S72" s="827"/>
      <c r="T72" s="827"/>
      <c r="U72" s="827"/>
      <c r="V72" s="827"/>
      <c r="W72" s="327"/>
      <c r="X72" s="327"/>
      <c r="Y72" s="327"/>
      <c r="Z72" s="1174"/>
      <c r="AA72" s="1174"/>
      <c r="AB72" s="1174"/>
      <c r="AC72" s="1174"/>
      <c r="AD72" s="1174"/>
      <c r="AE72" s="1174"/>
      <c r="AF72" s="1174"/>
      <c r="AG72" s="1174"/>
      <c r="AH72" s="1174"/>
      <c r="AI72" s="1174"/>
      <c r="AJ72" s="326"/>
      <c r="AK72" s="326"/>
      <c r="AL72" s="1173"/>
      <c r="AM72" s="1173"/>
      <c r="AN72" s="1173"/>
      <c r="AO72" s="1173"/>
      <c r="AP72" s="1173"/>
      <c r="AQ72" s="1173"/>
      <c r="AR72" s="1173"/>
      <c r="AS72" s="1173"/>
      <c r="AT72" s="1173"/>
      <c r="AU72" s="1173"/>
      <c r="AV72" s="1173"/>
      <c r="AW72" s="1173"/>
      <c r="AX72" s="1173"/>
      <c r="AY72" s="1173"/>
      <c r="AZ72" s="1173"/>
      <c r="BA72" s="1173"/>
      <c r="BB72" s="1173"/>
      <c r="BC72" s="1173"/>
      <c r="BD72" s="1173"/>
      <c r="BE72" s="1173"/>
      <c r="BF72" s="1173"/>
      <c r="BG72" s="1173"/>
      <c r="BH72" s="1173"/>
      <c r="BI72" s="1173"/>
      <c r="BJ72" s="1173"/>
      <c r="BK72" s="1173"/>
      <c r="BL72" s="1173"/>
      <c r="BM72" s="1173"/>
      <c r="BN72" s="1173"/>
      <c r="BO72" s="1173"/>
      <c r="BP72" s="1173"/>
      <c r="BQ72" s="1173"/>
      <c r="BR72" s="1173"/>
      <c r="BS72" s="1173"/>
      <c r="BT72" s="1173"/>
      <c r="BU72" s="1173"/>
      <c r="BV72" s="1173"/>
      <c r="BW72" s="1173"/>
      <c r="BX72" s="1173"/>
      <c r="BY72" s="1173"/>
      <c r="BZ72" s="1173"/>
      <c r="CA72" s="1173"/>
      <c r="CB72" s="1173"/>
      <c r="CC72" s="1173"/>
      <c r="CD72" s="1173"/>
      <c r="CE72" s="326"/>
      <c r="CF72" s="326"/>
      <c r="CG72" s="326"/>
      <c r="CH72" s="326"/>
      <c r="CI72" s="326"/>
      <c r="CJ72" s="326"/>
      <c r="CK72" s="326"/>
      <c r="CL72" s="326"/>
      <c r="CM72" s="326"/>
      <c r="CN72" s="326"/>
      <c r="CO72" s="327"/>
      <c r="CP72" s="827"/>
    </row>
    <row r="73" spans="8:94" ht="15" customHeight="1" x14ac:dyDescent="0.25">
      <c r="H73" s="332"/>
      <c r="I73" s="332"/>
      <c r="J73" s="332"/>
      <c r="Q73" s="827"/>
      <c r="R73" s="827"/>
      <c r="S73" s="827"/>
      <c r="T73" s="827"/>
      <c r="U73" s="827"/>
      <c r="V73" s="827"/>
      <c r="W73" s="327"/>
      <c r="X73" s="327"/>
      <c r="Y73" s="327"/>
      <c r="Z73" s="327"/>
      <c r="AA73" s="327"/>
      <c r="AB73" s="327"/>
      <c r="AC73" s="327"/>
      <c r="AD73" s="327"/>
      <c r="AE73" s="327"/>
      <c r="AF73" s="327"/>
      <c r="AG73" s="327"/>
      <c r="AH73" s="327"/>
      <c r="AI73" s="326"/>
      <c r="AJ73" s="326"/>
      <c r="AK73" s="326"/>
      <c r="AL73" s="326"/>
      <c r="AM73" s="326"/>
      <c r="AN73" s="326"/>
      <c r="AO73" s="326"/>
      <c r="AP73" s="326"/>
      <c r="AQ73" s="326"/>
      <c r="AR73" s="326"/>
      <c r="AS73" s="326"/>
      <c r="AT73" s="326"/>
      <c r="AU73" s="326"/>
      <c r="AV73" s="326"/>
      <c r="AW73" s="326"/>
      <c r="AX73" s="326"/>
      <c r="AY73" s="326"/>
      <c r="AZ73" s="326"/>
      <c r="BA73" s="326"/>
      <c r="BB73" s="326"/>
      <c r="BC73" s="326"/>
      <c r="BD73" s="326"/>
      <c r="BE73" s="326"/>
      <c r="BF73" s="326"/>
      <c r="BG73" s="326"/>
      <c r="BH73" s="326"/>
      <c r="BI73" s="326"/>
      <c r="BJ73" s="326"/>
      <c r="BK73" s="326"/>
      <c r="BL73" s="326"/>
      <c r="BM73" s="326"/>
      <c r="BN73" s="326"/>
      <c r="BO73" s="326"/>
      <c r="BP73" s="326"/>
      <c r="BQ73" s="326"/>
      <c r="BR73" s="326"/>
      <c r="BS73" s="326"/>
      <c r="BT73" s="326"/>
      <c r="BU73" s="326"/>
      <c r="BV73" s="326"/>
      <c r="BW73" s="326"/>
      <c r="BX73" s="326"/>
      <c r="BY73" s="326"/>
      <c r="BZ73" s="326"/>
      <c r="CA73" s="326"/>
      <c r="CB73" s="326"/>
      <c r="CC73" s="326"/>
      <c r="CD73" s="326"/>
      <c r="CE73" s="326"/>
      <c r="CF73" s="326"/>
      <c r="CG73" s="326"/>
      <c r="CH73" s="326"/>
      <c r="CI73" s="326"/>
      <c r="CJ73" s="326"/>
      <c r="CK73" s="326"/>
      <c r="CL73" s="326"/>
      <c r="CM73" s="326"/>
      <c r="CN73" s="326"/>
      <c r="CO73" s="327"/>
      <c r="CP73" s="827"/>
    </row>
    <row r="74" spans="8:94" ht="15.75" customHeight="1" x14ac:dyDescent="0.25">
      <c r="H74" s="332"/>
      <c r="I74" s="332"/>
      <c r="J74" s="332"/>
      <c r="Q74" s="827"/>
      <c r="R74" s="827"/>
      <c r="S74" s="827"/>
      <c r="T74" s="827"/>
      <c r="U74" s="827"/>
      <c r="V74" s="827"/>
      <c r="W74" s="327"/>
      <c r="X74" s="327"/>
      <c r="Y74" s="327"/>
      <c r="Z74" s="1167" t="s">
        <v>79</v>
      </c>
      <c r="AA74" s="1167"/>
      <c r="AB74" s="1167"/>
      <c r="AC74" s="1167"/>
      <c r="AD74" s="1167"/>
      <c r="AE74" s="1167"/>
      <c r="AF74" s="1167"/>
      <c r="AG74" s="1167"/>
      <c r="AH74" s="1167"/>
      <c r="AI74" s="1167"/>
      <c r="AJ74" s="326"/>
      <c r="AK74" s="326"/>
      <c r="AL74" s="1170" t="s">
        <v>80</v>
      </c>
      <c r="AM74" s="1171"/>
      <c r="AN74" s="1171"/>
      <c r="AO74" s="1171"/>
      <c r="AP74" s="1171"/>
      <c r="AQ74" s="1171"/>
      <c r="AR74" s="1171"/>
      <c r="AS74" s="1171"/>
      <c r="AT74" s="1171"/>
      <c r="AU74" s="1171"/>
      <c r="AV74" s="1171"/>
      <c r="AW74" s="1171"/>
      <c r="AX74" s="1171"/>
      <c r="AY74" s="1171"/>
      <c r="AZ74" s="1171"/>
      <c r="BA74" s="1171"/>
      <c r="BB74" s="326"/>
      <c r="BC74" s="326"/>
      <c r="BD74" s="326"/>
      <c r="BE74" s="326"/>
      <c r="BF74" s="326"/>
      <c r="BG74" s="326"/>
      <c r="BH74" s="326"/>
      <c r="BI74" s="326"/>
      <c r="BJ74" s="326"/>
      <c r="BK74" s="326"/>
      <c r="BL74" s="326"/>
      <c r="BM74" s="326"/>
      <c r="BN74" s="326"/>
      <c r="BO74" s="326"/>
      <c r="BP74" s="326"/>
      <c r="BQ74" s="326"/>
      <c r="BR74" s="326"/>
      <c r="BS74" s="326"/>
      <c r="BT74" s="326"/>
      <c r="BU74" s="326"/>
      <c r="BV74" s="326"/>
      <c r="BW74" s="326"/>
      <c r="BX74" s="326"/>
      <c r="BY74" s="326"/>
      <c r="BZ74" s="326"/>
      <c r="CA74" s="326"/>
      <c r="CB74" s="326"/>
      <c r="CC74" s="326"/>
      <c r="CD74" s="326"/>
      <c r="CE74" s="326"/>
      <c r="CF74" s="326"/>
      <c r="CG74" s="326"/>
      <c r="CH74" s="326"/>
      <c r="CI74" s="326"/>
      <c r="CJ74" s="326"/>
      <c r="CK74" s="326"/>
      <c r="CL74" s="326"/>
      <c r="CM74" s="326"/>
      <c r="CN74" s="326"/>
      <c r="CO74" s="327"/>
      <c r="CP74" s="827"/>
    </row>
    <row r="75" spans="8:94" x14ac:dyDescent="0.25">
      <c r="H75" s="332"/>
      <c r="I75" s="332"/>
      <c r="J75" s="332"/>
      <c r="Q75" s="327"/>
      <c r="R75" s="327"/>
      <c r="S75" s="327"/>
      <c r="T75" s="327"/>
      <c r="U75" s="327"/>
      <c r="V75" s="327"/>
      <c r="W75" s="327"/>
      <c r="X75" s="327"/>
      <c r="Y75" s="327"/>
      <c r="Z75" s="327"/>
      <c r="AA75" s="327"/>
      <c r="AB75" s="327"/>
      <c r="AC75" s="327"/>
      <c r="AD75" s="327"/>
      <c r="AE75" s="327"/>
      <c r="AF75" s="327"/>
      <c r="AG75" s="327"/>
      <c r="AH75" s="327"/>
      <c r="AI75" s="326"/>
      <c r="AJ75" s="326"/>
      <c r="AK75" s="326"/>
      <c r="AL75" s="326"/>
      <c r="AM75" s="326"/>
      <c r="AN75" s="326"/>
      <c r="AO75" s="326"/>
      <c r="AP75" s="326"/>
      <c r="AQ75" s="326"/>
      <c r="AR75" s="326"/>
      <c r="AS75" s="326"/>
      <c r="AT75" s="326"/>
      <c r="AU75" s="326"/>
      <c r="AV75" s="326"/>
      <c r="AW75" s="326"/>
      <c r="AX75" s="326"/>
      <c r="AY75" s="326"/>
      <c r="AZ75" s="326"/>
      <c r="BA75" s="326"/>
      <c r="BB75" s="326"/>
      <c r="BC75" s="326"/>
      <c r="BD75" s="326"/>
      <c r="BE75" s="326"/>
      <c r="BF75" s="326"/>
      <c r="BG75" s="326"/>
      <c r="BH75" s="326"/>
      <c r="BI75" s="326"/>
      <c r="BJ75" s="326"/>
      <c r="BK75" s="326"/>
      <c r="BL75" s="326"/>
      <c r="BM75" s="326"/>
      <c r="BN75" s="326"/>
      <c r="BO75" s="326"/>
      <c r="BP75" s="326"/>
      <c r="BQ75" s="326"/>
      <c r="BR75" s="326"/>
      <c r="BS75" s="326"/>
      <c r="BT75" s="326"/>
      <c r="BU75" s="326"/>
      <c r="BV75" s="326"/>
      <c r="BW75" s="326"/>
      <c r="BX75" s="326"/>
      <c r="BY75" s="326"/>
      <c r="BZ75" s="326"/>
      <c r="CA75" s="326"/>
      <c r="CB75" s="326"/>
      <c r="CC75" s="326"/>
      <c r="CD75" s="326"/>
      <c r="CE75" s="326"/>
      <c r="CF75" s="326"/>
      <c r="CG75" s="326"/>
      <c r="CH75" s="326"/>
      <c r="CI75" s="326"/>
      <c r="CJ75" s="326"/>
      <c r="CK75" s="326"/>
      <c r="CL75" s="326"/>
      <c r="CM75" s="326"/>
      <c r="CN75" s="326"/>
      <c r="CO75" s="327"/>
      <c r="CP75" s="327"/>
    </row>
    <row r="76" spans="8:94" x14ac:dyDescent="0.25">
      <c r="H76" s="332"/>
      <c r="I76" s="332"/>
      <c r="J76" s="332"/>
      <c r="Q76" s="327"/>
      <c r="R76" s="327"/>
      <c r="S76" s="327"/>
      <c r="T76" s="327"/>
      <c r="U76" s="327"/>
      <c r="V76" s="327"/>
      <c r="W76" s="327"/>
      <c r="X76" s="327"/>
      <c r="Y76" s="327"/>
      <c r="Z76" s="327"/>
      <c r="AA76" s="327"/>
      <c r="AB76" s="327"/>
      <c r="AC76" s="327"/>
      <c r="AD76" s="327"/>
      <c r="AE76" s="327"/>
      <c r="AF76" s="327"/>
      <c r="AG76" s="327"/>
      <c r="AH76" s="327"/>
      <c r="AI76" s="326"/>
      <c r="AJ76" s="326"/>
      <c r="AK76" s="326"/>
      <c r="AL76" s="326"/>
      <c r="AM76" s="326"/>
      <c r="AN76" s="326"/>
      <c r="AO76" s="326"/>
      <c r="AP76" s="326"/>
      <c r="AQ76" s="326"/>
      <c r="AR76" s="326"/>
      <c r="AS76" s="326"/>
      <c r="AT76" s="326"/>
      <c r="AU76" s="326"/>
      <c r="AV76" s="326"/>
      <c r="AW76" s="326"/>
      <c r="AX76" s="326"/>
      <c r="AY76" s="326"/>
      <c r="AZ76" s="326"/>
      <c r="BA76" s="326"/>
      <c r="BB76" s="326"/>
      <c r="BC76" s="326"/>
      <c r="BD76" s="326"/>
      <c r="BE76" s="326"/>
      <c r="BF76" s="326"/>
      <c r="BG76" s="326"/>
      <c r="BH76" s="326"/>
      <c r="BI76" s="326"/>
      <c r="BJ76" s="326"/>
      <c r="BK76" s="326"/>
      <c r="BL76" s="326"/>
      <c r="BM76" s="326"/>
      <c r="BN76" s="326"/>
      <c r="BO76" s="326"/>
      <c r="BP76" s="326"/>
      <c r="BQ76" s="326"/>
      <c r="BR76" s="326"/>
      <c r="BS76" s="326"/>
      <c r="BT76" s="326"/>
      <c r="BU76" s="326"/>
      <c r="BV76" s="326"/>
      <c r="BW76" s="326"/>
      <c r="BX76" s="326"/>
      <c r="BY76" s="326"/>
      <c r="BZ76" s="326"/>
      <c r="CA76" s="326"/>
      <c r="CB76" s="326"/>
      <c r="CC76" s="326"/>
      <c r="CD76" s="326"/>
      <c r="CE76" s="326"/>
      <c r="CF76" s="326"/>
      <c r="CG76" s="326"/>
      <c r="CH76" s="326"/>
      <c r="CI76" s="326"/>
      <c r="CJ76" s="326"/>
      <c r="CK76" s="326"/>
      <c r="CL76" s="326"/>
      <c r="CM76" s="326"/>
      <c r="CN76" s="326"/>
      <c r="CO76" s="327"/>
      <c r="CP76" s="327"/>
    </row>
    <row r="77" spans="8:94" ht="15.75" x14ac:dyDescent="0.25">
      <c r="H77" s="4"/>
      <c r="I77" s="4"/>
      <c r="J77" s="4"/>
      <c r="Q77" s="324"/>
      <c r="R77" s="324"/>
      <c r="S77" s="324"/>
      <c r="T77" s="324"/>
      <c r="U77" s="324"/>
      <c r="V77" s="324"/>
      <c r="W77" s="324"/>
      <c r="X77" s="324"/>
      <c r="Y77" s="324"/>
      <c r="Z77" s="324"/>
      <c r="AA77" s="324"/>
      <c r="AB77" s="324"/>
      <c r="AC77" s="324"/>
      <c r="AD77" s="324"/>
      <c r="AE77" s="324"/>
      <c r="AF77" s="324"/>
      <c r="AG77" s="324"/>
      <c r="AH77" s="324"/>
      <c r="AI77" s="315"/>
      <c r="AJ77" s="315"/>
      <c r="AK77" s="315"/>
      <c r="AL77" s="315"/>
      <c r="AM77" s="315"/>
      <c r="AN77" s="315"/>
      <c r="AO77" s="315"/>
      <c r="AP77" s="315"/>
      <c r="AQ77" s="315"/>
      <c r="AR77" s="315"/>
      <c r="AS77" s="315"/>
      <c r="AT77" s="315"/>
      <c r="AU77" s="315"/>
      <c r="AV77" s="315"/>
      <c r="AW77" s="315"/>
      <c r="AX77" s="315"/>
      <c r="AY77" s="315"/>
      <c r="AZ77" s="315"/>
      <c r="BA77" s="315"/>
      <c r="BB77" s="315"/>
      <c r="BC77" s="315"/>
      <c r="BD77" s="315"/>
      <c r="BE77" s="315"/>
      <c r="BF77" s="315"/>
      <c r="BG77" s="315"/>
      <c r="BH77" s="315"/>
      <c r="BI77" s="315"/>
      <c r="BJ77" s="315"/>
      <c r="BK77" s="315"/>
      <c r="BL77" s="315"/>
      <c r="BM77" s="315"/>
      <c r="BN77" s="315"/>
      <c r="BO77" s="315"/>
      <c r="BP77" s="315"/>
      <c r="BQ77" s="315"/>
      <c r="BR77" s="315"/>
      <c r="BS77" s="315"/>
      <c r="BT77" s="315"/>
      <c r="BU77" s="315"/>
      <c r="BV77" s="315"/>
      <c r="BW77" s="315"/>
      <c r="BX77" s="315"/>
      <c r="BY77" s="315"/>
      <c r="BZ77" s="315"/>
      <c r="CA77" s="315"/>
      <c r="CB77" s="315"/>
      <c r="CC77" s="315"/>
      <c r="CD77" s="315"/>
      <c r="CE77" s="315"/>
      <c r="CF77" s="315"/>
      <c r="CG77" s="315"/>
      <c r="CH77" s="315"/>
      <c r="CI77" s="315"/>
      <c r="CJ77" s="315"/>
      <c r="CK77" s="315"/>
      <c r="CL77" s="315"/>
      <c r="CM77" s="315"/>
      <c r="CN77" s="315"/>
      <c r="CO77" s="324"/>
      <c r="CP77" s="324"/>
    </row>
  </sheetData>
  <sheetProtection algorithmName="SHA-256" hashValue="pta7NSsNpLPxk5IrpDl9j6iXFLMwNQKAB7zCdVKXcjE=" saltValue="4eQCll3k7AHyFPod+BNv+w==" spinCount="100000" sheet="1" objects="1" scenarios="1" formatCells="0" insertRows="0"/>
  <mergeCells count="102">
    <mergeCell ref="H1:P3"/>
    <mergeCell ref="V7:BX7"/>
    <mergeCell ref="V25:AJ25"/>
    <mergeCell ref="AL43:AS43"/>
    <mergeCell ref="AU43:BB43"/>
    <mergeCell ref="BD43:BK43"/>
    <mergeCell ref="BM43:BT43"/>
    <mergeCell ref="V4:BF4"/>
    <mergeCell ref="Q9:CP9"/>
    <mergeCell ref="BQ23:CL23"/>
    <mergeCell ref="BQ24:CL24"/>
    <mergeCell ref="CC26:CE26"/>
    <mergeCell ref="BQ25:CE25"/>
    <mergeCell ref="AL23:BG23"/>
    <mergeCell ref="AL24:BG24"/>
    <mergeCell ref="V32:AJ32"/>
    <mergeCell ref="V23:AJ23"/>
    <mergeCell ref="V17:AJ17"/>
    <mergeCell ref="AL17:AW17"/>
    <mergeCell ref="V16:AJ16"/>
    <mergeCell ref="AL16:BG16"/>
    <mergeCell ref="BV43:CC43"/>
    <mergeCell ref="V33:AJ33"/>
    <mergeCell ref="V34:AJ34"/>
    <mergeCell ref="V24:AJ24"/>
    <mergeCell ref="BV46:CC46"/>
    <mergeCell ref="BM46:BT46"/>
    <mergeCell ref="BV47:CC47"/>
    <mergeCell ref="BD46:BK46"/>
    <mergeCell ref="AU51:BB51"/>
    <mergeCell ref="AU47:BB47"/>
    <mergeCell ref="AL47:AS47"/>
    <mergeCell ref="AL51:AS51"/>
    <mergeCell ref="BQ32:CL32"/>
    <mergeCell ref="BV50:CC50"/>
    <mergeCell ref="BQ33:CL33"/>
    <mergeCell ref="BQ34:CL34"/>
    <mergeCell ref="BV44:CC44"/>
    <mergeCell ref="BV42:CC42"/>
    <mergeCell ref="BV51:CC51"/>
    <mergeCell ref="AL26:AN26"/>
    <mergeCell ref="BV48:CC48"/>
    <mergeCell ref="V26:AJ26"/>
    <mergeCell ref="AX26:AZ26"/>
    <mergeCell ref="BI25:BO25"/>
    <mergeCell ref="BM50:BT50"/>
    <mergeCell ref="BM42:BT42"/>
    <mergeCell ref="BM48:BT48"/>
    <mergeCell ref="AL25:AZ25"/>
    <mergeCell ref="BI26:BO26"/>
    <mergeCell ref="AL52:AS52"/>
    <mergeCell ref="AL48:AS48"/>
    <mergeCell ref="BM44:BT44"/>
    <mergeCell ref="BM51:BT51"/>
    <mergeCell ref="BM47:BT47"/>
    <mergeCell ref="BD47:BK47"/>
    <mergeCell ref="BD51:BK51"/>
    <mergeCell ref="AL46:AS46"/>
    <mergeCell ref="BD52:BK52"/>
    <mergeCell ref="BV52:CC52"/>
    <mergeCell ref="BM52:BT52"/>
    <mergeCell ref="BI23:BO23"/>
    <mergeCell ref="BI24:BO24"/>
    <mergeCell ref="BI32:BO32"/>
    <mergeCell ref="BQ26:BS26"/>
    <mergeCell ref="BI34:BO34"/>
    <mergeCell ref="BI33:BO33"/>
    <mergeCell ref="Z74:AI74"/>
    <mergeCell ref="AL74:BA74"/>
    <mergeCell ref="Z56:AI56"/>
    <mergeCell ref="Z64:AI64"/>
    <mergeCell ref="Z66:AI66"/>
    <mergeCell ref="AL56:AS56"/>
    <mergeCell ref="Z62:AI62"/>
    <mergeCell ref="AL62:BA62"/>
    <mergeCell ref="AL70:CD72"/>
    <mergeCell ref="Z68:AI68"/>
    <mergeCell ref="Z70:AI72"/>
    <mergeCell ref="AL64:BA64"/>
    <mergeCell ref="AL66:BA66"/>
    <mergeCell ref="AL68:BA68"/>
    <mergeCell ref="Z54:AI54"/>
    <mergeCell ref="AU46:BB46"/>
    <mergeCell ref="AL54:AS54"/>
    <mergeCell ref="AU50:BB50"/>
    <mergeCell ref="AL32:BG32"/>
    <mergeCell ref="AL33:BG33"/>
    <mergeCell ref="AL34:BG34"/>
    <mergeCell ref="AL44:AS44"/>
    <mergeCell ref="AU44:BB44"/>
    <mergeCell ref="BD44:BK44"/>
    <mergeCell ref="Z50:AI50"/>
    <mergeCell ref="AL50:AS50"/>
    <mergeCell ref="AU42:BB42"/>
    <mergeCell ref="BD50:BK50"/>
    <mergeCell ref="BD42:BK42"/>
    <mergeCell ref="AU48:BB48"/>
    <mergeCell ref="BD48:BK48"/>
    <mergeCell ref="Z42:AI42"/>
    <mergeCell ref="Z46:AI46"/>
    <mergeCell ref="AL42:AS42"/>
    <mergeCell ref="AU52:BB52"/>
  </mergeCells>
  <conditionalFormatting sqref="AL43">
    <cfRule type="expression" dxfId="49" priority="73">
      <formula>dms_FRCPlength_Num&lt;6</formula>
    </cfRule>
  </conditionalFormatting>
  <conditionalFormatting sqref="AL44">
    <cfRule type="expression" dxfId="48" priority="29">
      <formula>dms_FRCPlength_Num&lt;11</formula>
    </cfRule>
  </conditionalFormatting>
  <conditionalFormatting sqref="AL47">
    <cfRule type="expression" dxfId="47" priority="68">
      <formula>dms_CRCPlength_Num&lt;6</formula>
    </cfRule>
  </conditionalFormatting>
  <conditionalFormatting sqref="AL48">
    <cfRule type="expression" dxfId="46" priority="19">
      <formula>dms_CRCPlength_Num&lt;11</formula>
    </cfRule>
  </conditionalFormatting>
  <conditionalFormatting sqref="AL51">
    <cfRule type="expression" dxfId="45" priority="10">
      <formula>dms_PRCPlength_Num&lt;6</formula>
    </cfRule>
  </conditionalFormatting>
  <conditionalFormatting sqref="AL52">
    <cfRule type="expression" dxfId="44" priority="9">
      <formula>dms_PRCPlength_Num&lt;11</formula>
    </cfRule>
  </conditionalFormatting>
  <conditionalFormatting sqref="AL42:AS42">
    <cfRule type="expression" dxfId="43" priority="31" stopIfTrue="1">
      <formula>(INDEX(dms_Model_Span_List,MATCH(dms_Model,dms_Model_List))&gt;1)</formula>
    </cfRule>
  </conditionalFormatting>
  <conditionalFormatting sqref="AL54:AS54">
    <cfRule type="expression" dxfId="42" priority="43" stopIfTrue="1">
      <formula>(INDEX(dms_Model_Span_List,MATCH(dms_Model,dms_Model_List))=1)</formula>
    </cfRule>
  </conditionalFormatting>
  <conditionalFormatting sqref="AL68:BA68">
    <cfRule type="cellIs" dxfId="41" priority="30" operator="equal">
      <formula>"Confidential"</formula>
    </cfRule>
  </conditionalFormatting>
  <conditionalFormatting sqref="AU43">
    <cfRule type="expression" dxfId="40" priority="72">
      <formula>dms_FRCPlength_Num&lt;7</formula>
    </cfRule>
  </conditionalFormatting>
  <conditionalFormatting sqref="AU44">
    <cfRule type="expression" dxfId="39" priority="14">
      <formula>dms_FRCPlength_Num&lt;11</formula>
    </cfRule>
  </conditionalFormatting>
  <conditionalFormatting sqref="AU47">
    <cfRule type="expression" dxfId="38" priority="23">
      <formula>dms_CRCPlength_Num&lt;7</formula>
    </cfRule>
  </conditionalFormatting>
  <conditionalFormatting sqref="AU48">
    <cfRule type="expression" dxfId="37" priority="18">
      <formula>dms_CRCPlength_Num&lt;12</formula>
    </cfRule>
  </conditionalFormatting>
  <conditionalFormatting sqref="AU51">
    <cfRule type="expression" dxfId="36" priority="8">
      <formula>dms_PRCPlength_Num&lt;7</formula>
    </cfRule>
  </conditionalFormatting>
  <conditionalFormatting sqref="AU52">
    <cfRule type="expression" dxfId="35" priority="4">
      <formula>dms_PRCPlength_Num&lt;12</formula>
    </cfRule>
  </conditionalFormatting>
  <conditionalFormatting sqref="BD43">
    <cfRule type="expression" dxfId="34" priority="71">
      <formula>dms_FRCPlength_Num&lt;8</formula>
    </cfRule>
  </conditionalFormatting>
  <conditionalFormatting sqref="BD44">
    <cfRule type="expression" dxfId="33" priority="13">
      <formula>dms_FRCPlength_Num&lt;11</formula>
    </cfRule>
  </conditionalFormatting>
  <conditionalFormatting sqref="BD47">
    <cfRule type="expression" dxfId="32" priority="22">
      <formula>dms_CRCPlength_Num&lt;8</formula>
    </cfRule>
  </conditionalFormatting>
  <conditionalFormatting sqref="BD48">
    <cfRule type="expression" dxfId="31" priority="17">
      <formula>dms_CRCPlength_Num&lt;13</formula>
    </cfRule>
  </conditionalFormatting>
  <conditionalFormatting sqref="BD51">
    <cfRule type="expression" dxfId="30" priority="7">
      <formula>dms_PRCPlength_Num&lt;8</formula>
    </cfRule>
  </conditionalFormatting>
  <conditionalFormatting sqref="BD52">
    <cfRule type="expression" dxfId="29" priority="3">
      <formula>dms_PRCPlength_Num&lt;13</formula>
    </cfRule>
  </conditionalFormatting>
  <conditionalFormatting sqref="BM43">
    <cfRule type="expression" dxfId="28" priority="24">
      <formula>dms_FRCPlength_Num&lt;9</formula>
    </cfRule>
  </conditionalFormatting>
  <conditionalFormatting sqref="BM44">
    <cfRule type="expression" dxfId="27" priority="12">
      <formula>dms_FRCPlength_Num&lt;11</formula>
    </cfRule>
  </conditionalFormatting>
  <conditionalFormatting sqref="BM47">
    <cfRule type="expression" dxfId="26" priority="21">
      <formula>dms_CRCPlength_Num&lt;9</formula>
    </cfRule>
  </conditionalFormatting>
  <conditionalFormatting sqref="BM48">
    <cfRule type="expression" dxfId="25" priority="16">
      <formula>dms_CRCPlength_Num&lt;14</formula>
    </cfRule>
  </conditionalFormatting>
  <conditionalFormatting sqref="BM51">
    <cfRule type="expression" dxfId="24" priority="6">
      <formula>dms_PRCPlength_Num&lt;9</formula>
    </cfRule>
  </conditionalFormatting>
  <conditionalFormatting sqref="BM52">
    <cfRule type="expression" dxfId="23" priority="2">
      <formula>dms_PRCPlength_Num&lt;14</formula>
    </cfRule>
  </conditionalFormatting>
  <conditionalFormatting sqref="BV43">
    <cfRule type="expression" dxfId="22" priority="69">
      <formula>dms_FRCPlength_Num&lt;10</formula>
    </cfRule>
  </conditionalFormatting>
  <conditionalFormatting sqref="BV44">
    <cfRule type="expression" dxfId="21" priority="11">
      <formula>dms_FRCPlength_Num&lt;11</formula>
    </cfRule>
  </conditionalFormatting>
  <conditionalFormatting sqref="BV47">
    <cfRule type="expression" dxfId="20" priority="20">
      <formula>dms_CRCPlength_Num&lt;10</formula>
    </cfRule>
  </conditionalFormatting>
  <conditionalFormatting sqref="BV48">
    <cfRule type="expression" dxfId="19" priority="15">
      <formula>dms_CRCPlength_Num&lt;15</formula>
    </cfRule>
  </conditionalFormatting>
  <conditionalFormatting sqref="BV51">
    <cfRule type="expression" dxfId="18" priority="5">
      <formula>dms_PRCPlength_Num&lt;10</formula>
    </cfRule>
  </conditionalFormatting>
  <conditionalFormatting sqref="BV52">
    <cfRule type="expression" dxfId="17" priority="1">
      <formula>dms_PRCPlength_Num&lt;15</formula>
    </cfRule>
  </conditionalFormatting>
  <dataValidations xWindow="994" yWindow="476" count="6">
    <dataValidation type="list" operator="lessThanOrEqual" showInputMessage="1" showErrorMessage="1" prompt="Please use drop down to select correct business name. ABN will auto populate." sqref="AL16:AN16" xr:uid="{00000000-0002-0000-0200-000000000000}">
      <formula1>dms_TradingName_List</formula1>
    </dataValidation>
    <dataValidation type="list" allowBlank="1" showInputMessage="1" showErrorMessage="1" sqref="AL64:BA64" xr:uid="{00000000-0002-0000-0200-000001000000}">
      <formula1>dms_SourceList</formula1>
    </dataValidation>
    <dataValidation type="list" allowBlank="1" showInputMessage="1" showErrorMessage="1" sqref="AL66:BA66" xr:uid="{00000000-0002-0000-0200-000002000000}">
      <formula1>dms_DataQuality_List</formula1>
    </dataValidation>
    <dataValidation type="list" allowBlank="1" showInputMessage="1" showErrorMessage="1" sqref="AL68:BA68" xr:uid="{00000000-0002-0000-0200-000003000000}">
      <formula1>dms_Confid_status_List</formula1>
    </dataValidation>
    <dataValidation allowBlank="1" showInputMessage="1" showErrorMessage="1" promptTitle="Submission Date" prompt="-- enter date file submitted to AER -- " sqref="AL74:BA74" xr:uid="{00000000-0002-0000-0200-000004000000}"/>
    <dataValidation type="list" allowBlank="1" showInputMessage="1" showErrorMessage="1" sqref="AL42:AS42 AL54:AS54 AL56:AS56" xr:uid="{00000000-0002-0000-0200-000005000000}">
      <formula1>INDIRECT(dms_RPT)</formula1>
    </dataValidation>
  </dataValidations>
  <pageMargins left="0.7" right="0.7" top="0.75" bottom="0.75" header="0.3" footer="0.3"/>
  <pageSetup orientation="portrait" r:id="rId1"/>
  <headerFooter>
    <oddFooter>&amp;C_x000D_&amp;1#&amp;"Aptos"&amp;10&amp;K008000 APA-INTERNAL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6">
    <tabColor theme="3" tint="-0.249977111117893"/>
  </sheetPr>
  <dimension ref="A1:H202"/>
  <sheetViews>
    <sheetView showGridLines="0" zoomScaleNormal="100" workbookViewId="0"/>
  </sheetViews>
  <sheetFormatPr defaultRowHeight="15" outlineLevelRow="2" x14ac:dyDescent="0.25"/>
  <cols>
    <col min="1" max="1" width="23.5703125" customWidth="1"/>
    <col min="2" max="2" width="89.85546875" customWidth="1"/>
    <col min="3" max="3" width="19.5703125" customWidth="1"/>
    <col min="4" max="8" width="18.85546875" customWidth="1"/>
    <col min="9" max="9" width="9.85546875" customWidth="1"/>
    <col min="199" max="199" width="57" customWidth="1"/>
    <col min="200" max="205" width="13.85546875" customWidth="1"/>
    <col min="455" max="455" width="57" customWidth="1"/>
    <col min="456" max="461" width="13.85546875" customWidth="1"/>
    <col min="711" max="711" width="57" customWidth="1"/>
    <col min="712" max="717" width="13.85546875" customWidth="1"/>
    <col min="967" max="967" width="57" customWidth="1"/>
    <col min="968" max="973" width="13.85546875" customWidth="1"/>
    <col min="1223" max="1223" width="57" customWidth="1"/>
    <col min="1224" max="1229" width="13.85546875" customWidth="1"/>
    <col min="1479" max="1479" width="57" customWidth="1"/>
    <col min="1480" max="1485" width="13.85546875" customWidth="1"/>
    <col min="1735" max="1735" width="57" customWidth="1"/>
    <col min="1736" max="1741" width="13.85546875" customWidth="1"/>
    <col min="1991" max="1991" width="57" customWidth="1"/>
    <col min="1992" max="1997" width="13.85546875" customWidth="1"/>
    <col min="2247" max="2247" width="57" customWidth="1"/>
    <col min="2248" max="2253" width="13.85546875" customWidth="1"/>
    <col min="2503" max="2503" width="57" customWidth="1"/>
    <col min="2504" max="2509" width="13.85546875" customWidth="1"/>
    <col min="2759" max="2759" width="57" customWidth="1"/>
    <col min="2760" max="2765" width="13.85546875" customWidth="1"/>
    <col min="3015" max="3015" width="57" customWidth="1"/>
    <col min="3016" max="3021" width="13.85546875" customWidth="1"/>
    <col min="3271" max="3271" width="57" customWidth="1"/>
    <col min="3272" max="3277" width="13.85546875" customWidth="1"/>
    <col min="3527" max="3527" width="57" customWidth="1"/>
    <col min="3528" max="3533" width="13.85546875" customWidth="1"/>
    <col min="3783" max="3783" width="57" customWidth="1"/>
    <col min="3784" max="3789" width="13.85546875" customWidth="1"/>
    <col min="4039" max="4039" width="57" customWidth="1"/>
    <col min="4040" max="4045" width="13.85546875" customWidth="1"/>
    <col min="4295" max="4295" width="57" customWidth="1"/>
    <col min="4296" max="4301" width="13.85546875" customWidth="1"/>
    <col min="4551" max="4551" width="57" customWidth="1"/>
    <col min="4552" max="4557" width="13.85546875" customWidth="1"/>
    <col min="4807" max="4807" width="57" customWidth="1"/>
    <col min="4808" max="4813" width="13.85546875" customWidth="1"/>
    <col min="5063" max="5063" width="57" customWidth="1"/>
    <col min="5064" max="5069" width="13.85546875" customWidth="1"/>
    <col min="5319" max="5319" width="57" customWidth="1"/>
    <col min="5320" max="5325" width="13.85546875" customWidth="1"/>
    <col min="5575" max="5575" width="57" customWidth="1"/>
    <col min="5576" max="5581" width="13.85546875" customWidth="1"/>
    <col min="5831" max="5831" width="57" customWidth="1"/>
    <col min="5832" max="5837" width="13.85546875" customWidth="1"/>
    <col min="6087" max="6087" width="57" customWidth="1"/>
    <col min="6088" max="6093" width="13.85546875" customWidth="1"/>
    <col min="6343" max="6343" width="57" customWidth="1"/>
    <col min="6344" max="6349" width="13.85546875" customWidth="1"/>
    <col min="6599" max="6599" width="57" customWidth="1"/>
    <col min="6600" max="6605" width="13.85546875" customWidth="1"/>
    <col min="6855" max="6855" width="57" customWidth="1"/>
    <col min="6856" max="6861" width="13.85546875" customWidth="1"/>
    <col min="7111" max="7111" width="57" customWidth="1"/>
    <col min="7112" max="7117" width="13.85546875" customWidth="1"/>
    <col min="7367" max="7367" width="57" customWidth="1"/>
    <col min="7368" max="7373" width="13.85546875" customWidth="1"/>
    <col min="7623" max="7623" width="57" customWidth="1"/>
    <col min="7624" max="7629" width="13.85546875" customWidth="1"/>
    <col min="7879" max="7879" width="57" customWidth="1"/>
    <col min="7880" max="7885" width="13.85546875" customWidth="1"/>
    <col min="8135" max="8135" width="57" customWidth="1"/>
    <col min="8136" max="8141" width="13.85546875" customWidth="1"/>
    <col min="8391" max="8391" width="57" customWidth="1"/>
    <col min="8392" max="8397" width="13.85546875" customWidth="1"/>
    <col min="8647" max="8647" width="57" customWidth="1"/>
    <col min="8648" max="8653" width="13.85546875" customWidth="1"/>
    <col min="8903" max="8903" width="57" customWidth="1"/>
    <col min="8904" max="8909" width="13.85546875" customWidth="1"/>
    <col min="9159" max="9159" width="57" customWidth="1"/>
    <col min="9160" max="9165" width="13.85546875" customWidth="1"/>
    <col min="9415" max="9415" width="57" customWidth="1"/>
    <col min="9416" max="9421" width="13.85546875" customWidth="1"/>
    <col min="9671" max="9671" width="57" customWidth="1"/>
    <col min="9672" max="9677" width="13.85546875" customWidth="1"/>
    <col min="9927" max="9927" width="57" customWidth="1"/>
    <col min="9928" max="9933" width="13.85546875" customWidth="1"/>
    <col min="10183" max="10183" width="57" customWidth="1"/>
    <col min="10184" max="10189" width="13.85546875" customWidth="1"/>
    <col min="10439" max="10439" width="57" customWidth="1"/>
    <col min="10440" max="10445" width="13.85546875" customWidth="1"/>
    <col min="10695" max="10695" width="57" customWidth="1"/>
    <col min="10696" max="10701" width="13.85546875" customWidth="1"/>
    <col min="10951" max="10951" width="57" customWidth="1"/>
    <col min="10952" max="10957" width="13.85546875" customWidth="1"/>
    <col min="11207" max="11207" width="57" customWidth="1"/>
    <col min="11208" max="11213" width="13.85546875" customWidth="1"/>
    <col min="11463" max="11463" width="57" customWidth="1"/>
    <col min="11464" max="11469" width="13.85546875" customWidth="1"/>
    <col min="11719" max="11719" width="57" customWidth="1"/>
    <col min="11720" max="11725" width="13.85546875" customWidth="1"/>
    <col min="11975" max="11975" width="57" customWidth="1"/>
    <col min="11976" max="11981" width="13.85546875" customWidth="1"/>
    <col min="12231" max="12231" width="57" customWidth="1"/>
    <col min="12232" max="12237" width="13.85546875" customWidth="1"/>
    <col min="12487" max="12487" width="57" customWidth="1"/>
    <col min="12488" max="12493" width="13.85546875" customWidth="1"/>
    <col min="12743" max="12743" width="57" customWidth="1"/>
    <col min="12744" max="12749" width="13.85546875" customWidth="1"/>
    <col min="12999" max="12999" width="57" customWidth="1"/>
    <col min="13000" max="13005" width="13.85546875" customWidth="1"/>
    <col min="13255" max="13255" width="57" customWidth="1"/>
    <col min="13256" max="13261" width="13.85546875" customWidth="1"/>
    <col min="13511" max="13511" width="57" customWidth="1"/>
    <col min="13512" max="13517" width="13.85546875" customWidth="1"/>
    <col min="13767" max="13767" width="57" customWidth="1"/>
    <col min="13768" max="13773" width="13.85546875" customWidth="1"/>
    <col min="14023" max="14023" width="57" customWidth="1"/>
    <col min="14024" max="14029" width="13.85546875" customWidth="1"/>
    <col min="14279" max="14279" width="57" customWidth="1"/>
    <col min="14280" max="14285" width="13.85546875" customWidth="1"/>
    <col min="14535" max="14535" width="57" customWidth="1"/>
    <col min="14536" max="14541" width="13.85546875" customWidth="1"/>
    <col min="14791" max="14791" width="57" customWidth="1"/>
    <col min="14792" max="14797" width="13.85546875" customWidth="1"/>
    <col min="15047" max="15047" width="57" customWidth="1"/>
    <col min="15048" max="15053" width="13.85546875" customWidth="1"/>
    <col min="15303" max="15303" width="57" customWidth="1"/>
    <col min="15304" max="15309" width="13.85546875" customWidth="1"/>
    <col min="15559" max="15559" width="57" customWidth="1"/>
    <col min="15560" max="15565" width="13.85546875" customWidth="1"/>
    <col min="15815" max="15815" width="57" customWidth="1"/>
    <col min="15816" max="15821" width="13.85546875" customWidth="1"/>
    <col min="16071" max="16071" width="57" customWidth="1"/>
    <col min="16072" max="16077" width="13.85546875" customWidth="1"/>
    <col min="16373" max="16384" width="9.140625" customWidth="1"/>
  </cols>
  <sheetData>
    <row r="1" spans="1:8" ht="30.6" customHeight="1" x14ac:dyDescent="0.25">
      <c r="A1" s="4"/>
      <c r="B1" s="297" t="str">
        <f>IF(dms_MultiYear_ResponseFlag="Yes","REGULATORY REPORTING STATEMENT - HISTORICAL INFORMATION",INDEX(dms_Worksheet_List,MATCH(dms_Model,dms_Model_List)))</f>
        <v>REGULATORY REPORTING STATEMENT - HISTORICAL INFORMATION</v>
      </c>
      <c r="C1" s="297"/>
      <c r="D1" s="920"/>
      <c r="E1" s="920"/>
      <c r="F1" s="1096" t="s">
        <v>81</v>
      </c>
      <c r="G1" s="1097" t="s">
        <v>82</v>
      </c>
      <c r="H1" s="920"/>
    </row>
    <row r="2" spans="1:8" ht="30.6" customHeight="1" x14ac:dyDescent="0.25">
      <c r="A2" s="4"/>
      <c r="B2" s="921" t="str">
        <f>INDEX(dms_TradingNameFull_List,MATCH(dms_TradingName,dms_TradingName_List))</f>
        <v>APT Petroleum Pipelines Limited t/a Roma to Brisbane Pipeline</v>
      </c>
      <c r="C2" s="921"/>
      <c r="D2" s="920"/>
      <c r="E2" s="920"/>
      <c r="F2" s="1098" t="s">
        <v>83</v>
      </c>
      <c r="G2" s="1099" t="s">
        <v>84</v>
      </c>
      <c r="H2" s="920"/>
    </row>
    <row r="3" spans="1:8" ht="30.6" customHeight="1" x14ac:dyDescent="0.25">
      <c r="A3" s="4"/>
      <c r="B3" s="921" t="str">
        <f>dms_Header_Span</f>
        <v>Data Span 2021-22 to 2024-25</v>
      </c>
      <c r="C3" s="921"/>
      <c r="D3" s="922"/>
      <c r="E3" s="922"/>
      <c r="F3" s="1100" t="s">
        <v>85</v>
      </c>
      <c r="G3" s="1101" t="s">
        <v>86</v>
      </c>
      <c r="H3" s="922"/>
    </row>
    <row r="4" spans="1:8" ht="30.6" customHeight="1" x14ac:dyDescent="0.3">
      <c r="A4" s="4"/>
      <c r="B4" s="923" t="s">
        <v>87</v>
      </c>
      <c r="C4" s="923"/>
      <c r="D4" s="924"/>
      <c r="E4" s="924"/>
      <c r="F4" s="1102" t="s">
        <v>88</v>
      </c>
      <c r="G4" s="1103" t="s">
        <v>89</v>
      </c>
      <c r="H4" s="924"/>
    </row>
    <row r="6" spans="1:8" ht="15.75" thickBot="1" x14ac:dyDescent="0.3">
      <c r="H6" s="925"/>
    </row>
    <row r="7" spans="1:8" s="934" customFormat="1" ht="24" customHeight="1" thickBot="1" x14ac:dyDescent="0.25">
      <c r="B7" s="280" t="s">
        <v>90</v>
      </c>
      <c r="C7" s="280"/>
      <c r="D7" s="937"/>
      <c r="E7" s="937"/>
      <c r="F7" s="937"/>
      <c r="G7" s="937"/>
      <c r="H7" s="1094"/>
    </row>
    <row r="8" spans="1:8" s="50" customFormat="1" ht="40.5" customHeight="1" outlineLevel="2" thickBot="1" x14ac:dyDescent="0.3">
      <c r="A8" s="929"/>
      <c r="B8"/>
      <c r="C8"/>
      <c r="D8" s="1210" t="s">
        <v>91</v>
      </c>
      <c r="E8" s="1211"/>
      <c r="F8" s="1211"/>
      <c r="G8" s="1211"/>
      <c r="H8" s="1212"/>
    </row>
    <row r="9" spans="1:8" s="50" customFormat="1" ht="15.75" customHeight="1" outlineLevel="2" thickBot="1" x14ac:dyDescent="0.3">
      <c r="A9" s="929"/>
      <c r="B9"/>
      <c r="C9"/>
      <c r="D9" s="952" t="str">
        <f ca="1">dms_y1</f>
        <v>2021-22</v>
      </c>
      <c r="E9" s="953" t="str">
        <f ca="1">dms_y2</f>
        <v>2022-23</v>
      </c>
      <c r="F9" s="953" t="str">
        <f ca="1">dms_y3</f>
        <v>2023-24</v>
      </c>
      <c r="G9" s="953" t="str">
        <f ca="1">dms_y4</f>
        <v>2024-25</v>
      </c>
      <c r="H9" s="1078" t="str">
        <f ca="1">dms_y5</f>
        <v>2025-26</v>
      </c>
    </row>
    <row r="10" spans="1:8" ht="15.75" customHeight="1" outlineLevel="2" x14ac:dyDescent="0.25">
      <c r="B10" s="1188" t="s">
        <v>92</v>
      </c>
      <c r="C10" s="1189"/>
      <c r="D10" s="997">
        <v>1938636.7499999921</v>
      </c>
      <c r="E10" s="883">
        <v>1906158.140000009</v>
      </c>
      <c r="F10" s="883">
        <v>3640003.2799999975</v>
      </c>
      <c r="G10" s="883">
        <v>3018522.7300000014</v>
      </c>
      <c r="H10" s="1061"/>
    </row>
    <row r="11" spans="1:8" ht="15.75" customHeight="1" outlineLevel="2" x14ac:dyDescent="0.25">
      <c r="B11" s="1190" t="s">
        <v>93</v>
      </c>
      <c r="C11" s="1191"/>
      <c r="D11" s="998">
        <v>1518366.6500000004</v>
      </c>
      <c r="E11" s="862">
        <v>2109569.96</v>
      </c>
      <c r="F11" s="862">
        <v>3576933.3499999996</v>
      </c>
      <c r="G11" s="862">
        <v>1779730.4700000002</v>
      </c>
      <c r="H11" s="1063"/>
    </row>
    <row r="12" spans="1:8" ht="15.75" customHeight="1" outlineLevel="2" x14ac:dyDescent="0.25">
      <c r="B12" s="1190" t="s">
        <v>94</v>
      </c>
      <c r="C12" s="1191"/>
      <c r="D12" s="998">
        <v>3790539.5799999996</v>
      </c>
      <c r="E12" s="862">
        <v>2827570.8299999996</v>
      </c>
      <c r="F12" s="862">
        <v>2013171.1000000003</v>
      </c>
      <c r="G12" s="862">
        <v>1128095.97</v>
      </c>
      <c r="H12" s="1063"/>
    </row>
    <row r="13" spans="1:8" ht="15.75" customHeight="1" outlineLevel="2" x14ac:dyDescent="0.25">
      <c r="B13" s="1190" t="s">
        <v>95</v>
      </c>
      <c r="C13" s="1191"/>
      <c r="D13" s="998">
        <v>275969.4600000002</v>
      </c>
      <c r="E13" s="862">
        <v>1356651.2999069563</v>
      </c>
      <c r="F13" s="862">
        <v>1129580.4622639413</v>
      </c>
      <c r="G13" s="862">
        <v>423176.12999999983</v>
      </c>
      <c r="H13" s="1063"/>
    </row>
    <row r="14" spans="1:8" ht="15.75" customHeight="1" outlineLevel="2" x14ac:dyDescent="0.25">
      <c r="B14" s="1192" t="s">
        <v>96</v>
      </c>
      <c r="C14" s="1193"/>
      <c r="D14" s="999">
        <v>686442.80999999994</v>
      </c>
      <c r="E14" s="1000">
        <v>633967.33000000042</v>
      </c>
      <c r="F14" s="1000">
        <v>879195.49000000034</v>
      </c>
      <c r="G14" s="1000">
        <v>612729.85000000009</v>
      </c>
      <c r="H14" s="1070"/>
    </row>
    <row r="15" spans="1:8" ht="15.75" customHeight="1" outlineLevel="2" thickBot="1" x14ac:dyDescent="0.3">
      <c r="B15" s="1194" t="s">
        <v>97</v>
      </c>
      <c r="C15" s="1195"/>
      <c r="D15" s="1001"/>
      <c r="E15" s="1002"/>
      <c r="F15" s="1002"/>
      <c r="G15" s="1002"/>
      <c r="H15" s="1071"/>
    </row>
    <row r="16" spans="1:8" ht="15.75" customHeight="1" outlineLevel="2" thickBot="1" x14ac:dyDescent="0.3">
      <c r="B16" s="1200" t="s">
        <v>98</v>
      </c>
      <c r="C16" s="1201"/>
      <c r="D16" s="981">
        <f>SUM(D10:D14)-D15</f>
        <v>8209955.2499999916</v>
      </c>
      <c r="E16" s="981">
        <f t="shared" ref="E16:H16" si="0">SUM(E10:E14)-E15</f>
        <v>8833917.5599069651</v>
      </c>
      <c r="F16" s="981">
        <f t="shared" si="0"/>
        <v>11238883.682263939</v>
      </c>
      <c r="G16" s="981">
        <f t="shared" si="0"/>
        <v>6962255.1500000004</v>
      </c>
      <c r="H16" s="1072">
        <f t="shared" si="0"/>
        <v>0</v>
      </c>
    </row>
    <row r="17" spans="1:8" ht="15.75" customHeight="1" outlineLevel="1" thickBot="1" x14ac:dyDescent="0.3">
      <c r="B17" s="361"/>
      <c r="C17" s="361"/>
      <c r="D17" s="37"/>
      <c r="E17" s="37"/>
      <c r="F17" s="37"/>
      <c r="G17" s="37"/>
      <c r="H17" s="37"/>
    </row>
    <row r="18" spans="1:8" s="934" customFormat="1" ht="24" customHeight="1" thickBot="1" x14ac:dyDescent="0.25">
      <c r="B18" s="280" t="s">
        <v>99</v>
      </c>
      <c r="C18" s="280"/>
      <c r="D18" s="937"/>
      <c r="E18" s="937"/>
      <c r="F18" s="937"/>
      <c r="G18" s="937"/>
      <c r="H18" s="1094"/>
    </row>
    <row r="19" spans="1:8" s="50" customFormat="1" ht="23.25" customHeight="1" outlineLevel="2" thickBot="1" x14ac:dyDescent="0.25">
      <c r="A19" s="929"/>
      <c r="B19" s="949" t="s">
        <v>100</v>
      </c>
      <c r="C19" s="898"/>
      <c r="D19" s="898"/>
      <c r="E19" s="898"/>
      <c r="F19" s="898"/>
      <c r="G19" s="898"/>
      <c r="H19" s="1093"/>
    </row>
    <row r="20" spans="1:8" s="50" customFormat="1" ht="40.5" customHeight="1" outlineLevel="2" thickBot="1" x14ac:dyDescent="0.3">
      <c r="A20" s="929"/>
      <c r="B20"/>
      <c r="C20"/>
      <c r="D20" s="1210" t="s">
        <v>91</v>
      </c>
      <c r="E20" s="1211"/>
      <c r="F20" s="1211"/>
      <c r="G20" s="1211"/>
      <c r="H20" s="1212"/>
    </row>
    <row r="21" spans="1:8" s="50" customFormat="1" ht="15.75" customHeight="1" outlineLevel="2" thickBot="1" x14ac:dyDescent="0.25">
      <c r="A21" s="929"/>
      <c r="B21" s="1202" t="s">
        <v>101</v>
      </c>
      <c r="C21" s="1203"/>
      <c r="D21" s="952" t="str">
        <f ca="1">dms_y1</f>
        <v>2021-22</v>
      </c>
      <c r="E21" s="953" t="str">
        <f ca="1">dms_y2</f>
        <v>2022-23</v>
      </c>
      <c r="F21" s="953" t="str">
        <f ca="1">dms_y3</f>
        <v>2023-24</v>
      </c>
      <c r="G21" s="953" t="str">
        <f ca="1">dms_y4</f>
        <v>2024-25</v>
      </c>
      <c r="H21" s="1069" t="str">
        <f ca="1">dms_y5</f>
        <v>2025-26</v>
      </c>
    </row>
    <row r="22" spans="1:8" ht="15.75" customHeight="1" outlineLevel="2" x14ac:dyDescent="0.25">
      <c r="B22" s="1196" t="s">
        <v>102</v>
      </c>
      <c r="C22" s="1197"/>
      <c r="D22" s="997">
        <v>552255.35</v>
      </c>
      <c r="E22" s="883">
        <v>3973887.29</v>
      </c>
      <c r="F22" s="883">
        <v>7982919.6599999983</v>
      </c>
      <c r="G22" s="883">
        <v>3445400.14</v>
      </c>
      <c r="H22" s="1061"/>
    </row>
    <row r="23" spans="1:8" ht="15.75" customHeight="1" outlineLevel="2" x14ac:dyDescent="0.25">
      <c r="B23" s="1196" t="s">
        <v>103</v>
      </c>
      <c r="C23" s="1197"/>
      <c r="D23" s="1003">
        <v>2135508.27</v>
      </c>
      <c r="E23" s="1004">
        <v>1570619.1600000001</v>
      </c>
      <c r="F23" s="1004">
        <v>1175219.9700000002</v>
      </c>
      <c r="G23" s="1004">
        <v>1065706.82</v>
      </c>
      <c r="H23" s="1062"/>
    </row>
    <row r="24" spans="1:8" ht="15.75" customHeight="1" outlineLevel="2" x14ac:dyDescent="0.25">
      <c r="B24" s="1196" t="s">
        <v>104</v>
      </c>
      <c r="C24" s="1197"/>
      <c r="D24" s="1003">
        <v>2424208.39</v>
      </c>
      <c r="E24" s="1004">
        <v>1708717.56</v>
      </c>
      <c r="F24" s="1004">
        <v>0</v>
      </c>
      <c r="G24" s="1004">
        <v>0</v>
      </c>
      <c r="H24" s="1062"/>
    </row>
    <row r="25" spans="1:8" ht="15.75" customHeight="1" outlineLevel="2" x14ac:dyDescent="0.25">
      <c r="B25" s="1104" t="s">
        <v>105</v>
      </c>
      <c r="C25" s="1105"/>
      <c r="D25" s="1003">
        <v>1336760.51</v>
      </c>
      <c r="E25" s="1004">
        <v>0</v>
      </c>
      <c r="F25" s="1004">
        <v>0</v>
      </c>
      <c r="G25" s="1004">
        <v>0</v>
      </c>
      <c r="H25" s="1062"/>
    </row>
    <row r="26" spans="1:8" ht="15.75" customHeight="1" outlineLevel="2" x14ac:dyDescent="0.25">
      <c r="B26" s="1104" t="s">
        <v>106</v>
      </c>
      <c r="C26" s="1105"/>
      <c r="D26" s="1003">
        <v>0</v>
      </c>
      <c r="E26" s="1004">
        <v>163881.89000000001</v>
      </c>
      <c r="F26" s="1004">
        <v>427145.55</v>
      </c>
      <c r="G26" s="1004">
        <v>1215456.51</v>
      </c>
      <c r="H26" s="1062"/>
    </row>
    <row r="27" spans="1:8" ht="15.75" customHeight="1" outlineLevel="2" x14ac:dyDescent="0.25">
      <c r="B27" s="1104" t="s">
        <v>107</v>
      </c>
      <c r="C27" s="1105"/>
      <c r="D27" s="1003">
        <v>949191.62</v>
      </c>
      <c r="E27" s="1004">
        <v>0</v>
      </c>
      <c r="F27" s="1004">
        <v>0</v>
      </c>
      <c r="G27" s="1004">
        <v>0</v>
      </c>
      <c r="H27" s="1062"/>
    </row>
    <row r="28" spans="1:8" ht="15.75" customHeight="1" outlineLevel="2" x14ac:dyDescent="0.25">
      <c r="B28" s="1104" t="s">
        <v>108</v>
      </c>
      <c r="C28" s="1105"/>
      <c r="D28" s="1003">
        <v>0</v>
      </c>
      <c r="E28" s="1004">
        <v>160067.51</v>
      </c>
      <c r="F28" s="1004">
        <v>177228.40000000002</v>
      </c>
      <c r="G28" s="1004">
        <v>310946.74</v>
      </c>
      <c r="H28" s="1062"/>
    </row>
    <row r="29" spans="1:8" ht="15.75" customHeight="1" outlineLevel="2" x14ac:dyDescent="0.25">
      <c r="B29" s="1104" t="s">
        <v>109</v>
      </c>
      <c r="C29" s="1105"/>
      <c r="D29" s="1003">
        <v>0</v>
      </c>
      <c r="E29" s="1004">
        <v>17706.88</v>
      </c>
      <c r="F29" s="1004">
        <v>37915.440000000002</v>
      </c>
      <c r="G29" s="1004">
        <v>695968.53</v>
      </c>
      <c r="H29" s="1062"/>
    </row>
    <row r="30" spans="1:8" ht="15.75" customHeight="1" outlineLevel="2" x14ac:dyDescent="0.25">
      <c r="B30" s="1104" t="s">
        <v>110</v>
      </c>
      <c r="C30" s="1105"/>
      <c r="D30" s="1003">
        <v>168624.21</v>
      </c>
      <c r="E30" s="1004">
        <v>0</v>
      </c>
      <c r="F30" s="1004">
        <v>0</v>
      </c>
      <c r="G30" s="1004">
        <v>0</v>
      </c>
      <c r="H30" s="1062"/>
    </row>
    <row r="31" spans="1:8" ht="15.75" customHeight="1" outlineLevel="2" x14ac:dyDescent="0.25">
      <c r="B31" s="1104" t="s">
        <v>111</v>
      </c>
      <c r="C31" s="1105"/>
      <c r="D31" s="1003">
        <v>0</v>
      </c>
      <c r="E31" s="1004">
        <v>521850.34470035892</v>
      </c>
      <c r="F31" s="1004">
        <v>355608.49546436954</v>
      </c>
      <c r="G31" s="1004">
        <v>0</v>
      </c>
      <c r="H31" s="1062"/>
    </row>
    <row r="32" spans="1:8" ht="15.75" customHeight="1" outlineLevel="2" x14ac:dyDescent="0.25">
      <c r="B32" s="1196" t="s">
        <v>112</v>
      </c>
      <c r="C32" s="1197"/>
      <c r="D32" s="1003">
        <v>0</v>
      </c>
      <c r="E32" s="1004">
        <v>138686.91520659669</v>
      </c>
      <c r="F32" s="1004">
        <v>181607.28679957305</v>
      </c>
      <c r="G32" s="1004">
        <v>0</v>
      </c>
      <c r="H32" s="1062"/>
    </row>
    <row r="33" spans="2:8" ht="15.75" customHeight="1" outlineLevel="2" x14ac:dyDescent="0.25">
      <c r="B33" s="1196"/>
      <c r="C33" s="1197"/>
      <c r="D33" s="1003"/>
      <c r="E33" s="1004"/>
      <c r="F33" s="1004"/>
      <c r="G33" s="1004"/>
      <c r="H33" s="1062"/>
    </row>
    <row r="34" spans="2:8" ht="15.75" customHeight="1" outlineLevel="2" x14ac:dyDescent="0.25">
      <c r="B34" s="1104"/>
      <c r="C34" s="1105"/>
      <c r="D34" s="1003"/>
      <c r="E34" s="1004"/>
      <c r="F34" s="1004"/>
      <c r="G34" s="1004"/>
      <c r="H34" s="1062"/>
    </row>
    <row r="35" spans="2:8" ht="15.75" customHeight="1" outlineLevel="2" x14ac:dyDescent="0.25">
      <c r="B35" s="1196"/>
      <c r="C35" s="1197"/>
      <c r="D35" s="1003"/>
      <c r="E35" s="1004"/>
      <c r="F35" s="1004"/>
      <c r="G35" s="1004"/>
      <c r="H35" s="1062"/>
    </row>
    <row r="36" spans="2:8" ht="15.75" customHeight="1" outlineLevel="2" x14ac:dyDescent="0.25">
      <c r="B36" s="1196"/>
      <c r="C36" s="1197"/>
      <c r="D36" s="1003"/>
      <c r="E36" s="1004"/>
      <c r="F36" s="1004"/>
      <c r="G36" s="1004"/>
      <c r="H36" s="1062"/>
    </row>
    <row r="37" spans="2:8" ht="15.75" customHeight="1" outlineLevel="2" x14ac:dyDescent="0.25">
      <c r="B37" s="1196"/>
      <c r="C37" s="1197"/>
      <c r="D37" s="1003"/>
      <c r="E37" s="1004"/>
      <c r="F37" s="1004"/>
      <c r="G37" s="1004"/>
      <c r="H37" s="1062"/>
    </row>
    <row r="38" spans="2:8" ht="15.75" customHeight="1" outlineLevel="2" x14ac:dyDescent="0.25">
      <c r="B38" s="1196"/>
      <c r="C38" s="1197"/>
      <c r="D38" s="1003"/>
      <c r="E38" s="1004"/>
      <c r="F38" s="1004"/>
      <c r="G38" s="1004"/>
      <c r="H38" s="1062"/>
    </row>
    <row r="39" spans="2:8" ht="15.75" customHeight="1" outlineLevel="2" x14ac:dyDescent="0.25">
      <c r="B39" s="1196"/>
      <c r="C39" s="1197"/>
      <c r="D39" s="1003"/>
      <c r="E39" s="1004"/>
      <c r="F39" s="1004"/>
      <c r="G39" s="1004"/>
      <c r="H39" s="1062"/>
    </row>
    <row r="40" spans="2:8" ht="15.75" customHeight="1" outlineLevel="2" x14ac:dyDescent="0.25">
      <c r="B40" s="1196"/>
      <c r="C40" s="1197"/>
      <c r="D40" s="1003"/>
      <c r="E40" s="1004"/>
      <c r="F40" s="1004"/>
      <c r="G40" s="1004"/>
      <c r="H40" s="1062"/>
    </row>
    <row r="41" spans="2:8" ht="15.75" customHeight="1" outlineLevel="2" x14ac:dyDescent="0.25">
      <c r="B41" s="1196"/>
      <c r="C41" s="1197"/>
      <c r="D41" s="1003"/>
      <c r="E41" s="1004"/>
      <c r="F41" s="1004"/>
      <c r="G41" s="1004"/>
      <c r="H41" s="1062"/>
    </row>
    <row r="42" spans="2:8" ht="15.75" customHeight="1" outlineLevel="2" x14ac:dyDescent="0.25">
      <c r="B42" s="1196"/>
      <c r="C42" s="1197"/>
      <c r="D42" s="1003"/>
      <c r="E42" s="1004"/>
      <c r="F42" s="1004"/>
      <c r="G42" s="1004"/>
      <c r="H42" s="1062"/>
    </row>
    <row r="43" spans="2:8" ht="15.75" customHeight="1" outlineLevel="2" x14ac:dyDescent="0.25">
      <c r="B43" s="1196"/>
      <c r="C43" s="1197"/>
      <c r="D43" s="1003"/>
      <c r="E43" s="1004"/>
      <c r="F43" s="1004"/>
      <c r="G43" s="1004"/>
      <c r="H43" s="1062"/>
    </row>
    <row r="44" spans="2:8" ht="15.75" customHeight="1" outlineLevel="2" x14ac:dyDescent="0.25">
      <c r="B44" s="1196"/>
      <c r="C44" s="1197"/>
      <c r="D44" s="1003"/>
      <c r="E44" s="1004"/>
      <c r="F44" s="1004"/>
      <c r="G44" s="1004"/>
      <c r="H44" s="1062"/>
    </row>
    <row r="45" spans="2:8" ht="15.75" customHeight="1" outlineLevel="2" x14ac:dyDescent="0.25">
      <c r="B45" s="1196"/>
      <c r="C45" s="1197"/>
      <c r="D45" s="1003"/>
      <c r="E45" s="1004"/>
      <c r="F45" s="1004"/>
      <c r="G45" s="1004"/>
      <c r="H45" s="1062"/>
    </row>
    <row r="46" spans="2:8" ht="15.75" customHeight="1" outlineLevel="2" x14ac:dyDescent="0.25">
      <c r="B46" s="1196"/>
      <c r="C46" s="1197"/>
      <c r="D46" s="1003"/>
      <c r="E46" s="1004"/>
      <c r="F46" s="1004"/>
      <c r="G46" s="1004"/>
      <c r="H46" s="1062"/>
    </row>
    <row r="47" spans="2:8" ht="15.75" customHeight="1" outlineLevel="2" x14ac:dyDescent="0.25">
      <c r="B47" s="1196"/>
      <c r="C47" s="1197"/>
      <c r="D47" s="1003"/>
      <c r="E47" s="1004"/>
      <c r="F47" s="1004"/>
      <c r="G47" s="1004"/>
      <c r="H47" s="1062"/>
    </row>
    <row r="48" spans="2:8" ht="15.75" customHeight="1" outlineLevel="2" x14ac:dyDescent="0.25">
      <c r="B48" s="1196"/>
      <c r="C48" s="1197"/>
      <c r="D48" s="1003"/>
      <c r="E48" s="1004"/>
      <c r="F48" s="1004"/>
      <c r="G48" s="1004"/>
      <c r="H48" s="1062"/>
    </row>
    <row r="49" spans="2:8" ht="15.75" customHeight="1" outlineLevel="2" x14ac:dyDescent="0.25">
      <c r="B49" s="1196"/>
      <c r="C49" s="1197"/>
      <c r="D49" s="1003"/>
      <c r="E49" s="1004"/>
      <c r="F49" s="1004"/>
      <c r="G49" s="1004"/>
      <c r="H49" s="1062"/>
    </row>
    <row r="50" spans="2:8" ht="15.75" customHeight="1" outlineLevel="2" x14ac:dyDescent="0.25">
      <c r="B50" s="1196"/>
      <c r="C50" s="1197"/>
      <c r="D50" s="1003"/>
      <c r="E50" s="1004"/>
      <c r="F50" s="1004"/>
      <c r="G50" s="1004"/>
      <c r="H50" s="1062"/>
    </row>
    <row r="51" spans="2:8" ht="15.75" customHeight="1" outlineLevel="2" x14ac:dyDescent="0.25">
      <c r="B51" s="1196"/>
      <c r="C51" s="1197"/>
      <c r="D51" s="1003"/>
      <c r="E51" s="1004"/>
      <c r="F51" s="1004"/>
      <c r="G51" s="1004"/>
      <c r="H51" s="1062"/>
    </row>
    <row r="52" spans="2:8" ht="15.75" customHeight="1" outlineLevel="2" x14ac:dyDescent="0.25">
      <c r="B52" s="1196"/>
      <c r="C52" s="1197"/>
      <c r="D52" s="1003"/>
      <c r="E52" s="1004"/>
      <c r="F52" s="1004"/>
      <c r="G52" s="1004"/>
      <c r="H52" s="1062"/>
    </row>
    <row r="53" spans="2:8" ht="15.75" customHeight="1" outlineLevel="2" x14ac:dyDescent="0.25">
      <c r="B53" s="1196"/>
      <c r="C53" s="1197"/>
      <c r="D53" s="998"/>
      <c r="E53" s="862"/>
      <c r="F53" s="862"/>
      <c r="G53" s="862"/>
      <c r="H53" s="1063"/>
    </row>
    <row r="54" spans="2:8" ht="15.75" customHeight="1" outlineLevel="2" x14ac:dyDescent="0.25">
      <c r="B54" s="1196"/>
      <c r="C54" s="1197"/>
      <c r="D54" s="998"/>
      <c r="E54" s="862"/>
      <c r="F54" s="862"/>
      <c r="G54" s="862"/>
      <c r="H54" s="1063"/>
    </row>
    <row r="55" spans="2:8" ht="15.75" customHeight="1" outlineLevel="2" x14ac:dyDescent="0.25">
      <c r="B55" s="1196"/>
      <c r="C55" s="1197"/>
      <c r="D55" s="998"/>
      <c r="E55" s="862"/>
      <c r="F55" s="862"/>
      <c r="G55" s="862"/>
      <c r="H55" s="1063"/>
    </row>
    <row r="56" spans="2:8" ht="15.75" customHeight="1" outlineLevel="2" x14ac:dyDescent="0.25">
      <c r="B56" s="1196"/>
      <c r="C56" s="1197"/>
      <c r="D56" s="998"/>
      <c r="E56" s="862"/>
      <c r="F56" s="862"/>
      <c r="G56" s="862"/>
      <c r="H56" s="1063"/>
    </row>
    <row r="57" spans="2:8" ht="15.75" customHeight="1" outlineLevel="2" x14ac:dyDescent="0.25">
      <c r="B57" s="1196"/>
      <c r="C57" s="1197"/>
      <c r="D57" s="998"/>
      <c r="E57" s="862"/>
      <c r="F57" s="862"/>
      <c r="G57" s="862"/>
      <c r="H57" s="1063"/>
    </row>
    <row r="58" spans="2:8" ht="15.75" customHeight="1" outlineLevel="2" x14ac:dyDescent="0.25">
      <c r="B58" s="1196"/>
      <c r="C58" s="1197"/>
      <c r="D58" s="998"/>
      <c r="E58" s="862"/>
      <c r="F58" s="862"/>
      <c r="G58" s="862"/>
      <c r="H58" s="1063"/>
    </row>
    <row r="59" spans="2:8" ht="15.75" customHeight="1" outlineLevel="2" x14ac:dyDescent="0.25">
      <c r="B59" s="1196"/>
      <c r="C59" s="1197"/>
      <c r="D59" s="998"/>
      <c r="E59" s="862"/>
      <c r="F59" s="862"/>
      <c r="G59" s="862"/>
      <c r="H59" s="1063"/>
    </row>
    <row r="60" spans="2:8" ht="15.75" customHeight="1" outlineLevel="2" x14ac:dyDescent="0.25">
      <c r="B60" s="1196"/>
      <c r="C60" s="1197"/>
      <c r="D60" s="998"/>
      <c r="E60" s="862"/>
      <c r="F60" s="862"/>
      <c r="G60" s="862"/>
      <c r="H60" s="1063"/>
    </row>
    <row r="61" spans="2:8" ht="15.75" customHeight="1" outlineLevel="2" x14ac:dyDescent="0.25">
      <c r="B61" s="1196"/>
      <c r="C61" s="1197"/>
      <c r="D61" s="998"/>
      <c r="E61" s="862"/>
      <c r="F61" s="862"/>
      <c r="G61" s="862"/>
      <c r="H61" s="1063"/>
    </row>
    <row r="62" spans="2:8" ht="15.75" customHeight="1" outlineLevel="2" x14ac:dyDescent="0.25">
      <c r="B62" s="1196"/>
      <c r="C62" s="1197"/>
      <c r="D62" s="998"/>
      <c r="E62" s="862"/>
      <c r="F62" s="862"/>
      <c r="G62" s="862"/>
      <c r="H62" s="1063"/>
    </row>
    <row r="63" spans="2:8" ht="15.75" customHeight="1" outlineLevel="2" x14ac:dyDescent="0.25">
      <c r="B63" s="1196"/>
      <c r="C63" s="1197"/>
      <c r="D63" s="998"/>
      <c r="E63" s="862"/>
      <c r="F63" s="862"/>
      <c r="G63" s="862"/>
      <c r="H63" s="1063"/>
    </row>
    <row r="64" spans="2:8" ht="15.75" customHeight="1" outlineLevel="2" x14ac:dyDescent="0.25">
      <c r="B64" s="1196"/>
      <c r="C64" s="1197"/>
      <c r="D64" s="998"/>
      <c r="E64" s="862"/>
      <c r="F64" s="862"/>
      <c r="G64" s="862"/>
      <c r="H64" s="1063"/>
    </row>
    <row r="65" spans="1:8" ht="15.75" customHeight="1" outlineLevel="2" x14ac:dyDescent="0.25">
      <c r="B65" s="1196"/>
      <c r="C65" s="1197"/>
      <c r="D65" s="998"/>
      <c r="E65" s="862"/>
      <c r="F65" s="862"/>
      <c r="G65" s="862"/>
      <c r="H65" s="1063"/>
    </row>
    <row r="66" spans="1:8" ht="15.75" customHeight="1" outlineLevel="2" x14ac:dyDescent="0.25">
      <c r="B66" s="1196"/>
      <c r="C66" s="1197"/>
      <c r="D66" s="998"/>
      <c r="E66" s="862"/>
      <c r="F66" s="862"/>
      <c r="G66" s="862"/>
      <c r="H66" s="1063"/>
    </row>
    <row r="67" spans="1:8" ht="15.75" customHeight="1" outlineLevel="2" x14ac:dyDescent="0.25">
      <c r="B67" s="1196"/>
      <c r="C67" s="1197"/>
      <c r="D67" s="998"/>
      <c r="E67" s="862"/>
      <c r="F67" s="862"/>
      <c r="G67" s="862"/>
      <c r="H67" s="1063"/>
    </row>
    <row r="68" spans="1:8" ht="15.75" customHeight="1" outlineLevel="2" x14ac:dyDescent="0.25">
      <c r="B68" s="1196"/>
      <c r="C68" s="1197"/>
      <c r="D68" s="998"/>
      <c r="E68" s="862"/>
      <c r="F68" s="862"/>
      <c r="G68" s="862"/>
      <c r="H68" s="1063"/>
    </row>
    <row r="69" spans="1:8" ht="15.75" customHeight="1" outlineLevel="2" x14ac:dyDescent="0.25">
      <c r="B69" s="1196"/>
      <c r="C69" s="1197"/>
      <c r="D69" s="998"/>
      <c r="E69" s="862"/>
      <c r="F69" s="862"/>
      <c r="G69" s="862"/>
      <c r="H69" s="1063"/>
    </row>
    <row r="70" spans="1:8" ht="15.75" customHeight="1" outlineLevel="2" x14ac:dyDescent="0.25">
      <c r="B70" s="1196"/>
      <c r="C70" s="1197"/>
      <c r="D70" s="998"/>
      <c r="E70" s="862"/>
      <c r="F70" s="862"/>
      <c r="G70" s="862"/>
      <c r="H70" s="1063"/>
    </row>
    <row r="71" spans="1:8" ht="15.75" customHeight="1" outlineLevel="2" x14ac:dyDescent="0.25">
      <c r="B71" s="1196"/>
      <c r="C71" s="1197"/>
      <c r="D71" s="998"/>
      <c r="E71" s="862"/>
      <c r="F71" s="862"/>
      <c r="G71" s="862"/>
      <c r="H71" s="1063"/>
    </row>
    <row r="72" spans="1:8" ht="15.75" customHeight="1" outlineLevel="2" thickBot="1" x14ac:dyDescent="0.3">
      <c r="B72" s="1213" t="s">
        <v>113</v>
      </c>
      <c r="C72" s="1214"/>
      <c r="D72" s="1005">
        <v>643406.90999999922</v>
      </c>
      <c r="E72" s="886">
        <v>578500.0100000021</v>
      </c>
      <c r="F72" s="886">
        <v>901238.89999999839</v>
      </c>
      <c r="G72" s="886">
        <v>228776.40999999829</v>
      </c>
      <c r="H72" s="1064"/>
    </row>
    <row r="73" spans="1:8" ht="15.75" customHeight="1" outlineLevel="2" thickBot="1" x14ac:dyDescent="0.3">
      <c r="B73" s="930" t="s">
        <v>114</v>
      </c>
      <c r="C73" s="976"/>
      <c r="D73" s="940">
        <f t="shared" ref="D73:H73" si="1">SUM(D22:D72)</f>
        <v>8209955.2599999988</v>
      </c>
      <c r="E73" s="940">
        <f t="shared" si="1"/>
        <v>8833917.5599069558</v>
      </c>
      <c r="F73" s="940">
        <f t="shared" si="1"/>
        <v>11238883.70226394</v>
      </c>
      <c r="G73" s="940">
        <f t="shared" si="1"/>
        <v>6962255.1499999985</v>
      </c>
      <c r="H73" s="1065">
        <f t="shared" si="1"/>
        <v>0</v>
      </c>
    </row>
    <row r="74" spans="1:8" ht="15.75" customHeight="1" outlineLevel="1" thickBot="1" x14ac:dyDescent="0.3">
      <c r="B74" s="361"/>
      <c r="C74" s="361"/>
      <c r="D74" s="37"/>
      <c r="E74" s="37"/>
      <c r="F74" s="37"/>
      <c r="G74" s="37"/>
      <c r="H74" s="37"/>
    </row>
    <row r="75" spans="1:8" ht="20.25" customHeight="1" outlineLevel="1" thickBot="1" x14ac:dyDescent="0.3">
      <c r="B75" s="949" t="s">
        <v>115</v>
      </c>
      <c r="C75" s="898"/>
      <c r="D75" s="898"/>
      <c r="E75" s="898"/>
      <c r="F75" s="898"/>
      <c r="G75" s="898"/>
      <c r="H75" s="1093"/>
    </row>
    <row r="76" spans="1:8" s="50" customFormat="1" ht="15" customHeight="1" outlineLevel="2" x14ac:dyDescent="0.25">
      <c r="A76" s="929"/>
      <c r="B76"/>
      <c r="C76"/>
      <c r="D76" s="1204" t="s">
        <v>116</v>
      </c>
      <c r="E76" s="1205"/>
      <c r="F76" s="1205"/>
      <c r="G76" s="1205"/>
      <c r="H76" s="1206"/>
    </row>
    <row r="77" spans="1:8" s="50" customFormat="1" ht="31.35" customHeight="1" outlineLevel="2" thickBot="1" x14ac:dyDescent="0.3">
      <c r="A77" s="929"/>
      <c r="B77"/>
      <c r="C77"/>
      <c r="D77" s="1207"/>
      <c r="E77" s="1208"/>
      <c r="F77" s="1208"/>
      <c r="G77" s="1208"/>
      <c r="H77" s="1209"/>
    </row>
    <row r="78" spans="1:8" s="50" customFormat="1" ht="15.75" outlineLevel="2" thickBot="1" x14ac:dyDescent="0.3">
      <c r="A78" s="929"/>
      <c r="B78" s="154"/>
      <c r="C78" s="977" t="s">
        <v>117</v>
      </c>
      <c r="D78" s="1079" t="str">
        <f ca="1">dms_y1</f>
        <v>2021-22</v>
      </c>
      <c r="E78" s="1080" t="str">
        <f ca="1">dms_y2</f>
        <v>2022-23</v>
      </c>
      <c r="F78" s="1080" t="str">
        <f ca="1">dms_y3</f>
        <v>2023-24</v>
      </c>
      <c r="G78" s="1081" t="str">
        <f ca="1">dms_y4</f>
        <v>2024-25</v>
      </c>
      <c r="H78" s="1092" t="str">
        <f ca="1">dms_y5</f>
        <v>2025-26</v>
      </c>
    </row>
    <row r="79" spans="1:8" ht="15.75" customHeight="1" outlineLevel="2" x14ac:dyDescent="0.25">
      <c r="B79" s="978" t="str">
        <f>IF(ISBLANK(B22),"",B22)</f>
        <v>DN250 Security of supply</v>
      </c>
      <c r="C79" s="1109" t="s">
        <v>118</v>
      </c>
      <c r="D79" s="997"/>
      <c r="E79" s="883"/>
      <c r="F79" s="883"/>
      <c r="G79" s="1057"/>
      <c r="H79" s="1061"/>
    </row>
    <row r="80" spans="1:8" ht="15.75" customHeight="1" outlineLevel="2" x14ac:dyDescent="0.25">
      <c r="B80" s="915" t="str">
        <f t="shared" ref="B80:B128" si="2">IF(ISBLANK(B23),"",B23)</f>
        <v>CP Augmentation</v>
      </c>
      <c r="C80" s="1116" t="s">
        <v>119</v>
      </c>
      <c r="D80" s="1003">
        <v>2.9846164094965348</v>
      </c>
      <c r="E80" s="1004">
        <v>4.4998853053649901</v>
      </c>
      <c r="F80" s="1004">
        <v>4.3465705455273262</v>
      </c>
      <c r="G80" s="1058">
        <v>3.9650042514244737</v>
      </c>
      <c r="H80" s="1062"/>
    </row>
    <row r="81" spans="2:8" ht="15.75" customHeight="1" outlineLevel="2" x14ac:dyDescent="0.25">
      <c r="B81" s="915" t="str">
        <f t="shared" si="2"/>
        <v>DN250 Dig Ups Stage 6, 7 &amp; 8 (Pipeline Integrity assessment program)</v>
      </c>
      <c r="C81" s="1116" t="s">
        <v>120</v>
      </c>
      <c r="D81" s="1003">
        <v>67.929093787211315</v>
      </c>
      <c r="E81" s="1004">
        <v>35</v>
      </c>
      <c r="F81" s="1004">
        <v>0</v>
      </c>
      <c r="G81" s="1058">
        <v>0</v>
      </c>
      <c r="H81" s="1062"/>
    </row>
    <row r="82" spans="2:8" ht="15.75" customHeight="1" outlineLevel="2" x14ac:dyDescent="0.25">
      <c r="B82" s="915" t="str">
        <f t="shared" si="2"/>
        <v>Dalby Unit2 C50</v>
      </c>
      <c r="C82" s="1116" t="s">
        <v>121</v>
      </c>
      <c r="D82" s="1003">
        <v>1</v>
      </c>
      <c r="E82" s="1004">
        <v>0</v>
      </c>
      <c r="F82" s="1004">
        <v>0</v>
      </c>
      <c r="G82" s="1058">
        <v>0</v>
      </c>
      <c r="H82" s="1062"/>
    </row>
    <row r="83" spans="2:8" ht="15.75" customHeight="1" outlineLevel="2" x14ac:dyDescent="0.25">
      <c r="B83" s="915" t="str">
        <f t="shared" si="2"/>
        <v>Gowrie Cr Wash Out Capex</v>
      </c>
      <c r="C83" s="1115" t="s">
        <v>118</v>
      </c>
      <c r="D83" s="1003"/>
      <c r="E83" s="1004"/>
      <c r="F83" s="1004"/>
      <c r="G83" s="1058"/>
      <c r="H83" s="1062"/>
    </row>
    <row r="84" spans="2:8" ht="15.75" customHeight="1" outlineLevel="2" x14ac:dyDescent="0.25">
      <c r="B84" s="915" t="str">
        <f t="shared" si="2"/>
        <v>DN300 Metro Emat (Refer Note 1 detailed in the "Additional disclosures" tab)</v>
      </c>
      <c r="C84" s="1116" t="s">
        <v>122</v>
      </c>
      <c r="D84" s="1003">
        <v>35.596535533470842</v>
      </c>
      <c r="E84" s="1004">
        <v>3.0034644665291581</v>
      </c>
      <c r="F84" s="1004">
        <v>0</v>
      </c>
      <c r="G84" s="1058">
        <v>0</v>
      </c>
      <c r="H84" s="1062"/>
    </row>
    <row r="85" spans="2:8" ht="15.75" customHeight="1" outlineLevel="2" x14ac:dyDescent="0.25">
      <c r="B85" s="915" t="str">
        <f t="shared" si="2"/>
        <v>Main Switchboard</v>
      </c>
      <c r="C85" s="1116" t="s">
        <v>123</v>
      </c>
      <c r="D85" s="1003">
        <v>0</v>
      </c>
      <c r="E85" s="1004">
        <v>0.49385059745760329</v>
      </c>
      <c r="F85" s="1004">
        <v>0.54679648122504754</v>
      </c>
      <c r="G85" s="1058">
        <v>0.95935292131734928</v>
      </c>
      <c r="H85" s="1062"/>
    </row>
    <row r="86" spans="2:8" ht="15.75" customHeight="1" outlineLevel="2" x14ac:dyDescent="0.25">
      <c r="B86" s="915" t="str">
        <f t="shared" si="2"/>
        <v>DN300 Validation Digs</v>
      </c>
      <c r="C86" s="1116" t="s">
        <v>120</v>
      </c>
      <c r="D86" s="1003">
        <v>0</v>
      </c>
      <c r="E86" s="1004">
        <v>7.0677603379551521E-2</v>
      </c>
      <c r="F86" s="1004">
        <v>0.15134074609875839</v>
      </c>
      <c r="G86" s="1058">
        <v>2.7779816505216899</v>
      </c>
      <c r="H86" s="1062"/>
    </row>
    <row r="87" spans="2:8" ht="15.75" customHeight="1" outlineLevel="2" x14ac:dyDescent="0.25">
      <c r="B87" s="915" t="str">
        <f t="shared" si="2"/>
        <v>DN400.Oaky to SB MFL (Refer Note 1 detailed in the "Additional disclosures" tab)</v>
      </c>
      <c r="C87" s="1116" t="s">
        <v>122</v>
      </c>
      <c r="D87" s="1003">
        <v>31.011985979806667</v>
      </c>
      <c r="E87" s="1004">
        <v>85.070494091690662</v>
      </c>
      <c r="F87" s="1004">
        <v>7.9881696014824151</v>
      </c>
      <c r="G87" s="1058">
        <v>11.92935032702024</v>
      </c>
      <c r="H87" s="1062"/>
    </row>
    <row r="88" spans="2:8" ht="15.75" customHeight="1" outlineLevel="2" x14ac:dyDescent="0.25">
      <c r="B88" s="915" t="str">
        <f t="shared" si="2"/>
        <v>AASB16 Share of Leased Assets - Land &amp; Building (Refer Note 2 detailed in the "Additional disclosures" tab)</v>
      </c>
      <c r="C88" s="1115" t="s">
        <v>118</v>
      </c>
      <c r="D88" s="1003"/>
      <c r="E88" s="1004"/>
      <c r="F88" s="1004"/>
      <c r="G88" s="1058"/>
      <c r="H88" s="1062"/>
    </row>
    <row r="89" spans="2:8" ht="15.75" customHeight="1" outlineLevel="2" x14ac:dyDescent="0.25">
      <c r="B89" s="915" t="str">
        <f t="shared" si="2"/>
        <v>AASB16 Share of Leased Assets - Motor Vehicles (Refer Note 2 detailed in the "Additional disclosures" tab)</v>
      </c>
      <c r="C89" s="1115" t="s">
        <v>118</v>
      </c>
      <c r="D89" s="1003"/>
      <c r="E89" s="1004"/>
      <c r="F89" s="1004"/>
      <c r="G89" s="1058"/>
      <c r="H89" s="1062"/>
    </row>
    <row r="90" spans="2:8" ht="15.75" customHeight="1" outlineLevel="2" x14ac:dyDescent="0.25">
      <c r="B90" s="915" t="str">
        <f t="shared" si="2"/>
        <v/>
      </c>
      <c r="C90" s="1110"/>
      <c r="D90" s="1003"/>
      <c r="E90" s="1004"/>
      <c r="F90" s="1004"/>
      <c r="G90" s="1058"/>
      <c r="H90" s="1062"/>
    </row>
    <row r="91" spans="2:8" ht="15.75" customHeight="1" outlineLevel="2" x14ac:dyDescent="0.25">
      <c r="B91" s="915" t="str">
        <f t="shared" si="2"/>
        <v/>
      </c>
      <c r="C91" s="979"/>
      <c r="D91" s="1003"/>
      <c r="E91" s="1004"/>
      <c r="F91" s="1004"/>
      <c r="G91" s="1058"/>
      <c r="H91" s="1062"/>
    </row>
    <row r="92" spans="2:8" ht="15.75" customHeight="1" outlineLevel="2" x14ac:dyDescent="0.25">
      <c r="B92" s="915" t="str">
        <f t="shared" si="2"/>
        <v/>
      </c>
      <c r="C92" s="979"/>
      <c r="D92" s="1003"/>
      <c r="E92" s="1004"/>
      <c r="F92" s="1004"/>
      <c r="G92" s="1058"/>
      <c r="H92" s="1062"/>
    </row>
    <row r="93" spans="2:8" ht="15.75" customHeight="1" outlineLevel="2" x14ac:dyDescent="0.25">
      <c r="B93" s="915" t="str">
        <f t="shared" si="2"/>
        <v/>
      </c>
      <c r="C93" s="979"/>
      <c r="D93" s="1003"/>
      <c r="E93" s="1004"/>
      <c r="F93" s="1004"/>
      <c r="G93" s="1058"/>
      <c r="H93" s="1062"/>
    </row>
    <row r="94" spans="2:8" ht="15.75" customHeight="1" outlineLevel="2" x14ac:dyDescent="0.25">
      <c r="B94" s="915" t="str">
        <f t="shared" si="2"/>
        <v/>
      </c>
      <c r="C94" s="979"/>
      <c r="D94" s="1003"/>
      <c r="E94" s="1004"/>
      <c r="F94" s="1004"/>
      <c r="G94" s="1058"/>
      <c r="H94" s="1062"/>
    </row>
    <row r="95" spans="2:8" ht="15.75" customHeight="1" outlineLevel="2" x14ac:dyDescent="0.25">
      <c r="B95" s="915" t="str">
        <f t="shared" si="2"/>
        <v/>
      </c>
      <c r="C95" s="979"/>
      <c r="D95" s="1003"/>
      <c r="E95" s="1004"/>
      <c r="F95" s="1004"/>
      <c r="G95" s="1058"/>
      <c r="H95" s="1062"/>
    </row>
    <row r="96" spans="2:8" ht="15.75" customHeight="1" outlineLevel="2" x14ac:dyDescent="0.25">
      <c r="B96" s="915" t="str">
        <f t="shared" si="2"/>
        <v/>
      </c>
      <c r="C96" s="979"/>
      <c r="D96" s="1003"/>
      <c r="E96" s="1004"/>
      <c r="F96" s="1004"/>
      <c r="G96" s="1058"/>
      <c r="H96" s="1062"/>
    </row>
    <row r="97" spans="2:8" ht="15.75" customHeight="1" outlineLevel="2" x14ac:dyDescent="0.25">
      <c r="B97" s="915" t="str">
        <f t="shared" si="2"/>
        <v/>
      </c>
      <c r="C97" s="979"/>
      <c r="D97" s="1003"/>
      <c r="E97" s="1004"/>
      <c r="F97" s="1004"/>
      <c r="G97" s="1058"/>
      <c r="H97" s="1062"/>
    </row>
    <row r="98" spans="2:8" ht="15.75" customHeight="1" outlineLevel="2" x14ac:dyDescent="0.25">
      <c r="B98" s="915" t="str">
        <f t="shared" si="2"/>
        <v/>
      </c>
      <c r="C98" s="979"/>
      <c r="D98" s="1003"/>
      <c r="E98" s="1004"/>
      <c r="F98" s="1004"/>
      <c r="G98" s="1058"/>
      <c r="H98" s="1062"/>
    </row>
    <row r="99" spans="2:8" ht="15.75" customHeight="1" outlineLevel="2" x14ac:dyDescent="0.25">
      <c r="B99" s="915" t="str">
        <f t="shared" si="2"/>
        <v/>
      </c>
      <c r="C99" s="979"/>
      <c r="D99" s="1003"/>
      <c r="E99" s="1004"/>
      <c r="F99" s="1004"/>
      <c r="G99" s="1058"/>
      <c r="H99" s="1062"/>
    </row>
    <row r="100" spans="2:8" ht="15.75" customHeight="1" outlineLevel="2" x14ac:dyDescent="0.25">
      <c r="B100" s="915" t="str">
        <f t="shared" si="2"/>
        <v/>
      </c>
      <c r="C100" s="979"/>
      <c r="D100" s="1003"/>
      <c r="E100" s="1004"/>
      <c r="F100" s="1004"/>
      <c r="G100" s="1058"/>
      <c r="H100" s="1062"/>
    </row>
    <row r="101" spans="2:8" ht="15.75" customHeight="1" outlineLevel="2" x14ac:dyDescent="0.25">
      <c r="B101" s="915" t="str">
        <f t="shared" si="2"/>
        <v/>
      </c>
      <c r="C101" s="979"/>
      <c r="D101" s="1003"/>
      <c r="E101" s="1004"/>
      <c r="F101" s="1004"/>
      <c r="G101" s="1058"/>
      <c r="H101" s="1062"/>
    </row>
    <row r="102" spans="2:8" ht="15.75" customHeight="1" outlineLevel="2" x14ac:dyDescent="0.25">
      <c r="B102" s="915" t="str">
        <f t="shared" si="2"/>
        <v/>
      </c>
      <c r="C102" s="979"/>
      <c r="D102" s="1003"/>
      <c r="E102" s="1004"/>
      <c r="F102" s="1004"/>
      <c r="G102" s="1058"/>
      <c r="H102" s="1062"/>
    </row>
    <row r="103" spans="2:8" ht="15.75" customHeight="1" outlineLevel="2" x14ac:dyDescent="0.25">
      <c r="B103" s="915" t="str">
        <f t="shared" si="2"/>
        <v/>
      </c>
      <c r="C103" s="979"/>
      <c r="D103" s="1003"/>
      <c r="E103" s="1004"/>
      <c r="F103" s="1004"/>
      <c r="G103" s="1058"/>
      <c r="H103" s="1062"/>
    </row>
    <row r="104" spans="2:8" ht="15.75" customHeight="1" outlineLevel="2" x14ac:dyDescent="0.25">
      <c r="B104" s="915" t="str">
        <f t="shared" si="2"/>
        <v/>
      </c>
      <c r="C104" s="979"/>
      <c r="D104" s="1003"/>
      <c r="E104" s="1004"/>
      <c r="F104" s="1004"/>
      <c r="G104" s="1058"/>
      <c r="H104" s="1062"/>
    </row>
    <row r="105" spans="2:8" ht="15.75" customHeight="1" outlineLevel="2" x14ac:dyDescent="0.25">
      <c r="B105" s="915" t="str">
        <f t="shared" si="2"/>
        <v/>
      </c>
      <c r="C105" s="979"/>
      <c r="D105" s="1003"/>
      <c r="E105" s="1004"/>
      <c r="F105" s="1004"/>
      <c r="G105" s="1058"/>
      <c r="H105" s="1062"/>
    </row>
    <row r="106" spans="2:8" ht="15.75" customHeight="1" outlineLevel="2" x14ac:dyDescent="0.25">
      <c r="B106" s="915" t="str">
        <f t="shared" si="2"/>
        <v/>
      </c>
      <c r="C106" s="979"/>
      <c r="D106" s="1003"/>
      <c r="E106" s="1004"/>
      <c r="F106" s="1004"/>
      <c r="G106" s="1058"/>
      <c r="H106" s="1062"/>
    </row>
    <row r="107" spans="2:8" ht="15.75" customHeight="1" outlineLevel="2" x14ac:dyDescent="0.25">
      <c r="B107" s="915" t="str">
        <f t="shared" si="2"/>
        <v/>
      </c>
      <c r="C107" s="979"/>
      <c r="D107" s="1003"/>
      <c r="E107" s="1004"/>
      <c r="F107" s="1004"/>
      <c r="G107" s="1058"/>
      <c r="H107" s="1062"/>
    </row>
    <row r="108" spans="2:8" ht="15.75" customHeight="1" outlineLevel="2" x14ac:dyDescent="0.25">
      <c r="B108" s="915" t="str">
        <f t="shared" si="2"/>
        <v/>
      </c>
      <c r="C108" s="979"/>
      <c r="D108" s="1003"/>
      <c r="E108" s="1004"/>
      <c r="F108" s="1004"/>
      <c r="G108" s="1058"/>
      <c r="H108" s="1062"/>
    </row>
    <row r="109" spans="2:8" ht="15.75" customHeight="1" outlineLevel="2" x14ac:dyDescent="0.25">
      <c r="B109" s="915" t="str">
        <f t="shared" si="2"/>
        <v/>
      </c>
      <c r="C109" s="979"/>
      <c r="D109" s="1003"/>
      <c r="E109" s="1004"/>
      <c r="F109" s="1004"/>
      <c r="G109" s="1058"/>
      <c r="H109" s="1062"/>
    </row>
    <row r="110" spans="2:8" ht="15.75" customHeight="1" outlineLevel="2" x14ac:dyDescent="0.25">
      <c r="B110" s="915" t="str">
        <f t="shared" si="2"/>
        <v/>
      </c>
      <c r="C110" s="979"/>
      <c r="D110" s="998"/>
      <c r="E110" s="862"/>
      <c r="F110" s="862"/>
      <c r="G110" s="1059"/>
      <c r="H110" s="1063"/>
    </row>
    <row r="111" spans="2:8" ht="15.75" customHeight="1" outlineLevel="2" x14ac:dyDescent="0.25">
      <c r="B111" s="915" t="str">
        <f t="shared" si="2"/>
        <v/>
      </c>
      <c r="C111" s="979"/>
      <c r="D111" s="998"/>
      <c r="E111" s="862"/>
      <c r="F111" s="862"/>
      <c r="G111" s="1059"/>
      <c r="H111" s="1063"/>
    </row>
    <row r="112" spans="2:8" ht="15.75" customHeight="1" outlineLevel="2" x14ac:dyDescent="0.25">
      <c r="B112" s="915" t="str">
        <f t="shared" si="2"/>
        <v/>
      </c>
      <c r="C112" s="979"/>
      <c r="D112" s="998"/>
      <c r="E112" s="862"/>
      <c r="F112" s="862"/>
      <c r="G112" s="1059"/>
      <c r="H112" s="1063"/>
    </row>
    <row r="113" spans="2:8" ht="15.75" customHeight="1" outlineLevel="2" x14ac:dyDescent="0.25">
      <c r="B113" s="915" t="str">
        <f t="shared" si="2"/>
        <v/>
      </c>
      <c r="C113" s="979"/>
      <c r="D113" s="998"/>
      <c r="E113" s="862"/>
      <c r="F113" s="862"/>
      <c r="G113" s="1059"/>
      <c r="H113" s="1063"/>
    </row>
    <row r="114" spans="2:8" ht="15.75" customHeight="1" outlineLevel="2" x14ac:dyDescent="0.25">
      <c r="B114" s="915" t="str">
        <f t="shared" si="2"/>
        <v/>
      </c>
      <c r="C114" s="979"/>
      <c r="D114" s="998"/>
      <c r="E114" s="862"/>
      <c r="F114" s="862"/>
      <c r="G114" s="1059"/>
      <c r="H114" s="1063"/>
    </row>
    <row r="115" spans="2:8" ht="15.75" customHeight="1" outlineLevel="2" x14ac:dyDescent="0.25">
      <c r="B115" s="915" t="str">
        <f t="shared" si="2"/>
        <v/>
      </c>
      <c r="C115" s="979"/>
      <c r="D115" s="998"/>
      <c r="E115" s="862"/>
      <c r="F115" s="862"/>
      <c r="G115" s="1059"/>
      <c r="H115" s="1063"/>
    </row>
    <row r="116" spans="2:8" ht="15.75" customHeight="1" outlineLevel="2" x14ac:dyDescent="0.25">
      <c r="B116" s="915" t="str">
        <f t="shared" si="2"/>
        <v/>
      </c>
      <c r="C116" s="979"/>
      <c r="D116" s="998"/>
      <c r="E116" s="862"/>
      <c r="F116" s="862"/>
      <c r="G116" s="1059"/>
      <c r="H116" s="1063"/>
    </row>
    <row r="117" spans="2:8" ht="15.75" customHeight="1" outlineLevel="2" x14ac:dyDescent="0.25">
      <c r="B117" s="915" t="str">
        <f t="shared" si="2"/>
        <v/>
      </c>
      <c r="C117" s="979"/>
      <c r="D117" s="998"/>
      <c r="E117" s="862"/>
      <c r="F117" s="862"/>
      <c r="G117" s="1059"/>
      <c r="H117" s="1063"/>
    </row>
    <row r="118" spans="2:8" ht="15.75" customHeight="1" outlineLevel="2" x14ac:dyDescent="0.25">
      <c r="B118" s="915" t="str">
        <f t="shared" si="2"/>
        <v/>
      </c>
      <c r="C118" s="979"/>
      <c r="D118" s="998"/>
      <c r="E118" s="862"/>
      <c r="F118" s="862"/>
      <c r="G118" s="1059"/>
      <c r="H118" s="1063"/>
    </row>
    <row r="119" spans="2:8" ht="15.75" customHeight="1" outlineLevel="2" x14ac:dyDescent="0.25">
      <c r="B119" s="915" t="str">
        <f t="shared" si="2"/>
        <v/>
      </c>
      <c r="C119" s="979"/>
      <c r="D119" s="998"/>
      <c r="E119" s="862"/>
      <c r="F119" s="862"/>
      <c r="G119" s="1059"/>
      <c r="H119" s="1063"/>
    </row>
    <row r="120" spans="2:8" ht="15.75" customHeight="1" outlineLevel="2" x14ac:dyDescent="0.25">
      <c r="B120" s="915" t="str">
        <f t="shared" si="2"/>
        <v/>
      </c>
      <c r="C120" s="979"/>
      <c r="D120" s="998"/>
      <c r="E120" s="862"/>
      <c r="F120" s="862"/>
      <c r="G120" s="1059"/>
      <c r="H120" s="1063"/>
    </row>
    <row r="121" spans="2:8" ht="15.75" customHeight="1" outlineLevel="2" x14ac:dyDescent="0.25">
      <c r="B121" s="915" t="str">
        <f t="shared" si="2"/>
        <v/>
      </c>
      <c r="C121" s="979"/>
      <c r="D121" s="998"/>
      <c r="E121" s="862"/>
      <c r="F121" s="862"/>
      <c r="G121" s="1059"/>
      <c r="H121" s="1063"/>
    </row>
    <row r="122" spans="2:8" ht="15.75" customHeight="1" outlineLevel="2" x14ac:dyDescent="0.25">
      <c r="B122" s="915" t="str">
        <f t="shared" si="2"/>
        <v/>
      </c>
      <c r="C122" s="979"/>
      <c r="D122" s="998"/>
      <c r="E122" s="862"/>
      <c r="F122" s="862"/>
      <c r="G122" s="1059"/>
      <c r="H122" s="1063"/>
    </row>
    <row r="123" spans="2:8" ht="15.75" customHeight="1" outlineLevel="2" x14ac:dyDescent="0.25">
      <c r="B123" s="915" t="str">
        <f t="shared" si="2"/>
        <v/>
      </c>
      <c r="C123" s="979"/>
      <c r="D123" s="998"/>
      <c r="E123" s="862"/>
      <c r="F123" s="862"/>
      <c r="G123" s="1059"/>
      <c r="H123" s="1063"/>
    </row>
    <row r="124" spans="2:8" ht="15.75" customHeight="1" outlineLevel="2" x14ac:dyDescent="0.25">
      <c r="B124" s="915" t="str">
        <f t="shared" si="2"/>
        <v/>
      </c>
      <c r="C124" s="979"/>
      <c r="D124" s="998"/>
      <c r="E124" s="862"/>
      <c r="F124" s="862"/>
      <c r="G124" s="1059"/>
      <c r="H124" s="1063"/>
    </row>
    <row r="125" spans="2:8" ht="15.75" customHeight="1" outlineLevel="2" x14ac:dyDescent="0.25">
      <c r="B125" s="915" t="str">
        <f t="shared" si="2"/>
        <v/>
      </c>
      <c r="C125" s="979"/>
      <c r="D125" s="998"/>
      <c r="E125" s="862"/>
      <c r="F125" s="862"/>
      <c r="G125" s="1059"/>
      <c r="H125" s="1063"/>
    </row>
    <row r="126" spans="2:8" ht="15.75" customHeight="1" outlineLevel="2" x14ac:dyDescent="0.25">
      <c r="B126" s="915" t="str">
        <f t="shared" si="2"/>
        <v/>
      </c>
      <c r="C126" s="979"/>
      <c r="D126" s="998"/>
      <c r="E126" s="862"/>
      <c r="F126" s="862"/>
      <c r="G126" s="1059"/>
      <c r="H126" s="1063"/>
    </row>
    <row r="127" spans="2:8" ht="15.75" customHeight="1" outlineLevel="2" x14ac:dyDescent="0.25">
      <c r="B127" s="915" t="str">
        <f t="shared" si="2"/>
        <v/>
      </c>
      <c r="C127" s="979"/>
      <c r="D127" s="998"/>
      <c r="E127" s="862"/>
      <c r="F127" s="862"/>
      <c r="G127" s="1059"/>
      <c r="H127" s="1063"/>
    </row>
    <row r="128" spans="2:8" ht="15.75" customHeight="1" outlineLevel="2" x14ac:dyDescent="0.25">
      <c r="B128" s="915" t="str">
        <f t="shared" si="2"/>
        <v/>
      </c>
      <c r="C128" s="979"/>
      <c r="D128" s="998"/>
      <c r="E128" s="862"/>
      <c r="F128" s="862"/>
      <c r="G128" s="1059"/>
      <c r="H128" s="1063"/>
    </row>
    <row r="129" spans="1:8" ht="15.75" customHeight="1" outlineLevel="2" thickBot="1" x14ac:dyDescent="0.3">
      <c r="B129" s="935" t="s">
        <v>113</v>
      </c>
      <c r="C129" s="1115" t="s">
        <v>118</v>
      </c>
      <c r="D129" s="998"/>
      <c r="E129" s="862"/>
      <c r="F129" s="862"/>
      <c r="G129" s="1059"/>
      <c r="H129" s="1063"/>
    </row>
    <row r="130" spans="1:8" ht="15.75" customHeight="1" outlineLevel="2" thickBot="1" x14ac:dyDescent="0.3">
      <c r="B130" s="1198" t="s">
        <v>114</v>
      </c>
      <c r="C130" s="1199"/>
      <c r="D130" s="940">
        <f t="shared" ref="D130:H130" si="3">SUM(D79:D129)</f>
        <v>138.52223170998536</v>
      </c>
      <c r="E130" s="940">
        <f t="shared" si="3"/>
        <v>128.13837206442196</v>
      </c>
      <c r="F130" s="940">
        <f t="shared" si="3"/>
        <v>13.032877374333548</v>
      </c>
      <c r="G130" s="940">
        <f t="shared" si="3"/>
        <v>19.631689150283755</v>
      </c>
      <c r="H130" s="1065">
        <f t="shared" si="3"/>
        <v>0</v>
      </c>
    </row>
    <row r="131" spans="1:8" x14ac:dyDescent="0.25">
      <c r="D131" s="37"/>
      <c r="E131" s="37"/>
      <c r="F131" s="37"/>
      <c r="G131" s="37"/>
      <c r="H131" s="37"/>
    </row>
    <row r="132" spans="1:8" x14ac:dyDescent="0.25">
      <c r="A132" s="926"/>
    </row>
    <row r="133" spans="1:8" x14ac:dyDescent="0.25">
      <c r="A133" s="926"/>
    </row>
    <row r="134" spans="1:8" x14ac:dyDescent="0.25">
      <c r="A134" s="926"/>
    </row>
    <row r="135" spans="1:8" x14ac:dyDescent="0.25">
      <c r="A135" s="926"/>
    </row>
    <row r="136" spans="1:8" x14ac:dyDescent="0.25">
      <c r="A136" s="926"/>
    </row>
    <row r="137" spans="1:8" x14ac:dyDescent="0.25">
      <c r="A137" s="926"/>
    </row>
    <row r="138" spans="1:8" x14ac:dyDescent="0.25">
      <c r="A138" s="926"/>
    </row>
    <row r="139" spans="1:8" x14ac:dyDescent="0.25">
      <c r="A139" s="926"/>
    </row>
    <row r="140" spans="1:8" x14ac:dyDescent="0.25">
      <c r="A140" s="926"/>
    </row>
    <row r="141" spans="1:8" x14ac:dyDescent="0.25">
      <c r="A141" s="926"/>
    </row>
    <row r="142" spans="1:8" x14ac:dyDescent="0.25">
      <c r="A142" s="926"/>
    </row>
    <row r="143" spans="1:8" x14ac:dyDescent="0.25">
      <c r="A143" s="926"/>
    </row>
    <row r="144" spans="1:8" x14ac:dyDescent="0.25">
      <c r="A144" s="926"/>
    </row>
    <row r="145" spans="1:1" x14ac:dyDescent="0.25">
      <c r="A145" s="926"/>
    </row>
    <row r="146" spans="1:1" x14ac:dyDescent="0.25">
      <c r="A146" s="926"/>
    </row>
    <row r="147" spans="1:1" x14ac:dyDescent="0.25">
      <c r="A147" s="926"/>
    </row>
    <row r="148" spans="1:1" x14ac:dyDescent="0.25">
      <c r="A148" s="926"/>
    </row>
    <row r="149" spans="1:1" x14ac:dyDescent="0.25">
      <c r="A149" s="926"/>
    </row>
    <row r="150" spans="1:1" x14ac:dyDescent="0.25">
      <c r="A150" s="926"/>
    </row>
    <row r="151" spans="1:1" x14ac:dyDescent="0.25">
      <c r="A151" s="926"/>
    </row>
    <row r="152" spans="1:1" x14ac:dyDescent="0.25">
      <c r="A152" s="926" t="s">
        <v>124</v>
      </c>
    </row>
    <row r="153" spans="1:1" x14ac:dyDescent="0.25">
      <c r="A153" s="926"/>
    </row>
    <row r="154" spans="1:1" x14ac:dyDescent="0.25">
      <c r="A154" s="926"/>
    </row>
    <row r="155" spans="1:1" x14ac:dyDescent="0.25">
      <c r="A155" s="926"/>
    </row>
    <row r="156" spans="1:1" x14ac:dyDescent="0.25">
      <c r="A156" s="926"/>
    </row>
    <row r="157" spans="1:1" x14ac:dyDescent="0.25">
      <c r="A157" s="926"/>
    </row>
    <row r="158" spans="1:1" x14ac:dyDescent="0.25">
      <c r="A158" s="926"/>
    </row>
    <row r="159" spans="1:1" x14ac:dyDescent="0.25">
      <c r="A159" s="926"/>
    </row>
    <row r="160" spans="1:1" x14ac:dyDescent="0.25">
      <c r="A160" s="926"/>
    </row>
    <row r="161" spans="1:1" x14ac:dyDescent="0.25">
      <c r="A161" s="926"/>
    </row>
    <row r="162" spans="1:1" x14ac:dyDescent="0.25">
      <c r="A162" s="926"/>
    </row>
    <row r="163" spans="1:1" x14ac:dyDescent="0.25">
      <c r="A163" s="926"/>
    </row>
    <row r="164" spans="1:1" x14ac:dyDescent="0.25">
      <c r="A164" s="926"/>
    </row>
    <row r="165" spans="1:1" x14ac:dyDescent="0.25">
      <c r="A165" s="926"/>
    </row>
    <row r="166" spans="1:1" x14ac:dyDescent="0.25">
      <c r="A166" s="926"/>
    </row>
    <row r="167" spans="1:1" x14ac:dyDescent="0.25">
      <c r="A167" s="926"/>
    </row>
    <row r="168" spans="1:1" x14ac:dyDescent="0.25">
      <c r="A168" s="926"/>
    </row>
    <row r="169" spans="1:1" x14ac:dyDescent="0.25">
      <c r="A169" s="926"/>
    </row>
    <row r="170" spans="1:1" x14ac:dyDescent="0.25">
      <c r="A170" s="926"/>
    </row>
    <row r="171" spans="1:1" x14ac:dyDescent="0.25">
      <c r="A171" s="926"/>
    </row>
    <row r="172" spans="1:1" x14ac:dyDescent="0.25">
      <c r="A172" s="926"/>
    </row>
    <row r="173" spans="1:1" x14ac:dyDescent="0.25">
      <c r="A173" s="926"/>
    </row>
    <row r="174" spans="1:1" x14ac:dyDescent="0.25">
      <c r="A174" s="926"/>
    </row>
    <row r="175" spans="1:1" x14ac:dyDescent="0.25">
      <c r="A175" s="926"/>
    </row>
    <row r="176" spans="1:1" x14ac:dyDescent="0.25">
      <c r="A176" s="926"/>
    </row>
    <row r="177" spans="1:1" x14ac:dyDescent="0.25">
      <c r="A177" s="926"/>
    </row>
    <row r="178" spans="1:1" x14ac:dyDescent="0.25">
      <c r="A178" s="926"/>
    </row>
    <row r="179" spans="1:1" x14ac:dyDescent="0.25">
      <c r="A179" s="926"/>
    </row>
    <row r="180" spans="1:1" x14ac:dyDescent="0.25">
      <c r="A180" s="926"/>
    </row>
    <row r="181" spans="1:1" x14ac:dyDescent="0.25">
      <c r="A181" s="926"/>
    </row>
    <row r="182" spans="1:1" x14ac:dyDescent="0.25">
      <c r="A182" s="926"/>
    </row>
    <row r="183" spans="1:1" x14ac:dyDescent="0.25">
      <c r="A183" s="926"/>
    </row>
    <row r="184" spans="1:1" x14ac:dyDescent="0.25">
      <c r="A184" s="926"/>
    </row>
    <row r="185" spans="1:1" x14ac:dyDescent="0.25">
      <c r="A185" s="926"/>
    </row>
    <row r="186" spans="1:1" x14ac:dyDescent="0.25">
      <c r="A186" s="926"/>
    </row>
    <row r="187" spans="1:1" x14ac:dyDescent="0.25">
      <c r="A187" s="926"/>
    </row>
    <row r="188" spans="1:1" x14ac:dyDescent="0.25">
      <c r="A188" s="926"/>
    </row>
    <row r="189" spans="1:1" x14ac:dyDescent="0.25">
      <c r="A189" s="926"/>
    </row>
    <row r="190" spans="1:1" x14ac:dyDescent="0.25">
      <c r="A190" s="926"/>
    </row>
    <row r="191" spans="1:1" x14ac:dyDescent="0.25">
      <c r="A191" s="926"/>
    </row>
    <row r="192" spans="1:1" x14ac:dyDescent="0.25">
      <c r="A192" s="926"/>
    </row>
    <row r="193" spans="1:1" x14ac:dyDescent="0.25">
      <c r="A193" s="926"/>
    </row>
    <row r="194" spans="1:1" x14ac:dyDescent="0.25">
      <c r="A194" s="926"/>
    </row>
    <row r="195" spans="1:1" x14ac:dyDescent="0.25">
      <c r="A195" s="926"/>
    </row>
    <row r="196" spans="1:1" x14ac:dyDescent="0.25">
      <c r="A196" s="926"/>
    </row>
    <row r="197" spans="1:1" x14ac:dyDescent="0.25">
      <c r="A197" s="926"/>
    </row>
    <row r="198" spans="1:1" x14ac:dyDescent="0.25">
      <c r="A198" s="926"/>
    </row>
    <row r="199" spans="1:1" x14ac:dyDescent="0.25">
      <c r="A199" s="926"/>
    </row>
    <row r="200" spans="1:1" x14ac:dyDescent="0.25">
      <c r="A200" s="926"/>
    </row>
    <row r="201" spans="1:1" x14ac:dyDescent="0.25">
      <c r="A201" s="926"/>
    </row>
    <row r="202" spans="1:1" x14ac:dyDescent="0.25">
      <c r="A202" s="926"/>
    </row>
  </sheetData>
  <sheetProtection algorithmName="SHA-256" hashValue="G7GyOUSt7k4BfiSjUKaqWYme3KccFW/v2ubzxSzlQks=" saltValue="gDX0zlTLqHFRJAp4JZBn3Q==" spinCount="100000" sheet="1" objects="1" scenarios="1" formatCells="0" insertRows="0"/>
  <mergeCells count="55">
    <mergeCell ref="B32:C32"/>
    <mergeCell ref="D76:H77"/>
    <mergeCell ref="D20:H20"/>
    <mergeCell ref="D8:H8"/>
    <mergeCell ref="B72:C72"/>
    <mergeCell ref="B70:C70"/>
    <mergeCell ref="B69:C69"/>
    <mergeCell ref="B68:C68"/>
    <mergeCell ref="B67:C67"/>
    <mergeCell ref="B66:C66"/>
    <mergeCell ref="B71:C71"/>
    <mergeCell ref="B65:C65"/>
    <mergeCell ref="B64:C64"/>
    <mergeCell ref="B63:C63"/>
    <mergeCell ref="B62:C62"/>
    <mergeCell ref="B61:C61"/>
    <mergeCell ref="B60:C60"/>
    <mergeCell ref="B59:C59"/>
    <mergeCell ref="B58:C58"/>
    <mergeCell ref="B57:C57"/>
    <mergeCell ref="B56:C56"/>
    <mergeCell ref="B55:C55"/>
    <mergeCell ref="B54:C54"/>
    <mergeCell ref="B53:C53"/>
    <mergeCell ref="B52:C52"/>
    <mergeCell ref="B51:C51"/>
    <mergeCell ref="B50:C50"/>
    <mergeCell ref="B35:C35"/>
    <mergeCell ref="B45:C45"/>
    <mergeCell ref="B44:C44"/>
    <mergeCell ref="B43:C43"/>
    <mergeCell ref="B42:C42"/>
    <mergeCell ref="B41:C41"/>
    <mergeCell ref="B23:C23"/>
    <mergeCell ref="B24:C24"/>
    <mergeCell ref="B130:C130"/>
    <mergeCell ref="B16:C16"/>
    <mergeCell ref="B36:C36"/>
    <mergeCell ref="B37:C37"/>
    <mergeCell ref="B21:C21"/>
    <mergeCell ref="B40:C40"/>
    <mergeCell ref="B39:C39"/>
    <mergeCell ref="B38:C38"/>
    <mergeCell ref="B22:C22"/>
    <mergeCell ref="B48:C48"/>
    <mergeCell ref="B49:C49"/>
    <mergeCell ref="B47:C47"/>
    <mergeCell ref="B46:C46"/>
    <mergeCell ref="B33:C33"/>
    <mergeCell ref="B10:C10"/>
    <mergeCell ref="B12:C12"/>
    <mergeCell ref="B13:C13"/>
    <mergeCell ref="B14:C14"/>
    <mergeCell ref="B15:C15"/>
    <mergeCell ref="B11:C11"/>
  </mergeCells>
  <pageMargins left="0.7" right="0.7" top="0.75" bottom="0.75" header="0.3" footer="0.3"/>
  <pageSetup paperSize="9" orientation="portrait" r:id="rId1"/>
  <headerFooter>
    <oddFooter>&amp;C_x000D_&amp;1#&amp;"Aptos"&amp;10&amp;K008000 APA-INTERNAL</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3">
    <tabColor theme="3" tint="-0.249977111117893"/>
  </sheetPr>
  <dimension ref="A1:H69"/>
  <sheetViews>
    <sheetView showGridLines="0" zoomScale="85" zoomScaleNormal="85" workbookViewId="0"/>
  </sheetViews>
  <sheetFormatPr defaultRowHeight="15" outlineLevelRow="2" x14ac:dyDescent="0.25"/>
  <cols>
    <col min="1" max="1" width="21.42578125" customWidth="1"/>
    <col min="2" max="2" width="91.85546875" customWidth="1"/>
    <col min="3" max="3" width="21.85546875" customWidth="1"/>
    <col min="4" max="8" width="18.85546875" style="37" customWidth="1"/>
    <col min="201" max="202" width="16.140625" customWidth="1"/>
    <col min="203" max="203" width="93.140625" customWidth="1"/>
    <col min="204" max="204" width="26.140625" customWidth="1"/>
    <col min="205" max="206" width="11.85546875" bestFit="1" customWidth="1"/>
    <col min="207" max="207" width="11.85546875" customWidth="1"/>
    <col min="208" max="209" width="17.42578125" bestFit="1" customWidth="1"/>
    <col min="210" max="211" width="14" bestFit="1" customWidth="1"/>
    <col min="212" max="212" width="20" bestFit="1" customWidth="1"/>
    <col min="213" max="213" width="17.42578125" customWidth="1"/>
    <col min="214" max="214" width="10.85546875" bestFit="1" customWidth="1"/>
    <col min="215" max="215" width="11" bestFit="1" customWidth="1"/>
    <col min="216" max="216" width="10.5703125" bestFit="1" customWidth="1"/>
    <col min="217" max="217" width="15.85546875" bestFit="1" customWidth="1"/>
    <col min="218" max="218" width="17.42578125" bestFit="1" customWidth="1"/>
    <col min="457" max="458" width="16.140625" customWidth="1"/>
    <col min="459" max="459" width="93.140625" customWidth="1"/>
    <col min="460" max="460" width="26.140625" customWidth="1"/>
    <col min="461" max="462" width="11.85546875" bestFit="1" customWidth="1"/>
    <col min="463" max="463" width="11.85546875" customWidth="1"/>
    <col min="464" max="465" width="17.42578125" bestFit="1" customWidth="1"/>
    <col min="466" max="467" width="14" bestFit="1" customWidth="1"/>
    <col min="468" max="468" width="20" bestFit="1" customWidth="1"/>
    <col min="469" max="469" width="17.42578125" customWidth="1"/>
    <col min="470" max="470" width="10.85546875" bestFit="1" customWidth="1"/>
    <col min="471" max="471" width="11" bestFit="1" customWidth="1"/>
    <col min="472" max="472" width="10.5703125" bestFit="1" customWidth="1"/>
    <col min="473" max="473" width="15.85546875" bestFit="1" customWidth="1"/>
    <col min="474" max="474" width="17.42578125" bestFit="1" customWidth="1"/>
    <col min="713" max="714" width="16.140625" customWidth="1"/>
    <col min="715" max="715" width="93.140625" customWidth="1"/>
    <col min="716" max="716" width="26.140625" customWidth="1"/>
    <col min="717" max="718" width="11.85546875" bestFit="1" customWidth="1"/>
    <col min="719" max="719" width="11.85546875" customWidth="1"/>
    <col min="720" max="721" width="17.42578125" bestFit="1" customWidth="1"/>
    <col min="722" max="723" width="14" bestFit="1" customWidth="1"/>
    <col min="724" max="724" width="20" bestFit="1" customWidth="1"/>
    <col min="725" max="725" width="17.42578125" customWidth="1"/>
    <col min="726" max="726" width="10.85546875" bestFit="1" customWidth="1"/>
    <col min="727" max="727" width="11" bestFit="1" customWidth="1"/>
    <col min="728" max="728" width="10.5703125" bestFit="1" customWidth="1"/>
    <col min="729" max="729" width="15.85546875" bestFit="1" customWidth="1"/>
    <col min="730" max="730" width="17.42578125" bestFit="1" customWidth="1"/>
    <col min="969" max="970" width="16.140625" customWidth="1"/>
    <col min="971" max="971" width="93.140625" customWidth="1"/>
    <col min="972" max="972" width="26.140625" customWidth="1"/>
    <col min="973" max="974" width="11.85546875" bestFit="1" customWidth="1"/>
    <col min="975" max="975" width="11.85546875" customWidth="1"/>
    <col min="976" max="977" width="17.42578125" bestFit="1" customWidth="1"/>
    <col min="978" max="979" width="14" bestFit="1" customWidth="1"/>
    <col min="980" max="980" width="20" bestFit="1" customWidth="1"/>
    <col min="981" max="981" width="17.42578125" customWidth="1"/>
    <col min="982" max="982" width="10.85546875" bestFit="1" customWidth="1"/>
    <col min="983" max="983" width="11" bestFit="1" customWidth="1"/>
    <col min="984" max="984" width="10.5703125" bestFit="1" customWidth="1"/>
    <col min="985" max="985" width="15.85546875" bestFit="1" customWidth="1"/>
    <col min="986" max="986" width="17.42578125" bestFit="1" customWidth="1"/>
    <col min="1225" max="1226" width="16.140625" customWidth="1"/>
    <col min="1227" max="1227" width="93.140625" customWidth="1"/>
    <col min="1228" max="1228" width="26.140625" customWidth="1"/>
    <col min="1229" max="1230" width="11.85546875" bestFit="1" customWidth="1"/>
    <col min="1231" max="1231" width="11.85546875" customWidth="1"/>
    <col min="1232" max="1233" width="17.42578125" bestFit="1" customWidth="1"/>
    <col min="1234" max="1235" width="14" bestFit="1" customWidth="1"/>
    <col min="1236" max="1236" width="20" bestFit="1" customWidth="1"/>
    <col min="1237" max="1237" width="17.42578125" customWidth="1"/>
    <col min="1238" max="1238" width="10.85546875" bestFit="1" customWidth="1"/>
    <col min="1239" max="1239" width="11" bestFit="1" customWidth="1"/>
    <col min="1240" max="1240" width="10.5703125" bestFit="1" customWidth="1"/>
    <col min="1241" max="1241" width="15.85546875" bestFit="1" customWidth="1"/>
    <col min="1242" max="1242" width="17.42578125" bestFit="1" customWidth="1"/>
    <col min="1481" max="1482" width="16.140625" customWidth="1"/>
    <col min="1483" max="1483" width="93.140625" customWidth="1"/>
    <col min="1484" max="1484" width="26.140625" customWidth="1"/>
    <col min="1485" max="1486" width="11.85546875" bestFit="1" customWidth="1"/>
    <col min="1487" max="1487" width="11.85546875" customWidth="1"/>
    <col min="1488" max="1489" width="17.42578125" bestFit="1" customWidth="1"/>
    <col min="1490" max="1491" width="14" bestFit="1" customWidth="1"/>
    <col min="1492" max="1492" width="20" bestFit="1" customWidth="1"/>
    <col min="1493" max="1493" width="17.42578125" customWidth="1"/>
    <col min="1494" max="1494" width="10.85546875" bestFit="1" customWidth="1"/>
    <col min="1495" max="1495" width="11" bestFit="1" customWidth="1"/>
    <col min="1496" max="1496" width="10.5703125" bestFit="1" customWidth="1"/>
    <col min="1497" max="1497" width="15.85546875" bestFit="1" customWidth="1"/>
    <col min="1498" max="1498" width="17.42578125" bestFit="1" customWidth="1"/>
    <col min="1737" max="1738" width="16.140625" customWidth="1"/>
    <col min="1739" max="1739" width="93.140625" customWidth="1"/>
    <col min="1740" max="1740" width="26.140625" customWidth="1"/>
    <col min="1741" max="1742" width="11.85546875" bestFit="1" customWidth="1"/>
    <col min="1743" max="1743" width="11.85546875" customWidth="1"/>
    <col min="1744" max="1745" width="17.42578125" bestFit="1" customWidth="1"/>
    <col min="1746" max="1747" width="14" bestFit="1" customWidth="1"/>
    <col min="1748" max="1748" width="20" bestFit="1" customWidth="1"/>
    <col min="1749" max="1749" width="17.42578125" customWidth="1"/>
    <col min="1750" max="1750" width="10.85546875" bestFit="1" customWidth="1"/>
    <col min="1751" max="1751" width="11" bestFit="1" customWidth="1"/>
    <col min="1752" max="1752" width="10.5703125" bestFit="1" customWidth="1"/>
    <col min="1753" max="1753" width="15.85546875" bestFit="1" customWidth="1"/>
    <col min="1754" max="1754" width="17.42578125" bestFit="1" customWidth="1"/>
    <col min="1993" max="1994" width="16.140625" customWidth="1"/>
    <col min="1995" max="1995" width="93.140625" customWidth="1"/>
    <col min="1996" max="1996" width="26.140625" customWidth="1"/>
    <col min="1997" max="1998" width="11.85546875" bestFit="1" customWidth="1"/>
    <col min="1999" max="1999" width="11.85546875" customWidth="1"/>
    <col min="2000" max="2001" width="17.42578125" bestFit="1" customWidth="1"/>
    <col min="2002" max="2003" width="14" bestFit="1" customWidth="1"/>
    <col min="2004" max="2004" width="20" bestFit="1" customWidth="1"/>
    <col min="2005" max="2005" width="17.42578125" customWidth="1"/>
    <col min="2006" max="2006" width="10.85546875" bestFit="1" customWidth="1"/>
    <col min="2007" max="2007" width="11" bestFit="1" customWidth="1"/>
    <col min="2008" max="2008" width="10.5703125" bestFit="1" customWidth="1"/>
    <col min="2009" max="2009" width="15.85546875" bestFit="1" customWidth="1"/>
    <col min="2010" max="2010" width="17.42578125" bestFit="1" customWidth="1"/>
    <col min="2249" max="2250" width="16.140625" customWidth="1"/>
    <col min="2251" max="2251" width="93.140625" customWidth="1"/>
    <col min="2252" max="2252" width="26.140625" customWidth="1"/>
    <col min="2253" max="2254" width="11.85546875" bestFit="1" customWidth="1"/>
    <col min="2255" max="2255" width="11.85546875" customWidth="1"/>
    <col min="2256" max="2257" width="17.42578125" bestFit="1" customWidth="1"/>
    <col min="2258" max="2259" width="14" bestFit="1" customWidth="1"/>
    <col min="2260" max="2260" width="20" bestFit="1" customWidth="1"/>
    <col min="2261" max="2261" width="17.42578125" customWidth="1"/>
    <col min="2262" max="2262" width="10.85546875" bestFit="1" customWidth="1"/>
    <col min="2263" max="2263" width="11" bestFit="1" customWidth="1"/>
    <col min="2264" max="2264" width="10.5703125" bestFit="1" customWidth="1"/>
    <col min="2265" max="2265" width="15.85546875" bestFit="1" customWidth="1"/>
    <col min="2266" max="2266" width="17.42578125" bestFit="1" customWidth="1"/>
    <col min="2505" max="2506" width="16.140625" customWidth="1"/>
    <col min="2507" max="2507" width="93.140625" customWidth="1"/>
    <col min="2508" max="2508" width="26.140625" customWidth="1"/>
    <col min="2509" max="2510" width="11.85546875" bestFit="1" customWidth="1"/>
    <col min="2511" max="2511" width="11.85546875" customWidth="1"/>
    <col min="2512" max="2513" width="17.42578125" bestFit="1" customWidth="1"/>
    <col min="2514" max="2515" width="14" bestFit="1" customWidth="1"/>
    <col min="2516" max="2516" width="20" bestFit="1" customWidth="1"/>
    <col min="2517" max="2517" width="17.42578125" customWidth="1"/>
    <col min="2518" max="2518" width="10.85546875" bestFit="1" customWidth="1"/>
    <col min="2519" max="2519" width="11" bestFit="1" customWidth="1"/>
    <col min="2520" max="2520" width="10.5703125" bestFit="1" customWidth="1"/>
    <col min="2521" max="2521" width="15.85546875" bestFit="1" customWidth="1"/>
    <col min="2522" max="2522" width="17.42578125" bestFit="1" customWidth="1"/>
    <col min="2761" max="2762" width="16.140625" customWidth="1"/>
    <col min="2763" max="2763" width="93.140625" customWidth="1"/>
    <col min="2764" max="2764" width="26.140625" customWidth="1"/>
    <col min="2765" max="2766" width="11.85546875" bestFit="1" customWidth="1"/>
    <col min="2767" max="2767" width="11.85546875" customWidth="1"/>
    <col min="2768" max="2769" width="17.42578125" bestFit="1" customWidth="1"/>
    <col min="2770" max="2771" width="14" bestFit="1" customWidth="1"/>
    <col min="2772" max="2772" width="20" bestFit="1" customWidth="1"/>
    <col min="2773" max="2773" width="17.42578125" customWidth="1"/>
    <col min="2774" max="2774" width="10.85546875" bestFit="1" customWidth="1"/>
    <col min="2775" max="2775" width="11" bestFit="1" customWidth="1"/>
    <col min="2776" max="2776" width="10.5703125" bestFit="1" customWidth="1"/>
    <col min="2777" max="2777" width="15.85546875" bestFit="1" customWidth="1"/>
    <col min="2778" max="2778" width="17.42578125" bestFit="1" customWidth="1"/>
    <col min="3017" max="3018" width="16.140625" customWidth="1"/>
    <col min="3019" max="3019" width="93.140625" customWidth="1"/>
    <col min="3020" max="3020" width="26.140625" customWidth="1"/>
    <col min="3021" max="3022" width="11.85546875" bestFit="1" customWidth="1"/>
    <col min="3023" max="3023" width="11.85546875" customWidth="1"/>
    <col min="3024" max="3025" width="17.42578125" bestFit="1" customWidth="1"/>
    <col min="3026" max="3027" width="14" bestFit="1" customWidth="1"/>
    <col min="3028" max="3028" width="20" bestFit="1" customWidth="1"/>
    <col min="3029" max="3029" width="17.42578125" customWidth="1"/>
    <col min="3030" max="3030" width="10.85546875" bestFit="1" customWidth="1"/>
    <col min="3031" max="3031" width="11" bestFit="1" customWidth="1"/>
    <col min="3032" max="3032" width="10.5703125" bestFit="1" customWidth="1"/>
    <col min="3033" max="3033" width="15.85546875" bestFit="1" customWidth="1"/>
    <col min="3034" max="3034" width="17.42578125" bestFit="1" customWidth="1"/>
    <col min="3273" max="3274" width="16.140625" customWidth="1"/>
    <col min="3275" max="3275" width="93.140625" customWidth="1"/>
    <col min="3276" max="3276" width="26.140625" customWidth="1"/>
    <col min="3277" max="3278" width="11.85546875" bestFit="1" customWidth="1"/>
    <col min="3279" max="3279" width="11.85546875" customWidth="1"/>
    <col min="3280" max="3281" width="17.42578125" bestFit="1" customWidth="1"/>
    <col min="3282" max="3283" width="14" bestFit="1" customWidth="1"/>
    <col min="3284" max="3284" width="20" bestFit="1" customWidth="1"/>
    <col min="3285" max="3285" width="17.42578125" customWidth="1"/>
    <col min="3286" max="3286" width="10.85546875" bestFit="1" customWidth="1"/>
    <col min="3287" max="3287" width="11" bestFit="1" customWidth="1"/>
    <col min="3288" max="3288" width="10.5703125" bestFit="1" customWidth="1"/>
    <col min="3289" max="3289" width="15.85546875" bestFit="1" customWidth="1"/>
    <col min="3290" max="3290" width="17.42578125" bestFit="1" customWidth="1"/>
    <col min="3529" max="3530" width="16.140625" customWidth="1"/>
    <col min="3531" max="3531" width="93.140625" customWidth="1"/>
    <col min="3532" max="3532" width="26.140625" customWidth="1"/>
    <col min="3533" max="3534" width="11.85546875" bestFit="1" customWidth="1"/>
    <col min="3535" max="3535" width="11.85546875" customWidth="1"/>
    <col min="3536" max="3537" width="17.42578125" bestFit="1" customWidth="1"/>
    <col min="3538" max="3539" width="14" bestFit="1" customWidth="1"/>
    <col min="3540" max="3540" width="20" bestFit="1" customWidth="1"/>
    <col min="3541" max="3541" width="17.42578125" customWidth="1"/>
    <col min="3542" max="3542" width="10.85546875" bestFit="1" customWidth="1"/>
    <col min="3543" max="3543" width="11" bestFit="1" customWidth="1"/>
    <col min="3544" max="3544" width="10.5703125" bestFit="1" customWidth="1"/>
    <col min="3545" max="3545" width="15.85546875" bestFit="1" customWidth="1"/>
    <col min="3546" max="3546" width="17.42578125" bestFit="1" customWidth="1"/>
    <col min="3785" max="3786" width="16.140625" customWidth="1"/>
    <col min="3787" max="3787" width="93.140625" customWidth="1"/>
    <col min="3788" max="3788" width="26.140625" customWidth="1"/>
    <col min="3789" max="3790" width="11.85546875" bestFit="1" customWidth="1"/>
    <col min="3791" max="3791" width="11.85546875" customWidth="1"/>
    <col min="3792" max="3793" width="17.42578125" bestFit="1" customWidth="1"/>
    <col min="3794" max="3795" width="14" bestFit="1" customWidth="1"/>
    <col min="3796" max="3796" width="20" bestFit="1" customWidth="1"/>
    <col min="3797" max="3797" width="17.42578125" customWidth="1"/>
    <col min="3798" max="3798" width="10.85546875" bestFit="1" customWidth="1"/>
    <col min="3799" max="3799" width="11" bestFit="1" customWidth="1"/>
    <col min="3800" max="3800" width="10.5703125" bestFit="1" customWidth="1"/>
    <col min="3801" max="3801" width="15.85546875" bestFit="1" customWidth="1"/>
    <col min="3802" max="3802" width="17.42578125" bestFit="1" customWidth="1"/>
    <col min="4041" max="4042" width="16.140625" customWidth="1"/>
    <col min="4043" max="4043" width="93.140625" customWidth="1"/>
    <col min="4044" max="4044" width="26.140625" customWidth="1"/>
    <col min="4045" max="4046" width="11.85546875" bestFit="1" customWidth="1"/>
    <col min="4047" max="4047" width="11.85546875" customWidth="1"/>
    <col min="4048" max="4049" width="17.42578125" bestFit="1" customWidth="1"/>
    <col min="4050" max="4051" width="14" bestFit="1" customWidth="1"/>
    <col min="4052" max="4052" width="20" bestFit="1" customWidth="1"/>
    <col min="4053" max="4053" width="17.42578125" customWidth="1"/>
    <col min="4054" max="4054" width="10.85546875" bestFit="1" customWidth="1"/>
    <col min="4055" max="4055" width="11" bestFit="1" customWidth="1"/>
    <col min="4056" max="4056" width="10.5703125" bestFit="1" customWidth="1"/>
    <col min="4057" max="4057" width="15.85546875" bestFit="1" customWidth="1"/>
    <col min="4058" max="4058" width="17.42578125" bestFit="1" customWidth="1"/>
    <col min="4297" max="4298" width="16.140625" customWidth="1"/>
    <col min="4299" max="4299" width="93.140625" customWidth="1"/>
    <col min="4300" max="4300" width="26.140625" customWidth="1"/>
    <col min="4301" max="4302" width="11.85546875" bestFit="1" customWidth="1"/>
    <col min="4303" max="4303" width="11.85546875" customWidth="1"/>
    <col min="4304" max="4305" width="17.42578125" bestFit="1" customWidth="1"/>
    <col min="4306" max="4307" width="14" bestFit="1" customWidth="1"/>
    <col min="4308" max="4308" width="20" bestFit="1" customWidth="1"/>
    <col min="4309" max="4309" width="17.42578125" customWidth="1"/>
    <col min="4310" max="4310" width="10.85546875" bestFit="1" customWidth="1"/>
    <col min="4311" max="4311" width="11" bestFit="1" customWidth="1"/>
    <col min="4312" max="4312" width="10.5703125" bestFit="1" customWidth="1"/>
    <col min="4313" max="4313" width="15.85546875" bestFit="1" customWidth="1"/>
    <col min="4314" max="4314" width="17.42578125" bestFit="1" customWidth="1"/>
    <col min="4553" max="4554" width="16.140625" customWidth="1"/>
    <col min="4555" max="4555" width="93.140625" customWidth="1"/>
    <col min="4556" max="4556" width="26.140625" customWidth="1"/>
    <col min="4557" max="4558" width="11.85546875" bestFit="1" customWidth="1"/>
    <col min="4559" max="4559" width="11.85546875" customWidth="1"/>
    <col min="4560" max="4561" width="17.42578125" bestFit="1" customWidth="1"/>
    <col min="4562" max="4563" width="14" bestFit="1" customWidth="1"/>
    <col min="4564" max="4564" width="20" bestFit="1" customWidth="1"/>
    <col min="4565" max="4565" width="17.42578125" customWidth="1"/>
    <col min="4566" max="4566" width="10.85546875" bestFit="1" customWidth="1"/>
    <col min="4567" max="4567" width="11" bestFit="1" customWidth="1"/>
    <col min="4568" max="4568" width="10.5703125" bestFit="1" customWidth="1"/>
    <col min="4569" max="4569" width="15.85546875" bestFit="1" customWidth="1"/>
    <col min="4570" max="4570" width="17.42578125" bestFit="1" customWidth="1"/>
    <col min="4809" max="4810" width="16.140625" customWidth="1"/>
    <col min="4811" max="4811" width="93.140625" customWidth="1"/>
    <col min="4812" max="4812" width="26.140625" customWidth="1"/>
    <col min="4813" max="4814" width="11.85546875" bestFit="1" customWidth="1"/>
    <col min="4815" max="4815" width="11.85546875" customWidth="1"/>
    <col min="4816" max="4817" width="17.42578125" bestFit="1" customWidth="1"/>
    <col min="4818" max="4819" width="14" bestFit="1" customWidth="1"/>
    <col min="4820" max="4820" width="20" bestFit="1" customWidth="1"/>
    <col min="4821" max="4821" width="17.42578125" customWidth="1"/>
    <col min="4822" max="4822" width="10.85546875" bestFit="1" customWidth="1"/>
    <col min="4823" max="4823" width="11" bestFit="1" customWidth="1"/>
    <col min="4824" max="4824" width="10.5703125" bestFit="1" customWidth="1"/>
    <col min="4825" max="4825" width="15.85546875" bestFit="1" customWidth="1"/>
    <col min="4826" max="4826" width="17.42578125" bestFit="1" customWidth="1"/>
    <col min="5065" max="5066" width="16.140625" customWidth="1"/>
    <col min="5067" max="5067" width="93.140625" customWidth="1"/>
    <col min="5068" max="5068" width="26.140625" customWidth="1"/>
    <col min="5069" max="5070" width="11.85546875" bestFit="1" customWidth="1"/>
    <col min="5071" max="5071" width="11.85546875" customWidth="1"/>
    <col min="5072" max="5073" width="17.42578125" bestFit="1" customWidth="1"/>
    <col min="5074" max="5075" width="14" bestFit="1" customWidth="1"/>
    <col min="5076" max="5076" width="20" bestFit="1" customWidth="1"/>
    <col min="5077" max="5077" width="17.42578125" customWidth="1"/>
    <col min="5078" max="5078" width="10.85546875" bestFit="1" customWidth="1"/>
    <col min="5079" max="5079" width="11" bestFit="1" customWidth="1"/>
    <col min="5080" max="5080" width="10.5703125" bestFit="1" customWidth="1"/>
    <col min="5081" max="5081" width="15.85546875" bestFit="1" customWidth="1"/>
    <col min="5082" max="5082" width="17.42578125" bestFit="1" customWidth="1"/>
    <col min="5321" max="5322" width="16.140625" customWidth="1"/>
    <col min="5323" max="5323" width="93.140625" customWidth="1"/>
    <col min="5324" max="5324" width="26.140625" customWidth="1"/>
    <col min="5325" max="5326" width="11.85546875" bestFit="1" customWidth="1"/>
    <col min="5327" max="5327" width="11.85546875" customWidth="1"/>
    <col min="5328" max="5329" width="17.42578125" bestFit="1" customWidth="1"/>
    <col min="5330" max="5331" width="14" bestFit="1" customWidth="1"/>
    <col min="5332" max="5332" width="20" bestFit="1" customWidth="1"/>
    <col min="5333" max="5333" width="17.42578125" customWidth="1"/>
    <col min="5334" max="5334" width="10.85546875" bestFit="1" customWidth="1"/>
    <col min="5335" max="5335" width="11" bestFit="1" customWidth="1"/>
    <col min="5336" max="5336" width="10.5703125" bestFit="1" customWidth="1"/>
    <col min="5337" max="5337" width="15.85546875" bestFit="1" customWidth="1"/>
    <col min="5338" max="5338" width="17.42578125" bestFit="1" customWidth="1"/>
    <col min="5577" max="5578" width="16.140625" customWidth="1"/>
    <col min="5579" max="5579" width="93.140625" customWidth="1"/>
    <col min="5580" max="5580" width="26.140625" customWidth="1"/>
    <col min="5581" max="5582" width="11.85546875" bestFit="1" customWidth="1"/>
    <col min="5583" max="5583" width="11.85546875" customWidth="1"/>
    <col min="5584" max="5585" width="17.42578125" bestFit="1" customWidth="1"/>
    <col min="5586" max="5587" width="14" bestFit="1" customWidth="1"/>
    <col min="5588" max="5588" width="20" bestFit="1" customWidth="1"/>
    <col min="5589" max="5589" width="17.42578125" customWidth="1"/>
    <col min="5590" max="5590" width="10.85546875" bestFit="1" customWidth="1"/>
    <col min="5591" max="5591" width="11" bestFit="1" customWidth="1"/>
    <col min="5592" max="5592" width="10.5703125" bestFit="1" customWidth="1"/>
    <col min="5593" max="5593" width="15.85546875" bestFit="1" customWidth="1"/>
    <col min="5594" max="5594" width="17.42578125" bestFit="1" customWidth="1"/>
    <col min="5833" max="5834" width="16.140625" customWidth="1"/>
    <col min="5835" max="5835" width="93.140625" customWidth="1"/>
    <col min="5836" max="5836" width="26.140625" customWidth="1"/>
    <col min="5837" max="5838" width="11.85546875" bestFit="1" customWidth="1"/>
    <col min="5839" max="5839" width="11.85546875" customWidth="1"/>
    <col min="5840" max="5841" width="17.42578125" bestFit="1" customWidth="1"/>
    <col min="5842" max="5843" width="14" bestFit="1" customWidth="1"/>
    <col min="5844" max="5844" width="20" bestFit="1" customWidth="1"/>
    <col min="5845" max="5845" width="17.42578125" customWidth="1"/>
    <col min="5846" max="5846" width="10.85546875" bestFit="1" customWidth="1"/>
    <col min="5847" max="5847" width="11" bestFit="1" customWidth="1"/>
    <col min="5848" max="5848" width="10.5703125" bestFit="1" customWidth="1"/>
    <col min="5849" max="5849" width="15.85546875" bestFit="1" customWidth="1"/>
    <col min="5850" max="5850" width="17.42578125" bestFit="1" customWidth="1"/>
    <col min="6089" max="6090" width="16.140625" customWidth="1"/>
    <col min="6091" max="6091" width="93.140625" customWidth="1"/>
    <col min="6092" max="6092" width="26.140625" customWidth="1"/>
    <col min="6093" max="6094" width="11.85546875" bestFit="1" customWidth="1"/>
    <col min="6095" max="6095" width="11.85546875" customWidth="1"/>
    <col min="6096" max="6097" width="17.42578125" bestFit="1" customWidth="1"/>
    <col min="6098" max="6099" width="14" bestFit="1" customWidth="1"/>
    <col min="6100" max="6100" width="20" bestFit="1" customWidth="1"/>
    <col min="6101" max="6101" width="17.42578125" customWidth="1"/>
    <col min="6102" max="6102" width="10.85546875" bestFit="1" customWidth="1"/>
    <col min="6103" max="6103" width="11" bestFit="1" customWidth="1"/>
    <col min="6104" max="6104" width="10.5703125" bestFit="1" customWidth="1"/>
    <col min="6105" max="6105" width="15.85546875" bestFit="1" customWidth="1"/>
    <col min="6106" max="6106" width="17.42578125" bestFit="1" customWidth="1"/>
    <col min="6345" max="6346" width="16.140625" customWidth="1"/>
    <col min="6347" max="6347" width="93.140625" customWidth="1"/>
    <col min="6348" max="6348" width="26.140625" customWidth="1"/>
    <col min="6349" max="6350" width="11.85546875" bestFit="1" customWidth="1"/>
    <col min="6351" max="6351" width="11.85546875" customWidth="1"/>
    <col min="6352" max="6353" width="17.42578125" bestFit="1" customWidth="1"/>
    <col min="6354" max="6355" width="14" bestFit="1" customWidth="1"/>
    <col min="6356" max="6356" width="20" bestFit="1" customWidth="1"/>
    <col min="6357" max="6357" width="17.42578125" customWidth="1"/>
    <col min="6358" max="6358" width="10.85546875" bestFit="1" customWidth="1"/>
    <col min="6359" max="6359" width="11" bestFit="1" customWidth="1"/>
    <col min="6360" max="6360" width="10.5703125" bestFit="1" customWidth="1"/>
    <col min="6361" max="6361" width="15.85546875" bestFit="1" customWidth="1"/>
    <col min="6362" max="6362" width="17.42578125" bestFit="1" customWidth="1"/>
    <col min="6601" max="6602" width="16.140625" customWidth="1"/>
    <col min="6603" max="6603" width="93.140625" customWidth="1"/>
    <col min="6604" max="6604" width="26.140625" customWidth="1"/>
    <col min="6605" max="6606" width="11.85546875" bestFit="1" customWidth="1"/>
    <col min="6607" max="6607" width="11.85546875" customWidth="1"/>
    <col min="6608" max="6609" width="17.42578125" bestFit="1" customWidth="1"/>
    <col min="6610" max="6611" width="14" bestFit="1" customWidth="1"/>
    <col min="6612" max="6612" width="20" bestFit="1" customWidth="1"/>
    <col min="6613" max="6613" width="17.42578125" customWidth="1"/>
    <col min="6614" max="6614" width="10.85546875" bestFit="1" customWidth="1"/>
    <col min="6615" max="6615" width="11" bestFit="1" customWidth="1"/>
    <col min="6616" max="6616" width="10.5703125" bestFit="1" customWidth="1"/>
    <col min="6617" max="6617" width="15.85546875" bestFit="1" customWidth="1"/>
    <col min="6618" max="6618" width="17.42578125" bestFit="1" customWidth="1"/>
    <col min="6857" max="6858" width="16.140625" customWidth="1"/>
    <col min="6859" max="6859" width="93.140625" customWidth="1"/>
    <col min="6860" max="6860" width="26.140625" customWidth="1"/>
    <col min="6861" max="6862" width="11.85546875" bestFit="1" customWidth="1"/>
    <col min="6863" max="6863" width="11.85546875" customWidth="1"/>
    <col min="6864" max="6865" width="17.42578125" bestFit="1" customWidth="1"/>
    <col min="6866" max="6867" width="14" bestFit="1" customWidth="1"/>
    <col min="6868" max="6868" width="20" bestFit="1" customWidth="1"/>
    <col min="6869" max="6869" width="17.42578125" customWidth="1"/>
    <col min="6870" max="6870" width="10.85546875" bestFit="1" customWidth="1"/>
    <col min="6871" max="6871" width="11" bestFit="1" customWidth="1"/>
    <col min="6872" max="6872" width="10.5703125" bestFit="1" customWidth="1"/>
    <col min="6873" max="6873" width="15.85546875" bestFit="1" customWidth="1"/>
    <col min="6874" max="6874" width="17.42578125" bestFit="1" customWidth="1"/>
    <col min="7113" max="7114" width="16.140625" customWidth="1"/>
    <col min="7115" max="7115" width="93.140625" customWidth="1"/>
    <col min="7116" max="7116" width="26.140625" customWidth="1"/>
    <col min="7117" max="7118" width="11.85546875" bestFit="1" customWidth="1"/>
    <col min="7119" max="7119" width="11.85546875" customWidth="1"/>
    <col min="7120" max="7121" width="17.42578125" bestFit="1" customWidth="1"/>
    <col min="7122" max="7123" width="14" bestFit="1" customWidth="1"/>
    <col min="7124" max="7124" width="20" bestFit="1" customWidth="1"/>
    <col min="7125" max="7125" width="17.42578125" customWidth="1"/>
    <col min="7126" max="7126" width="10.85546875" bestFit="1" customWidth="1"/>
    <col min="7127" max="7127" width="11" bestFit="1" customWidth="1"/>
    <col min="7128" max="7128" width="10.5703125" bestFit="1" customWidth="1"/>
    <col min="7129" max="7129" width="15.85546875" bestFit="1" customWidth="1"/>
    <col min="7130" max="7130" width="17.42578125" bestFit="1" customWidth="1"/>
    <col min="7369" max="7370" width="16.140625" customWidth="1"/>
    <col min="7371" max="7371" width="93.140625" customWidth="1"/>
    <col min="7372" max="7372" width="26.140625" customWidth="1"/>
    <col min="7373" max="7374" width="11.85546875" bestFit="1" customWidth="1"/>
    <col min="7375" max="7375" width="11.85546875" customWidth="1"/>
    <col min="7376" max="7377" width="17.42578125" bestFit="1" customWidth="1"/>
    <col min="7378" max="7379" width="14" bestFit="1" customWidth="1"/>
    <col min="7380" max="7380" width="20" bestFit="1" customWidth="1"/>
    <col min="7381" max="7381" width="17.42578125" customWidth="1"/>
    <col min="7382" max="7382" width="10.85546875" bestFit="1" customWidth="1"/>
    <col min="7383" max="7383" width="11" bestFit="1" customWidth="1"/>
    <col min="7384" max="7384" width="10.5703125" bestFit="1" customWidth="1"/>
    <col min="7385" max="7385" width="15.85546875" bestFit="1" customWidth="1"/>
    <col min="7386" max="7386" width="17.42578125" bestFit="1" customWidth="1"/>
    <col min="7625" max="7626" width="16.140625" customWidth="1"/>
    <col min="7627" max="7627" width="93.140625" customWidth="1"/>
    <col min="7628" max="7628" width="26.140625" customWidth="1"/>
    <col min="7629" max="7630" width="11.85546875" bestFit="1" customWidth="1"/>
    <col min="7631" max="7631" width="11.85546875" customWidth="1"/>
    <col min="7632" max="7633" width="17.42578125" bestFit="1" customWidth="1"/>
    <col min="7634" max="7635" width="14" bestFit="1" customWidth="1"/>
    <col min="7636" max="7636" width="20" bestFit="1" customWidth="1"/>
    <col min="7637" max="7637" width="17.42578125" customWidth="1"/>
    <col min="7638" max="7638" width="10.85546875" bestFit="1" customWidth="1"/>
    <col min="7639" max="7639" width="11" bestFit="1" customWidth="1"/>
    <col min="7640" max="7640" width="10.5703125" bestFit="1" customWidth="1"/>
    <col min="7641" max="7641" width="15.85546875" bestFit="1" customWidth="1"/>
    <col min="7642" max="7642" width="17.42578125" bestFit="1" customWidth="1"/>
    <col min="7881" max="7882" width="16.140625" customWidth="1"/>
    <col min="7883" max="7883" width="93.140625" customWidth="1"/>
    <col min="7884" max="7884" width="26.140625" customWidth="1"/>
    <col min="7885" max="7886" width="11.85546875" bestFit="1" customWidth="1"/>
    <col min="7887" max="7887" width="11.85546875" customWidth="1"/>
    <col min="7888" max="7889" width="17.42578125" bestFit="1" customWidth="1"/>
    <col min="7890" max="7891" width="14" bestFit="1" customWidth="1"/>
    <col min="7892" max="7892" width="20" bestFit="1" customWidth="1"/>
    <col min="7893" max="7893" width="17.42578125" customWidth="1"/>
    <col min="7894" max="7894" width="10.85546875" bestFit="1" customWidth="1"/>
    <col min="7895" max="7895" width="11" bestFit="1" customWidth="1"/>
    <col min="7896" max="7896" width="10.5703125" bestFit="1" customWidth="1"/>
    <col min="7897" max="7897" width="15.85546875" bestFit="1" customWidth="1"/>
    <col min="7898" max="7898" width="17.42578125" bestFit="1" customWidth="1"/>
    <col min="8137" max="8138" width="16.140625" customWidth="1"/>
    <col min="8139" max="8139" width="93.140625" customWidth="1"/>
    <col min="8140" max="8140" width="26.140625" customWidth="1"/>
    <col min="8141" max="8142" width="11.85546875" bestFit="1" customWidth="1"/>
    <col min="8143" max="8143" width="11.85546875" customWidth="1"/>
    <col min="8144" max="8145" width="17.42578125" bestFit="1" customWidth="1"/>
    <col min="8146" max="8147" width="14" bestFit="1" customWidth="1"/>
    <col min="8148" max="8148" width="20" bestFit="1" customWidth="1"/>
    <col min="8149" max="8149" width="17.42578125" customWidth="1"/>
    <col min="8150" max="8150" width="10.85546875" bestFit="1" customWidth="1"/>
    <col min="8151" max="8151" width="11" bestFit="1" customWidth="1"/>
    <col min="8152" max="8152" width="10.5703125" bestFit="1" customWidth="1"/>
    <col min="8153" max="8153" width="15.85546875" bestFit="1" customWidth="1"/>
    <col min="8154" max="8154" width="17.42578125" bestFit="1" customWidth="1"/>
    <col min="8393" max="8394" width="16.140625" customWidth="1"/>
    <col min="8395" max="8395" width="93.140625" customWidth="1"/>
    <col min="8396" max="8396" width="26.140625" customWidth="1"/>
    <col min="8397" max="8398" width="11.85546875" bestFit="1" customWidth="1"/>
    <col min="8399" max="8399" width="11.85546875" customWidth="1"/>
    <col min="8400" max="8401" width="17.42578125" bestFit="1" customWidth="1"/>
    <col min="8402" max="8403" width="14" bestFit="1" customWidth="1"/>
    <col min="8404" max="8404" width="20" bestFit="1" customWidth="1"/>
    <col min="8405" max="8405" width="17.42578125" customWidth="1"/>
    <col min="8406" max="8406" width="10.85546875" bestFit="1" customWidth="1"/>
    <col min="8407" max="8407" width="11" bestFit="1" customWidth="1"/>
    <col min="8408" max="8408" width="10.5703125" bestFit="1" customWidth="1"/>
    <col min="8409" max="8409" width="15.85546875" bestFit="1" customWidth="1"/>
    <col min="8410" max="8410" width="17.42578125" bestFit="1" customWidth="1"/>
    <col min="8649" max="8650" width="16.140625" customWidth="1"/>
    <col min="8651" max="8651" width="93.140625" customWidth="1"/>
    <col min="8652" max="8652" width="26.140625" customWidth="1"/>
    <col min="8653" max="8654" width="11.85546875" bestFit="1" customWidth="1"/>
    <col min="8655" max="8655" width="11.85546875" customWidth="1"/>
    <col min="8656" max="8657" width="17.42578125" bestFit="1" customWidth="1"/>
    <col min="8658" max="8659" width="14" bestFit="1" customWidth="1"/>
    <col min="8660" max="8660" width="20" bestFit="1" customWidth="1"/>
    <col min="8661" max="8661" width="17.42578125" customWidth="1"/>
    <col min="8662" max="8662" width="10.85546875" bestFit="1" customWidth="1"/>
    <col min="8663" max="8663" width="11" bestFit="1" customWidth="1"/>
    <col min="8664" max="8664" width="10.5703125" bestFit="1" customWidth="1"/>
    <col min="8665" max="8665" width="15.85546875" bestFit="1" customWidth="1"/>
    <col min="8666" max="8666" width="17.42578125" bestFit="1" customWidth="1"/>
    <col min="8905" max="8906" width="16.140625" customWidth="1"/>
    <col min="8907" max="8907" width="93.140625" customWidth="1"/>
    <col min="8908" max="8908" width="26.140625" customWidth="1"/>
    <col min="8909" max="8910" width="11.85546875" bestFit="1" customWidth="1"/>
    <col min="8911" max="8911" width="11.85546875" customWidth="1"/>
    <col min="8912" max="8913" width="17.42578125" bestFit="1" customWidth="1"/>
    <col min="8914" max="8915" width="14" bestFit="1" customWidth="1"/>
    <col min="8916" max="8916" width="20" bestFit="1" customWidth="1"/>
    <col min="8917" max="8917" width="17.42578125" customWidth="1"/>
    <col min="8918" max="8918" width="10.85546875" bestFit="1" customWidth="1"/>
    <col min="8919" max="8919" width="11" bestFit="1" customWidth="1"/>
    <col min="8920" max="8920" width="10.5703125" bestFit="1" customWidth="1"/>
    <col min="8921" max="8921" width="15.85546875" bestFit="1" customWidth="1"/>
    <col min="8922" max="8922" width="17.42578125" bestFit="1" customWidth="1"/>
    <col min="9161" max="9162" width="16.140625" customWidth="1"/>
    <col min="9163" max="9163" width="93.140625" customWidth="1"/>
    <col min="9164" max="9164" width="26.140625" customWidth="1"/>
    <col min="9165" max="9166" width="11.85546875" bestFit="1" customWidth="1"/>
    <col min="9167" max="9167" width="11.85546875" customWidth="1"/>
    <col min="9168" max="9169" width="17.42578125" bestFit="1" customWidth="1"/>
    <col min="9170" max="9171" width="14" bestFit="1" customWidth="1"/>
    <col min="9172" max="9172" width="20" bestFit="1" customWidth="1"/>
    <col min="9173" max="9173" width="17.42578125" customWidth="1"/>
    <col min="9174" max="9174" width="10.85546875" bestFit="1" customWidth="1"/>
    <col min="9175" max="9175" width="11" bestFit="1" customWidth="1"/>
    <col min="9176" max="9176" width="10.5703125" bestFit="1" customWidth="1"/>
    <col min="9177" max="9177" width="15.85546875" bestFit="1" customWidth="1"/>
    <col min="9178" max="9178" width="17.42578125" bestFit="1" customWidth="1"/>
    <col min="9417" max="9418" width="16.140625" customWidth="1"/>
    <col min="9419" max="9419" width="93.140625" customWidth="1"/>
    <col min="9420" max="9420" width="26.140625" customWidth="1"/>
    <col min="9421" max="9422" width="11.85546875" bestFit="1" customWidth="1"/>
    <col min="9423" max="9423" width="11.85546875" customWidth="1"/>
    <col min="9424" max="9425" width="17.42578125" bestFit="1" customWidth="1"/>
    <col min="9426" max="9427" width="14" bestFit="1" customWidth="1"/>
    <col min="9428" max="9428" width="20" bestFit="1" customWidth="1"/>
    <col min="9429" max="9429" width="17.42578125" customWidth="1"/>
    <col min="9430" max="9430" width="10.85546875" bestFit="1" customWidth="1"/>
    <col min="9431" max="9431" width="11" bestFit="1" customWidth="1"/>
    <col min="9432" max="9432" width="10.5703125" bestFit="1" customWidth="1"/>
    <col min="9433" max="9433" width="15.85546875" bestFit="1" customWidth="1"/>
    <col min="9434" max="9434" width="17.42578125" bestFit="1" customWidth="1"/>
    <col min="9673" max="9674" width="16.140625" customWidth="1"/>
    <col min="9675" max="9675" width="93.140625" customWidth="1"/>
    <col min="9676" max="9676" width="26.140625" customWidth="1"/>
    <col min="9677" max="9678" width="11.85546875" bestFit="1" customWidth="1"/>
    <col min="9679" max="9679" width="11.85546875" customWidth="1"/>
    <col min="9680" max="9681" width="17.42578125" bestFit="1" customWidth="1"/>
    <col min="9682" max="9683" width="14" bestFit="1" customWidth="1"/>
    <col min="9684" max="9684" width="20" bestFit="1" customWidth="1"/>
    <col min="9685" max="9685" width="17.42578125" customWidth="1"/>
    <col min="9686" max="9686" width="10.85546875" bestFit="1" customWidth="1"/>
    <col min="9687" max="9687" width="11" bestFit="1" customWidth="1"/>
    <col min="9688" max="9688" width="10.5703125" bestFit="1" customWidth="1"/>
    <col min="9689" max="9689" width="15.85546875" bestFit="1" customWidth="1"/>
    <col min="9690" max="9690" width="17.42578125" bestFit="1" customWidth="1"/>
    <col min="9929" max="9930" width="16.140625" customWidth="1"/>
    <col min="9931" max="9931" width="93.140625" customWidth="1"/>
    <col min="9932" max="9932" width="26.140625" customWidth="1"/>
    <col min="9933" max="9934" width="11.85546875" bestFit="1" customWidth="1"/>
    <col min="9935" max="9935" width="11.85546875" customWidth="1"/>
    <col min="9936" max="9937" width="17.42578125" bestFit="1" customWidth="1"/>
    <col min="9938" max="9939" width="14" bestFit="1" customWidth="1"/>
    <col min="9940" max="9940" width="20" bestFit="1" customWidth="1"/>
    <col min="9941" max="9941" width="17.42578125" customWidth="1"/>
    <col min="9942" max="9942" width="10.85546875" bestFit="1" customWidth="1"/>
    <col min="9943" max="9943" width="11" bestFit="1" customWidth="1"/>
    <col min="9944" max="9944" width="10.5703125" bestFit="1" customWidth="1"/>
    <col min="9945" max="9945" width="15.85546875" bestFit="1" customWidth="1"/>
    <col min="9946" max="9946" width="17.42578125" bestFit="1" customWidth="1"/>
    <col min="10185" max="10186" width="16.140625" customWidth="1"/>
    <col min="10187" max="10187" width="93.140625" customWidth="1"/>
    <col min="10188" max="10188" width="26.140625" customWidth="1"/>
    <col min="10189" max="10190" width="11.85546875" bestFit="1" customWidth="1"/>
    <col min="10191" max="10191" width="11.85546875" customWidth="1"/>
    <col min="10192" max="10193" width="17.42578125" bestFit="1" customWidth="1"/>
    <col min="10194" max="10195" width="14" bestFit="1" customWidth="1"/>
    <col min="10196" max="10196" width="20" bestFit="1" customWidth="1"/>
    <col min="10197" max="10197" width="17.42578125" customWidth="1"/>
    <col min="10198" max="10198" width="10.85546875" bestFit="1" customWidth="1"/>
    <col min="10199" max="10199" width="11" bestFit="1" customWidth="1"/>
    <col min="10200" max="10200" width="10.5703125" bestFit="1" customWidth="1"/>
    <col min="10201" max="10201" width="15.85546875" bestFit="1" customWidth="1"/>
    <col min="10202" max="10202" width="17.42578125" bestFit="1" customWidth="1"/>
    <col min="10441" max="10442" width="16.140625" customWidth="1"/>
    <col min="10443" max="10443" width="93.140625" customWidth="1"/>
    <col min="10444" max="10444" width="26.140625" customWidth="1"/>
    <col min="10445" max="10446" width="11.85546875" bestFit="1" customWidth="1"/>
    <col min="10447" max="10447" width="11.85546875" customWidth="1"/>
    <col min="10448" max="10449" width="17.42578125" bestFit="1" customWidth="1"/>
    <col min="10450" max="10451" width="14" bestFit="1" customWidth="1"/>
    <col min="10452" max="10452" width="20" bestFit="1" customWidth="1"/>
    <col min="10453" max="10453" width="17.42578125" customWidth="1"/>
    <col min="10454" max="10454" width="10.85546875" bestFit="1" customWidth="1"/>
    <col min="10455" max="10455" width="11" bestFit="1" customWidth="1"/>
    <col min="10456" max="10456" width="10.5703125" bestFit="1" customWidth="1"/>
    <col min="10457" max="10457" width="15.85546875" bestFit="1" customWidth="1"/>
    <col min="10458" max="10458" width="17.42578125" bestFit="1" customWidth="1"/>
    <col min="10697" max="10698" width="16.140625" customWidth="1"/>
    <col min="10699" max="10699" width="93.140625" customWidth="1"/>
    <col min="10700" max="10700" width="26.140625" customWidth="1"/>
    <col min="10701" max="10702" width="11.85546875" bestFit="1" customWidth="1"/>
    <col min="10703" max="10703" width="11.85546875" customWidth="1"/>
    <col min="10704" max="10705" width="17.42578125" bestFit="1" customWidth="1"/>
    <col min="10706" max="10707" width="14" bestFit="1" customWidth="1"/>
    <col min="10708" max="10708" width="20" bestFit="1" customWidth="1"/>
    <col min="10709" max="10709" width="17.42578125" customWidth="1"/>
    <col min="10710" max="10710" width="10.85546875" bestFit="1" customWidth="1"/>
    <col min="10711" max="10711" width="11" bestFit="1" customWidth="1"/>
    <col min="10712" max="10712" width="10.5703125" bestFit="1" customWidth="1"/>
    <col min="10713" max="10713" width="15.85546875" bestFit="1" customWidth="1"/>
    <col min="10714" max="10714" width="17.42578125" bestFit="1" customWidth="1"/>
    <col min="10953" max="10954" width="16.140625" customWidth="1"/>
    <col min="10955" max="10955" width="93.140625" customWidth="1"/>
    <col min="10956" max="10956" width="26.140625" customWidth="1"/>
    <col min="10957" max="10958" width="11.85546875" bestFit="1" customWidth="1"/>
    <col min="10959" max="10959" width="11.85546875" customWidth="1"/>
    <col min="10960" max="10961" width="17.42578125" bestFit="1" customWidth="1"/>
    <col min="10962" max="10963" width="14" bestFit="1" customWidth="1"/>
    <col min="10964" max="10964" width="20" bestFit="1" customWidth="1"/>
    <col min="10965" max="10965" width="17.42578125" customWidth="1"/>
    <col min="10966" max="10966" width="10.85546875" bestFit="1" customWidth="1"/>
    <col min="10967" max="10967" width="11" bestFit="1" customWidth="1"/>
    <col min="10968" max="10968" width="10.5703125" bestFit="1" customWidth="1"/>
    <col min="10969" max="10969" width="15.85546875" bestFit="1" customWidth="1"/>
    <col min="10970" max="10970" width="17.42578125" bestFit="1" customWidth="1"/>
    <col min="11209" max="11210" width="16.140625" customWidth="1"/>
    <col min="11211" max="11211" width="93.140625" customWidth="1"/>
    <col min="11212" max="11212" width="26.140625" customWidth="1"/>
    <col min="11213" max="11214" width="11.85546875" bestFit="1" customWidth="1"/>
    <col min="11215" max="11215" width="11.85546875" customWidth="1"/>
    <col min="11216" max="11217" width="17.42578125" bestFit="1" customWidth="1"/>
    <col min="11218" max="11219" width="14" bestFit="1" customWidth="1"/>
    <col min="11220" max="11220" width="20" bestFit="1" customWidth="1"/>
    <col min="11221" max="11221" width="17.42578125" customWidth="1"/>
    <col min="11222" max="11222" width="10.85546875" bestFit="1" customWidth="1"/>
    <col min="11223" max="11223" width="11" bestFit="1" customWidth="1"/>
    <col min="11224" max="11224" width="10.5703125" bestFit="1" customWidth="1"/>
    <col min="11225" max="11225" width="15.85546875" bestFit="1" customWidth="1"/>
    <col min="11226" max="11226" width="17.42578125" bestFit="1" customWidth="1"/>
    <col min="11465" max="11466" width="16.140625" customWidth="1"/>
    <col min="11467" max="11467" width="93.140625" customWidth="1"/>
    <col min="11468" max="11468" width="26.140625" customWidth="1"/>
    <col min="11469" max="11470" width="11.85546875" bestFit="1" customWidth="1"/>
    <col min="11471" max="11471" width="11.85546875" customWidth="1"/>
    <col min="11472" max="11473" width="17.42578125" bestFit="1" customWidth="1"/>
    <col min="11474" max="11475" width="14" bestFit="1" customWidth="1"/>
    <col min="11476" max="11476" width="20" bestFit="1" customWidth="1"/>
    <col min="11477" max="11477" width="17.42578125" customWidth="1"/>
    <col min="11478" max="11478" width="10.85546875" bestFit="1" customWidth="1"/>
    <col min="11479" max="11479" width="11" bestFit="1" customWidth="1"/>
    <col min="11480" max="11480" width="10.5703125" bestFit="1" customWidth="1"/>
    <col min="11481" max="11481" width="15.85546875" bestFit="1" customWidth="1"/>
    <col min="11482" max="11482" width="17.42578125" bestFit="1" customWidth="1"/>
    <col min="11721" max="11722" width="16.140625" customWidth="1"/>
    <col min="11723" max="11723" width="93.140625" customWidth="1"/>
    <col min="11724" max="11724" width="26.140625" customWidth="1"/>
    <col min="11725" max="11726" width="11.85546875" bestFit="1" customWidth="1"/>
    <col min="11727" max="11727" width="11.85546875" customWidth="1"/>
    <col min="11728" max="11729" width="17.42578125" bestFit="1" customWidth="1"/>
    <col min="11730" max="11731" width="14" bestFit="1" customWidth="1"/>
    <col min="11732" max="11732" width="20" bestFit="1" customWidth="1"/>
    <col min="11733" max="11733" width="17.42578125" customWidth="1"/>
    <col min="11734" max="11734" width="10.85546875" bestFit="1" customWidth="1"/>
    <col min="11735" max="11735" width="11" bestFit="1" customWidth="1"/>
    <col min="11736" max="11736" width="10.5703125" bestFit="1" customWidth="1"/>
    <col min="11737" max="11737" width="15.85546875" bestFit="1" customWidth="1"/>
    <col min="11738" max="11738" width="17.42578125" bestFit="1" customWidth="1"/>
    <col min="11977" max="11978" width="16.140625" customWidth="1"/>
    <col min="11979" max="11979" width="93.140625" customWidth="1"/>
    <col min="11980" max="11980" width="26.140625" customWidth="1"/>
    <col min="11981" max="11982" width="11.85546875" bestFit="1" customWidth="1"/>
    <col min="11983" max="11983" width="11.85546875" customWidth="1"/>
    <col min="11984" max="11985" width="17.42578125" bestFit="1" customWidth="1"/>
    <col min="11986" max="11987" width="14" bestFit="1" customWidth="1"/>
    <col min="11988" max="11988" width="20" bestFit="1" customWidth="1"/>
    <col min="11989" max="11989" width="17.42578125" customWidth="1"/>
    <col min="11990" max="11990" width="10.85546875" bestFit="1" customWidth="1"/>
    <col min="11991" max="11991" width="11" bestFit="1" customWidth="1"/>
    <col min="11992" max="11992" width="10.5703125" bestFit="1" customWidth="1"/>
    <col min="11993" max="11993" width="15.85546875" bestFit="1" customWidth="1"/>
    <col min="11994" max="11994" width="17.42578125" bestFit="1" customWidth="1"/>
    <col min="12233" max="12234" width="16.140625" customWidth="1"/>
    <col min="12235" max="12235" width="93.140625" customWidth="1"/>
    <col min="12236" max="12236" width="26.140625" customWidth="1"/>
    <col min="12237" max="12238" width="11.85546875" bestFit="1" customWidth="1"/>
    <col min="12239" max="12239" width="11.85546875" customWidth="1"/>
    <col min="12240" max="12241" width="17.42578125" bestFit="1" customWidth="1"/>
    <col min="12242" max="12243" width="14" bestFit="1" customWidth="1"/>
    <col min="12244" max="12244" width="20" bestFit="1" customWidth="1"/>
    <col min="12245" max="12245" width="17.42578125" customWidth="1"/>
    <col min="12246" max="12246" width="10.85546875" bestFit="1" customWidth="1"/>
    <col min="12247" max="12247" width="11" bestFit="1" customWidth="1"/>
    <col min="12248" max="12248" width="10.5703125" bestFit="1" customWidth="1"/>
    <col min="12249" max="12249" width="15.85546875" bestFit="1" customWidth="1"/>
    <col min="12250" max="12250" width="17.42578125" bestFit="1" customWidth="1"/>
    <col min="12489" max="12490" width="16.140625" customWidth="1"/>
    <col min="12491" max="12491" width="93.140625" customWidth="1"/>
    <col min="12492" max="12492" width="26.140625" customWidth="1"/>
    <col min="12493" max="12494" width="11.85546875" bestFit="1" customWidth="1"/>
    <col min="12495" max="12495" width="11.85546875" customWidth="1"/>
    <col min="12496" max="12497" width="17.42578125" bestFit="1" customWidth="1"/>
    <col min="12498" max="12499" width="14" bestFit="1" customWidth="1"/>
    <col min="12500" max="12500" width="20" bestFit="1" customWidth="1"/>
    <col min="12501" max="12501" width="17.42578125" customWidth="1"/>
    <col min="12502" max="12502" width="10.85546875" bestFit="1" customWidth="1"/>
    <col min="12503" max="12503" width="11" bestFit="1" customWidth="1"/>
    <col min="12504" max="12504" width="10.5703125" bestFit="1" customWidth="1"/>
    <col min="12505" max="12505" width="15.85546875" bestFit="1" customWidth="1"/>
    <col min="12506" max="12506" width="17.42578125" bestFit="1" customWidth="1"/>
    <col min="12745" max="12746" width="16.140625" customWidth="1"/>
    <col min="12747" max="12747" width="93.140625" customWidth="1"/>
    <col min="12748" max="12748" width="26.140625" customWidth="1"/>
    <col min="12749" max="12750" width="11.85546875" bestFit="1" customWidth="1"/>
    <col min="12751" max="12751" width="11.85546875" customWidth="1"/>
    <col min="12752" max="12753" width="17.42578125" bestFit="1" customWidth="1"/>
    <col min="12754" max="12755" width="14" bestFit="1" customWidth="1"/>
    <col min="12756" max="12756" width="20" bestFit="1" customWidth="1"/>
    <col min="12757" max="12757" width="17.42578125" customWidth="1"/>
    <col min="12758" max="12758" width="10.85546875" bestFit="1" customWidth="1"/>
    <col min="12759" max="12759" width="11" bestFit="1" customWidth="1"/>
    <col min="12760" max="12760" width="10.5703125" bestFit="1" customWidth="1"/>
    <col min="12761" max="12761" width="15.85546875" bestFit="1" customWidth="1"/>
    <col min="12762" max="12762" width="17.42578125" bestFit="1" customWidth="1"/>
    <col min="13001" max="13002" width="16.140625" customWidth="1"/>
    <col min="13003" max="13003" width="93.140625" customWidth="1"/>
    <col min="13004" max="13004" width="26.140625" customWidth="1"/>
    <col min="13005" max="13006" width="11.85546875" bestFit="1" customWidth="1"/>
    <col min="13007" max="13007" width="11.85546875" customWidth="1"/>
    <col min="13008" max="13009" width="17.42578125" bestFit="1" customWidth="1"/>
    <col min="13010" max="13011" width="14" bestFit="1" customWidth="1"/>
    <col min="13012" max="13012" width="20" bestFit="1" customWidth="1"/>
    <col min="13013" max="13013" width="17.42578125" customWidth="1"/>
    <col min="13014" max="13014" width="10.85546875" bestFit="1" customWidth="1"/>
    <col min="13015" max="13015" width="11" bestFit="1" customWidth="1"/>
    <col min="13016" max="13016" width="10.5703125" bestFit="1" customWidth="1"/>
    <col min="13017" max="13017" width="15.85546875" bestFit="1" customWidth="1"/>
    <col min="13018" max="13018" width="17.42578125" bestFit="1" customWidth="1"/>
    <col min="13257" max="13258" width="16.140625" customWidth="1"/>
    <col min="13259" max="13259" width="93.140625" customWidth="1"/>
    <col min="13260" max="13260" width="26.140625" customWidth="1"/>
    <col min="13261" max="13262" width="11.85546875" bestFit="1" customWidth="1"/>
    <col min="13263" max="13263" width="11.85546875" customWidth="1"/>
    <col min="13264" max="13265" width="17.42578125" bestFit="1" customWidth="1"/>
    <col min="13266" max="13267" width="14" bestFit="1" customWidth="1"/>
    <col min="13268" max="13268" width="20" bestFit="1" customWidth="1"/>
    <col min="13269" max="13269" width="17.42578125" customWidth="1"/>
    <col min="13270" max="13270" width="10.85546875" bestFit="1" customWidth="1"/>
    <col min="13271" max="13271" width="11" bestFit="1" customWidth="1"/>
    <col min="13272" max="13272" width="10.5703125" bestFit="1" customWidth="1"/>
    <col min="13273" max="13273" width="15.85546875" bestFit="1" customWidth="1"/>
    <col min="13274" max="13274" width="17.42578125" bestFit="1" customWidth="1"/>
    <col min="13513" max="13514" width="16.140625" customWidth="1"/>
    <col min="13515" max="13515" width="93.140625" customWidth="1"/>
    <col min="13516" max="13516" width="26.140625" customWidth="1"/>
    <col min="13517" max="13518" width="11.85546875" bestFit="1" customWidth="1"/>
    <col min="13519" max="13519" width="11.85546875" customWidth="1"/>
    <col min="13520" max="13521" width="17.42578125" bestFit="1" customWidth="1"/>
    <col min="13522" max="13523" width="14" bestFit="1" customWidth="1"/>
    <col min="13524" max="13524" width="20" bestFit="1" customWidth="1"/>
    <col min="13525" max="13525" width="17.42578125" customWidth="1"/>
    <col min="13526" max="13526" width="10.85546875" bestFit="1" customWidth="1"/>
    <col min="13527" max="13527" width="11" bestFit="1" customWidth="1"/>
    <col min="13528" max="13528" width="10.5703125" bestFit="1" customWidth="1"/>
    <col min="13529" max="13529" width="15.85546875" bestFit="1" customWidth="1"/>
    <col min="13530" max="13530" width="17.42578125" bestFit="1" customWidth="1"/>
    <col min="13769" max="13770" width="16.140625" customWidth="1"/>
    <col min="13771" max="13771" width="93.140625" customWidth="1"/>
    <col min="13772" max="13772" width="26.140625" customWidth="1"/>
    <col min="13773" max="13774" width="11.85546875" bestFit="1" customWidth="1"/>
    <col min="13775" max="13775" width="11.85546875" customWidth="1"/>
    <col min="13776" max="13777" width="17.42578125" bestFit="1" customWidth="1"/>
    <col min="13778" max="13779" width="14" bestFit="1" customWidth="1"/>
    <col min="13780" max="13780" width="20" bestFit="1" customWidth="1"/>
    <col min="13781" max="13781" width="17.42578125" customWidth="1"/>
    <col min="13782" max="13782" width="10.85546875" bestFit="1" customWidth="1"/>
    <col min="13783" max="13783" width="11" bestFit="1" customWidth="1"/>
    <col min="13784" max="13784" width="10.5703125" bestFit="1" customWidth="1"/>
    <col min="13785" max="13785" width="15.85546875" bestFit="1" customWidth="1"/>
    <col min="13786" max="13786" width="17.42578125" bestFit="1" customWidth="1"/>
    <col min="14025" max="14026" width="16.140625" customWidth="1"/>
    <col min="14027" max="14027" width="93.140625" customWidth="1"/>
    <col min="14028" max="14028" width="26.140625" customWidth="1"/>
    <col min="14029" max="14030" width="11.85546875" bestFit="1" customWidth="1"/>
    <col min="14031" max="14031" width="11.85546875" customWidth="1"/>
    <col min="14032" max="14033" width="17.42578125" bestFit="1" customWidth="1"/>
    <col min="14034" max="14035" width="14" bestFit="1" customWidth="1"/>
    <col min="14036" max="14036" width="20" bestFit="1" customWidth="1"/>
    <col min="14037" max="14037" width="17.42578125" customWidth="1"/>
    <col min="14038" max="14038" width="10.85546875" bestFit="1" customWidth="1"/>
    <col min="14039" max="14039" width="11" bestFit="1" customWidth="1"/>
    <col min="14040" max="14040" width="10.5703125" bestFit="1" customWidth="1"/>
    <col min="14041" max="14041" width="15.85546875" bestFit="1" customWidth="1"/>
    <col min="14042" max="14042" width="17.42578125" bestFit="1" customWidth="1"/>
    <col min="14281" max="14282" width="16.140625" customWidth="1"/>
    <col min="14283" max="14283" width="93.140625" customWidth="1"/>
    <col min="14284" max="14284" width="26.140625" customWidth="1"/>
    <col min="14285" max="14286" width="11.85546875" bestFit="1" customWidth="1"/>
    <col min="14287" max="14287" width="11.85546875" customWidth="1"/>
    <col min="14288" max="14289" width="17.42578125" bestFit="1" customWidth="1"/>
    <col min="14290" max="14291" width="14" bestFit="1" customWidth="1"/>
    <col min="14292" max="14292" width="20" bestFit="1" customWidth="1"/>
    <col min="14293" max="14293" width="17.42578125" customWidth="1"/>
    <col min="14294" max="14294" width="10.85546875" bestFit="1" customWidth="1"/>
    <col min="14295" max="14295" width="11" bestFit="1" customWidth="1"/>
    <col min="14296" max="14296" width="10.5703125" bestFit="1" customWidth="1"/>
    <col min="14297" max="14297" width="15.85546875" bestFit="1" customWidth="1"/>
    <col min="14298" max="14298" width="17.42578125" bestFit="1" customWidth="1"/>
    <col min="14537" max="14538" width="16.140625" customWidth="1"/>
    <col min="14539" max="14539" width="93.140625" customWidth="1"/>
    <col min="14540" max="14540" width="26.140625" customWidth="1"/>
    <col min="14541" max="14542" width="11.85546875" bestFit="1" customWidth="1"/>
    <col min="14543" max="14543" width="11.85546875" customWidth="1"/>
    <col min="14544" max="14545" width="17.42578125" bestFit="1" customWidth="1"/>
    <col min="14546" max="14547" width="14" bestFit="1" customWidth="1"/>
    <col min="14548" max="14548" width="20" bestFit="1" customWidth="1"/>
    <col min="14549" max="14549" width="17.42578125" customWidth="1"/>
    <col min="14550" max="14550" width="10.85546875" bestFit="1" customWidth="1"/>
    <col min="14551" max="14551" width="11" bestFit="1" customWidth="1"/>
    <col min="14552" max="14552" width="10.5703125" bestFit="1" customWidth="1"/>
    <col min="14553" max="14553" width="15.85546875" bestFit="1" customWidth="1"/>
    <col min="14554" max="14554" width="17.42578125" bestFit="1" customWidth="1"/>
    <col min="14793" max="14794" width="16.140625" customWidth="1"/>
    <col min="14795" max="14795" width="93.140625" customWidth="1"/>
    <col min="14796" max="14796" width="26.140625" customWidth="1"/>
    <col min="14797" max="14798" width="11.85546875" bestFit="1" customWidth="1"/>
    <col min="14799" max="14799" width="11.85546875" customWidth="1"/>
    <col min="14800" max="14801" width="17.42578125" bestFit="1" customWidth="1"/>
    <col min="14802" max="14803" width="14" bestFit="1" customWidth="1"/>
    <col min="14804" max="14804" width="20" bestFit="1" customWidth="1"/>
    <col min="14805" max="14805" width="17.42578125" customWidth="1"/>
    <col min="14806" max="14806" width="10.85546875" bestFit="1" customWidth="1"/>
    <col min="14807" max="14807" width="11" bestFit="1" customWidth="1"/>
    <col min="14808" max="14808" width="10.5703125" bestFit="1" customWidth="1"/>
    <col min="14809" max="14809" width="15.85546875" bestFit="1" customWidth="1"/>
    <col min="14810" max="14810" width="17.42578125" bestFit="1" customWidth="1"/>
    <col min="15049" max="15050" width="16.140625" customWidth="1"/>
    <col min="15051" max="15051" width="93.140625" customWidth="1"/>
    <col min="15052" max="15052" width="26.140625" customWidth="1"/>
    <col min="15053" max="15054" width="11.85546875" bestFit="1" customWidth="1"/>
    <col min="15055" max="15055" width="11.85546875" customWidth="1"/>
    <col min="15056" max="15057" width="17.42578125" bestFit="1" customWidth="1"/>
    <col min="15058" max="15059" width="14" bestFit="1" customWidth="1"/>
    <col min="15060" max="15060" width="20" bestFit="1" customWidth="1"/>
    <col min="15061" max="15061" width="17.42578125" customWidth="1"/>
    <col min="15062" max="15062" width="10.85546875" bestFit="1" customWidth="1"/>
    <col min="15063" max="15063" width="11" bestFit="1" customWidth="1"/>
    <col min="15064" max="15064" width="10.5703125" bestFit="1" customWidth="1"/>
    <col min="15065" max="15065" width="15.85546875" bestFit="1" customWidth="1"/>
    <col min="15066" max="15066" width="17.42578125" bestFit="1" customWidth="1"/>
    <col min="15305" max="15306" width="16.140625" customWidth="1"/>
    <col min="15307" max="15307" width="93.140625" customWidth="1"/>
    <col min="15308" max="15308" width="26.140625" customWidth="1"/>
    <col min="15309" max="15310" width="11.85546875" bestFit="1" customWidth="1"/>
    <col min="15311" max="15311" width="11.85546875" customWidth="1"/>
    <col min="15312" max="15313" width="17.42578125" bestFit="1" customWidth="1"/>
    <col min="15314" max="15315" width="14" bestFit="1" customWidth="1"/>
    <col min="15316" max="15316" width="20" bestFit="1" customWidth="1"/>
    <col min="15317" max="15317" width="17.42578125" customWidth="1"/>
    <col min="15318" max="15318" width="10.85546875" bestFit="1" customWidth="1"/>
    <col min="15319" max="15319" width="11" bestFit="1" customWidth="1"/>
    <col min="15320" max="15320" width="10.5703125" bestFit="1" customWidth="1"/>
    <col min="15321" max="15321" width="15.85546875" bestFit="1" customWidth="1"/>
    <col min="15322" max="15322" width="17.42578125" bestFit="1" customWidth="1"/>
    <col min="15561" max="15562" width="16.140625" customWidth="1"/>
    <col min="15563" max="15563" width="93.140625" customWidth="1"/>
    <col min="15564" max="15564" width="26.140625" customWidth="1"/>
    <col min="15565" max="15566" width="11.85546875" bestFit="1" customWidth="1"/>
    <col min="15567" max="15567" width="11.85546875" customWidth="1"/>
    <col min="15568" max="15569" width="17.42578125" bestFit="1" customWidth="1"/>
    <col min="15570" max="15571" width="14" bestFit="1" customWidth="1"/>
    <col min="15572" max="15572" width="20" bestFit="1" customWidth="1"/>
    <col min="15573" max="15573" width="17.42578125" customWidth="1"/>
    <col min="15574" max="15574" width="10.85546875" bestFit="1" customWidth="1"/>
    <col min="15575" max="15575" width="11" bestFit="1" customWidth="1"/>
    <col min="15576" max="15576" width="10.5703125" bestFit="1" customWidth="1"/>
    <col min="15577" max="15577" width="15.85546875" bestFit="1" customWidth="1"/>
    <col min="15578" max="15578" width="17.42578125" bestFit="1" customWidth="1"/>
    <col min="15817" max="15818" width="16.140625" customWidth="1"/>
    <col min="15819" max="15819" width="93.140625" customWidth="1"/>
    <col min="15820" max="15820" width="26.140625" customWidth="1"/>
    <col min="15821" max="15822" width="11.85546875" bestFit="1" customWidth="1"/>
    <col min="15823" max="15823" width="11.85546875" customWidth="1"/>
    <col min="15824" max="15825" width="17.42578125" bestFit="1" customWidth="1"/>
    <col min="15826" max="15827" width="14" bestFit="1" customWidth="1"/>
    <col min="15828" max="15828" width="20" bestFit="1" customWidth="1"/>
    <col min="15829" max="15829" width="17.42578125" customWidth="1"/>
    <col min="15830" max="15830" width="10.85546875" bestFit="1" customWidth="1"/>
    <col min="15831" max="15831" width="11" bestFit="1" customWidth="1"/>
    <col min="15832" max="15832" width="10.5703125" bestFit="1" customWidth="1"/>
    <col min="15833" max="15833" width="15.85546875" bestFit="1" customWidth="1"/>
    <col min="15834" max="15834" width="17.42578125" bestFit="1" customWidth="1"/>
    <col min="16073" max="16074" width="16.140625" customWidth="1"/>
    <col min="16075" max="16075" width="93.140625" customWidth="1"/>
    <col min="16076" max="16076" width="26.140625" customWidth="1"/>
    <col min="16077" max="16078" width="11.85546875" bestFit="1" customWidth="1"/>
    <col min="16079" max="16079" width="11.85546875" customWidth="1"/>
    <col min="16080" max="16081" width="17.42578125" bestFit="1" customWidth="1"/>
    <col min="16082" max="16083" width="14" bestFit="1" customWidth="1"/>
    <col min="16084" max="16084" width="20" bestFit="1" customWidth="1"/>
    <col min="16085" max="16085" width="17.42578125" customWidth="1"/>
    <col min="16086" max="16086" width="10.85546875" bestFit="1" customWidth="1"/>
    <col min="16087" max="16087" width="11" bestFit="1" customWidth="1"/>
    <col min="16088" max="16088" width="10.5703125" bestFit="1" customWidth="1"/>
    <col min="16089" max="16089" width="15.85546875" bestFit="1" customWidth="1"/>
    <col min="16090" max="16090" width="17.42578125" bestFit="1" customWidth="1"/>
  </cols>
  <sheetData>
    <row r="1" spans="1:8" ht="30.6" customHeight="1" x14ac:dyDescent="0.25">
      <c r="B1" s="297" t="str">
        <f>IF(dms_MultiYear_ResponseFlag="Yes","REGULATORY REPORTING STATEMENT - HISTORICAL INFORMATION",INDEX(dms_Worksheet_List,MATCH(dms_Model,dms_Model_List)))</f>
        <v>REGULATORY REPORTING STATEMENT - HISTORICAL INFORMATION</v>
      </c>
      <c r="C1" s="297"/>
      <c r="D1" s="920"/>
      <c r="E1" s="920"/>
      <c r="F1" s="1096" t="s">
        <v>81</v>
      </c>
      <c r="G1" s="1097" t="s">
        <v>82</v>
      </c>
      <c r="H1" s="920"/>
    </row>
    <row r="2" spans="1:8" ht="30.6" customHeight="1" x14ac:dyDescent="0.25">
      <c r="B2" s="921" t="str">
        <f>INDEX(dms_TradingNameFull_List,MATCH(dms_TradingName,dms_TradingName_List))</f>
        <v>APT Petroleum Pipelines Limited t/a Roma to Brisbane Pipeline</v>
      </c>
      <c r="C2" s="921"/>
      <c r="D2" s="920"/>
      <c r="E2" s="920"/>
      <c r="F2" s="1098" t="s">
        <v>83</v>
      </c>
      <c r="G2" s="1099" t="s">
        <v>84</v>
      </c>
      <c r="H2" s="920"/>
    </row>
    <row r="3" spans="1:8" ht="30.6" customHeight="1" x14ac:dyDescent="0.25">
      <c r="B3" s="921" t="str">
        <f>dms_Header_Span</f>
        <v>Data Span 2021-22 to 2024-25</v>
      </c>
      <c r="C3" s="921"/>
      <c r="D3" s="922"/>
      <c r="E3" s="922"/>
      <c r="F3" s="1100" t="s">
        <v>85</v>
      </c>
      <c r="G3" s="1101" t="s">
        <v>86</v>
      </c>
      <c r="H3" s="922"/>
    </row>
    <row r="4" spans="1:8" ht="30.6" customHeight="1" x14ac:dyDescent="0.25">
      <c r="B4" s="279" t="s">
        <v>125</v>
      </c>
      <c r="C4" s="279"/>
      <c r="D4" s="279"/>
      <c r="E4" s="279"/>
      <c r="F4" s="1102" t="s">
        <v>88</v>
      </c>
      <c r="G4" s="1103" t="s">
        <v>89</v>
      </c>
      <c r="H4" s="279"/>
    </row>
    <row r="5" spans="1:8" ht="15.75" thickBot="1" x14ac:dyDescent="0.3"/>
    <row r="6" spans="1:8" s="934" customFormat="1" ht="24" customHeight="1" thickBot="1" x14ac:dyDescent="0.25">
      <c r="B6" s="280" t="s">
        <v>126</v>
      </c>
      <c r="C6" s="280"/>
      <c r="D6" s="937"/>
      <c r="E6" s="937"/>
      <c r="F6" s="937"/>
      <c r="G6" s="937"/>
      <c r="H6" s="937"/>
    </row>
    <row r="7" spans="1:8" s="50" customFormat="1" ht="40.5" customHeight="1" outlineLevel="2" thickBot="1" x14ac:dyDescent="0.3">
      <c r="A7" s="929"/>
      <c r="B7"/>
      <c r="C7"/>
      <c r="D7" s="1210" t="s">
        <v>91</v>
      </c>
      <c r="E7" s="1211"/>
      <c r="F7" s="1211"/>
      <c r="G7" s="1211"/>
      <c r="H7" s="1212"/>
    </row>
    <row r="8" spans="1:8" s="50" customFormat="1" ht="15.75" customHeight="1" outlineLevel="2" thickBot="1" x14ac:dyDescent="0.3">
      <c r="A8" s="929"/>
      <c r="B8"/>
      <c r="C8"/>
      <c r="D8" s="952" t="str">
        <f ca="1">dms_y1</f>
        <v>2021-22</v>
      </c>
      <c r="E8" s="953" t="str">
        <f ca="1">dms_y2</f>
        <v>2022-23</v>
      </c>
      <c r="F8" s="953" t="str">
        <f ca="1">dms_y3</f>
        <v>2023-24</v>
      </c>
      <c r="G8" s="1066" t="str">
        <f ca="1">dms_y4</f>
        <v>2024-25</v>
      </c>
      <c r="H8" s="1069" t="str">
        <f ca="1">dms_y5</f>
        <v>2025-26</v>
      </c>
    </row>
    <row r="9" spans="1:8" ht="15.75" customHeight="1" outlineLevel="2" x14ac:dyDescent="0.25">
      <c r="B9" s="1188" t="s">
        <v>92</v>
      </c>
      <c r="C9" s="1189"/>
      <c r="D9" s="997">
        <v>0</v>
      </c>
      <c r="E9" s="883">
        <v>0</v>
      </c>
      <c r="F9" s="883">
        <v>0</v>
      </c>
      <c r="G9" s="1057">
        <v>0</v>
      </c>
      <c r="H9" s="1061"/>
    </row>
    <row r="10" spans="1:8" ht="15.75" customHeight="1" outlineLevel="2" x14ac:dyDescent="0.25">
      <c r="B10" s="1190" t="s">
        <v>93</v>
      </c>
      <c r="C10" s="1191"/>
      <c r="D10" s="998">
        <v>0</v>
      </c>
      <c r="E10" s="862">
        <v>0</v>
      </c>
      <c r="F10" s="862">
        <v>0</v>
      </c>
      <c r="G10" s="1059">
        <v>0</v>
      </c>
      <c r="H10" s="1063"/>
    </row>
    <row r="11" spans="1:8" ht="15.75" customHeight="1" outlineLevel="2" x14ac:dyDescent="0.25">
      <c r="B11" s="1190" t="s">
        <v>94</v>
      </c>
      <c r="C11" s="1191"/>
      <c r="D11" s="998">
        <v>0</v>
      </c>
      <c r="E11" s="862">
        <v>0</v>
      </c>
      <c r="F11" s="862">
        <v>0</v>
      </c>
      <c r="G11" s="1059">
        <v>0</v>
      </c>
      <c r="H11" s="1063"/>
    </row>
    <row r="12" spans="1:8" ht="15.75" customHeight="1" outlineLevel="2" x14ac:dyDescent="0.25">
      <c r="B12" s="1190" t="s">
        <v>95</v>
      </c>
      <c r="C12" s="1191"/>
      <c r="D12" s="998">
        <v>0</v>
      </c>
      <c r="E12" s="862">
        <v>0</v>
      </c>
      <c r="F12" s="862">
        <v>0</v>
      </c>
      <c r="G12" s="1059">
        <v>0</v>
      </c>
      <c r="H12" s="1063"/>
    </row>
    <row r="13" spans="1:8" ht="15.75" customHeight="1" outlineLevel="2" x14ac:dyDescent="0.25">
      <c r="B13" s="1192" t="s">
        <v>96</v>
      </c>
      <c r="C13" s="1217"/>
      <c r="D13" s="999">
        <v>0</v>
      </c>
      <c r="E13" s="1000">
        <v>0</v>
      </c>
      <c r="F13" s="1000">
        <v>0</v>
      </c>
      <c r="G13" s="1067">
        <v>0</v>
      </c>
      <c r="H13" s="1070"/>
    </row>
    <row r="14" spans="1:8" ht="15.75" customHeight="1" outlineLevel="2" thickBot="1" x14ac:dyDescent="0.3">
      <c r="B14" s="1194" t="s">
        <v>97</v>
      </c>
      <c r="C14" s="1195"/>
      <c r="D14" s="1006">
        <v>0</v>
      </c>
      <c r="E14" s="1002">
        <v>0</v>
      </c>
      <c r="F14" s="1002">
        <v>0</v>
      </c>
      <c r="G14" s="1068">
        <v>0</v>
      </c>
      <c r="H14" s="1071"/>
    </row>
    <row r="15" spans="1:8" ht="15.75" customHeight="1" outlineLevel="2" thickBot="1" x14ac:dyDescent="0.3">
      <c r="B15" s="1218" t="s">
        <v>98</v>
      </c>
      <c r="C15" s="1219"/>
      <c r="D15" s="940">
        <f>SUM(D9:D13)-D14</f>
        <v>0</v>
      </c>
      <c r="E15" s="940">
        <f t="shared" ref="E15:H15" si="0">SUM(E9:E13)-E14</f>
        <v>0</v>
      </c>
      <c r="F15" s="940">
        <f t="shared" si="0"/>
        <v>0</v>
      </c>
      <c r="G15" s="940">
        <f t="shared" si="0"/>
        <v>0</v>
      </c>
      <c r="H15" s="1065">
        <f t="shared" si="0"/>
        <v>0</v>
      </c>
    </row>
    <row r="16" spans="1:8" ht="15.75" customHeight="1" outlineLevel="1" thickBot="1" x14ac:dyDescent="0.3">
      <c r="B16" s="361"/>
      <c r="C16" s="361"/>
    </row>
    <row r="17" spans="1:8" s="934" customFormat="1" ht="24" customHeight="1" thickBot="1" x14ac:dyDescent="0.25">
      <c r="B17" s="280" t="s">
        <v>127</v>
      </c>
      <c r="C17" s="280"/>
      <c r="D17" s="937"/>
      <c r="E17" s="937"/>
      <c r="F17" s="937"/>
      <c r="G17" s="937"/>
      <c r="H17" s="1094"/>
    </row>
    <row r="18" spans="1:8" s="50" customFormat="1" ht="23.25" customHeight="1" outlineLevel="2" thickBot="1" x14ac:dyDescent="0.25">
      <c r="A18" s="929"/>
      <c r="B18" s="949" t="s">
        <v>128</v>
      </c>
      <c r="C18" s="898"/>
      <c r="D18" s="898"/>
      <c r="E18" s="898"/>
      <c r="F18" s="898"/>
      <c r="G18" s="898"/>
      <c r="H18" s="1093"/>
    </row>
    <row r="19" spans="1:8" s="50" customFormat="1" ht="40.5" customHeight="1" outlineLevel="2" thickBot="1" x14ac:dyDescent="0.3">
      <c r="A19" s="929"/>
      <c r="B19"/>
      <c r="C19"/>
      <c r="D19" s="1210" t="s">
        <v>91</v>
      </c>
      <c r="E19" s="1211"/>
      <c r="F19" s="1211"/>
      <c r="G19" s="1211"/>
      <c r="H19" s="1212"/>
    </row>
    <row r="20" spans="1:8" s="50" customFormat="1" ht="15.75" customHeight="1" outlineLevel="2" thickBot="1" x14ac:dyDescent="0.25">
      <c r="A20" s="929"/>
      <c r="B20" s="1202" t="s">
        <v>101</v>
      </c>
      <c r="C20" s="1203"/>
      <c r="D20" s="952" t="str">
        <f ca="1">dms_y1</f>
        <v>2021-22</v>
      </c>
      <c r="E20" s="953" t="str">
        <f ca="1">dms_y2</f>
        <v>2022-23</v>
      </c>
      <c r="F20" s="953" t="str">
        <f ca="1">dms_y3</f>
        <v>2023-24</v>
      </c>
      <c r="G20" s="1066" t="str">
        <f ca="1">dms_y4</f>
        <v>2024-25</v>
      </c>
      <c r="H20" s="1069" t="str">
        <f ca="1">dms_y5</f>
        <v>2025-26</v>
      </c>
    </row>
    <row r="21" spans="1:8" ht="15.75" customHeight="1" outlineLevel="2" x14ac:dyDescent="0.25">
      <c r="B21" s="1215"/>
      <c r="C21" s="1216"/>
      <c r="D21" s="997"/>
      <c r="E21" s="883"/>
      <c r="F21" s="883"/>
      <c r="G21" s="1057"/>
      <c r="H21" s="1061"/>
    </row>
    <row r="22" spans="1:8" ht="15.75" customHeight="1" outlineLevel="2" x14ac:dyDescent="0.25">
      <c r="B22" s="1215"/>
      <c r="C22" s="1216"/>
      <c r="D22" s="998"/>
      <c r="E22" s="862"/>
      <c r="F22" s="862"/>
      <c r="G22" s="1059"/>
      <c r="H22" s="1063"/>
    </row>
    <row r="23" spans="1:8" ht="15.75" customHeight="1" outlineLevel="2" x14ac:dyDescent="0.25">
      <c r="B23" s="1215"/>
      <c r="C23" s="1216"/>
      <c r="D23" s="998"/>
      <c r="E23" s="862"/>
      <c r="F23" s="862"/>
      <c r="G23" s="1059"/>
      <c r="H23" s="1063"/>
    </row>
    <row r="24" spans="1:8" ht="15.75" customHeight="1" outlineLevel="2" x14ac:dyDescent="0.25">
      <c r="B24" s="1215"/>
      <c r="C24" s="1216"/>
      <c r="D24" s="998"/>
      <c r="E24" s="862"/>
      <c r="F24" s="862"/>
      <c r="G24" s="1059"/>
      <c r="H24" s="1063"/>
    </row>
    <row r="25" spans="1:8" ht="15.75" customHeight="1" outlineLevel="2" x14ac:dyDescent="0.25">
      <c r="B25" s="1215"/>
      <c r="C25" s="1216"/>
      <c r="D25" s="998"/>
      <c r="E25" s="862"/>
      <c r="F25" s="862"/>
      <c r="G25" s="1059"/>
      <c r="H25" s="1063"/>
    </row>
    <row r="26" spans="1:8" ht="15.75" customHeight="1" outlineLevel="2" x14ac:dyDescent="0.25">
      <c r="B26" s="1215"/>
      <c r="C26" s="1216"/>
      <c r="D26" s="998"/>
      <c r="E26" s="862"/>
      <c r="F26" s="862"/>
      <c r="G26" s="1059"/>
      <c r="H26" s="1063"/>
    </row>
    <row r="27" spans="1:8" ht="15.75" customHeight="1" outlineLevel="2" x14ac:dyDescent="0.25">
      <c r="B27" s="1215"/>
      <c r="C27" s="1216"/>
      <c r="D27" s="998"/>
      <c r="E27" s="862"/>
      <c r="F27" s="862"/>
      <c r="G27" s="1059"/>
      <c r="H27" s="1063"/>
    </row>
    <row r="28" spans="1:8" ht="15.75" customHeight="1" outlineLevel="2" x14ac:dyDescent="0.25">
      <c r="B28" s="1215"/>
      <c r="C28" s="1216"/>
      <c r="D28" s="998"/>
      <c r="E28" s="862"/>
      <c r="F28" s="862"/>
      <c r="G28" s="1059"/>
      <c r="H28" s="1063"/>
    </row>
    <row r="29" spans="1:8" ht="15.75" customHeight="1" outlineLevel="2" x14ac:dyDescent="0.25">
      <c r="B29" s="1215"/>
      <c r="C29" s="1216"/>
      <c r="D29" s="998"/>
      <c r="E29" s="862"/>
      <c r="F29" s="862"/>
      <c r="G29" s="1059"/>
      <c r="H29" s="1063"/>
    </row>
    <row r="30" spans="1:8" ht="15.75" customHeight="1" outlineLevel="2" x14ac:dyDescent="0.25">
      <c r="B30" s="1215"/>
      <c r="C30" s="1216"/>
      <c r="D30" s="998"/>
      <c r="E30" s="862"/>
      <c r="F30" s="862"/>
      <c r="G30" s="1059"/>
      <c r="H30" s="1063"/>
    </row>
    <row r="31" spans="1:8" ht="15.75" customHeight="1" outlineLevel="2" x14ac:dyDescent="0.25">
      <c r="B31" s="1215"/>
      <c r="C31" s="1216"/>
      <c r="D31" s="998"/>
      <c r="E31" s="862"/>
      <c r="F31" s="862"/>
      <c r="G31" s="1059"/>
      <c r="H31" s="1063"/>
    </row>
    <row r="32" spans="1:8" ht="15.75" customHeight="1" outlineLevel="2" x14ac:dyDescent="0.25">
      <c r="B32" s="1215"/>
      <c r="C32" s="1216"/>
      <c r="D32" s="998"/>
      <c r="E32" s="862"/>
      <c r="F32" s="862"/>
      <c r="G32" s="1059"/>
      <c r="H32" s="1063"/>
    </row>
    <row r="33" spans="1:8" ht="15.75" customHeight="1" outlineLevel="2" x14ac:dyDescent="0.25">
      <c r="B33" s="1215"/>
      <c r="C33" s="1216"/>
      <c r="D33" s="998"/>
      <c r="E33" s="862"/>
      <c r="F33" s="862"/>
      <c r="G33" s="1059"/>
      <c r="H33" s="1063"/>
    </row>
    <row r="34" spans="1:8" ht="15.75" customHeight="1" outlineLevel="2" x14ac:dyDescent="0.25">
      <c r="B34" s="1215"/>
      <c r="C34" s="1216"/>
      <c r="D34" s="998"/>
      <c r="E34" s="862"/>
      <c r="F34" s="862"/>
      <c r="G34" s="1059"/>
      <c r="H34" s="1063"/>
    </row>
    <row r="35" spans="1:8" ht="15.75" customHeight="1" outlineLevel="2" x14ac:dyDescent="0.25">
      <c r="B35" s="1215"/>
      <c r="C35" s="1216"/>
      <c r="D35" s="998"/>
      <c r="E35" s="862"/>
      <c r="F35" s="862"/>
      <c r="G35" s="1059"/>
      <c r="H35" s="1063"/>
    </row>
    <row r="36" spans="1:8" ht="15.75" customHeight="1" outlineLevel="2" x14ac:dyDescent="0.25">
      <c r="B36" s="1215"/>
      <c r="C36" s="1216"/>
      <c r="D36" s="998"/>
      <c r="E36" s="862"/>
      <c r="F36" s="862"/>
      <c r="G36" s="1059"/>
      <c r="H36" s="1063"/>
    </row>
    <row r="37" spans="1:8" ht="15.75" customHeight="1" outlineLevel="2" x14ac:dyDescent="0.25">
      <c r="B37" s="1215"/>
      <c r="C37" s="1216"/>
      <c r="D37" s="998"/>
      <c r="E37" s="862"/>
      <c r="F37" s="862"/>
      <c r="G37" s="1059"/>
      <c r="H37" s="1063"/>
    </row>
    <row r="38" spans="1:8" ht="15.75" customHeight="1" outlineLevel="2" x14ac:dyDescent="0.25">
      <c r="B38" s="1215"/>
      <c r="C38" s="1216"/>
      <c r="D38" s="998"/>
      <c r="E38" s="862"/>
      <c r="F38" s="862"/>
      <c r="G38" s="1059"/>
      <c r="H38" s="1063"/>
    </row>
    <row r="39" spans="1:8" ht="15.75" customHeight="1" outlineLevel="2" x14ac:dyDescent="0.25">
      <c r="B39" s="1215"/>
      <c r="C39" s="1216"/>
      <c r="D39" s="998"/>
      <c r="E39" s="862"/>
      <c r="F39" s="862"/>
      <c r="G39" s="1059"/>
      <c r="H39" s="1063"/>
    </row>
    <row r="40" spans="1:8" ht="15.75" customHeight="1" outlineLevel="2" x14ac:dyDescent="0.25">
      <c r="B40" s="1215"/>
      <c r="C40" s="1216"/>
      <c r="D40" s="998"/>
      <c r="E40" s="862"/>
      <c r="F40" s="862"/>
      <c r="G40" s="1059"/>
      <c r="H40" s="1063"/>
    </row>
    <row r="41" spans="1:8" ht="15.75" customHeight="1" outlineLevel="2" thickBot="1" x14ac:dyDescent="0.3">
      <c r="B41" s="1213" t="s">
        <v>113</v>
      </c>
      <c r="C41" s="1214"/>
      <c r="D41" s="1005"/>
      <c r="E41" s="886"/>
      <c r="F41" s="886"/>
      <c r="G41" s="1060"/>
      <c r="H41" s="1064"/>
    </row>
    <row r="42" spans="1:8" ht="15.75" customHeight="1" outlineLevel="2" thickBot="1" x14ac:dyDescent="0.3">
      <c r="B42" s="1198" t="s">
        <v>114</v>
      </c>
      <c r="C42" s="1199"/>
      <c r="D42" s="940">
        <f t="shared" ref="D42:H42" si="1">SUM(D21:D41)</f>
        <v>0</v>
      </c>
      <c r="E42" s="940">
        <f t="shared" si="1"/>
        <v>0</v>
      </c>
      <c r="F42" s="940">
        <f t="shared" si="1"/>
        <v>0</v>
      </c>
      <c r="G42" s="940">
        <f t="shared" si="1"/>
        <v>0</v>
      </c>
      <c r="H42" s="1065">
        <f t="shared" si="1"/>
        <v>0</v>
      </c>
    </row>
    <row r="43" spans="1:8" ht="15.75" customHeight="1" outlineLevel="1" thickBot="1" x14ac:dyDescent="0.3">
      <c r="B43" s="361"/>
      <c r="C43" s="361"/>
    </row>
    <row r="44" spans="1:8" ht="20.25" customHeight="1" outlineLevel="1" thickBot="1" x14ac:dyDescent="0.3">
      <c r="B44" s="949" t="s">
        <v>129</v>
      </c>
      <c r="C44" s="898"/>
      <c r="D44" s="898"/>
      <c r="E44" s="898"/>
      <c r="F44" s="898"/>
      <c r="G44" s="898"/>
      <c r="H44" s="1093"/>
    </row>
    <row r="45" spans="1:8" s="50" customFormat="1" ht="15" customHeight="1" outlineLevel="2" x14ac:dyDescent="0.25">
      <c r="A45" s="929"/>
      <c r="B45"/>
      <c r="C45"/>
      <c r="D45" s="1204" t="s">
        <v>130</v>
      </c>
      <c r="E45" s="1205"/>
      <c r="F45" s="1205"/>
      <c r="G45" s="1205"/>
      <c r="H45" s="1206"/>
    </row>
    <row r="46" spans="1:8" s="50" customFormat="1" ht="15" customHeight="1" outlineLevel="2" thickBot="1" x14ac:dyDescent="0.3">
      <c r="A46" s="929"/>
      <c r="B46"/>
      <c r="C46"/>
      <c r="D46" s="1207"/>
      <c r="E46" s="1208"/>
      <c r="F46" s="1208"/>
      <c r="G46" s="1208"/>
      <c r="H46" s="1209"/>
    </row>
    <row r="47" spans="1:8" s="50" customFormat="1" ht="15.75" outlineLevel="2" thickBot="1" x14ac:dyDescent="0.3">
      <c r="A47" s="929"/>
      <c r="B47" s="154"/>
      <c r="C47" s="977" t="s">
        <v>117</v>
      </c>
      <c r="D47" s="1079" t="str">
        <f ca="1">dms_y1</f>
        <v>2021-22</v>
      </c>
      <c r="E47" s="1080" t="str">
        <f ca="1">dms_y2</f>
        <v>2022-23</v>
      </c>
      <c r="F47" s="1080" t="str">
        <f ca="1">dms_y3</f>
        <v>2023-24</v>
      </c>
      <c r="G47" s="1081" t="str">
        <f ca="1">dms_y4</f>
        <v>2024-25</v>
      </c>
      <c r="H47" s="1092" t="str">
        <f ca="1">dms_y5</f>
        <v>2025-26</v>
      </c>
    </row>
    <row r="48" spans="1:8" ht="15.75" customHeight="1" outlineLevel="2" x14ac:dyDescent="0.25">
      <c r="B48" s="978" t="str">
        <f>IF(ISBLANK(B21),"",B21)</f>
        <v/>
      </c>
      <c r="C48" s="979"/>
      <c r="D48" s="997"/>
      <c r="E48" s="883"/>
      <c r="F48" s="883"/>
      <c r="G48" s="1057"/>
      <c r="H48" s="1061"/>
    </row>
    <row r="49" spans="2:8" ht="15.75" customHeight="1" outlineLevel="2" x14ac:dyDescent="0.25">
      <c r="B49" s="915" t="str">
        <f t="shared" ref="B49:B67" si="2">IF(ISBLANK(B22),"",B22)</f>
        <v/>
      </c>
      <c r="C49" s="979"/>
      <c r="D49" s="998"/>
      <c r="E49" s="862"/>
      <c r="F49" s="862"/>
      <c r="G49" s="1059"/>
      <c r="H49" s="1063"/>
    </row>
    <row r="50" spans="2:8" ht="15.75" customHeight="1" outlineLevel="2" x14ac:dyDescent="0.25">
      <c r="B50" s="915" t="str">
        <f t="shared" si="2"/>
        <v/>
      </c>
      <c r="C50" s="979"/>
      <c r="D50" s="998"/>
      <c r="E50" s="862"/>
      <c r="F50" s="862"/>
      <c r="G50" s="1059"/>
      <c r="H50" s="1063"/>
    </row>
    <row r="51" spans="2:8" ht="15.75" customHeight="1" outlineLevel="2" x14ac:dyDescent="0.25">
      <c r="B51" s="915" t="str">
        <f t="shared" si="2"/>
        <v/>
      </c>
      <c r="C51" s="979"/>
      <c r="D51" s="998"/>
      <c r="E51" s="862"/>
      <c r="F51" s="862"/>
      <c r="G51" s="1059"/>
      <c r="H51" s="1063"/>
    </row>
    <row r="52" spans="2:8" ht="15.75" customHeight="1" outlineLevel="2" x14ac:dyDescent="0.25">
      <c r="B52" s="915" t="str">
        <f t="shared" si="2"/>
        <v/>
      </c>
      <c r="C52" s="979"/>
      <c r="D52" s="998"/>
      <c r="E52" s="862"/>
      <c r="F52" s="862"/>
      <c r="G52" s="1059"/>
      <c r="H52" s="1063"/>
    </row>
    <row r="53" spans="2:8" ht="15.75" customHeight="1" outlineLevel="2" x14ac:dyDescent="0.25">
      <c r="B53" s="915" t="str">
        <f t="shared" si="2"/>
        <v/>
      </c>
      <c r="C53" s="979"/>
      <c r="D53" s="998"/>
      <c r="E53" s="862"/>
      <c r="F53" s="862"/>
      <c r="G53" s="1059"/>
      <c r="H53" s="1063"/>
    </row>
    <row r="54" spans="2:8" ht="15.75" customHeight="1" outlineLevel="2" x14ac:dyDescent="0.25">
      <c r="B54" s="915" t="str">
        <f t="shared" si="2"/>
        <v/>
      </c>
      <c r="C54" s="979"/>
      <c r="D54" s="998"/>
      <c r="E54" s="862"/>
      <c r="F54" s="862"/>
      <c r="G54" s="1059"/>
      <c r="H54" s="1063"/>
    </row>
    <row r="55" spans="2:8" ht="15.75" customHeight="1" outlineLevel="2" x14ac:dyDescent="0.25">
      <c r="B55" s="915" t="str">
        <f t="shared" si="2"/>
        <v/>
      </c>
      <c r="C55" s="979"/>
      <c r="D55" s="998"/>
      <c r="E55" s="862"/>
      <c r="F55" s="862"/>
      <c r="G55" s="1059"/>
      <c r="H55" s="1063"/>
    </row>
    <row r="56" spans="2:8" ht="15.75" customHeight="1" outlineLevel="2" x14ac:dyDescent="0.25">
      <c r="B56" s="915" t="str">
        <f t="shared" si="2"/>
        <v/>
      </c>
      <c r="C56" s="979"/>
      <c r="D56" s="998"/>
      <c r="E56" s="862"/>
      <c r="F56" s="862"/>
      <c r="G56" s="1059"/>
      <c r="H56" s="1063"/>
    </row>
    <row r="57" spans="2:8" ht="15.75" customHeight="1" outlineLevel="2" x14ac:dyDescent="0.25">
      <c r="B57" s="915" t="str">
        <f t="shared" si="2"/>
        <v/>
      </c>
      <c r="C57" s="979"/>
      <c r="D57" s="998"/>
      <c r="E57" s="862"/>
      <c r="F57" s="862"/>
      <c r="G57" s="1059"/>
      <c r="H57" s="1063"/>
    </row>
    <row r="58" spans="2:8" ht="15.75" customHeight="1" outlineLevel="2" x14ac:dyDescent="0.25">
      <c r="B58" s="915" t="str">
        <f t="shared" si="2"/>
        <v/>
      </c>
      <c r="C58" s="979"/>
      <c r="D58" s="998"/>
      <c r="E58" s="862"/>
      <c r="F58" s="862"/>
      <c r="G58" s="1059"/>
      <c r="H58" s="1063"/>
    </row>
    <row r="59" spans="2:8" ht="15.75" customHeight="1" outlineLevel="2" x14ac:dyDescent="0.25">
      <c r="B59" s="915" t="str">
        <f t="shared" si="2"/>
        <v/>
      </c>
      <c r="C59" s="979"/>
      <c r="D59" s="998"/>
      <c r="E59" s="862"/>
      <c r="F59" s="862"/>
      <c r="G59" s="1059"/>
      <c r="H59" s="1063"/>
    </row>
    <row r="60" spans="2:8" ht="15.75" customHeight="1" outlineLevel="2" x14ac:dyDescent="0.25">
      <c r="B60" s="915" t="str">
        <f t="shared" si="2"/>
        <v/>
      </c>
      <c r="C60" s="979"/>
      <c r="D60" s="998"/>
      <c r="E60" s="862"/>
      <c r="F60" s="862"/>
      <c r="G60" s="1059"/>
      <c r="H60" s="1063"/>
    </row>
    <row r="61" spans="2:8" ht="15.75" customHeight="1" outlineLevel="2" x14ac:dyDescent="0.25">
      <c r="B61" s="915" t="str">
        <f t="shared" si="2"/>
        <v/>
      </c>
      <c r="C61" s="979"/>
      <c r="D61" s="998"/>
      <c r="E61" s="862"/>
      <c r="F61" s="862"/>
      <c r="G61" s="1059"/>
      <c r="H61" s="1063"/>
    </row>
    <row r="62" spans="2:8" ht="15.75" customHeight="1" outlineLevel="2" x14ac:dyDescent="0.25">
      <c r="B62" s="915" t="str">
        <f t="shared" si="2"/>
        <v/>
      </c>
      <c r="C62" s="979"/>
      <c r="D62" s="998"/>
      <c r="E62" s="862"/>
      <c r="F62" s="862"/>
      <c r="G62" s="1059"/>
      <c r="H62" s="1063"/>
    </row>
    <row r="63" spans="2:8" ht="15.75" customHeight="1" outlineLevel="2" x14ac:dyDescent="0.25">
      <c r="B63" s="915" t="str">
        <f t="shared" si="2"/>
        <v/>
      </c>
      <c r="C63" s="979"/>
      <c r="D63" s="998"/>
      <c r="E63" s="862"/>
      <c r="F63" s="862"/>
      <c r="G63" s="1059"/>
      <c r="H63" s="1063"/>
    </row>
    <row r="64" spans="2:8" ht="15.75" customHeight="1" outlineLevel="2" x14ac:dyDescent="0.25">
      <c r="B64" s="915" t="str">
        <f t="shared" si="2"/>
        <v/>
      </c>
      <c r="C64" s="979"/>
      <c r="D64" s="998"/>
      <c r="E64" s="862"/>
      <c r="F64" s="862"/>
      <c r="G64" s="1059"/>
      <c r="H64" s="1063"/>
    </row>
    <row r="65" spans="2:8" ht="15.75" customHeight="1" outlineLevel="2" x14ac:dyDescent="0.25">
      <c r="B65" s="915" t="str">
        <f t="shared" si="2"/>
        <v/>
      </c>
      <c r="C65" s="979"/>
      <c r="D65" s="998"/>
      <c r="E65" s="862"/>
      <c r="F65" s="862"/>
      <c r="G65" s="1059"/>
      <c r="H65" s="1063"/>
    </row>
    <row r="66" spans="2:8" ht="15.75" customHeight="1" outlineLevel="2" x14ac:dyDescent="0.25">
      <c r="B66" s="915" t="str">
        <f t="shared" si="2"/>
        <v/>
      </c>
      <c r="C66" s="979"/>
      <c r="D66" s="998"/>
      <c r="E66" s="862"/>
      <c r="F66" s="862"/>
      <c r="G66" s="1059"/>
      <c r="H66" s="1063"/>
    </row>
    <row r="67" spans="2:8" ht="15.75" customHeight="1" outlineLevel="2" x14ac:dyDescent="0.25">
      <c r="B67" s="915" t="str">
        <f t="shared" si="2"/>
        <v/>
      </c>
      <c r="C67" s="979"/>
      <c r="D67" s="998"/>
      <c r="E67" s="862"/>
      <c r="F67" s="862"/>
      <c r="G67" s="1059"/>
      <c r="H67" s="1063"/>
    </row>
    <row r="68" spans="2:8" ht="15.75" customHeight="1" outlineLevel="2" thickBot="1" x14ac:dyDescent="0.3">
      <c r="B68" s="935" t="s">
        <v>113</v>
      </c>
      <c r="C68" s="980"/>
      <c r="D68" s="998"/>
      <c r="E68" s="862"/>
      <c r="F68" s="862"/>
      <c r="G68" s="1059"/>
      <c r="H68" s="1063"/>
    </row>
    <row r="69" spans="2:8" ht="15.75" customHeight="1" outlineLevel="2" thickBot="1" x14ac:dyDescent="0.3">
      <c r="B69" s="1198" t="s">
        <v>114</v>
      </c>
      <c r="C69" s="1199"/>
      <c r="D69" s="940">
        <f t="shared" ref="D69:H69" si="3">SUM(D48:D68)</f>
        <v>0</v>
      </c>
      <c r="E69" s="940">
        <f t="shared" si="3"/>
        <v>0</v>
      </c>
      <c r="F69" s="940">
        <f t="shared" si="3"/>
        <v>0</v>
      </c>
      <c r="G69" s="940">
        <f t="shared" si="3"/>
        <v>0</v>
      </c>
      <c r="H69" s="1065">
        <f t="shared" si="3"/>
        <v>0</v>
      </c>
    </row>
  </sheetData>
  <sheetProtection algorithmName="SHA-256" hashValue="IImqCPEEE/oZUeJpkWH4jwSn+wXksG7qF5+k/zavcSY=" saltValue="KJeEzZDDiO9XRoycn76T9Q==" spinCount="100000" sheet="1" objects="1" scenarios="1" formatCells="0" insertRows="0"/>
  <mergeCells count="34">
    <mergeCell ref="D45:H46"/>
    <mergeCell ref="D19:H19"/>
    <mergeCell ref="D7:H7"/>
    <mergeCell ref="B10:C10"/>
    <mergeCell ref="B9:C9"/>
    <mergeCell ref="B11:C11"/>
    <mergeCell ref="B12:C12"/>
    <mergeCell ref="B13:C13"/>
    <mergeCell ref="B14:C14"/>
    <mergeCell ref="B15:C15"/>
    <mergeCell ref="B20:C20"/>
    <mergeCell ref="B22:C22"/>
    <mergeCell ref="B21:C21"/>
    <mergeCell ref="B23:C23"/>
    <mergeCell ref="B24:C24"/>
    <mergeCell ref="B25:C25"/>
    <mergeCell ref="B26:C26"/>
    <mergeCell ref="B27:C27"/>
    <mergeCell ref="B28:C28"/>
    <mergeCell ref="B29:C29"/>
    <mergeCell ref="B30:C30"/>
    <mergeCell ref="B31:C31"/>
    <mergeCell ref="B32:C32"/>
    <mergeCell ref="B33:C33"/>
    <mergeCell ref="B34:C34"/>
    <mergeCell ref="B69:C69"/>
    <mergeCell ref="B41:C41"/>
    <mergeCell ref="B42:C42"/>
    <mergeCell ref="B35:C35"/>
    <mergeCell ref="B36:C36"/>
    <mergeCell ref="B37:C37"/>
    <mergeCell ref="B38:C38"/>
    <mergeCell ref="B40:C40"/>
    <mergeCell ref="B39:C39"/>
  </mergeCells>
  <pageMargins left="0.7" right="0.7" top="0.75" bottom="0.75" header="0.3" footer="0.3"/>
  <pageSetup paperSize="9" orientation="portrait" r:id="rId1"/>
  <headerFooter>
    <oddFooter>&amp;C_x000D_&amp;1#&amp;"Aptos"&amp;10&amp;K008000 APA-INTERNAL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4">
    <tabColor theme="3" tint="-0.249977111117893"/>
  </sheetPr>
  <dimension ref="A1:G62"/>
  <sheetViews>
    <sheetView showGridLines="0" zoomScale="85" zoomScaleNormal="85" workbookViewId="0"/>
  </sheetViews>
  <sheetFormatPr defaultColWidth="9.140625" defaultRowHeight="15" outlineLevelRow="2" x14ac:dyDescent="0.25"/>
  <cols>
    <col min="1" max="1" width="23.140625" customWidth="1"/>
    <col min="2" max="2" width="85" customWidth="1"/>
    <col min="3" max="7" width="29.42578125" style="37" customWidth="1"/>
  </cols>
  <sheetData>
    <row r="1" spans="1:7" ht="30.6" customHeight="1" x14ac:dyDescent="0.25">
      <c r="B1" s="297" t="str">
        <f>IF(dms_MultiYear_ResponseFlag="Yes","REGULATORY REPORTING STATEMENT - HISTORICAL INFORMATION",INDEX(dms_Worksheet_List,MATCH(dms_Model,dms_Model_List)))</f>
        <v>REGULATORY REPORTING STATEMENT - HISTORICAL INFORMATION</v>
      </c>
      <c r="C1" s="920"/>
      <c r="D1" s="920"/>
      <c r="E1" s="1096" t="s">
        <v>81</v>
      </c>
      <c r="F1" s="1097" t="s">
        <v>82</v>
      </c>
      <c r="G1" s="920"/>
    </row>
    <row r="2" spans="1:7" ht="30.6" customHeight="1" x14ac:dyDescent="0.25">
      <c r="B2" s="921" t="str">
        <f>INDEX(dms_TradingNameFull_List,MATCH(dms_TradingName,dms_TradingName_List))</f>
        <v>APT Petroleum Pipelines Limited t/a Roma to Brisbane Pipeline</v>
      </c>
      <c r="C2" s="920"/>
      <c r="D2" s="920"/>
      <c r="E2" s="1098" t="s">
        <v>83</v>
      </c>
      <c r="F2" s="1099" t="s">
        <v>84</v>
      </c>
      <c r="G2" s="920"/>
    </row>
    <row r="3" spans="1:7" ht="30.6" customHeight="1" x14ac:dyDescent="0.25">
      <c r="B3" s="921" t="str">
        <f>dms_Header_Span</f>
        <v>Data Span 2021-22 to 2024-25</v>
      </c>
      <c r="C3" s="922"/>
      <c r="D3" s="922"/>
      <c r="E3" s="1100" t="s">
        <v>85</v>
      </c>
      <c r="F3" s="1101" t="s">
        <v>86</v>
      </c>
      <c r="G3" s="922"/>
    </row>
    <row r="4" spans="1:7" ht="30.6" customHeight="1" x14ac:dyDescent="0.3">
      <c r="B4" s="279" t="s">
        <v>131</v>
      </c>
      <c r="C4" s="924"/>
      <c r="D4" s="924"/>
      <c r="E4" s="1102" t="s">
        <v>88</v>
      </c>
      <c r="F4" s="1103" t="s">
        <v>89</v>
      </c>
      <c r="G4" s="924"/>
    </row>
    <row r="5" spans="1:7" ht="18.75" customHeight="1" thickBot="1" x14ac:dyDescent="0.3">
      <c r="B5" s="931"/>
    </row>
    <row r="6" spans="1:7" ht="29.1" customHeight="1" thickBot="1" x14ac:dyDescent="0.3">
      <c r="B6" s="962" t="s">
        <v>132</v>
      </c>
      <c r="C6" s="963"/>
      <c r="D6" s="963"/>
      <c r="E6" s="963"/>
      <c r="F6" s="963"/>
      <c r="G6" s="963"/>
    </row>
    <row r="7" spans="1:7" s="934" customFormat="1" ht="24" customHeight="1" thickBot="1" x14ac:dyDescent="0.25">
      <c r="B7" s="949" t="s">
        <v>133</v>
      </c>
      <c r="C7" s="898"/>
      <c r="D7" s="898"/>
      <c r="E7" s="898"/>
      <c r="F7" s="898"/>
      <c r="G7" s="898"/>
    </row>
    <row r="8" spans="1:7" s="50" customFormat="1" ht="40.5" customHeight="1" outlineLevel="2" thickBot="1" x14ac:dyDescent="0.3">
      <c r="A8" s="929"/>
      <c r="B8"/>
      <c r="C8" s="1210" t="s">
        <v>91</v>
      </c>
      <c r="D8" s="1211"/>
      <c r="E8" s="1211"/>
      <c r="F8" s="1211"/>
      <c r="G8" s="1212"/>
    </row>
    <row r="9" spans="1:7" s="50" customFormat="1" ht="15.75" customHeight="1" outlineLevel="2" thickBot="1" x14ac:dyDescent="0.3">
      <c r="A9" s="929"/>
      <c r="B9"/>
      <c r="C9" s="952" t="str">
        <f ca="1">dms_y1</f>
        <v>2021-22</v>
      </c>
      <c r="D9" s="953" t="str">
        <f ca="1">dms_y2</f>
        <v>2022-23</v>
      </c>
      <c r="E9" s="953" t="str">
        <f ca="1">dms_y3</f>
        <v>2023-24</v>
      </c>
      <c r="F9" s="1066" t="str">
        <f ca="1">dms_y4</f>
        <v>2024-25</v>
      </c>
      <c r="G9" s="1069" t="str">
        <f ca="1">dms_y5</f>
        <v>2025-26</v>
      </c>
    </row>
    <row r="10" spans="1:7" ht="15.75" customHeight="1" outlineLevel="2" x14ac:dyDescent="0.25">
      <c r="B10" s="950" t="s">
        <v>92</v>
      </c>
      <c r="C10" s="1009">
        <v>973341.70886266395</v>
      </c>
      <c r="D10" s="883">
        <v>1241523.3506459689</v>
      </c>
      <c r="E10" s="883">
        <v>1992275.1209945797</v>
      </c>
      <c r="F10" s="1057">
        <v>1209248.4360982429</v>
      </c>
      <c r="G10" s="1061"/>
    </row>
    <row r="11" spans="1:7" ht="15.75" customHeight="1" outlineLevel="2" x14ac:dyDescent="0.25">
      <c r="B11" s="951" t="s">
        <v>93</v>
      </c>
      <c r="C11" s="1010">
        <v>8672.8357587656119</v>
      </c>
      <c r="D11" s="862">
        <v>24804.932739506414</v>
      </c>
      <c r="E11" s="862">
        <v>25284.932410355461</v>
      </c>
      <c r="F11" s="1059">
        <v>62459.3882333289</v>
      </c>
      <c r="G11" s="1063"/>
    </row>
    <row r="12" spans="1:7" ht="15.75" customHeight="1" outlineLevel="2" x14ac:dyDescent="0.25">
      <c r="B12" s="951" t="s">
        <v>94</v>
      </c>
      <c r="C12" s="1010">
        <v>636656.01585383213</v>
      </c>
      <c r="D12" s="862">
        <v>253013.23708327962</v>
      </c>
      <c r="E12" s="862">
        <v>347851.0326272932</v>
      </c>
      <c r="F12" s="1059">
        <v>100094.36887694585</v>
      </c>
      <c r="G12" s="1063"/>
    </row>
    <row r="13" spans="1:7" ht="15.75" customHeight="1" outlineLevel="2" x14ac:dyDescent="0.25">
      <c r="B13" s="951" t="s">
        <v>95</v>
      </c>
      <c r="C13" s="1010">
        <v>2272075.2732990067</v>
      </c>
      <c r="D13" s="862">
        <v>1916518.8473611416</v>
      </c>
      <c r="E13" s="862">
        <v>289631.66033454274</v>
      </c>
      <c r="F13" s="1059">
        <v>2216447.705946994</v>
      </c>
      <c r="G13" s="1063"/>
    </row>
    <row r="14" spans="1:7" ht="15.75" customHeight="1" outlineLevel="2" x14ac:dyDescent="0.25">
      <c r="B14" s="964" t="s">
        <v>96</v>
      </c>
      <c r="C14" s="1007">
        <v>180045.09344493595</v>
      </c>
      <c r="D14" s="1000">
        <v>190944.37484529716</v>
      </c>
      <c r="E14" s="1000">
        <v>100523.95306134381</v>
      </c>
      <c r="F14" s="1067">
        <v>197405.36721190994</v>
      </c>
      <c r="G14" s="1070"/>
    </row>
    <row r="15" spans="1:7" ht="15.75" customHeight="1" outlineLevel="2" thickBot="1" x14ac:dyDescent="0.3">
      <c r="B15" s="965" t="s">
        <v>97</v>
      </c>
      <c r="C15" s="1008"/>
      <c r="D15" s="1002"/>
      <c r="E15" s="1002"/>
      <c r="F15" s="1068"/>
      <c r="G15" s="1071"/>
    </row>
    <row r="16" spans="1:7" ht="15.75" customHeight="1" outlineLevel="2" thickBot="1" x14ac:dyDescent="0.3">
      <c r="B16" s="928" t="s">
        <v>98</v>
      </c>
      <c r="C16" s="940">
        <f>SUM(C10:C14)-C15</f>
        <v>4070790.9272192046</v>
      </c>
      <c r="D16" s="940">
        <f t="shared" ref="D16:G16" si="0">SUM(D10:D14)-D15</f>
        <v>3626804.7426751936</v>
      </c>
      <c r="E16" s="940">
        <f t="shared" si="0"/>
        <v>2755566.699428115</v>
      </c>
      <c r="F16" s="940">
        <f t="shared" si="0"/>
        <v>3785655.2663674215</v>
      </c>
      <c r="G16" s="1065">
        <f t="shared" si="0"/>
        <v>0</v>
      </c>
    </row>
    <row r="17" spans="1:7" ht="15.75" customHeight="1" outlineLevel="2" x14ac:dyDescent="0.25">
      <c r="C17"/>
      <c r="D17"/>
      <c r="E17"/>
      <c r="F17"/>
      <c r="G17"/>
    </row>
    <row r="18" spans="1:7" ht="15.75" customHeight="1" outlineLevel="2" thickBot="1" x14ac:dyDescent="0.3">
      <c r="C18"/>
      <c r="D18"/>
      <c r="E18"/>
      <c r="F18"/>
      <c r="G18"/>
    </row>
    <row r="19" spans="1:7" s="934" customFormat="1" ht="24" customHeight="1" thickBot="1" x14ac:dyDescent="0.25">
      <c r="B19" s="949" t="s">
        <v>134</v>
      </c>
      <c r="C19" s="898"/>
      <c r="D19" s="898"/>
      <c r="E19" s="898"/>
      <c r="F19" s="898"/>
      <c r="G19" s="898"/>
    </row>
    <row r="20" spans="1:7" s="50" customFormat="1" ht="39.75" customHeight="1" outlineLevel="1" thickBot="1" x14ac:dyDescent="0.3">
      <c r="A20" s="929"/>
      <c r="B20"/>
      <c r="C20" s="1210" t="s">
        <v>91</v>
      </c>
      <c r="D20" s="1211"/>
      <c r="E20" s="1211"/>
      <c r="F20" s="1211"/>
      <c r="G20" s="1212"/>
    </row>
    <row r="21" spans="1:7" s="50" customFormat="1" ht="15.75" customHeight="1" outlineLevel="1" thickBot="1" x14ac:dyDescent="0.3">
      <c r="A21" s="929"/>
      <c r="B21" s="927"/>
      <c r="C21" s="952" t="str">
        <f ca="1">dms_y1</f>
        <v>2021-22</v>
      </c>
      <c r="D21" s="953" t="str">
        <f ca="1">dms_y2</f>
        <v>2022-23</v>
      </c>
      <c r="E21" s="953" t="str">
        <f ca="1">dms_y3</f>
        <v>2023-24</v>
      </c>
      <c r="F21" s="1066" t="str">
        <f ca="1">dms_y4</f>
        <v>2024-25</v>
      </c>
      <c r="G21" s="1069" t="str">
        <f ca="1">dms_y5</f>
        <v>2025-26</v>
      </c>
    </row>
    <row r="22" spans="1:7" ht="15.75" customHeight="1" outlineLevel="1" x14ac:dyDescent="0.25">
      <c r="B22" s="960" t="s">
        <v>135</v>
      </c>
      <c r="C22" s="997">
        <v>3506113.2684360724</v>
      </c>
      <c r="D22" s="883">
        <v>3606789.7426751833</v>
      </c>
      <c r="E22" s="883">
        <v>2755566.6994280303</v>
      </c>
      <c r="F22" s="1057">
        <v>3359336.3521570824</v>
      </c>
      <c r="G22" s="1061"/>
    </row>
    <row r="23" spans="1:7" ht="15.75" customHeight="1" outlineLevel="1" x14ac:dyDescent="0.25">
      <c r="B23" s="961" t="s">
        <v>136</v>
      </c>
      <c r="C23" s="998">
        <v>223190.27810268025</v>
      </c>
      <c r="D23" s="862">
        <v>0</v>
      </c>
      <c r="E23" s="862">
        <v>0</v>
      </c>
      <c r="F23" s="1059">
        <v>66542.72085084187</v>
      </c>
      <c r="G23" s="1063"/>
    </row>
    <row r="24" spans="1:7" ht="15.75" customHeight="1" outlineLevel="1" x14ac:dyDescent="0.25">
      <c r="B24" s="961" t="s">
        <v>137</v>
      </c>
      <c r="C24" s="998">
        <v>85506.650680391394</v>
      </c>
      <c r="D24" s="862">
        <v>0</v>
      </c>
      <c r="E24" s="862">
        <v>0</v>
      </c>
      <c r="F24" s="1059">
        <v>300380.10335949797</v>
      </c>
      <c r="G24" s="1063"/>
    </row>
    <row r="25" spans="1:7" ht="15.75" customHeight="1" outlineLevel="1" x14ac:dyDescent="0.25">
      <c r="B25" s="961" t="s">
        <v>138</v>
      </c>
      <c r="C25" s="998">
        <v>255980.73</v>
      </c>
      <c r="D25" s="862">
        <v>20015</v>
      </c>
      <c r="E25" s="862">
        <v>0</v>
      </c>
      <c r="F25" s="1059">
        <v>59396.09</v>
      </c>
      <c r="G25" s="1063"/>
    </row>
    <row r="26" spans="1:7" ht="15.75" customHeight="1" outlineLevel="1" x14ac:dyDescent="0.25">
      <c r="B26" s="961"/>
      <c r="C26" s="998"/>
      <c r="D26" s="862"/>
      <c r="E26" s="862"/>
      <c r="F26" s="1059"/>
      <c r="G26" s="1063"/>
    </row>
    <row r="27" spans="1:7" ht="15.75" customHeight="1" outlineLevel="1" x14ac:dyDescent="0.25">
      <c r="B27" s="961"/>
      <c r="C27" s="998"/>
      <c r="D27" s="862"/>
      <c r="E27" s="862"/>
      <c r="F27" s="1059"/>
      <c r="G27" s="1063"/>
    </row>
    <row r="28" spans="1:7" ht="15.75" customHeight="1" outlineLevel="1" x14ac:dyDescent="0.25">
      <c r="B28" s="961"/>
      <c r="C28" s="998"/>
      <c r="D28" s="862"/>
      <c r="E28" s="862"/>
      <c r="F28" s="1059"/>
      <c r="G28" s="1063"/>
    </row>
    <row r="29" spans="1:7" ht="15.75" customHeight="1" outlineLevel="1" x14ac:dyDescent="0.25">
      <c r="B29" s="961"/>
      <c r="C29" s="998"/>
      <c r="D29" s="862"/>
      <c r="E29" s="862"/>
      <c r="F29" s="1059"/>
      <c r="G29" s="1063"/>
    </row>
    <row r="30" spans="1:7" ht="15.75" customHeight="1" outlineLevel="1" x14ac:dyDescent="0.25">
      <c r="B30" s="961"/>
      <c r="C30" s="998"/>
      <c r="D30" s="862"/>
      <c r="E30" s="862"/>
      <c r="F30" s="1059"/>
      <c r="G30" s="1063"/>
    </row>
    <row r="31" spans="1:7" ht="15.75" customHeight="1" outlineLevel="1" x14ac:dyDescent="0.25">
      <c r="B31" s="961"/>
      <c r="C31" s="998"/>
      <c r="D31" s="862"/>
      <c r="E31" s="862"/>
      <c r="F31" s="1059"/>
      <c r="G31" s="1063"/>
    </row>
    <row r="32" spans="1:7" ht="15.75" customHeight="1" outlineLevel="1" x14ac:dyDescent="0.25">
      <c r="B32" s="961"/>
      <c r="C32" s="998"/>
      <c r="D32" s="862"/>
      <c r="E32" s="862"/>
      <c r="F32" s="1059"/>
      <c r="G32" s="1063"/>
    </row>
    <row r="33" spans="2:7" ht="15.75" customHeight="1" outlineLevel="1" x14ac:dyDescent="0.25">
      <c r="B33" s="961"/>
      <c r="C33" s="998"/>
      <c r="D33" s="862"/>
      <c r="E33" s="862"/>
      <c r="F33" s="1059"/>
      <c r="G33" s="1063"/>
    </row>
    <row r="34" spans="2:7" ht="15.75" customHeight="1" outlineLevel="1" x14ac:dyDescent="0.25">
      <c r="B34" s="961"/>
      <c r="C34" s="998"/>
      <c r="D34" s="862"/>
      <c r="E34" s="862"/>
      <c r="F34" s="1059"/>
      <c r="G34" s="1063"/>
    </row>
    <row r="35" spans="2:7" ht="15.75" customHeight="1" outlineLevel="1" x14ac:dyDescent="0.25">
      <c r="B35" s="961"/>
      <c r="C35" s="998"/>
      <c r="D35" s="862"/>
      <c r="E35" s="862"/>
      <c r="F35" s="1059"/>
      <c r="G35" s="1063"/>
    </row>
    <row r="36" spans="2:7" ht="15.75" customHeight="1" outlineLevel="1" x14ac:dyDescent="0.25">
      <c r="B36" s="961"/>
      <c r="C36" s="998"/>
      <c r="D36" s="862"/>
      <c r="E36" s="862"/>
      <c r="F36" s="1059"/>
      <c r="G36" s="1063"/>
    </row>
    <row r="37" spans="2:7" ht="15.75" customHeight="1" outlineLevel="1" thickBot="1" x14ac:dyDescent="0.3">
      <c r="B37" s="959" t="s">
        <v>113</v>
      </c>
      <c r="C37" s="1005"/>
      <c r="D37" s="886"/>
      <c r="E37" s="886"/>
      <c r="F37" s="1060"/>
      <c r="G37" s="1064"/>
    </row>
    <row r="38" spans="2:7" ht="15.75" customHeight="1" outlineLevel="1" thickBot="1" x14ac:dyDescent="0.3">
      <c r="B38" s="930" t="s">
        <v>114</v>
      </c>
      <c r="C38" s="940">
        <f>SUM(C22:C37)</f>
        <v>4070790.9272191441</v>
      </c>
      <c r="D38" s="940">
        <f t="shared" ref="D38:G38" si="1">SUM(D22:D37)</f>
        <v>3626804.7426751833</v>
      </c>
      <c r="E38" s="940">
        <f t="shared" si="1"/>
        <v>2755566.6994280303</v>
      </c>
      <c r="F38" s="940">
        <f t="shared" si="1"/>
        <v>3785655.2663674224</v>
      </c>
      <c r="G38" s="1065">
        <f t="shared" si="1"/>
        <v>0</v>
      </c>
    </row>
    <row r="39" spans="2:7" ht="15.75" customHeight="1" x14ac:dyDescent="0.25">
      <c r="B39" s="361"/>
    </row>
    <row r="41" spans="2:7" ht="24" customHeight="1" x14ac:dyDescent="0.25">
      <c r="C41"/>
      <c r="D41"/>
      <c r="E41"/>
      <c r="F41"/>
      <c r="G41"/>
    </row>
    <row r="42" spans="2:7" outlineLevel="1" x14ac:dyDescent="0.25">
      <c r="C42"/>
      <c r="D42"/>
      <c r="E42"/>
      <c r="F42"/>
      <c r="G42"/>
    </row>
    <row r="43" spans="2:7" outlineLevel="1" x14ac:dyDescent="0.25">
      <c r="C43"/>
      <c r="D43"/>
      <c r="E43"/>
      <c r="F43"/>
      <c r="G43"/>
    </row>
    <row r="44" spans="2:7" ht="15.75" customHeight="1" outlineLevel="1" x14ac:dyDescent="0.25">
      <c r="C44"/>
      <c r="D44"/>
      <c r="E44"/>
      <c r="F44"/>
      <c r="G44"/>
    </row>
    <row r="45" spans="2:7" ht="15.75" customHeight="1" outlineLevel="1" x14ac:dyDescent="0.25">
      <c r="C45"/>
      <c r="D45"/>
      <c r="E45"/>
      <c r="F45"/>
      <c r="G45"/>
    </row>
    <row r="46" spans="2:7" ht="15.75" customHeight="1" outlineLevel="1" x14ac:dyDescent="0.25">
      <c r="C46"/>
      <c r="D46"/>
      <c r="E46"/>
      <c r="F46"/>
      <c r="G46"/>
    </row>
    <row r="47" spans="2:7" ht="15.75" customHeight="1" outlineLevel="1" x14ac:dyDescent="0.25">
      <c r="C47"/>
      <c r="D47"/>
      <c r="E47"/>
      <c r="F47"/>
      <c r="G47"/>
    </row>
    <row r="48" spans="2:7" ht="15.75" customHeight="1" outlineLevel="1" x14ac:dyDescent="0.25">
      <c r="C48"/>
      <c r="D48"/>
      <c r="E48"/>
      <c r="F48"/>
      <c r="G48"/>
    </row>
    <row r="49" customFormat="1" ht="15.75" customHeight="1" outlineLevel="1" x14ac:dyDescent="0.25"/>
    <row r="50" customFormat="1" ht="15.75" customHeight="1" outlineLevel="1" x14ac:dyDescent="0.25"/>
    <row r="51" customFormat="1" ht="15.75" customHeight="1" outlineLevel="1" x14ac:dyDescent="0.25"/>
    <row r="52" customFormat="1" ht="15.75" customHeight="1" outlineLevel="1" x14ac:dyDescent="0.25"/>
    <row r="53" customFormat="1" ht="15.75" customHeight="1" outlineLevel="1" x14ac:dyDescent="0.25"/>
    <row r="54" customFormat="1" ht="15.75" customHeight="1" outlineLevel="1" x14ac:dyDescent="0.25"/>
    <row r="55" customFormat="1" ht="15.75" customHeight="1" outlineLevel="1" x14ac:dyDescent="0.25"/>
    <row r="56" customFormat="1" ht="15.75" customHeight="1" outlineLevel="1" x14ac:dyDescent="0.25"/>
    <row r="57" customFormat="1" ht="15.75" customHeight="1" outlineLevel="1" x14ac:dyDescent="0.25"/>
    <row r="58" customFormat="1" ht="15.75" customHeight="1" outlineLevel="1" x14ac:dyDescent="0.25"/>
    <row r="59" customFormat="1" ht="15.75" customHeight="1" outlineLevel="1" x14ac:dyDescent="0.25"/>
    <row r="60" customFormat="1" ht="15.75" customHeight="1" outlineLevel="1" x14ac:dyDescent="0.25"/>
    <row r="61" customFormat="1" ht="15.75" customHeight="1" outlineLevel="1" x14ac:dyDescent="0.25"/>
    <row r="62" customFormat="1" ht="15.75" customHeight="1" x14ac:dyDescent="0.25"/>
  </sheetData>
  <sheetProtection algorithmName="SHA-256" hashValue="lxJ1l/msVpC3TxJP+jNj0QPFHIq1XmJ6rRBGZzjUSpg=" saltValue="K2CnUBzHshugkopksS+Low==" spinCount="100000" sheet="1" objects="1" scenarios="1" formatCells="0" insertRows="0"/>
  <mergeCells count="2">
    <mergeCell ref="C8:G8"/>
    <mergeCell ref="C20:G20"/>
  </mergeCells>
  <pageMargins left="0.7" right="0.7" top="0.75" bottom="0.75" header="0.3" footer="0.3"/>
  <pageSetup paperSize="9" orientation="portrait" r:id="rId1"/>
  <headerFooter>
    <oddFooter>&amp;C_x000D_&amp;1#&amp;"Aptos"&amp;10&amp;K008000 APA-INTERNAL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5">
    <tabColor theme="3" tint="-0.249977111117893"/>
  </sheetPr>
  <dimension ref="A1:G32"/>
  <sheetViews>
    <sheetView showGridLines="0" zoomScaleNormal="100" workbookViewId="0"/>
  </sheetViews>
  <sheetFormatPr defaultColWidth="9.140625" defaultRowHeight="15" x14ac:dyDescent="0.25"/>
  <cols>
    <col min="1" max="1" width="22.85546875" customWidth="1"/>
    <col min="2" max="2" width="61.5703125" customWidth="1"/>
    <col min="3" max="7" width="28.85546875" style="37" customWidth="1"/>
  </cols>
  <sheetData>
    <row r="1" spans="1:7" ht="30.6" customHeight="1" x14ac:dyDescent="0.25">
      <c r="B1" s="297" t="str">
        <f>IF(dms_MultiYear_ResponseFlag="Yes","REGULATORY REPORTING STATEMENT - HISTORICAL INFORMATION",INDEX(dms_Worksheet_List,MATCH(dms_Model,dms_Model_List)))</f>
        <v>REGULATORY REPORTING STATEMENT - HISTORICAL INFORMATION</v>
      </c>
      <c r="C1" s="920"/>
      <c r="D1" s="920"/>
      <c r="E1" s="1096" t="s">
        <v>81</v>
      </c>
      <c r="F1" s="1097" t="s">
        <v>82</v>
      </c>
      <c r="G1" s="920"/>
    </row>
    <row r="2" spans="1:7" ht="30.6" customHeight="1" x14ac:dyDescent="0.25">
      <c r="B2" s="921" t="str">
        <f>INDEX(dms_TradingNameFull_List,MATCH(dms_TradingName,dms_TradingName_List))</f>
        <v>APT Petroleum Pipelines Limited t/a Roma to Brisbane Pipeline</v>
      </c>
      <c r="C2" s="920"/>
      <c r="D2" s="920"/>
      <c r="E2" s="1098" t="s">
        <v>83</v>
      </c>
      <c r="F2" s="1099" t="s">
        <v>84</v>
      </c>
      <c r="G2" s="920"/>
    </row>
    <row r="3" spans="1:7" ht="30.6" customHeight="1" x14ac:dyDescent="0.25">
      <c r="B3" s="921" t="str">
        <f>dms_Header_Span</f>
        <v>Data Span 2021-22 to 2024-25</v>
      </c>
      <c r="C3" s="922"/>
      <c r="D3" s="922"/>
      <c r="E3" s="1100" t="s">
        <v>85</v>
      </c>
      <c r="F3" s="1101" t="s">
        <v>86</v>
      </c>
      <c r="G3" s="922"/>
    </row>
    <row r="4" spans="1:7" ht="30.6" customHeight="1" x14ac:dyDescent="0.25">
      <c r="B4" s="279" t="s">
        <v>139</v>
      </c>
      <c r="C4" s="279"/>
      <c r="D4" s="279"/>
      <c r="E4" s="1102" t="s">
        <v>88</v>
      </c>
      <c r="F4" s="1103" t="s">
        <v>89</v>
      </c>
      <c r="G4" s="279"/>
    </row>
    <row r="5" spans="1:7" ht="15.75" thickBot="1" x14ac:dyDescent="0.3"/>
    <row r="6" spans="1:7" s="50" customFormat="1" ht="24.75" customHeight="1" thickBot="1" x14ac:dyDescent="0.3">
      <c r="A6"/>
      <c r="B6" s="280" t="s">
        <v>140</v>
      </c>
      <c r="C6" s="937"/>
      <c r="D6" s="937"/>
      <c r="E6" s="937"/>
      <c r="F6" s="937"/>
      <c r="G6" s="1094"/>
    </row>
    <row r="7" spans="1:7" s="50" customFormat="1" ht="36.75" customHeight="1" thickBot="1" x14ac:dyDescent="0.3">
      <c r="A7"/>
      <c r="B7"/>
      <c r="C7" s="1210" t="s">
        <v>91</v>
      </c>
      <c r="D7" s="1211"/>
      <c r="E7" s="1211"/>
      <c r="F7" s="1211"/>
      <c r="G7" s="1212"/>
    </row>
    <row r="8" spans="1:7" s="50" customFormat="1" ht="20.25" customHeight="1" thickBot="1" x14ac:dyDescent="0.3">
      <c r="A8"/>
      <c r="B8"/>
      <c r="C8" s="1090" t="str">
        <f ca="1">dms_y1</f>
        <v>2021-22</v>
      </c>
      <c r="D8" s="1091" t="str">
        <f ca="1">dms_y2</f>
        <v>2022-23</v>
      </c>
      <c r="E8" s="1091" t="str">
        <f ca="1">dms_y3</f>
        <v>2023-24</v>
      </c>
      <c r="F8" s="1095" t="str">
        <f ca="1">dms_y4</f>
        <v>2024-25</v>
      </c>
      <c r="G8" s="1069" t="str">
        <f ca="1">dms_y5</f>
        <v>2025-26</v>
      </c>
    </row>
    <row r="9" spans="1:7" s="50" customFormat="1" ht="24.75" customHeight="1" thickBot="1" x14ac:dyDescent="0.25">
      <c r="A9" s="929"/>
      <c r="B9" s="933" t="s">
        <v>141</v>
      </c>
      <c r="C9" s="936"/>
      <c r="D9" s="936"/>
      <c r="E9" s="936"/>
      <c r="F9" s="936"/>
      <c r="G9" s="1085"/>
    </row>
    <row r="10" spans="1:7" s="50" customFormat="1" ht="16.5" customHeight="1" x14ac:dyDescent="0.25">
      <c r="A10" s="929"/>
      <c r="B10" s="958" t="s">
        <v>142</v>
      </c>
      <c r="C10" s="946"/>
      <c r="D10" s="954"/>
      <c r="E10" s="954"/>
      <c r="F10" s="1073"/>
      <c r="G10" s="1075"/>
    </row>
    <row r="11" spans="1:7" s="50" customFormat="1" ht="16.5" customHeight="1" x14ac:dyDescent="0.25">
      <c r="A11" s="929"/>
      <c r="B11" s="974" t="s">
        <v>143</v>
      </c>
      <c r="C11" s="972"/>
      <c r="D11" s="973"/>
      <c r="E11" s="973"/>
      <c r="F11" s="1082"/>
      <c r="G11" s="1086"/>
    </row>
    <row r="12" spans="1:7" s="50" customFormat="1" ht="16.5" customHeight="1" thickBot="1" x14ac:dyDescent="0.3">
      <c r="A12" s="929"/>
      <c r="B12" s="974" t="s">
        <v>144</v>
      </c>
      <c r="C12" s="944"/>
      <c r="D12" s="966"/>
      <c r="E12" s="966"/>
      <c r="F12" s="1083"/>
      <c r="G12" s="1087"/>
    </row>
    <row r="13" spans="1:7" s="50" customFormat="1" ht="24.75" customHeight="1" thickBot="1" x14ac:dyDescent="0.25">
      <c r="A13" s="929"/>
      <c r="B13" s="933" t="s">
        <v>145</v>
      </c>
      <c r="C13" s="947"/>
      <c r="D13" s="947"/>
      <c r="E13" s="947"/>
      <c r="F13" s="947"/>
      <c r="G13" s="1088"/>
    </row>
    <row r="14" spans="1:7" s="50" customFormat="1" ht="16.5" customHeight="1" x14ac:dyDescent="0.25">
      <c r="A14" s="929"/>
      <c r="B14" s="945" t="s">
        <v>142</v>
      </c>
      <c r="C14" s="946"/>
      <c r="D14" s="954"/>
      <c r="E14" s="954"/>
      <c r="F14" s="1073"/>
      <c r="G14" s="1075"/>
    </row>
    <row r="15" spans="1:7" s="50" customFormat="1" ht="16.5" customHeight="1" x14ac:dyDescent="0.25">
      <c r="A15" s="929"/>
      <c r="B15" s="974" t="s">
        <v>143</v>
      </c>
      <c r="C15" s="972"/>
      <c r="D15" s="973"/>
      <c r="E15" s="973"/>
      <c r="F15" s="1082"/>
      <c r="G15" s="1086"/>
    </row>
    <row r="16" spans="1:7" s="50" customFormat="1" ht="16.5" customHeight="1" thickBot="1" x14ac:dyDescent="0.3">
      <c r="A16" s="929"/>
      <c r="B16" s="975" t="s">
        <v>146</v>
      </c>
      <c r="C16" s="956"/>
      <c r="D16" s="957"/>
      <c r="E16" s="957"/>
      <c r="F16" s="1084"/>
      <c r="G16" s="1089"/>
    </row>
    <row r="19" spans="1:7" ht="15.75" thickBot="1" x14ac:dyDescent="0.3"/>
    <row r="20" spans="1:7" s="50" customFormat="1" ht="24.75" customHeight="1" thickBot="1" x14ac:dyDescent="0.25">
      <c r="A20" s="929"/>
      <c r="B20" s="280" t="s">
        <v>147</v>
      </c>
      <c r="C20" s="937"/>
      <c r="D20" s="937"/>
      <c r="E20" s="937"/>
      <c r="F20" s="937"/>
      <c r="G20" s="1094"/>
    </row>
    <row r="21" spans="1:7" s="50" customFormat="1" ht="36.75" customHeight="1" thickBot="1" x14ac:dyDescent="0.3">
      <c r="A21"/>
      <c r="B21"/>
      <c r="C21" s="1210" t="s">
        <v>91</v>
      </c>
      <c r="D21" s="1211"/>
      <c r="E21" s="1211"/>
      <c r="F21" s="1211"/>
      <c r="G21" s="1212"/>
    </row>
    <row r="22" spans="1:7" s="50" customFormat="1" ht="20.25" customHeight="1" thickBot="1" x14ac:dyDescent="0.3">
      <c r="A22"/>
      <c r="B22"/>
      <c r="C22" s="1090" t="str">
        <f ca="1">dms_y1</f>
        <v>2021-22</v>
      </c>
      <c r="D22" s="1091" t="str">
        <f ca="1">dms_y2</f>
        <v>2022-23</v>
      </c>
      <c r="E22" s="1091" t="str">
        <f ca="1">dms_y3</f>
        <v>2023-24</v>
      </c>
      <c r="F22" s="1095" t="str">
        <f ca="1">dms_y4</f>
        <v>2024-25</v>
      </c>
      <c r="G22" s="1069" t="str">
        <f ca="1">dms_y5</f>
        <v>2025-26</v>
      </c>
    </row>
    <row r="23" spans="1:7" s="50" customFormat="1" ht="24.75" customHeight="1" thickBot="1" x14ac:dyDescent="0.25">
      <c r="A23" s="929"/>
      <c r="B23" s="933" t="s">
        <v>148</v>
      </c>
      <c r="C23" s="936"/>
      <c r="D23" s="936"/>
      <c r="E23" s="936"/>
      <c r="F23" s="936"/>
      <c r="G23" s="1085"/>
    </row>
    <row r="24" spans="1:7" s="50" customFormat="1" x14ac:dyDescent="0.25">
      <c r="A24" s="929"/>
      <c r="B24" s="945" t="s">
        <v>142</v>
      </c>
      <c r="C24" s="946">
        <v>3727772.4754926721</v>
      </c>
      <c r="D24" s="954">
        <v>8541517.9003367499</v>
      </c>
      <c r="E24" s="954">
        <v>6567725.67995294</v>
      </c>
      <c r="F24" s="1073">
        <v>5384937.2633514116</v>
      </c>
      <c r="G24" s="1075"/>
    </row>
    <row r="25" spans="1:7" s="50" customFormat="1" x14ac:dyDescent="0.25">
      <c r="A25" s="929"/>
      <c r="B25" s="974" t="s">
        <v>143</v>
      </c>
      <c r="C25" s="972">
        <v>0</v>
      </c>
      <c r="D25" s="973">
        <v>0</v>
      </c>
      <c r="E25" s="973">
        <v>0</v>
      </c>
      <c r="F25" s="1082">
        <v>0</v>
      </c>
      <c r="G25" s="1086"/>
    </row>
    <row r="26" spans="1:7" s="50" customFormat="1" ht="15.75" thickBot="1" x14ac:dyDescent="0.3">
      <c r="A26" s="929"/>
      <c r="B26" s="974" t="s">
        <v>144</v>
      </c>
      <c r="C26" s="944">
        <f>SUM(C24:C25)</f>
        <v>3727772.4754926721</v>
      </c>
      <c r="D26" s="966">
        <f>SUM(D24:D25)</f>
        <v>8541517.9003367499</v>
      </c>
      <c r="E26" s="966">
        <f>SUM(E24:E25)</f>
        <v>6567725.67995294</v>
      </c>
      <c r="F26" s="1083">
        <f>SUM(F24:F25)</f>
        <v>5384937.2633514116</v>
      </c>
      <c r="G26" s="1087"/>
    </row>
    <row r="27" spans="1:7" s="50" customFormat="1" ht="24.75" customHeight="1" thickBot="1" x14ac:dyDescent="0.25">
      <c r="A27" s="929"/>
      <c r="B27" s="933" t="s">
        <v>149</v>
      </c>
      <c r="C27" s="947"/>
      <c r="D27" s="947"/>
      <c r="E27" s="947"/>
      <c r="F27" s="947"/>
      <c r="G27" s="1088"/>
    </row>
    <row r="28" spans="1:7" s="50" customFormat="1" x14ac:dyDescent="0.25">
      <c r="A28" s="929"/>
      <c r="B28" s="945" t="s">
        <v>142</v>
      </c>
      <c r="C28" s="946">
        <v>866487.90344493592</v>
      </c>
      <c r="D28" s="954">
        <v>867115.5648452976</v>
      </c>
      <c r="E28" s="954">
        <v>979719.44306134409</v>
      </c>
      <c r="F28" s="1073">
        <v>809163.20721191005</v>
      </c>
      <c r="G28" s="1075"/>
    </row>
    <row r="29" spans="1:7" s="50" customFormat="1" x14ac:dyDescent="0.25">
      <c r="A29" s="929"/>
      <c r="B29" s="974" t="s">
        <v>143</v>
      </c>
      <c r="C29" s="972">
        <v>0</v>
      </c>
      <c r="D29" s="973">
        <v>0</v>
      </c>
      <c r="E29" s="973">
        <v>0</v>
      </c>
      <c r="F29" s="1082">
        <v>0</v>
      </c>
      <c r="G29" s="1086"/>
    </row>
    <row r="30" spans="1:7" s="50" customFormat="1" ht="15.75" thickBot="1" x14ac:dyDescent="0.3">
      <c r="A30" s="929"/>
      <c r="B30" s="975" t="s">
        <v>146</v>
      </c>
      <c r="C30" s="956" cm="1">
        <f t="array" ref="C30">dms_E100201_capex_01_Values+C29</f>
        <v>866487.90344493592</v>
      </c>
      <c r="D30" s="957">
        <f>SUM(D28:D29)</f>
        <v>867115.5648452976</v>
      </c>
      <c r="E30" s="957">
        <f>SUM(E28:E29)</f>
        <v>979719.44306134409</v>
      </c>
      <c r="F30" s="1084">
        <f>SUM(F28:F29)</f>
        <v>809163.20721191005</v>
      </c>
      <c r="G30" s="1089"/>
    </row>
    <row r="31" spans="1:7" x14ac:dyDescent="0.25">
      <c r="A31" s="313"/>
      <c r="B31" s="943"/>
      <c r="C31" s="942"/>
      <c r="D31" s="942"/>
      <c r="E31" s="942"/>
      <c r="F31" s="942"/>
      <c r="G31" s="942"/>
    </row>
    <row r="32" spans="1:7" s="50" customFormat="1" ht="20.25" x14ac:dyDescent="0.3">
      <c r="A32" s="929"/>
      <c r="B32" s="929"/>
      <c r="C32" s="941"/>
      <c r="D32" s="941"/>
      <c r="E32" s="941"/>
      <c r="F32" s="941"/>
      <c r="G32" s="941"/>
    </row>
  </sheetData>
  <sheetProtection algorithmName="SHA-256" hashValue="BmZM76phZq9BnxToKIQGJB7yxeQaNspmiN+rkmLW1wU=" saltValue="HxvaFqTN5TI4cI/upe5VmA==" spinCount="100000" sheet="1" objects="1" scenarios="1" formatCells="0" insertRows="0"/>
  <mergeCells count="2">
    <mergeCell ref="C21:G21"/>
    <mergeCell ref="C7:G7"/>
  </mergeCells>
  <pageMargins left="0.7" right="0.7" top="0.75" bottom="0.75" header="0.3" footer="0.3"/>
  <pageSetup paperSize="9" orientation="portrait" r:id="rId1"/>
  <headerFooter>
    <oddFooter>&amp;C_x000D_&amp;1#&amp;"Aptos"&amp;10&amp;K008000 APA-INTERNAL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7">
    <tabColor theme="3" tint="-0.249977111117893"/>
  </sheetPr>
  <dimension ref="A1:G34"/>
  <sheetViews>
    <sheetView showGridLines="0" zoomScale="85" zoomScaleNormal="85" workbookViewId="0"/>
  </sheetViews>
  <sheetFormatPr defaultColWidth="9.140625" defaultRowHeight="15" outlineLevelRow="2" x14ac:dyDescent="0.25"/>
  <cols>
    <col min="1" max="1" width="22.85546875" customWidth="1"/>
    <col min="2" max="2" width="79.140625" customWidth="1"/>
    <col min="3" max="7" width="18.5703125" style="37" customWidth="1"/>
  </cols>
  <sheetData>
    <row r="1" spans="1:7" ht="30.6" customHeight="1" x14ac:dyDescent="0.25">
      <c r="B1" s="297" t="str">
        <f>IF(dms_MultiYear_ResponseFlag="Yes","REGULATORY REPORTING STATEMENT - HISTORICAL INFORMATION",INDEX(dms_Worksheet_List,MATCH(dms_Model,dms_Model_List)))</f>
        <v>REGULATORY REPORTING STATEMENT - HISTORICAL INFORMATION</v>
      </c>
      <c r="C1" s="920"/>
      <c r="D1" s="920"/>
      <c r="E1" s="1096" t="s">
        <v>81</v>
      </c>
      <c r="F1" s="1097" t="s">
        <v>82</v>
      </c>
      <c r="G1" s="920"/>
    </row>
    <row r="2" spans="1:7" ht="30.6" customHeight="1" x14ac:dyDescent="0.25">
      <c r="B2" s="921" t="str">
        <f>INDEX(dms_TradingNameFull_List,MATCH(dms_TradingName,dms_TradingName_List))</f>
        <v>APT Petroleum Pipelines Limited t/a Roma to Brisbane Pipeline</v>
      </c>
      <c r="C2" s="920"/>
      <c r="D2" s="920"/>
      <c r="E2" s="1098" t="s">
        <v>83</v>
      </c>
      <c r="F2" s="1099" t="s">
        <v>84</v>
      </c>
      <c r="G2" s="920"/>
    </row>
    <row r="3" spans="1:7" ht="30.6" customHeight="1" x14ac:dyDescent="0.25">
      <c r="B3" s="921" t="str">
        <f>dms_Header_Span</f>
        <v>Data Span 2021-22 to 2024-25</v>
      </c>
      <c r="C3" s="922"/>
      <c r="D3" s="922"/>
      <c r="E3" s="1100" t="s">
        <v>85</v>
      </c>
      <c r="F3" s="1101" t="s">
        <v>86</v>
      </c>
      <c r="G3" s="922"/>
    </row>
    <row r="4" spans="1:7" ht="30.6" customHeight="1" x14ac:dyDescent="0.25">
      <c r="B4" s="279" t="s">
        <v>150</v>
      </c>
      <c r="C4" s="279"/>
      <c r="D4" s="279"/>
      <c r="E4" s="1102" t="s">
        <v>88</v>
      </c>
      <c r="F4" s="1103" t="s">
        <v>89</v>
      </c>
      <c r="G4" s="279"/>
    </row>
    <row r="5" spans="1:7" ht="15.75" thickBot="1" x14ac:dyDescent="0.3"/>
    <row r="6" spans="1:7" s="934" customFormat="1" ht="29.1" customHeight="1" thickBot="1" x14ac:dyDescent="0.25">
      <c r="B6" s="280" t="s">
        <v>151</v>
      </c>
      <c r="C6" s="937"/>
      <c r="D6" s="937"/>
      <c r="E6" s="937"/>
      <c r="F6" s="937"/>
      <c r="G6" s="1094"/>
    </row>
    <row r="7" spans="1:7" s="934" customFormat="1" ht="24" customHeight="1" thickBot="1" x14ac:dyDescent="0.25">
      <c r="B7" s="949" t="s">
        <v>152</v>
      </c>
      <c r="C7" s="898"/>
      <c r="D7" s="898"/>
      <c r="E7" s="898"/>
      <c r="F7" s="898"/>
      <c r="G7" s="1093"/>
    </row>
    <row r="8" spans="1:7" s="50" customFormat="1" ht="40.5" customHeight="1" outlineLevel="2" thickBot="1" x14ac:dyDescent="0.3">
      <c r="A8" s="929"/>
      <c r="B8"/>
      <c r="C8" s="1210" t="s">
        <v>91</v>
      </c>
      <c r="D8" s="1211"/>
      <c r="E8" s="1211"/>
      <c r="F8" s="1211"/>
      <c r="G8" s="1212"/>
    </row>
    <row r="9" spans="1:7" s="50" customFormat="1" ht="15.75" customHeight="1" outlineLevel="2" thickBot="1" x14ac:dyDescent="0.3">
      <c r="A9" s="929"/>
      <c r="B9"/>
      <c r="C9" s="952" t="str">
        <f ca="1">dms_y1</f>
        <v>2021-22</v>
      </c>
      <c r="D9" s="953" t="str">
        <f ca="1">dms_y2</f>
        <v>2022-23</v>
      </c>
      <c r="E9" s="953" t="str">
        <f ca="1">dms_y3</f>
        <v>2023-24</v>
      </c>
      <c r="F9" s="1066" t="str">
        <f ca="1">dms_y4</f>
        <v>2024-25</v>
      </c>
      <c r="G9" s="1069" t="str">
        <f ca="1">dms_y5</f>
        <v>2025-26</v>
      </c>
    </row>
    <row r="10" spans="1:7" ht="15.75" customHeight="1" outlineLevel="2" x14ac:dyDescent="0.25">
      <c r="B10" s="950" t="s">
        <v>92</v>
      </c>
      <c r="C10" s="1009">
        <v>0</v>
      </c>
      <c r="D10" s="883">
        <v>234971.42000000022</v>
      </c>
      <c r="E10" s="883">
        <v>41717.800000000003</v>
      </c>
      <c r="F10" s="1057">
        <v>70322.87000000001</v>
      </c>
      <c r="G10" s="1061"/>
    </row>
    <row r="11" spans="1:7" ht="15.75" customHeight="1" outlineLevel="2" x14ac:dyDescent="0.25">
      <c r="B11" s="951" t="s">
        <v>93</v>
      </c>
      <c r="C11" s="1010">
        <v>0</v>
      </c>
      <c r="D11" s="862">
        <v>27356.63</v>
      </c>
      <c r="E11" s="862">
        <v>1352</v>
      </c>
      <c r="F11" s="1059">
        <v>7420</v>
      </c>
      <c r="G11" s="1063"/>
    </row>
    <row r="12" spans="1:7" ht="15.75" customHeight="1" outlineLevel="2" x14ac:dyDescent="0.25">
      <c r="B12" s="951" t="s">
        <v>94</v>
      </c>
      <c r="C12" s="1010">
        <v>0</v>
      </c>
      <c r="D12" s="862">
        <v>384816.38</v>
      </c>
      <c r="E12" s="862">
        <v>1990</v>
      </c>
      <c r="F12" s="1059">
        <v>22354.47</v>
      </c>
      <c r="G12" s="1063"/>
    </row>
    <row r="13" spans="1:7" ht="15.75" customHeight="1" outlineLevel="2" x14ac:dyDescent="0.25">
      <c r="B13" s="951" t="s">
        <v>95</v>
      </c>
      <c r="C13" s="1010">
        <v>0</v>
      </c>
      <c r="D13" s="862">
        <v>22036.439999999995</v>
      </c>
      <c r="E13" s="862">
        <v>2656.7299999999996</v>
      </c>
      <c r="F13" s="1059">
        <v>13540.5</v>
      </c>
      <c r="G13" s="1063"/>
    </row>
    <row r="14" spans="1:7" ht="15.75" customHeight="1" outlineLevel="2" x14ac:dyDescent="0.25">
      <c r="B14" s="964" t="s">
        <v>96</v>
      </c>
      <c r="C14" s="1007">
        <v>0</v>
      </c>
      <c r="D14" s="1000">
        <v>42203.86</v>
      </c>
      <c r="E14" s="1000">
        <v>0</v>
      </c>
      <c r="F14" s="1067">
        <v>-972.01000000000533</v>
      </c>
      <c r="G14" s="1070"/>
    </row>
    <row r="15" spans="1:7" ht="15.75" customHeight="1" outlineLevel="2" thickBot="1" x14ac:dyDescent="0.3">
      <c r="B15" s="965" t="s">
        <v>97</v>
      </c>
      <c r="C15" s="1008">
        <v>0</v>
      </c>
      <c r="D15" s="1002">
        <v>0</v>
      </c>
      <c r="E15" s="1002">
        <v>0</v>
      </c>
      <c r="F15" s="1068">
        <v>0</v>
      </c>
      <c r="G15" s="1071"/>
    </row>
    <row r="16" spans="1:7" ht="15.75" customHeight="1" outlineLevel="2" thickBot="1" x14ac:dyDescent="0.3">
      <c r="B16" s="928" t="s">
        <v>98</v>
      </c>
      <c r="C16" s="940">
        <f>SUM(C10:C14)-C15</f>
        <v>0</v>
      </c>
      <c r="D16" s="940">
        <f t="shared" ref="D16:G16" si="0">SUM(D10:D14)-D15</f>
        <v>711384.7300000001</v>
      </c>
      <c r="E16" s="940">
        <f t="shared" si="0"/>
        <v>47716.53</v>
      </c>
      <c r="F16" s="940">
        <f t="shared" si="0"/>
        <v>112665.83</v>
      </c>
      <c r="G16" s="1065">
        <f t="shared" si="0"/>
        <v>0</v>
      </c>
    </row>
    <row r="17" spans="1:7" ht="15.75" customHeight="1" outlineLevel="2" x14ac:dyDescent="0.25">
      <c r="C17"/>
      <c r="D17"/>
      <c r="E17"/>
      <c r="F17"/>
      <c r="G17"/>
    </row>
    <row r="18" spans="1:7" ht="15.75" thickBot="1" x14ac:dyDescent="0.3"/>
    <row r="19" spans="1:7" s="934" customFormat="1" ht="24" customHeight="1" thickBot="1" x14ac:dyDescent="0.25">
      <c r="B19" s="949" t="s">
        <v>153</v>
      </c>
      <c r="C19" s="898"/>
      <c r="D19" s="898"/>
      <c r="E19" s="898"/>
      <c r="F19" s="898"/>
      <c r="G19" s="1093"/>
    </row>
    <row r="20" spans="1:7" s="50" customFormat="1" ht="35.25" customHeight="1" outlineLevel="1" thickBot="1" x14ac:dyDescent="0.3">
      <c r="A20" s="929"/>
      <c r="B20"/>
      <c r="C20" s="1210" t="s">
        <v>91</v>
      </c>
      <c r="D20" s="1211"/>
      <c r="E20" s="1211"/>
      <c r="F20" s="1211"/>
      <c r="G20" s="1212"/>
    </row>
    <row r="21" spans="1:7" s="50" customFormat="1" ht="15" customHeight="1" outlineLevel="1" thickBot="1" x14ac:dyDescent="0.25">
      <c r="A21" s="929"/>
      <c r="B21" s="967" t="s">
        <v>154</v>
      </c>
      <c r="C21" s="952" t="str">
        <f ca="1">dms_y1</f>
        <v>2021-22</v>
      </c>
      <c r="D21" s="953" t="str">
        <f ca="1">dms_y2</f>
        <v>2022-23</v>
      </c>
      <c r="E21" s="953" t="str">
        <f ca="1">dms_y3</f>
        <v>2023-24</v>
      </c>
      <c r="F21" s="1066" t="str">
        <f ca="1">dms_y4</f>
        <v>2024-25</v>
      </c>
      <c r="G21" s="1069" t="str">
        <f ca="1">dms_y5</f>
        <v>2025-26</v>
      </c>
    </row>
    <row r="22" spans="1:7" ht="15.75" customHeight="1" outlineLevel="1" x14ac:dyDescent="0.25">
      <c r="B22" s="1113" t="s">
        <v>107</v>
      </c>
      <c r="C22" s="946">
        <v>0</v>
      </c>
      <c r="D22" s="954">
        <v>80087.38</v>
      </c>
      <c r="E22" s="954">
        <v>0</v>
      </c>
      <c r="F22" s="1073">
        <v>0</v>
      </c>
      <c r="G22" s="1075"/>
    </row>
    <row r="23" spans="1:7" ht="15.75" customHeight="1" outlineLevel="1" x14ac:dyDescent="0.25">
      <c r="B23" s="1104" t="s">
        <v>155</v>
      </c>
      <c r="C23" s="955">
        <v>0</v>
      </c>
      <c r="D23" s="948">
        <v>462561.31</v>
      </c>
      <c r="E23" s="948">
        <v>43434.78</v>
      </c>
      <c r="F23" s="1074">
        <v>64864.51</v>
      </c>
      <c r="G23" s="1076"/>
    </row>
    <row r="24" spans="1:7" ht="15.75" customHeight="1" outlineLevel="1" x14ac:dyDescent="0.25">
      <c r="B24" s="1114"/>
      <c r="C24" s="955"/>
      <c r="D24" s="948"/>
      <c r="E24" s="948"/>
      <c r="F24" s="1074"/>
      <c r="G24" s="1076"/>
    </row>
    <row r="25" spans="1:7" ht="15.75" customHeight="1" outlineLevel="1" x14ac:dyDescent="0.25">
      <c r="B25" s="961"/>
      <c r="C25" s="955"/>
      <c r="D25" s="948"/>
      <c r="E25" s="948"/>
      <c r="F25" s="1074"/>
      <c r="G25" s="1076"/>
    </row>
    <row r="26" spans="1:7" ht="15.75" customHeight="1" outlineLevel="1" x14ac:dyDescent="0.25">
      <c r="B26" s="961"/>
      <c r="C26" s="955"/>
      <c r="D26" s="948"/>
      <c r="E26" s="948"/>
      <c r="F26" s="1074"/>
      <c r="G26" s="1076"/>
    </row>
    <row r="27" spans="1:7" ht="15.75" customHeight="1" outlineLevel="1" x14ac:dyDescent="0.25">
      <c r="B27" s="961"/>
      <c r="C27" s="955"/>
      <c r="D27" s="948"/>
      <c r="E27" s="948"/>
      <c r="F27" s="1074"/>
      <c r="G27" s="1076"/>
    </row>
    <row r="28" spans="1:7" ht="15.75" customHeight="1" outlineLevel="1" x14ac:dyDescent="0.25">
      <c r="B28" s="961"/>
      <c r="C28" s="955"/>
      <c r="D28" s="948"/>
      <c r="E28" s="948"/>
      <c r="F28" s="1074"/>
      <c r="G28" s="1076"/>
    </row>
    <row r="29" spans="1:7" ht="15.75" customHeight="1" outlineLevel="1" x14ac:dyDescent="0.25">
      <c r="B29" s="961"/>
      <c r="C29" s="955"/>
      <c r="D29" s="948"/>
      <c r="E29" s="948"/>
      <c r="F29" s="1074"/>
      <c r="G29" s="1076"/>
    </row>
    <row r="30" spans="1:7" ht="15.75" customHeight="1" outlineLevel="1" x14ac:dyDescent="0.25">
      <c r="B30" s="961"/>
      <c r="C30" s="955"/>
      <c r="D30" s="948"/>
      <c r="E30" s="948"/>
      <c r="F30" s="1074"/>
      <c r="G30" s="1076"/>
    </row>
    <row r="31" spans="1:7" ht="15.75" customHeight="1" outlineLevel="1" x14ac:dyDescent="0.25">
      <c r="B31" s="961"/>
      <c r="C31" s="955"/>
      <c r="D31" s="948"/>
      <c r="E31" s="948"/>
      <c r="F31" s="1074"/>
      <c r="G31" s="1076"/>
    </row>
    <row r="32" spans="1:7" ht="15.75" customHeight="1" outlineLevel="1" thickBot="1" x14ac:dyDescent="0.3">
      <c r="B32" s="935" t="s">
        <v>113</v>
      </c>
      <c r="C32" s="955">
        <v>0</v>
      </c>
      <c r="D32" s="948">
        <v>168736.03999999998</v>
      </c>
      <c r="E32" s="948">
        <v>4281.75</v>
      </c>
      <c r="F32" s="1074">
        <v>47801.32</v>
      </c>
      <c r="G32" s="1076"/>
    </row>
    <row r="33" spans="2:7" ht="15.75" customHeight="1" outlineLevel="1" thickBot="1" x14ac:dyDescent="0.3">
      <c r="B33" s="939" t="s">
        <v>114</v>
      </c>
      <c r="C33" s="938">
        <f>SUM(C22:C32)</f>
        <v>0</v>
      </c>
      <c r="D33" s="938">
        <f t="shared" ref="D33:G33" si="1">SUM(D22:D32)</f>
        <v>711384.73</v>
      </c>
      <c r="E33" s="938">
        <f t="shared" si="1"/>
        <v>47716.53</v>
      </c>
      <c r="F33" s="938">
        <f t="shared" si="1"/>
        <v>112665.83</v>
      </c>
      <c r="G33" s="1077">
        <f t="shared" si="1"/>
        <v>0</v>
      </c>
    </row>
    <row r="34" spans="2:7" ht="15.75" customHeight="1" x14ac:dyDescent="0.25">
      <c r="B34" s="361"/>
    </row>
  </sheetData>
  <sheetProtection algorithmName="SHA-256" hashValue="Pogy4byRWp/BLFIiNoAlqllEXs94VMUj5uC6DTIW0vY=" saltValue="9ojP0clj7DyvFUn6xPF2WA==" spinCount="100000" sheet="1" objects="1" scenarios="1" formatCells="0" insertRows="0"/>
  <mergeCells count="2">
    <mergeCell ref="C20:G20"/>
    <mergeCell ref="C8:G8"/>
  </mergeCells>
  <pageMargins left="0.7" right="0.7" top="0.75" bottom="0.75" header="0.3" footer="0.3"/>
  <pageSetup paperSize="0" orientation="portrait" horizontalDpi="0" verticalDpi="0" copies="0" r:id="rId1"/>
  <headerFooter>
    <oddFooter>&amp;C_x000D_&amp;1#&amp;"Aptos"&amp;10&amp;K008000 APA-INTERNAL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tint="-0.14999847407452621"/>
  </sheetPr>
  <dimension ref="A1:S104"/>
  <sheetViews>
    <sheetView showGridLines="0" zoomScaleNormal="100" workbookViewId="0"/>
  </sheetViews>
  <sheetFormatPr defaultColWidth="9.140625" defaultRowHeight="15" x14ac:dyDescent="0.25"/>
  <cols>
    <col min="1" max="1" width="9.140625" style="869"/>
    <col min="2" max="8" width="48.140625" style="869" customWidth="1"/>
    <col min="9" max="9" width="46.140625" style="869" customWidth="1"/>
    <col min="10" max="16384" width="9.140625" style="869"/>
  </cols>
  <sheetData>
    <row r="1" spans="1:19" x14ac:dyDescent="0.25">
      <c r="A1" s="1106" t="s">
        <v>156</v>
      </c>
      <c r="B1" s="1111" t="s">
        <v>157</v>
      </c>
      <c r="C1" s="985"/>
      <c r="D1" s="985"/>
      <c r="E1" s="985"/>
      <c r="F1" s="982"/>
      <c r="G1" s="982"/>
      <c r="H1" s="982"/>
      <c r="I1" s="982"/>
      <c r="J1" s="982"/>
      <c r="K1" s="982"/>
      <c r="L1" s="982"/>
      <c r="M1" s="982"/>
      <c r="N1" s="982"/>
      <c r="O1" s="982"/>
      <c r="P1" s="982"/>
      <c r="Q1" s="982"/>
      <c r="R1" s="982"/>
      <c r="S1" s="983"/>
    </row>
    <row r="2" spans="1:19" x14ac:dyDescent="0.25">
      <c r="A2" s="1106"/>
      <c r="B2" s="1112"/>
      <c r="C2" s="985"/>
      <c r="D2" s="985"/>
      <c r="E2" s="985"/>
      <c r="F2" s="1108"/>
      <c r="G2" s="985"/>
      <c r="H2" s="985"/>
      <c r="I2" s="985"/>
      <c r="J2" s="985"/>
      <c r="K2" s="985"/>
      <c r="L2" s="985"/>
      <c r="M2" s="985"/>
      <c r="N2" s="985"/>
      <c r="O2" s="985"/>
      <c r="P2" s="985"/>
      <c r="Q2" s="985"/>
      <c r="R2" s="985"/>
      <c r="S2" s="986"/>
    </row>
    <row r="3" spans="1:19" x14ac:dyDescent="0.25">
      <c r="A3" s="984"/>
      <c r="B3" s="1119" t="s">
        <v>1089</v>
      </c>
      <c r="C3" s="985"/>
      <c r="D3" s="985"/>
      <c r="E3" s="985"/>
      <c r="F3" s="985"/>
      <c r="G3" s="985"/>
      <c r="H3" s="985"/>
      <c r="I3" s="985"/>
      <c r="J3" s="985"/>
      <c r="K3" s="985"/>
      <c r="L3" s="985"/>
      <c r="M3" s="985"/>
      <c r="N3" s="985"/>
      <c r="O3" s="985"/>
      <c r="P3" s="985"/>
      <c r="Q3" s="985"/>
      <c r="R3" s="985"/>
      <c r="S3" s="986"/>
    </row>
    <row r="4" spans="1:19" x14ac:dyDescent="0.25">
      <c r="A4" s="984"/>
      <c r="B4" s="1119" t="s">
        <v>158</v>
      </c>
      <c r="C4" s="985"/>
      <c r="D4" s="985"/>
      <c r="E4" s="985"/>
      <c r="F4" s="985"/>
      <c r="G4" s="985"/>
      <c r="H4" s="985"/>
      <c r="I4" s="985"/>
      <c r="J4" s="985"/>
      <c r="K4" s="985"/>
      <c r="L4" s="985"/>
      <c r="M4" s="985"/>
      <c r="N4" s="985"/>
      <c r="O4" s="985"/>
      <c r="P4" s="985"/>
      <c r="Q4" s="985"/>
      <c r="R4" s="985"/>
      <c r="S4" s="986"/>
    </row>
    <row r="5" spans="1:19" x14ac:dyDescent="0.25">
      <c r="A5" s="984"/>
      <c r="B5" s="1112"/>
      <c r="C5" s="985"/>
      <c r="D5" s="985"/>
      <c r="E5" s="985"/>
      <c r="F5" s="985"/>
      <c r="G5" s="985"/>
      <c r="H5" s="985"/>
      <c r="I5" s="985"/>
      <c r="J5" s="985"/>
      <c r="K5" s="985"/>
      <c r="L5" s="985"/>
      <c r="M5" s="985"/>
      <c r="N5" s="985"/>
      <c r="O5" s="985"/>
      <c r="P5" s="985"/>
      <c r="Q5" s="985"/>
      <c r="R5" s="985"/>
      <c r="S5" s="986"/>
    </row>
    <row r="6" spans="1:19" x14ac:dyDescent="0.25">
      <c r="A6" s="984"/>
      <c r="B6" s="1112" t="s">
        <v>159</v>
      </c>
      <c r="C6" s="985"/>
      <c r="D6" s="985"/>
      <c r="E6" s="985"/>
      <c r="F6" s="985"/>
      <c r="G6" s="985"/>
      <c r="H6" s="985"/>
      <c r="I6" s="985"/>
      <c r="J6" s="985"/>
      <c r="K6" s="985"/>
      <c r="L6" s="985"/>
      <c r="M6" s="985"/>
      <c r="N6" s="985"/>
      <c r="O6" s="985"/>
      <c r="P6" s="985"/>
      <c r="Q6" s="985"/>
      <c r="R6" s="985"/>
      <c r="S6" s="986"/>
    </row>
    <row r="7" spans="1:19" x14ac:dyDescent="0.25">
      <c r="A7" s="984"/>
      <c r="B7" s="985" t="s">
        <v>160</v>
      </c>
      <c r="C7" s="985"/>
      <c r="D7" s="985"/>
      <c r="E7" s="985"/>
      <c r="F7" s="985"/>
      <c r="G7" s="985"/>
      <c r="H7" s="985"/>
      <c r="I7" s="985"/>
      <c r="J7" s="985"/>
      <c r="K7" s="985"/>
      <c r="L7" s="985"/>
      <c r="M7" s="985"/>
      <c r="N7" s="985"/>
      <c r="O7" s="985"/>
      <c r="P7" s="985"/>
      <c r="Q7" s="985"/>
      <c r="R7" s="985"/>
      <c r="S7" s="986"/>
    </row>
    <row r="8" spans="1:19" x14ac:dyDescent="0.25">
      <c r="A8" s="984"/>
      <c r="B8" s="985"/>
      <c r="C8" s="985"/>
      <c r="D8" s="985"/>
      <c r="E8" s="985"/>
      <c r="F8" s="985"/>
      <c r="G8" s="985"/>
      <c r="H8" s="985"/>
      <c r="I8" s="985"/>
      <c r="J8" s="985"/>
      <c r="K8" s="985"/>
      <c r="L8" s="985"/>
      <c r="M8" s="985"/>
      <c r="N8" s="985"/>
      <c r="O8" s="985"/>
      <c r="P8" s="985"/>
      <c r="Q8" s="985"/>
      <c r="R8" s="985"/>
      <c r="S8" s="986"/>
    </row>
    <row r="9" spans="1:19" ht="15.75" thickBot="1" x14ac:dyDescent="0.3">
      <c r="A9" s="984"/>
      <c r="B9" s="985"/>
      <c r="C9" s="985"/>
      <c r="D9" s="985"/>
      <c r="E9" s="985"/>
      <c r="F9" s="985"/>
      <c r="G9" s="985"/>
      <c r="H9" s="985"/>
      <c r="I9" s="985"/>
      <c r="J9" s="985"/>
      <c r="K9" s="985"/>
      <c r="L9" s="985"/>
      <c r="M9" s="985"/>
      <c r="N9" s="985"/>
      <c r="O9" s="985"/>
      <c r="P9" s="985"/>
      <c r="Q9" s="985"/>
      <c r="R9" s="985"/>
      <c r="S9" s="986"/>
    </row>
    <row r="10" spans="1:19" x14ac:dyDescent="0.25">
      <c r="A10" s="1106" t="s">
        <v>161</v>
      </c>
      <c r="B10" s="869" t="s">
        <v>162</v>
      </c>
      <c r="C10" s="985"/>
      <c r="D10" s="985"/>
      <c r="E10" s="985"/>
      <c r="F10" s="982"/>
      <c r="G10" s="985"/>
      <c r="H10" s="985"/>
      <c r="I10" s="985"/>
      <c r="J10" s="985"/>
      <c r="K10" s="985"/>
      <c r="L10" s="985"/>
      <c r="M10" s="985"/>
      <c r="N10" s="985"/>
      <c r="O10" s="985"/>
      <c r="P10" s="985"/>
      <c r="Q10" s="985"/>
      <c r="R10" s="985"/>
      <c r="S10" s="986"/>
    </row>
    <row r="11" spans="1:19" x14ac:dyDescent="0.25">
      <c r="A11" s="1106"/>
      <c r="B11" s="1107"/>
      <c r="C11" s="985"/>
      <c r="D11" s="985"/>
      <c r="E11" s="985"/>
      <c r="F11" s="1108"/>
      <c r="G11" s="985"/>
      <c r="H11" s="985"/>
      <c r="I11" s="985"/>
      <c r="J11" s="985"/>
      <c r="K11" s="985"/>
      <c r="L11" s="985"/>
      <c r="M11" s="985"/>
      <c r="N11" s="985"/>
      <c r="O11" s="985"/>
      <c r="P11" s="985"/>
      <c r="Q11" s="985"/>
      <c r="R11" s="985"/>
      <c r="S11" s="986"/>
    </row>
    <row r="12" spans="1:19" x14ac:dyDescent="0.25">
      <c r="A12" s="984"/>
      <c r="B12" s="1107" t="s">
        <v>163</v>
      </c>
      <c r="C12" s="985"/>
      <c r="D12" s="985"/>
      <c r="E12" s="985"/>
      <c r="F12" s="985"/>
      <c r="G12" s="985"/>
      <c r="H12" s="985"/>
      <c r="I12" s="985"/>
      <c r="J12" s="985"/>
      <c r="K12" s="985"/>
      <c r="L12" s="985"/>
      <c r="M12" s="985"/>
      <c r="N12" s="985"/>
      <c r="O12" s="985"/>
      <c r="P12" s="985"/>
      <c r="Q12" s="985"/>
      <c r="R12" s="985"/>
      <c r="S12" s="986"/>
    </row>
    <row r="13" spans="1:19" x14ac:dyDescent="0.25">
      <c r="A13" s="984"/>
      <c r="B13" s="1107" t="s">
        <v>164</v>
      </c>
      <c r="C13" s="985"/>
      <c r="D13" s="985"/>
      <c r="E13" s="985"/>
      <c r="F13" s="985"/>
      <c r="G13" s="985"/>
      <c r="H13" s="985"/>
      <c r="I13" s="985"/>
      <c r="J13" s="985"/>
      <c r="K13" s="985"/>
      <c r="L13" s="985"/>
      <c r="M13" s="985"/>
      <c r="N13" s="985"/>
      <c r="O13" s="985"/>
      <c r="P13" s="985"/>
      <c r="Q13" s="985"/>
      <c r="R13" s="985"/>
      <c r="S13" s="986"/>
    </row>
    <row r="14" spans="1:19" x14ac:dyDescent="0.25">
      <c r="A14" s="984"/>
      <c r="B14" s="985"/>
      <c r="C14" s="985"/>
      <c r="D14" s="985"/>
      <c r="E14" s="985"/>
      <c r="F14" s="985"/>
      <c r="G14" s="985"/>
      <c r="H14" s="985"/>
      <c r="I14" s="985"/>
      <c r="J14" s="985"/>
      <c r="K14" s="985"/>
      <c r="L14" s="985"/>
      <c r="M14" s="985"/>
      <c r="N14" s="985"/>
      <c r="O14" s="985"/>
      <c r="P14" s="985"/>
      <c r="Q14" s="985"/>
      <c r="R14" s="985"/>
      <c r="S14" s="986"/>
    </row>
    <row r="15" spans="1:19" x14ac:dyDescent="0.25">
      <c r="A15" s="984"/>
      <c r="B15" s="869" t="s">
        <v>165</v>
      </c>
      <c r="C15" s="985"/>
      <c r="D15" s="985"/>
      <c r="E15" s="985"/>
      <c r="F15" s="985"/>
      <c r="G15" s="985"/>
      <c r="H15" s="985"/>
      <c r="I15" s="985"/>
      <c r="J15" s="985"/>
      <c r="K15" s="985"/>
      <c r="L15" s="985"/>
      <c r="M15" s="985"/>
      <c r="N15" s="985"/>
      <c r="O15" s="985"/>
      <c r="P15" s="985"/>
      <c r="Q15" s="985"/>
      <c r="R15" s="985"/>
      <c r="S15" s="986"/>
    </row>
    <row r="16" spans="1:19" x14ac:dyDescent="0.25">
      <c r="A16" s="984"/>
      <c r="B16" s="985" t="s">
        <v>160</v>
      </c>
      <c r="C16" s="985"/>
      <c r="D16" s="985"/>
      <c r="E16" s="985"/>
      <c r="F16" s="985"/>
      <c r="G16" s="985"/>
      <c r="H16" s="985"/>
      <c r="I16" s="985"/>
      <c r="J16" s="985"/>
      <c r="K16" s="985"/>
      <c r="L16" s="985"/>
      <c r="M16" s="985"/>
      <c r="N16" s="985"/>
      <c r="O16" s="985"/>
      <c r="P16" s="985"/>
      <c r="Q16" s="985"/>
      <c r="R16" s="985"/>
      <c r="S16" s="986"/>
    </row>
    <row r="17" spans="1:19" x14ac:dyDescent="0.25">
      <c r="A17" s="984"/>
      <c r="B17" s="985"/>
      <c r="C17" s="985"/>
      <c r="D17" s="985"/>
      <c r="E17" s="985"/>
      <c r="F17" s="985"/>
      <c r="G17" s="985"/>
      <c r="H17" s="985"/>
      <c r="I17" s="985"/>
      <c r="J17" s="985"/>
      <c r="K17" s="985"/>
      <c r="L17" s="985"/>
      <c r="M17" s="985"/>
      <c r="N17" s="985"/>
      <c r="O17" s="985"/>
      <c r="P17" s="985"/>
      <c r="Q17" s="985"/>
      <c r="R17" s="985"/>
      <c r="S17" s="986"/>
    </row>
    <row r="18" spans="1:19" x14ac:dyDescent="0.25">
      <c r="A18" s="984"/>
      <c r="B18" s="985"/>
      <c r="C18" s="985"/>
      <c r="D18" s="985"/>
      <c r="E18" s="985"/>
      <c r="F18" s="985"/>
      <c r="G18" s="985"/>
      <c r="H18" s="985"/>
      <c r="I18" s="985"/>
      <c r="J18" s="985"/>
      <c r="K18" s="985"/>
      <c r="L18" s="985"/>
      <c r="M18" s="985"/>
      <c r="N18" s="985"/>
      <c r="O18" s="985"/>
      <c r="P18" s="985"/>
      <c r="Q18" s="985"/>
      <c r="R18" s="985"/>
      <c r="S18" s="986"/>
    </row>
    <row r="19" spans="1:19" x14ac:dyDescent="0.25">
      <c r="A19" s="1106" t="s">
        <v>166</v>
      </c>
      <c r="B19" s="985" t="s">
        <v>167</v>
      </c>
      <c r="C19" s="985"/>
      <c r="D19" s="985"/>
      <c r="E19" s="985"/>
      <c r="F19" s="985"/>
      <c r="G19" s="985"/>
      <c r="H19" s="985"/>
      <c r="I19" s="985"/>
      <c r="J19" s="985"/>
      <c r="K19" s="985"/>
      <c r="L19" s="985"/>
      <c r="M19" s="985"/>
      <c r="N19" s="985"/>
      <c r="O19" s="985"/>
      <c r="P19" s="985"/>
      <c r="Q19" s="985"/>
      <c r="R19" s="985"/>
      <c r="S19" s="986"/>
    </row>
    <row r="20" spans="1:19" x14ac:dyDescent="0.25">
      <c r="A20" s="984"/>
      <c r="B20" s="985"/>
      <c r="C20" s="985"/>
      <c r="D20" s="985"/>
      <c r="E20" s="985"/>
      <c r="F20" s="985"/>
      <c r="G20" s="985"/>
      <c r="H20" s="985"/>
      <c r="I20" s="985"/>
      <c r="J20" s="985"/>
      <c r="K20" s="985"/>
      <c r="L20" s="985"/>
      <c r="M20" s="985"/>
      <c r="N20" s="985"/>
      <c r="O20" s="985"/>
      <c r="P20" s="985"/>
      <c r="Q20" s="985"/>
      <c r="R20" s="985"/>
      <c r="S20" s="986"/>
    </row>
    <row r="21" spans="1:19" x14ac:dyDescent="0.25">
      <c r="A21" s="984"/>
      <c r="B21" s="985" t="s">
        <v>168</v>
      </c>
      <c r="C21" s="985"/>
      <c r="D21" s="985"/>
      <c r="E21" s="985"/>
      <c r="F21" s="985"/>
      <c r="G21" s="985"/>
      <c r="H21" s="985"/>
      <c r="I21" s="985"/>
      <c r="J21" s="985"/>
      <c r="K21" s="985"/>
      <c r="L21" s="985"/>
      <c r="M21" s="985"/>
      <c r="N21" s="985"/>
      <c r="O21" s="985"/>
      <c r="P21" s="985"/>
      <c r="Q21" s="985"/>
      <c r="R21" s="985"/>
      <c r="S21" s="986"/>
    </row>
    <row r="22" spans="1:19" x14ac:dyDescent="0.25">
      <c r="A22" s="984"/>
      <c r="B22" s="985"/>
      <c r="C22" s="985"/>
      <c r="D22" s="985"/>
      <c r="E22" s="985"/>
      <c r="F22" s="985"/>
      <c r="G22" s="985"/>
      <c r="H22" s="985"/>
      <c r="I22" s="985"/>
      <c r="J22" s="985"/>
      <c r="K22" s="985"/>
      <c r="L22" s="985"/>
      <c r="M22" s="985"/>
      <c r="N22" s="985"/>
      <c r="O22" s="985"/>
      <c r="P22" s="985"/>
      <c r="Q22" s="985"/>
      <c r="R22" s="985"/>
      <c r="S22" s="986"/>
    </row>
    <row r="23" spans="1:19" x14ac:dyDescent="0.25">
      <c r="A23" s="984"/>
      <c r="B23" s="985" t="s">
        <v>169</v>
      </c>
      <c r="C23" s="985"/>
      <c r="D23" s="985"/>
      <c r="E23" s="985"/>
      <c r="F23" s="985"/>
      <c r="G23" s="985"/>
      <c r="H23" s="985"/>
      <c r="I23" s="985"/>
      <c r="J23" s="985"/>
      <c r="K23" s="985"/>
      <c r="L23" s="985"/>
      <c r="M23" s="985"/>
      <c r="N23" s="985"/>
      <c r="O23" s="985"/>
      <c r="P23" s="985"/>
      <c r="Q23" s="985"/>
      <c r="R23" s="985"/>
      <c r="S23" s="986"/>
    </row>
    <row r="24" spans="1:19" x14ac:dyDescent="0.25">
      <c r="A24" s="984"/>
      <c r="B24" s="985"/>
      <c r="C24" s="985"/>
      <c r="D24" s="985"/>
      <c r="E24" s="985"/>
      <c r="F24" s="985"/>
      <c r="G24" s="985"/>
      <c r="H24" s="985"/>
      <c r="I24" s="985"/>
      <c r="J24" s="985"/>
      <c r="K24" s="985"/>
      <c r="L24" s="985"/>
      <c r="M24" s="985"/>
      <c r="N24" s="985"/>
      <c r="O24" s="985"/>
      <c r="P24" s="985"/>
      <c r="Q24" s="985"/>
      <c r="R24" s="985"/>
      <c r="S24" s="986"/>
    </row>
    <row r="25" spans="1:19" x14ac:dyDescent="0.25">
      <c r="A25" s="984"/>
      <c r="B25" s="985" t="s">
        <v>170</v>
      </c>
      <c r="C25" s="985"/>
      <c r="D25" s="985"/>
      <c r="E25" s="985"/>
      <c r="F25" s="985"/>
      <c r="G25" s="985"/>
      <c r="H25" s="985"/>
      <c r="I25" s="985"/>
      <c r="J25" s="985"/>
      <c r="K25" s="985"/>
      <c r="L25" s="985"/>
      <c r="M25" s="985"/>
      <c r="N25" s="985"/>
      <c r="O25" s="985"/>
      <c r="P25" s="985"/>
      <c r="Q25" s="985"/>
      <c r="R25" s="985"/>
      <c r="S25" s="986"/>
    </row>
    <row r="26" spans="1:19" x14ac:dyDescent="0.25">
      <c r="A26" s="984"/>
      <c r="B26" s="985"/>
      <c r="C26" s="985"/>
      <c r="D26" s="985"/>
      <c r="E26" s="985"/>
      <c r="F26" s="985"/>
      <c r="G26" s="985"/>
      <c r="H26" s="985"/>
      <c r="I26" s="985"/>
      <c r="J26" s="985"/>
      <c r="K26" s="985"/>
      <c r="L26" s="985"/>
      <c r="M26" s="985"/>
      <c r="N26" s="985"/>
      <c r="O26" s="985"/>
      <c r="P26" s="985"/>
      <c r="Q26" s="985"/>
      <c r="R26" s="985"/>
      <c r="S26" s="986"/>
    </row>
    <row r="27" spans="1:19" ht="60" x14ac:dyDescent="0.25">
      <c r="A27" s="984"/>
      <c r="B27" s="1118" t="s">
        <v>171</v>
      </c>
      <c r="C27" s="1117" t="s">
        <v>172</v>
      </c>
      <c r="D27" s="1117"/>
      <c r="E27" s="1117"/>
      <c r="F27" s="985"/>
      <c r="G27" s="985"/>
      <c r="H27" s="985"/>
      <c r="I27" s="985"/>
      <c r="J27" s="985"/>
      <c r="K27" s="985"/>
      <c r="L27" s="985"/>
      <c r="M27" s="985"/>
      <c r="N27" s="985"/>
      <c r="O27" s="985"/>
      <c r="P27" s="985"/>
      <c r="Q27" s="985"/>
      <c r="R27" s="985"/>
      <c r="S27" s="986"/>
    </row>
    <row r="28" spans="1:19" ht="60" x14ac:dyDescent="0.25">
      <c r="A28" s="984"/>
      <c r="B28" s="1118" t="s">
        <v>173</v>
      </c>
      <c r="C28" s="1117" t="s">
        <v>172</v>
      </c>
      <c r="D28" s="1117"/>
      <c r="E28" s="1117"/>
      <c r="F28" s="985"/>
      <c r="G28" s="985"/>
      <c r="H28" s="985"/>
      <c r="I28" s="985"/>
      <c r="J28" s="985"/>
      <c r="K28" s="985"/>
      <c r="L28" s="985"/>
      <c r="M28" s="985"/>
      <c r="N28" s="985"/>
      <c r="O28" s="985"/>
      <c r="P28" s="985"/>
      <c r="Q28" s="985"/>
      <c r="R28" s="985"/>
      <c r="S28" s="986"/>
    </row>
    <row r="29" spans="1:19" x14ac:dyDescent="0.25">
      <c r="A29" s="984"/>
      <c r="B29" s="1118"/>
      <c r="C29" s="1117"/>
      <c r="D29" s="1117"/>
      <c r="E29" s="1117"/>
      <c r="F29" s="985"/>
      <c r="G29" s="985"/>
      <c r="H29" s="985"/>
      <c r="I29" s="985"/>
      <c r="J29" s="985"/>
      <c r="K29" s="985"/>
      <c r="L29" s="985"/>
      <c r="M29" s="985"/>
      <c r="N29" s="985"/>
      <c r="O29" s="985"/>
      <c r="P29" s="985"/>
      <c r="Q29" s="985"/>
      <c r="R29" s="985"/>
      <c r="S29" s="986"/>
    </row>
    <row r="30" spans="1:19" ht="90" x14ac:dyDescent="0.25">
      <c r="A30" s="984"/>
      <c r="B30" s="1118" t="s">
        <v>174</v>
      </c>
      <c r="C30" s="1117" t="s">
        <v>175</v>
      </c>
      <c r="D30" s="1117"/>
      <c r="E30" s="1117"/>
      <c r="F30" s="985"/>
      <c r="G30" s="985"/>
      <c r="H30" s="985"/>
      <c r="I30" s="985"/>
      <c r="J30" s="985"/>
      <c r="K30" s="985"/>
      <c r="L30" s="985"/>
      <c r="M30" s="985"/>
      <c r="N30" s="985"/>
      <c r="O30" s="985"/>
      <c r="P30" s="985"/>
      <c r="Q30" s="985"/>
      <c r="R30" s="985"/>
      <c r="S30" s="986"/>
    </row>
    <row r="31" spans="1:19" x14ac:dyDescent="0.25">
      <c r="A31" s="984"/>
      <c r="B31" s="1118"/>
      <c r="C31" s="1117"/>
      <c r="D31" s="1117"/>
      <c r="E31" s="1117"/>
      <c r="F31" s="985"/>
      <c r="G31" s="985"/>
      <c r="H31" s="985"/>
      <c r="I31" s="985"/>
      <c r="J31" s="985"/>
      <c r="K31" s="985"/>
      <c r="L31" s="985"/>
      <c r="M31" s="985"/>
      <c r="N31" s="985"/>
      <c r="O31" s="985"/>
      <c r="P31" s="985"/>
      <c r="Q31" s="985"/>
      <c r="R31" s="985"/>
      <c r="S31" s="986"/>
    </row>
    <row r="32" spans="1:19" ht="90" x14ac:dyDescent="0.25">
      <c r="A32" s="984"/>
      <c r="B32" s="1120" t="s">
        <v>176</v>
      </c>
      <c r="C32" s="1117" t="s">
        <v>177</v>
      </c>
      <c r="D32" s="1117"/>
      <c r="E32" s="1117"/>
      <c r="F32" s="985"/>
      <c r="G32" s="985"/>
      <c r="H32" s="985"/>
      <c r="I32" s="985"/>
      <c r="J32" s="985"/>
      <c r="K32" s="985"/>
      <c r="L32" s="985"/>
      <c r="M32" s="985"/>
      <c r="N32" s="985"/>
      <c r="O32" s="985"/>
      <c r="P32" s="985"/>
      <c r="Q32" s="985"/>
      <c r="R32" s="985"/>
      <c r="S32" s="986"/>
    </row>
    <row r="33" spans="1:19" x14ac:dyDescent="0.25">
      <c r="A33" s="984"/>
      <c r="C33" s="1117"/>
      <c r="D33" s="1117"/>
      <c r="E33" s="1117"/>
      <c r="F33" s="985"/>
      <c r="G33" s="985"/>
      <c r="H33" s="985"/>
      <c r="I33" s="985"/>
      <c r="J33" s="985"/>
      <c r="K33" s="985"/>
      <c r="L33" s="985"/>
      <c r="M33" s="985"/>
      <c r="N33" s="985"/>
      <c r="O33" s="985"/>
      <c r="P33" s="985"/>
      <c r="Q33" s="985"/>
      <c r="R33" s="985"/>
      <c r="S33" s="986"/>
    </row>
    <row r="34" spans="1:19" x14ac:dyDescent="0.25">
      <c r="A34" s="984"/>
      <c r="B34" s="985" t="s">
        <v>1090</v>
      </c>
      <c r="C34" s="985"/>
      <c r="D34" s="985"/>
      <c r="E34" s="985"/>
      <c r="F34" s="985"/>
      <c r="G34" s="985"/>
      <c r="H34" s="985"/>
      <c r="I34" s="985"/>
      <c r="J34" s="985"/>
      <c r="K34" s="985"/>
      <c r="L34" s="985"/>
      <c r="M34" s="985"/>
      <c r="N34" s="985"/>
      <c r="O34" s="985"/>
      <c r="P34" s="985"/>
      <c r="Q34" s="985"/>
      <c r="R34" s="985"/>
      <c r="S34" s="986"/>
    </row>
    <row r="35" spans="1:19" x14ac:dyDescent="0.25">
      <c r="A35" s="984"/>
      <c r="C35" s="985"/>
      <c r="D35" s="985"/>
      <c r="E35" s="985"/>
      <c r="F35" s="985"/>
      <c r="G35" s="985"/>
      <c r="H35" s="985"/>
      <c r="I35" s="985"/>
      <c r="J35" s="985"/>
      <c r="K35" s="985"/>
      <c r="L35" s="985"/>
      <c r="M35" s="985"/>
      <c r="N35" s="985"/>
      <c r="O35" s="985"/>
      <c r="P35" s="985"/>
      <c r="Q35" s="985"/>
      <c r="R35" s="985"/>
      <c r="S35" s="986"/>
    </row>
    <row r="36" spans="1:19" x14ac:dyDescent="0.25">
      <c r="A36" s="984"/>
      <c r="B36" s="985"/>
      <c r="C36" s="985"/>
      <c r="D36" s="985"/>
      <c r="E36" s="985"/>
      <c r="F36" s="985"/>
      <c r="G36" s="985"/>
      <c r="H36" s="985"/>
      <c r="I36" s="985"/>
      <c r="J36" s="985"/>
      <c r="K36" s="985"/>
      <c r="L36" s="985"/>
      <c r="M36" s="985"/>
      <c r="N36" s="985"/>
      <c r="O36" s="985"/>
      <c r="P36" s="985"/>
      <c r="Q36" s="985"/>
      <c r="R36" s="985"/>
      <c r="S36" s="986"/>
    </row>
    <row r="37" spans="1:19" x14ac:dyDescent="0.25">
      <c r="A37" s="984"/>
      <c r="B37" s="985"/>
      <c r="C37" s="985"/>
      <c r="D37" s="985"/>
      <c r="E37" s="985"/>
      <c r="F37" s="985"/>
      <c r="G37" s="985"/>
      <c r="H37" s="985"/>
      <c r="I37" s="985"/>
      <c r="J37" s="985"/>
      <c r="K37" s="985"/>
      <c r="L37" s="985"/>
      <c r="M37" s="985"/>
      <c r="N37" s="985"/>
      <c r="O37" s="985"/>
      <c r="P37" s="985"/>
      <c r="Q37" s="985"/>
      <c r="R37" s="985"/>
      <c r="S37" s="986"/>
    </row>
    <row r="38" spans="1:19" x14ac:dyDescent="0.25">
      <c r="A38" s="984"/>
      <c r="B38" s="985"/>
      <c r="C38" s="985"/>
      <c r="D38" s="985"/>
      <c r="E38" s="985"/>
      <c r="F38" s="985"/>
      <c r="G38" s="985"/>
      <c r="H38" s="985"/>
      <c r="I38" s="985"/>
      <c r="J38" s="985"/>
      <c r="K38" s="985"/>
      <c r="L38" s="985"/>
      <c r="M38" s="985"/>
      <c r="N38" s="985"/>
      <c r="O38" s="985"/>
      <c r="P38" s="985"/>
      <c r="Q38" s="985"/>
      <c r="R38" s="985"/>
      <c r="S38" s="986"/>
    </row>
    <row r="39" spans="1:19" x14ac:dyDescent="0.25">
      <c r="A39" s="984"/>
      <c r="B39" s="985"/>
      <c r="C39" s="985"/>
      <c r="D39" s="985"/>
      <c r="E39" s="985"/>
      <c r="F39" s="985"/>
      <c r="G39" s="985"/>
      <c r="H39" s="985"/>
      <c r="I39" s="985"/>
      <c r="J39" s="985"/>
      <c r="K39" s="985"/>
      <c r="L39" s="985"/>
      <c r="M39" s="985"/>
      <c r="N39" s="985"/>
      <c r="O39" s="985"/>
      <c r="P39" s="985"/>
      <c r="Q39" s="985"/>
      <c r="R39" s="985"/>
      <c r="S39" s="986"/>
    </row>
    <row r="40" spans="1:19" x14ac:dyDescent="0.25">
      <c r="A40" s="984"/>
      <c r="B40" s="985"/>
      <c r="C40" s="985"/>
      <c r="D40" s="985"/>
      <c r="E40" s="985"/>
      <c r="F40" s="985"/>
      <c r="G40" s="985"/>
      <c r="H40" s="985"/>
      <c r="I40" s="985"/>
      <c r="J40" s="985"/>
      <c r="K40" s="985"/>
      <c r="L40" s="985"/>
      <c r="M40" s="985"/>
      <c r="N40" s="985"/>
      <c r="O40" s="985"/>
      <c r="P40" s="985"/>
      <c r="Q40" s="985"/>
      <c r="R40" s="985"/>
      <c r="S40" s="986"/>
    </row>
    <row r="41" spans="1:19" x14ac:dyDescent="0.25">
      <c r="A41" s="984"/>
      <c r="B41" s="985"/>
      <c r="C41" s="985"/>
      <c r="D41" s="985"/>
      <c r="E41" s="985"/>
      <c r="F41" s="985"/>
      <c r="G41" s="985"/>
      <c r="H41" s="985"/>
      <c r="I41" s="985"/>
      <c r="J41" s="985"/>
      <c r="K41" s="985"/>
      <c r="L41" s="985"/>
      <c r="M41" s="985"/>
      <c r="N41" s="985"/>
      <c r="O41" s="985"/>
      <c r="P41" s="985"/>
      <c r="Q41" s="985"/>
      <c r="R41" s="985"/>
      <c r="S41" s="986"/>
    </row>
    <row r="42" spans="1:19" x14ac:dyDescent="0.25">
      <c r="A42" s="984"/>
      <c r="B42" s="985"/>
      <c r="C42" s="985"/>
      <c r="D42" s="985"/>
      <c r="E42" s="985"/>
      <c r="F42" s="985"/>
      <c r="G42" s="985"/>
      <c r="H42" s="985"/>
      <c r="I42" s="985"/>
      <c r="J42" s="985"/>
      <c r="K42" s="985"/>
      <c r="L42" s="985"/>
      <c r="M42" s="985"/>
      <c r="N42" s="985"/>
      <c r="O42" s="985"/>
      <c r="P42" s="985"/>
      <c r="Q42" s="985"/>
      <c r="R42" s="985"/>
      <c r="S42" s="986"/>
    </row>
    <row r="43" spans="1:19" x14ac:dyDescent="0.25">
      <c r="A43" s="984"/>
      <c r="B43" s="985"/>
      <c r="C43" s="985"/>
      <c r="D43" s="985"/>
      <c r="E43" s="985"/>
      <c r="F43" s="985"/>
      <c r="G43" s="985"/>
      <c r="H43" s="985"/>
      <c r="I43" s="985"/>
      <c r="J43" s="985"/>
      <c r="K43" s="985"/>
      <c r="L43" s="985"/>
      <c r="M43" s="985"/>
      <c r="N43" s="985"/>
      <c r="O43" s="985"/>
      <c r="P43" s="985"/>
      <c r="Q43" s="985"/>
      <c r="R43" s="985"/>
      <c r="S43" s="986"/>
    </row>
    <row r="44" spans="1:19" x14ac:dyDescent="0.25">
      <c r="A44" s="984"/>
      <c r="B44" s="985"/>
      <c r="C44" s="985"/>
      <c r="D44" s="985"/>
      <c r="E44" s="985"/>
      <c r="F44" s="985"/>
      <c r="G44" s="985"/>
      <c r="H44" s="985"/>
      <c r="I44" s="985"/>
      <c r="J44" s="985"/>
      <c r="K44" s="985"/>
      <c r="L44" s="985"/>
      <c r="M44" s="985"/>
      <c r="N44" s="985"/>
      <c r="O44" s="985"/>
      <c r="P44" s="985"/>
      <c r="Q44" s="985"/>
      <c r="R44" s="985"/>
      <c r="S44" s="986"/>
    </row>
    <row r="45" spans="1:19" x14ac:dyDescent="0.25">
      <c r="A45" s="984"/>
      <c r="B45" s="985"/>
      <c r="C45" s="985"/>
      <c r="D45" s="985"/>
      <c r="E45" s="985"/>
      <c r="F45" s="985"/>
      <c r="G45" s="985"/>
      <c r="H45" s="985"/>
      <c r="I45" s="985"/>
      <c r="J45" s="985"/>
      <c r="K45" s="985"/>
      <c r="L45" s="985"/>
      <c r="M45" s="985"/>
      <c r="N45" s="985"/>
      <c r="O45" s="985"/>
      <c r="P45" s="985"/>
      <c r="Q45" s="985"/>
      <c r="R45" s="985"/>
      <c r="S45" s="986"/>
    </row>
    <row r="46" spans="1:19" x14ac:dyDescent="0.25">
      <c r="A46" s="984"/>
      <c r="B46" s="985"/>
      <c r="C46" s="985"/>
      <c r="D46" s="985"/>
      <c r="E46" s="985"/>
      <c r="F46" s="985"/>
      <c r="G46" s="985"/>
      <c r="H46" s="985"/>
      <c r="I46" s="985"/>
      <c r="J46" s="985"/>
      <c r="K46" s="985"/>
      <c r="L46" s="985"/>
      <c r="M46" s="985"/>
      <c r="N46" s="985"/>
      <c r="O46" s="985"/>
      <c r="P46" s="985"/>
      <c r="Q46" s="985"/>
      <c r="R46" s="985"/>
      <c r="S46" s="986"/>
    </row>
    <row r="47" spans="1:19" x14ac:dyDescent="0.25">
      <c r="A47" s="984"/>
      <c r="B47" s="985"/>
      <c r="C47" s="985"/>
      <c r="D47" s="985"/>
      <c r="E47" s="985"/>
      <c r="F47" s="985"/>
      <c r="G47" s="985"/>
      <c r="H47" s="985"/>
      <c r="I47" s="985"/>
      <c r="J47" s="985"/>
      <c r="K47" s="985"/>
      <c r="L47" s="985"/>
      <c r="M47" s="985"/>
      <c r="N47" s="985"/>
      <c r="O47" s="985"/>
      <c r="P47" s="985"/>
      <c r="Q47" s="985"/>
      <c r="R47" s="985"/>
      <c r="S47" s="986"/>
    </row>
    <row r="48" spans="1:19" x14ac:dyDescent="0.25">
      <c r="A48" s="984"/>
      <c r="B48" s="985"/>
      <c r="C48" s="985"/>
      <c r="D48" s="985"/>
      <c r="E48" s="985"/>
      <c r="F48" s="985"/>
      <c r="G48" s="985"/>
      <c r="H48" s="985"/>
      <c r="I48" s="985"/>
      <c r="J48" s="985"/>
      <c r="K48" s="985"/>
      <c r="L48" s="985"/>
      <c r="M48" s="985"/>
      <c r="N48" s="985"/>
      <c r="O48" s="985"/>
      <c r="P48" s="985"/>
      <c r="Q48" s="985"/>
      <c r="R48" s="985"/>
      <c r="S48" s="986"/>
    </row>
    <row r="49" spans="1:19" x14ac:dyDescent="0.25">
      <c r="A49" s="984"/>
      <c r="B49" s="985"/>
      <c r="C49" s="985"/>
      <c r="D49" s="985"/>
      <c r="E49" s="985"/>
      <c r="F49" s="985"/>
      <c r="G49" s="985"/>
      <c r="H49" s="985"/>
      <c r="I49" s="985"/>
      <c r="J49" s="985"/>
      <c r="K49" s="985"/>
      <c r="L49" s="985"/>
      <c r="M49" s="985"/>
      <c r="N49" s="985"/>
      <c r="O49" s="985"/>
      <c r="P49" s="985"/>
      <c r="Q49" s="985"/>
      <c r="R49" s="985"/>
      <c r="S49" s="986"/>
    </row>
    <row r="50" spans="1:19" x14ac:dyDescent="0.25">
      <c r="A50" s="984"/>
      <c r="B50" s="985"/>
      <c r="C50" s="985"/>
      <c r="D50" s="985"/>
      <c r="E50" s="985"/>
      <c r="F50" s="985"/>
      <c r="G50" s="985"/>
      <c r="H50" s="985"/>
      <c r="I50" s="985"/>
      <c r="J50" s="985"/>
      <c r="K50" s="985"/>
      <c r="L50" s="985"/>
      <c r="M50" s="985"/>
      <c r="N50" s="985"/>
      <c r="O50" s="985"/>
      <c r="P50" s="985"/>
      <c r="Q50" s="985"/>
      <c r="R50" s="985"/>
      <c r="S50" s="986"/>
    </row>
    <row r="51" spans="1:19" x14ac:dyDescent="0.25">
      <c r="A51" s="984"/>
      <c r="B51" s="985"/>
      <c r="C51" s="985"/>
      <c r="D51" s="985"/>
      <c r="E51" s="985"/>
      <c r="F51" s="985"/>
      <c r="G51" s="985"/>
      <c r="H51" s="985"/>
      <c r="I51" s="985"/>
      <c r="J51" s="985"/>
      <c r="K51" s="985"/>
      <c r="L51" s="985"/>
      <c r="M51" s="985"/>
      <c r="N51" s="985"/>
      <c r="O51" s="985"/>
      <c r="P51" s="985"/>
      <c r="Q51" s="985"/>
      <c r="R51" s="985"/>
      <c r="S51" s="986"/>
    </row>
    <row r="52" spans="1:19" x14ac:dyDescent="0.25">
      <c r="A52" s="984"/>
      <c r="B52" s="985"/>
      <c r="C52" s="985"/>
      <c r="D52" s="985"/>
      <c r="E52" s="985"/>
      <c r="F52" s="985"/>
      <c r="G52" s="985"/>
      <c r="H52" s="985"/>
      <c r="I52" s="985"/>
      <c r="J52" s="985"/>
      <c r="K52" s="985"/>
      <c r="L52" s="985"/>
      <c r="M52" s="985"/>
      <c r="N52" s="985"/>
      <c r="O52" s="985"/>
      <c r="P52" s="985"/>
      <c r="Q52" s="985"/>
      <c r="R52" s="985"/>
      <c r="S52" s="986"/>
    </row>
    <row r="53" spans="1:19" x14ac:dyDescent="0.25">
      <c r="A53" s="984"/>
      <c r="B53" s="985"/>
      <c r="C53" s="985"/>
      <c r="D53" s="985"/>
      <c r="E53" s="985"/>
      <c r="F53" s="985"/>
      <c r="G53" s="985"/>
      <c r="H53" s="985"/>
      <c r="I53" s="985"/>
      <c r="J53" s="985"/>
      <c r="K53" s="985"/>
      <c r="L53" s="985"/>
      <c r="M53" s="985"/>
      <c r="N53" s="985"/>
      <c r="O53" s="985"/>
      <c r="P53" s="985"/>
      <c r="Q53" s="985"/>
      <c r="R53" s="985"/>
      <c r="S53" s="986"/>
    </row>
    <row r="54" spans="1:19" x14ac:dyDescent="0.25">
      <c r="A54" s="984"/>
      <c r="B54" s="985"/>
      <c r="C54" s="985"/>
      <c r="D54" s="985"/>
      <c r="E54" s="985"/>
      <c r="F54" s="985"/>
      <c r="G54" s="985"/>
      <c r="H54" s="985"/>
      <c r="I54" s="985"/>
      <c r="J54" s="985"/>
      <c r="K54" s="985"/>
      <c r="L54" s="985"/>
      <c r="M54" s="985"/>
      <c r="N54" s="985"/>
      <c r="O54" s="985"/>
      <c r="P54" s="985"/>
      <c r="Q54" s="985"/>
      <c r="R54" s="985"/>
      <c r="S54" s="986"/>
    </row>
    <row r="55" spans="1:19" x14ac:dyDescent="0.25">
      <c r="A55" s="984"/>
      <c r="B55" s="985"/>
      <c r="C55" s="985"/>
      <c r="D55" s="985"/>
      <c r="E55" s="985"/>
      <c r="F55" s="985"/>
      <c r="G55" s="985"/>
      <c r="H55" s="985"/>
      <c r="I55" s="985"/>
      <c r="J55" s="985"/>
      <c r="K55" s="985"/>
      <c r="L55" s="985"/>
      <c r="M55" s="985"/>
      <c r="N55" s="985"/>
      <c r="O55" s="985"/>
      <c r="P55" s="985"/>
      <c r="Q55" s="985"/>
      <c r="R55" s="985"/>
      <c r="S55" s="986"/>
    </row>
    <row r="56" spans="1:19" x14ac:dyDescent="0.25">
      <c r="A56" s="984"/>
      <c r="B56" s="985"/>
      <c r="C56" s="985"/>
      <c r="D56" s="985"/>
      <c r="E56" s="985"/>
      <c r="F56" s="985"/>
      <c r="G56" s="985"/>
      <c r="H56" s="985"/>
      <c r="I56" s="985"/>
      <c r="J56" s="985"/>
      <c r="K56" s="985"/>
      <c r="L56" s="985"/>
      <c r="M56" s="985"/>
      <c r="N56" s="985"/>
      <c r="O56" s="985"/>
      <c r="P56" s="985"/>
      <c r="Q56" s="985"/>
      <c r="R56" s="985"/>
      <c r="S56" s="986"/>
    </row>
    <row r="57" spans="1:19" x14ac:dyDescent="0.25">
      <c r="A57" s="984"/>
      <c r="B57" s="985"/>
      <c r="C57" s="985"/>
      <c r="D57" s="985"/>
      <c r="E57" s="985"/>
      <c r="F57" s="985"/>
      <c r="G57" s="985"/>
      <c r="H57" s="985"/>
      <c r="I57" s="985"/>
      <c r="J57" s="985"/>
      <c r="K57" s="985"/>
      <c r="L57" s="985"/>
      <c r="M57" s="985"/>
      <c r="N57" s="985"/>
      <c r="O57" s="985"/>
      <c r="P57" s="985"/>
      <c r="Q57" s="985"/>
      <c r="R57" s="985"/>
      <c r="S57" s="986"/>
    </row>
    <row r="58" spans="1:19" x14ac:dyDescent="0.25">
      <c r="A58" s="984"/>
      <c r="B58" s="985"/>
      <c r="C58" s="985"/>
      <c r="D58" s="985"/>
      <c r="E58" s="985"/>
      <c r="F58" s="985"/>
      <c r="G58" s="985"/>
      <c r="H58" s="985"/>
      <c r="I58" s="985"/>
      <c r="J58" s="985"/>
      <c r="K58" s="985"/>
      <c r="L58" s="985"/>
      <c r="M58" s="985"/>
      <c r="N58" s="985"/>
      <c r="O58" s="985"/>
      <c r="P58" s="985"/>
      <c r="Q58" s="985"/>
      <c r="R58" s="985"/>
      <c r="S58" s="986"/>
    </row>
    <row r="59" spans="1:19" x14ac:dyDescent="0.25">
      <c r="A59" s="984"/>
      <c r="B59" s="985"/>
      <c r="C59" s="985"/>
      <c r="D59" s="985"/>
      <c r="E59" s="985"/>
      <c r="F59" s="985"/>
      <c r="G59" s="985"/>
      <c r="H59" s="985"/>
      <c r="I59" s="985"/>
      <c r="J59" s="985"/>
      <c r="K59" s="985"/>
      <c r="L59" s="985"/>
      <c r="M59" s="985"/>
      <c r="N59" s="985"/>
      <c r="O59" s="985"/>
      <c r="P59" s="985"/>
      <c r="Q59" s="985"/>
      <c r="R59" s="985"/>
      <c r="S59" s="986"/>
    </row>
    <row r="60" spans="1:19" x14ac:dyDescent="0.25">
      <c r="A60" s="984"/>
      <c r="B60" s="985"/>
      <c r="C60" s="985"/>
      <c r="D60" s="985"/>
      <c r="E60" s="985"/>
      <c r="F60" s="985"/>
      <c r="G60" s="985"/>
      <c r="H60" s="985"/>
      <c r="I60" s="985"/>
      <c r="J60" s="985"/>
      <c r="K60" s="985"/>
      <c r="L60" s="985"/>
      <c r="M60" s="985"/>
      <c r="N60" s="985"/>
      <c r="O60" s="985"/>
      <c r="P60" s="985"/>
      <c r="Q60" s="985"/>
      <c r="R60" s="985"/>
      <c r="S60" s="986"/>
    </row>
    <row r="61" spans="1:19" x14ac:dyDescent="0.25">
      <c r="A61" s="984"/>
      <c r="B61" s="985"/>
      <c r="C61" s="985"/>
      <c r="D61" s="985"/>
      <c r="E61" s="985"/>
      <c r="F61" s="985"/>
      <c r="G61" s="985"/>
      <c r="H61" s="985"/>
      <c r="I61" s="985"/>
      <c r="J61" s="985"/>
      <c r="K61" s="985"/>
      <c r="L61" s="985"/>
      <c r="M61" s="985"/>
      <c r="N61" s="985"/>
      <c r="O61" s="985"/>
      <c r="P61" s="985"/>
      <c r="Q61" s="985"/>
      <c r="R61" s="985"/>
      <c r="S61" s="986"/>
    </row>
    <row r="62" spans="1:19" x14ac:dyDescent="0.25">
      <c r="A62" s="984"/>
      <c r="B62" s="985"/>
      <c r="C62" s="985"/>
      <c r="D62" s="985"/>
      <c r="E62" s="985"/>
      <c r="F62" s="985"/>
      <c r="G62" s="985"/>
      <c r="H62" s="985"/>
      <c r="I62" s="985"/>
      <c r="J62" s="985"/>
      <c r="K62" s="985"/>
      <c r="L62" s="985"/>
      <c r="M62" s="985"/>
      <c r="N62" s="985"/>
      <c r="O62" s="985"/>
      <c r="P62" s="985"/>
      <c r="Q62" s="985"/>
      <c r="R62" s="985"/>
      <c r="S62" s="986"/>
    </row>
    <row r="63" spans="1:19" x14ac:dyDescent="0.25">
      <c r="A63" s="984"/>
      <c r="B63" s="985"/>
      <c r="C63" s="985"/>
      <c r="D63" s="985"/>
      <c r="E63" s="985"/>
      <c r="F63" s="985"/>
      <c r="G63" s="985"/>
      <c r="H63" s="985"/>
      <c r="I63" s="985"/>
      <c r="J63" s="985"/>
      <c r="K63" s="985"/>
      <c r="L63" s="985"/>
      <c r="M63" s="985"/>
      <c r="N63" s="985"/>
      <c r="O63" s="985"/>
      <c r="P63" s="985"/>
      <c r="Q63" s="985"/>
      <c r="R63" s="985"/>
      <c r="S63" s="986"/>
    </row>
    <row r="64" spans="1:19" x14ac:dyDescent="0.25">
      <c r="A64" s="984"/>
      <c r="B64" s="985"/>
      <c r="C64" s="985"/>
      <c r="D64" s="985"/>
      <c r="E64" s="985"/>
      <c r="F64" s="985"/>
      <c r="G64" s="985"/>
      <c r="H64" s="985"/>
      <c r="I64" s="985"/>
      <c r="J64" s="985"/>
      <c r="K64" s="985"/>
      <c r="L64" s="985"/>
      <c r="M64" s="985"/>
      <c r="N64" s="985"/>
      <c r="O64" s="985"/>
      <c r="P64" s="985"/>
      <c r="Q64" s="985"/>
      <c r="R64" s="985"/>
      <c r="S64" s="986"/>
    </row>
    <row r="65" spans="1:19" x14ac:dyDescent="0.25">
      <c r="A65" s="984"/>
      <c r="B65" s="985"/>
      <c r="C65" s="985"/>
      <c r="D65" s="985"/>
      <c r="E65" s="985"/>
      <c r="F65" s="985"/>
      <c r="G65" s="985"/>
      <c r="H65" s="985"/>
      <c r="I65" s="985"/>
      <c r="J65" s="985"/>
      <c r="K65" s="985"/>
      <c r="L65" s="985"/>
      <c r="M65" s="985"/>
      <c r="N65" s="985"/>
      <c r="O65" s="985"/>
      <c r="P65" s="985"/>
      <c r="Q65" s="985"/>
      <c r="R65" s="985"/>
      <c r="S65" s="986"/>
    </row>
    <row r="66" spans="1:19" x14ac:dyDescent="0.25">
      <c r="A66" s="984"/>
      <c r="B66" s="985"/>
      <c r="C66" s="985"/>
      <c r="D66" s="985"/>
      <c r="E66" s="985"/>
      <c r="F66" s="985"/>
      <c r="G66" s="985"/>
      <c r="H66" s="985"/>
      <c r="I66" s="985"/>
      <c r="J66" s="985"/>
      <c r="K66" s="985"/>
      <c r="L66" s="985"/>
      <c r="M66" s="985"/>
      <c r="N66" s="985"/>
      <c r="O66" s="985"/>
      <c r="P66" s="985"/>
      <c r="Q66" s="985"/>
      <c r="R66" s="985"/>
      <c r="S66" s="986"/>
    </row>
    <row r="67" spans="1:19" x14ac:dyDescent="0.25">
      <c r="A67" s="984"/>
      <c r="B67" s="985"/>
      <c r="C67" s="985"/>
      <c r="D67" s="985"/>
      <c r="E67" s="985"/>
      <c r="F67" s="985"/>
      <c r="G67" s="985"/>
      <c r="H67" s="985"/>
      <c r="I67" s="985"/>
      <c r="J67" s="985"/>
      <c r="K67" s="985"/>
      <c r="L67" s="985"/>
      <c r="M67" s="985"/>
      <c r="N67" s="985"/>
      <c r="O67" s="985"/>
      <c r="P67" s="985"/>
      <c r="Q67" s="985"/>
      <c r="R67" s="985"/>
      <c r="S67" s="986"/>
    </row>
    <row r="68" spans="1:19" x14ac:dyDescent="0.25">
      <c r="A68" s="984"/>
      <c r="B68" s="985"/>
      <c r="C68" s="985"/>
      <c r="D68" s="985"/>
      <c r="E68" s="985"/>
      <c r="F68" s="985"/>
      <c r="G68" s="985"/>
      <c r="H68" s="985"/>
      <c r="I68" s="985"/>
      <c r="J68" s="985"/>
      <c r="K68" s="985"/>
      <c r="L68" s="985"/>
      <c r="M68" s="985"/>
      <c r="N68" s="985"/>
      <c r="O68" s="985"/>
      <c r="P68" s="985"/>
      <c r="Q68" s="985"/>
      <c r="R68" s="985"/>
      <c r="S68" s="986"/>
    </row>
    <row r="69" spans="1:19" x14ac:dyDescent="0.25">
      <c r="A69" s="984"/>
      <c r="B69" s="985"/>
      <c r="C69" s="985"/>
      <c r="D69" s="985"/>
      <c r="E69" s="985"/>
      <c r="F69" s="985"/>
      <c r="G69" s="985"/>
      <c r="H69" s="985"/>
      <c r="I69" s="985"/>
      <c r="J69" s="985"/>
      <c r="K69" s="985"/>
      <c r="L69" s="985"/>
      <c r="M69" s="985"/>
      <c r="N69" s="985"/>
      <c r="O69" s="985"/>
      <c r="P69" s="985"/>
      <c r="Q69" s="985"/>
      <c r="R69" s="985"/>
      <c r="S69" s="986"/>
    </row>
    <row r="70" spans="1:19" x14ac:dyDescent="0.25">
      <c r="A70" s="984"/>
      <c r="B70" s="985"/>
      <c r="C70" s="985"/>
      <c r="D70" s="985"/>
      <c r="E70" s="985"/>
      <c r="F70" s="985"/>
      <c r="G70" s="985"/>
      <c r="H70" s="985"/>
      <c r="I70" s="985"/>
      <c r="J70" s="985"/>
      <c r="K70" s="985"/>
      <c r="L70" s="985"/>
      <c r="M70" s="985"/>
      <c r="N70" s="985"/>
      <c r="O70" s="985"/>
      <c r="P70" s="985"/>
      <c r="Q70" s="985"/>
      <c r="R70" s="985"/>
      <c r="S70" s="986"/>
    </row>
    <row r="71" spans="1:19" x14ac:dyDescent="0.25">
      <c r="A71" s="984"/>
      <c r="B71" s="985"/>
      <c r="C71" s="985"/>
      <c r="D71" s="985"/>
      <c r="E71" s="985"/>
      <c r="F71" s="985"/>
      <c r="G71" s="985"/>
      <c r="H71" s="985"/>
      <c r="I71" s="985"/>
      <c r="J71" s="985"/>
      <c r="K71" s="985"/>
      <c r="L71" s="985"/>
      <c r="M71" s="985"/>
      <c r="N71" s="985"/>
      <c r="O71" s="985"/>
      <c r="P71" s="985"/>
      <c r="Q71" s="985"/>
      <c r="R71" s="985"/>
      <c r="S71" s="986"/>
    </row>
    <row r="72" spans="1:19" x14ac:dyDescent="0.25">
      <c r="A72" s="984"/>
      <c r="B72" s="985"/>
      <c r="C72" s="985"/>
      <c r="D72" s="985"/>
      <c r="E72" s="985"/>
      <c r="F72" s="985"/>
      <c r="G72" s="985"/>
      <c r="H72" s="985"/>
      <c r="I72" s="985"/>
      <c r="J72" s="985"/>
      <c r="K72" s="985"/>
      <c r="L72" s="985"/>
      <c r="M72" s="985"/>
      <c r="N72" s="985"/>
      <c r="O72" s="985"/>
      <c r="P72" s="985"/>
      <c r="Q72" s="985"/>
      <c r="R72" s="985"/>
      <c r="S72" s="986"/>
    </row>
    <row r="73" spans="1:19" x14ac:dyDescent="0.25">
      <c r="A73" s="984"/>
      <c r="B73" s="985"/>
      <c r="C73" s="985"/>
      <c r="D73" s="985"/>
      <c r="E73" s="985"/>
      <c r="F73" s="985"/>
      <c r="G73" s="985"/>
      <c r="H73" s="985"/>
      <c r="I73" s="985"/>
      <c r="J73" s="985"/>
      <c r="K73" s="985"/>
      <c r="L73" s="985"/>
      <c r="M73" s="985"/>
      <c r="N73" s="985"/>
      <c r="O73" s="985"/>
      <c r="P73" s="985"/>
      <c r="Q73" s="985"/>
      <c r="R73" s="985"/>
      <c r="S73" s="986"/>
    </row>
    <row r="74" spans="1:19" x14ac:dyDescent="0.25">
      <c r="A74" s="984"/>
      <c r="B74" s="985"/>
      <c r="C74" s="985"/>
      <c r="D74" s="985"/>
      <c r="E74" s="985"/>
      <c r="F74" s="985"/>
      <c r="G74" s="985"/>
      <c r="H74" s="985"/>
      <c r="I74" s="985"/>
      <c r="J74" s="985"/>
      <c r="K74" s="985"/>
      <c r="L74" s="985"/>
      <c r="M74" s="985"/>
      <c r="N74" s="985"/>
      <c r="O74" s="985"/>
      <c r="P74" s="985"/>
      <c r="Q74" s="985"/>
      <c r="R74" s="985"/>
      <c r="S74" s="986"/>
    </row>
    <row r="75" spans="1:19" x14ac:dyDescent="0.25">
      <c r="A75" s="984"/>
      <c r="B75" s="985"/>
      <c r="C75" s="985"/>
      <c r="D75" s="985"/>
      <c r="E75" s="985"/>
      <c r="F75" s="985"/>
      <c r="G75" s="985"/>
      <c r="H75" s="985"/>
      <c r="I75" s="985"/>
      <c r="J75" s="985"/>
      <c r="K75" s="985"/>
      <c r="L75" s="985"/>
      <c r="M75" s="985"/>
      <c r="N75" s="985"/>
      <c r="O75" s="985"/>
      <c r="P75" s="985"/>
      <c r="Q75" s="985"/>
      <c r="R75" s="985"/>
      <c r="S75" s="986"/>
    </row>
    <row r="76" spans="1:19" x14ac:dyDescent="0.25">
      <c r="A76" s="984"/>
      <c r="B76" s="985"/>
      <c r="C76" s="985"/>
      <c r="D76" s="985"/>
      <c r="E76" s="985"/>
      <c r="F76" s="985"/>
      <c r="G76" s="985"/>
      <c r="H76" s="985"/>
      <c r="I76" s="985"/>
      <c r="J76" s="985"/>
      <c r="K76" s="985"/>
      <c r="L76" s="985"/>
      <c r="M76" s="985"/>
      <c r="N76" s="985"/>
      <c r="O76" s="985"/>
      <c r="P76" s="985"/>
      <c r="Q76" s="985"/>
      <c r="R76" s="985"/>
      <c r="S76" s="986"/>
    </row>
    <row r="77" spans="1:19" x14ac:dyDescent="0.25">
      <c r="A77" s="984"/>
      <c r="B77" s="985"/>
      <c r="C77" s="985"/>
      <c r="D77" s="985"/>
      <c r="E77" s="985"/>
      <c r="F77" s="985"/>
      <c r="G77" s="985"/>
      <c r="H77" s="985"/>
      <c r="I77" s="985"/>
      <c r="J77" s="985"/>
      <c r="K77" s="985"/>
      <c r="L77" s="985"/>
      <c r="M77" s="985"/>
      <c r="N77" s="985"/>
      <c r="O77" s="985"/>
      <c r="P77" s="985"/>
      <c r="Q77" s="985"/>
      <c r="R77" s="985"/>
      <c r="S77" s="986"/>
    </row>
    <row r="78" spans="1:19" x14ac:dyDescent="0.25">
      <c r="A78" s="984"/>
      <c r="B78" s="985"/>
      <c r="C78" s="985"/>
      <c r="D78" s="985"/>
      <c r="E78" s="985"/>
      <c r="F78" s="985"/>
      <c r="G78" s="985"/>
      <c r="H78" s="985"/>
      <c r="I78" s="985"/>
      <c r="J78" s="985"/>
      <c r="K78" s="985"/>
      <c r="L78" s="985"/>
      <c r="M78" s="985"/>
      <c r="N78" s="985"/>
      <c r="O78" s="985"/>
      <c r="P78" s="985"/>
      <c r="Q78" s="985"/>
      <c r="R78" s="985"/>
      <c r="S78" s="986"/>
    </row>
    <row r="79" spans="1:19" x14ac:dyDescent="0.25">
      <c r="A79" s="984"/>
      <c r="B79" s="985"/>
      <c r="C79" s="985"/>
      <c r="D79" s="985"/>
      <c r="E79" s="985"/>
      <c r="F79" s="985"/>
      <c r="G79" s="985"/>
      <c r="H79" s="985"/>
      <c r="I79" s="985"/>
      <c r="J79" s="985"/>
      <c r="K79" s="985"/>
      <c r="L79" s="985"/>
      <c r="M79" s="985"/>
      <c r="N79" s="985"/>
      <c r="O79" s="985"/>
      <c r="P79" s="985"/>
      <c r="Q79" s="985"/>
      <c r="R79" s="985"/>
      <c r="S79" s="986"/>
    </row>
    <row r="80" spans="1:19" x14ac:dyDescent="0.25">
      <c r="A80" s="984"/>
      <c r="B80" s="985"/>
      <c r="C80" s="985"/>
      <c r="D80" s="985"/>
      <c r="E80" s="985"/>
      <c r="F80" s="985"/>
      <c r="G80" s="985"/>
      <c r="H80" s="985"/>
      <c r="I80" s="985"/>
      <c r="J80" s="985"/>
      <c r="K80" s="985"/>
      <c r="L80" s="985"/>
      <c r="M80" s="985"/>
      <c r="N80" s="985"/>
      <c r="O80" s="985"/>
      <c r="P80" s="985"/>
      <c r="Q80" s="985"/>
      <c r="R80" s="985"/>
      <c r="S80" s="986"/>
    </row>
    <row r="81" spans="1:19" x14ac:dyDescent="0.25">
      <c r="A81" s="984"/>
      <c r="B81" s="985"/>
      <c r="C81" s="985"/>
      <c r="D81" s="985"/>
      <c r="E81" s="985"/>
      <c r="F81" s="985"/>
      <c r="G81" s="985"/>
      <c r="H81" s="985"/>
      <c r="I81" s="985"/>
      <c r="J81" s="985"/>
      <c r="K81" s="985"/>
      <c r="L81" s="985"/>
      <c r="M81" s="985"/>
      <c r="N81" s="985"/>
      <c r="O81" s="985"/>
      <c r="P81" s="985"/>
      <c r="Q81" s="985"/>
      <c r="R81" s="985"/>
      <c r="S81" s="986"/>
    </row>
    <row r="82" spans="1:19" x14ac:dyDescent="0.25">
      <c r="A82" s="984"/>
      <c r="B82" s="985"/>
      <c r="C82" s="985"/>
      <c r="D82" s="985"/>
      <c r="E82" s="985"/>
      <c r="F82" s="985"/>
      <c r="G82" s="985"/>
      <c r="H82" s="985"/>
      <c r="I82" s="985"/>
      <c r="J82" s="985"/>
      <c r="K82" s="985"/>
      <c r="L82" s="985"/>
      <c r="M82" s="985"/>
      <c r="N82" s="985"/>
      <c r="O82" s="985"/>
      <c r="P82" s="985"/>
      <c r="Q82" s="985"/>
      <c r="R82" s="985"/>
      <c r="S82" s="986"/>
    </row>
    <row r="83" spans="1:19" x14ac:dyDescent="0.25">
      <c r="A83" s="984"/>
      <c r="B83" s="985"/>
      <c r="C83" s="985"/>
      <c r="D83" s="985"/>
      <c r="E83" s="985"/>
      <c r="F83" s="985"/>
      <c r="G83" s="985"/>
      <c r="H83" s="985"/>
      <c r="I83" s="985"/>
      <c r="J83" s="985"/>
      <c r="K83" s="985"/>
      <c r="L83" s="985"/>
      <c r="M83" s="985"/>
      <c r="N83" s="985"/>
      <c r="O83" s="985"/>
      <c r="P83" s="985"/>
      <c r="Q83" s="985"/>
      <c r="R83" s="985"/>
      <c r="S83" s="986"/>
    </row>
    <row r="84" spans="1:19" x14ac:dyDescent="0.25">
      <c r="A84" s="984"/>
      <c r="B84" s="985"/>
      <c r="C84" s="985"/>
      <c r="D84" s="985"/>
      <c r="E84" s="985"/>
      <c r="F84" s="985"/>
      <c r="G84" s="985"/>
      <c r="H84" s="985"/>
      <c r="I84" s="985"/>
      <c r="J84" s="985"/>
      <c r="K84" s="985"/>
      <c r="L84" s="985"/>
      <c r="M84" s="985"/>
      <c r="N84" s="985"/>
      <c r="O84" s="985"/>
      <c r="P84" s="985"/>
      <c r="Q84" s="985"/>
      <c r="R84" s="985"/>
      <c r="S84" s="986"/>
    </row>
    <row r="85" spans="1:19" x14ac:dyDescent="0.25">
      <c r="A85" s="984"/>
      <c r="B85" s="985"/>
      <c r="C85" s="985"/>
      <c r="D85" s="985"/>
      <c r="E85" s="985"/>
      <c r="F85" s="985"/>
      <c r="G85" s="985"/>
      <c r="H85" s="985"/>
      <c r="I85" s="985"/>
      <c r="J85" s="985"/>
      <c r="K85" s="985"/>
      <c r="L85" s="985"/>
      <c r="M85" s="985"/>
      <c r="N85" s="985"/>
      <c r="O85" s="985"/>
      <c r="P85" s="985"/>
      <c r="Q85" s="985"/>
      <c r="R85" s="985"/>
      <c r="S85" s="986"/>
    </row>
    <row r="86" spans="1:19" x14ac:dyDescent="0.25">
      <c r="A86" s="984"/>
      <c r="B86" s="985"/>
      <c r="C86" s="985"/>
      <c r="D86" s="985"/>
      <c r="E86" s="985"/>
      <c r="F86" s="985"/>
      <c r="G86" s="985"/>
      <c r="H86" s="985"/>
      <c r="I86" s="985"/>
      <c r="J86" s="985"/>
      <c r="K86" s="985"/>
      <c r="L86" s="985"/>
      <c r="M86" s="985"/>
      <c r="N86" s="985"/>
      <c r="O86" s="985"/>
      <c r="P86" s="985"/>
      <c r="Q86" s="985"/>
      <c r="R86" s="985"/>
      <c r="S86" s="986"/>
    </row>
    <row r="87" spans="1:19" x14ac:dyDescent="0.25">
      <c r="A87" s="984"/>
      <c r="B87" s="985"/>
      <c r="C87" s="985"/>
      <c r="D87" s="985"/>
      <c r="E87" s="985"/>
      <c r="F87" s="985"/>
      <c r="G87" s="985"/>
      <c r="H87" s="985"/>
      <c r="I87" s="985"/>
      <c r="J87" s="985"/>
      <c r="K87" s="985"/>
      <c r="L87" s="985"/>
      <c r="M87" s="985"/>
      <c r="N87" s="985"/>
      <c r="O87" s="985"/>
      <c r="P87" s="985"/>
      <c r="Q87" s="985"/>
      <c r="R87" s="985"/>
      <c r="S87" s="986"/>
    </row>
    <row r="88" spans="1:19" x14ac:dyDescent="0.25">
      <c r="A88" s="984"/>
      <c r="B88" s="985"/>
      <c r="C88" s="985"/>
      <c r="D88" s="985"/>
      <c r="E88" s="985"/>
      <c r="F88" s="985"/>
      <c r="G88" s="985"/>
      <c r="H88" s="985"/>
      <c r="I88" s="985"/>
      <c r="J88" s="985"/>
      <c r="K88" s="985"/>
      <c r="L88" s="985"/>
      <c r="M88" s="985"/>
      <c r="N88" s="985"/>
      <c r="O88" s="985"/>
      <c r="P88" s="985"/>
      <c r="Q88" s="985"/>
      <c r="R88" s="985"/>
      <c r="S88" s="986"/>
    </row>
    <row r="89" spans="1:19" x14ac:dyDescent="0.25">
      <c r="A89" s="984"/>
      <c r="B89" s="985"/>
      <c r="C89" s="985"/>
      <c r="D89" s="985"/>
      <c r="E89" s="985"/>
      <c r="F89" s="985"/>
      <c r="G89" s="985"/>
      <c r="H89" s="985"/>
      <c r="I89" s="985"/>
      <c r="J89" s="985"/>
      <c r="K89" s="985"/>
      <c r="L89" s="985"/>
      <c r="M89" s="985"/>
      <c r="N89" s="985"/>
      <c r="O89" s="985"/>
      <c r="P89" s="985"/>
      <c r="Q89" s="985"/>
      <c r="R89" s="985"/>
      <c r="S89" s="986"/>
    </row>
    <row r="90" spans="1:19" x14ac:dyDescent="0.25">
      <c r="A90" s="984"/>
      <c r="B90" s="985"/>
      <c r="C90" s="985"/>
      <c r="D90" s="985"/>
      <c r="E90" s="985"/>
      <c r="F90" s="985"/>
      <c r="G90" s="985"/>
      <c r="H90" s="985"/>
      <c r="I90" s="985"/>
      <c r="J90" s="985"/>
      <c r="K90" s="985"/>
      <c r="L90" s="985"/>
      <c r="M90" s="985"/>
      <c r="N90" s="985"/>
      <c r="O90" s="985"/>
      <c r="P90" s="985"/>
      <c r="Q90" s="985"/>
      <c r="R90" s="985"/>
      <c r="S90" s="986"/>
    </row>
    <row r="91" spans="1:19" x14ac:dyDescent="0.25">
      <c r="A91" s="984"/>
      <c r="B91" s="985"/>
      <c r="C91" s="985"/>
      <c r="D91" s="985"/>
      <c r="E91" s="985"/>
      <c r="F91" s="985"/>
      <c r="G91" s="985"/>
      <c r="H91" s="985"/>
      <c r="I91" s="985"/>
      <c r="J91" s="985"/>
      <c r="K91" s="985"/>
      <c r="L91" s="985"/>
      <c r="M91" s="985"/>
      <c r="N91" s="985"/>
      <c r="O91" s="985"/>
      <c r="P91" s="985"/>
      <c r="Q91" s="985"/>
      <c r="R91" s="985"/>
      <c r="S91" s="986"/>
    </row>
    <row r="92" spans="1:19" x14ac:dyDescent="0.25">
      <c r="A92" s="984"/>
      <c r="B92" s="985"/>
      <c r="C92" s="985"/>
      <c r="D92" s="985"/>
      <c r="E92" s="985"/>
      <c r="F92" s="985"/>
      <c r="G92" s="985"/>
      <c r="H92" s="985"/>
      <c r="I92" s="985"/>
      <c r="J92" s="985"/>
      <c r="K92" s="985"/>
      <c r="L92" s="985"/>
      <c r="M92" s="985"/>
      <c r="N92" s="985"/>
      <c r="O92" s="985"/>
      <c r="P92" s="985"/>
      <c r="Q92" s="985"/>
      <c r="R92" s="985"/>
      <c r="S92" s="986"/>
    </row>
    <row r="93" spans="1:19" x14ac:dyDescent="0.25">
      <c r="A93" s="984"/>
      <c r="B93" s="985"/>
      <c r="C93" s="985"/>
      <c r="D93" s="985"/>
      <c r="E93" s="985"/>
      <c r="F93" s="985"/>
      <c r="G93" s="985"/>
      <c r="H93" s="985"/>
      <c r="I93" s="985"/>
      <c r="J93" s="985"/>
      <c r="K93" s="985"/>
      <c r="L93" s="985"/>
      <c r="M93" s="985"/>
      <c r="N93" s="985"/>
      <c r="O93" s="985"/>
      <c r="P93" s="985"/>
      <c r="Q93" s="985"/>
      <c r="R93" s="985"/>
      <c r="S93" s="986"/>
    </row>
    <row r="94" spans="1:19" x14ac:dyDescent="0.25">
      <c r="A94" s="984"/>
      <c r="B94" s="985"/>
      <c r="C94" s="985"/>
      <c r="D94" s="985"/>
      <c r="E94" s="985"/>
      <c r="F94" s="985"/>
      <c r="G94" s="985"/>
      <c r="H94" s="985"/>
      <c r="I94" s="985"/>
      <c r="J94" s="985"/>
      <c r="K94" s="985"/>
      <c r="L94" s="985"/>
      <c r="M94" s="985"/>
      <c r="N94" s="985"/>
      <c r="O94" s="985"/>
      <c r="P94" s="985"/>
      <c r="Q94" s="985"/>
      <c r="R94" s="985"/>
      <c r="S94" s="986"/>
    </row>
    <row r="95" spans="1:19" x14ac:dyDescent="0.25">
      <c r="A95" s="984"/>
      <c r="B95" s="985"/>
      <c r="C95" s="985"/>
      <c r="D95" s="985"/>
      <c r="E95" s="985"/>
      <c r="F95" s="985"/>
      <c r="G95" s="985"/>
      <c r="H95" s="985"/>
      <c r="I95" s="985"/>
      <c r="J95" s="985"/>
      <c r="K95" s="985"/>
      <c r="L95" s="985"/>
      <c r="M95" s="985"/>
      <c r="N95" s="985"/>
      <c r="O95" s="985"/>
      <c r="P95" s="985"/>
      <c r="Q95" s="985"/>
      <c r="R95" s="985"/>
      <c r="S95" s="986"/>
    </row>
    <row r="96" spans="1:19" x14ac:dyDescent="0.25">
      <c r="A96" s="984"/>
      <c r="B96" s="985"/>
      <c r="C96" s="985"/>
      <c r="D96" s="985"/>
      <c r="E96" s="985"/>
      <c r="F96" s="985"/>
      <c r="G96" s="985"/>
      <c r="H96" s="985"/>
      <c r="I96" s="985"/>
      <c r="J96" s="985"/>
      <c r="K96" s="985"/>
      <c r="L96" s="985"/>
      <c r="M96" s="985"/>
      <c r="N96" s="985"/>
      <c r="O96" s="985"/>
      <c r="P96" s="985"/>
      <c r="Q96" s="985"/>
      <c r="R96" s="985"/>
      <c r="S96" s="986"/>
    </row>
    <row r="97" spans="1:19" x14ac:dyDescent="0.25">
      <c r="A97" s="984"/>
      <c r="B97" s="985"/>
      <c r="C97" s="985"/>
      <c r="D97" s="985"/>
      <c r="E97" s="985"/>
      <c r="F97" s="985"/>
      <c r="G97" s="985"/>
      <c r="H97" s="985"/>
      <c r="I97" s="985"/>
      <c r="J97" s="985"/>
      <c r="K97" s="985"/>
      <c r="L97" s="985"/>
      <c r="M97" s="985"/>
      <c r="N97" s="985"/>
      <c r="O97" s="985"/>
      <c r="P97" s="985"/>
      <c r="Q97" s="985"/>
      <c r="R97" s="985"/>
      <c r="S97" s="986"/>
    </row>
    <row r="98" spans="1:19" x14ac:dyDescent="0.25">
      <c r="A98" s="984"/>
      <c r="B98" s="985"/>
      <c r="C98" s="985"/>
      <c r="D98" s="985"/>
      <c r="E98" s="985"/>
      <c r="F98" s="985"/>
      <c r="G98" s="985"/>
      <c r="H98" s="985"/>
      <c r="I98" s="985"/>
      <c r="J98" s="985"/>
      <c r="K98" s="985"/>
      <c r="L98" s="985"/>
      <c r="M98" s="985"/>
      <c r="N98" s="985"/>
      <c r="O98" s="985"/>
      <c r="P98" s="985"/>
      <c r="Q98" s="985"/>
      <c r="R98" s="985"/>
      <c r="S98" s="986"/>
    </row>
    <row r="99" spans="1:19" x14ac:dyDescent="0.25">
      <c r="A99" s="984"/>
      <c r="B99" s="985"/>
      <c r="C99" s="985"/>
      <c r="D99" s="985"/>
      <c r="E99" s="985"/>
      <c r="F99" s="985"/>
      <c r="G99" s="985"/>
      <c r="H99" s="985"/>
      <c r="I99" s="985"/>
      <c r="J99" s="985"/>
      <c r="K99" s="985"/>
      <c r="L99" s="985"/>
      <c r="M99" s="985"/>
      <c r="N99" s="985"/>
      <c r="O99" s="985"/>
      <c r="P99" s="985"/>
      <c r="Q99" s="985"/>
      <c r="R99" s="985"/>
      <c r="S99" s="986"/>
    </row>
    <row r="100" spans="1:19" x14ac:dyDescent="0.25">
      <c r="A100" s="984"/>
      <c r="B100" s="985"/>
      <c r="C100" s="985"/>
      <c r="D100" s="985"/>
      <c r="E100" s="985"/>
      <c r="F100" s="985"/>
      <c r="G100" s="985"/>
      <c r="H100" s="985"/>
      <c r="I100" s="985"/>
      <c r="J100" s="985"/>
      <c r="K100" s="985"/>
      <c r="L100" s="985"/>
      <c r="M100" s="985"/>
      <c r="N100" s="985"/>
      <c r="O100" s="985"/>
      <c r="P100" s="985"/>
      <c r="Q100" s="985"/>
      <c r="R100" s="985"/>
      <c r="S100" s="986"/>
    </row>
    <row r="101" spans="1:19" x14ac:dyDescent="0.25">
      <c r="A101" s="984"/>
      <c r="B101" s="985"/>
      <c r="C101" s="985"/>
      <c r="D101" s="985"/>
      <c r="E101" s="985"/>
      <c r="F101" s="985"/>
      <c r="G101" s="985"/>
      <c r="H101" s="985"/>
      <c r="I101" s="985"/>
      <c r="J101" s="985"/>
      <c r="K101" s="985"/>
      <c r="L101" s="985"/>
      <c r="M101" s="985"/>
      <c r="N101" s="985"/>
      <c r="O101" s="985"/>
      <c r="P101" s="985"/>
      <c r="Q101" s="985"/>
      <c r="R101" s="985"/>
      <c r="S101" s="986"/>
    </row>
    <row r="102" spans="1:19" x14ac:dyDescent="0.25">
      <c r="A102" s="984"/>
      <c r="B102" s="985"/>
      <c r="C102" s="985"/>
      <c r="D102" s="985"/>
      <c r="E102" s="985"/>
      <c r="F102" s="985"/>
      <c r="G102" s="985"/>
      <c r="H102" s="985"/>
      <c r="I102" s="985"/>
      <c r="J102" s="985"/>
      <c r="K102" s="985"/>
      <c r="L102" s="985"/>
      <c r="M102" s="985"/>
      <c r="N102" s="985"/>
      <c r="O102" s="985"/>
      <c r="P102" s="985"/>
      <c r="Q102" s="985"/>
      <c r="R102" s="985"/>
      <c r="S102" s="986"/>
    </row>
    <row r="103" spans="1:19" x14ac:dyDescent="0.25">
      <c r="A103" s="984"/>
      <c r="B103" s="985"/>
      <c r="C103" s="985"/>
      <c r="D103" s="985"/>
      <c r="E103" s="985"/>
      <c r="F103" s="985"/>
      <c r="G103" s="985"/>
      <c r="H103" s="985"/>
      <c r="I103" s="985"/>
      <c r="J103" s="985"/>
      <c r="K103" s="985"/>
      <c r="L103" s="985"/>
      <c r="M103" s="985"/>
      <c r="N103" s="985"/>
      <c r="O103" s="985"/>
      <c r="P103" s="985"/>
      <c r="Q103" s="985"/>
      <c r="R103" s="985"/>
      <c r="S103" s="986"/>
    </row>
    <row r="104" spans="1:19" ht="15.75" thickBot="1" x14ac:dyDescent="0.3">
      <c r="A104" s="987"/>
      <c r="B104" s="988"/>
      <c r="C104" s="988"/>
      <c r="D104" s="988"/>
      <c r="E104" s="988"/>
      <c r="F104" s="988"/>
      <c r="G104" s="988"/>
      <c r="H104" s="988"/>
      <c r="I104" s="988"/>
      <c r="J104" s="988"/>
      <c r="K104" s="988"/>
      <c r="L104" s="988"/>
      <c r="M104" s="988"/>
      <c r="N104" s="988"/>
      <c r="O104" s="988"/>
      <c r="P104" s="988"/>
      <c r="Q104" s="988"/>
      <c r="R104" s="988"/>
      <c r="S104" s="989"/>
    </row>
  </sheetData>
  <sheetProtection algorithmName="SHA-256" hashValue="KN9z1HKpPsfXiC4LgZ5kg9pNDbUPWWQwQe+yITnVAJM=" saltValue="DR04c4nLHZU2oqYUPBa8jw==" spinCount="100000" sheet="1" objects="1" scenarios="1" formatCells="0" insertRows="0"/>
  <pageMargins left="0.7" right="0.7" top="0.75" bottom="0.75" header="0.3" footer="0.3"/>
  <headerFooter>
    <oddFooter>&amp;C_x000D_&amp;1#&amp;"Aptos"&amp;10&amp;K008000 APA-INTERNAL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F1C94A243DD86478DDEC51CD091C07C" ma:contentTypeVersion="11" ma:contentTypeDescription="Create a new document." ma:contentTypeScope="" ma:versionID="090fb815e1fe95e88d9580c82d4c3641">
  <xsd:schema xmlns:xsd="http://www.w3.org/2001/XMLSchema" xmlns:xs="http://www.w3.org/2001/XMLSchema" xmlns:p="http://schemas.microsoft.com/office/2006/metadata/properties" xmlns:ns2="c4e34a7c-1d34-49f5-b080-f9903dd85afe" xmlns:ns3="d6ba1362-50be-41f2-a27b-20758cce47af" targetNamespace="http://schemas.microsoft.com/office/2006/metadata/properties" ma:root="true" ma:fieldsID="8da3581e5b82d65607d3e5ef52f3de14" ns2:_="" ns3:_="">
    <xsd:import namespace="c4e34a7c-1d34-49f5-b080-f9903dd85afe"/>
    <xsd:import namespace="d6ba1362-50be-41f2-a27b-20758cce47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e34a7c-1d34-49f5-b080-f9903dd85a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13e7742f-285e-485e-85d6-cdf9f73a73c3"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ba1362-50be-41f2-a27b-20758cce47af"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9e7649b4-365a-46ce-9ba5-7bfb22f3e76c}" ma:internalName="TaxCatchAll" ma:showField="CatchAllData" ma:web="d6ba1362-50be-41f2-a27b-20758cce47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4e34a7c-1d34-49f5-b080-f9903dd85afe">
      <Terms xmlns="http://schemas.microsoft.com/office/infopath/2007/PartnerControls"/>
    </lcf76f155ced4ddcb4097134ff3c332f>
    <TaxCatchAll xmlns="d6ba1362-50be-41f2-a27b-20758cce47af" xsi:nil="true"/>
  </documentManagement>
</p:properties>
</file>

<file path=customXml/itemProps1.xml><?xml version="1.0" encoding="utf-8"?>
<ds:datastoreItem xmlns:ds="http://schemas.openxmlformats.org/officeDocument/2006/customXml" ds:itemID="{13581FE6-569B-4C52-B677-7248AC9CF9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e34a7c-1d34-49f5-b080-f9903dd85afe"/>
    <ds:schemaRef ds:uri="d6ba1362-50be-41f2-a27b-20758cce47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527C65B-D4CA-44C8-AAEB-1BC872CBA4AD}">
  <ds:schemaRefs>
    <ds:schemaRef ds:uri="http://schemas.microsoft.com/sharepoint/v3/contenttype/forms"/>
  </ds:schemaRefs>
</ds:datastoreItem>
</file>

<file path=customXml/itemProps3.xml><?xml version="1.0" encoding="utf-8"?>
<ds:datastoreItem xmlns:ds="http://schemas.openxmlformats.org/officeDocument/2006/customXml" ds:itemID="{6C1DE476-A170-451A-9C11-11BAD233E51B}">
  <ds:schemaRefs>
    <ds:schemaRef ds:uri="http://schemas.microsoft.com/office/infopath/2007/PartnerControls"/>
    <ds:schemaRef ds:uri="http://purl.org/dc/elements/1.1/"/>
    <ds:schemaRef ds:uri="http://purl.org/dc/dcmitype/"/>
    <ds:schemaRef ds:uri="http://schemas.microsoft.com/office/2006/documentManagement/types"/>
    <ds:schemaRef ds:uri="http://schemas.openxmlformats.org/package/2006/metadata/core-properties"/>
    <ds:schemaRef ds:uri="d6ba1362-50be-41f2-a27b-20758cce47af"/>
    <ds:schemaRef ds:uri="http://purl.org/dc/terms/"/>
    <ds:schemaRef ds:uri="http://schemas.microsoft.com/office/2006/metadata/properties"/>
    <ds:schemaRef ds:uri="c4e34a7c-1d34-49f5-b080-f9903dd85afe"/>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380</vt:i4>
      </vt:variant>
    </vt:vector>
  </HeadingPairs>
  <TitlesOfParts>
    <vt:vector size="389" baseType="lpstr">
      <vt:lpstr>Instructions</vt:lpstr>
      <vt:lpstr>CONTENTS</vt:lpstr>
      <vt:lpstr>Business &amp; other details</vt:lpstr>
      <vt:lpstr>E2. Repex</vt:lpstr>
      <vt:lpstr>E3. Expansion</vt:lpstr>
      <vt:lpstr>E6. Non-network</vt:lpstr>
      <vt:lpstr>E10. Overheads</vt:lpstr>
      <vt:lpstr>E13. Other capex</vt:lpstr>
      <vt:lpstr>Additional disclosures</vt:lpstr>
      <vt:lpstr>ARR</vt:lpstr>
      <vt:lpstr>ARR_Fmt2</vt:lpstr>
      <vt:lpstr>CA</vt:lpstr>
      <vt:lpstr>CA_Fmt2</vt:lpstr>
      <vt:lpstr>Calendar</vt:lpstr>
      <vt:lpstr>CESS</vt:lpstr>
      <vt:lpstr>CESS_Fmt2</vt:lpstr>
      <vt:lpstr>CPI</vt:lpstr>
      <vt:lpstr>CPI_Fmt2</vt:lpstr>
      <vt:lpstr>CRCP_final_year</vt:lpstr>
      <vt:lpstr>CRCP_start_year</vt:lpstr>
      <vt:lpstr>CRCP_y1</vt:lpstr>
      <vt:lpstr>CRCP_y10</vt:lpstr>
      <vt:lpstr>CRCP_y11</vt:lpstr>
      <vt:lpstr>CRCP_y12</vt:lpstr>
      <vt:lpstr>CRCP_y13</vt:lpstr>
      <vt:lpstr>CRCP_y14</vt:lpstr>
      <vt:lpstr>CRCP_y15</vt:lpstr>
      <vt:lpstr>CRCP_y16</vt:lpstr>
      <vt:lpstr>CRCP_y2</vt:lpstr>
      <vt:lpstr>CRCP_y3</vt:lpstr>
      <vt:lpstr>CRCP_y4</vt:lpstr>
      <vt:lpstr>CRCP_y5</vt:lpstr>
      <vt:lpstr>CRCP_y6</vt:lpstr>
      <vt:lpstr>CRCP_y7</vt:lpstr>
      <vt:lpstr>CRCP_y8</vt:lpstr>
      <vt:lpstr>CRCP_y9</vt:lpstr>
      <vt:lpstr>CRY</vt:lpstr>
      <vt:lpstr>dms_020303_01_UOM</vt:lpstr>
      <vt:lpstr>dms_020501_01_UOM</vt:lpstr>
      <vt:lpstr>dms_020501_02_UOM</vt:lpstr>
      <vt:lpstr>dms_020501_03_UOM</vt:lpstr>
      <vt:lpstr>dms_020501_04_UOM</vt:lpstr>
      <vt:lpstr>dms_020603_01_UOM</vt:lpstr>
      <vt:lpstr>dms_020701_01_Rows</vt:lpstr>
      <vt:lpstr>dms_020701_01_UOM</vt:lpstr>
      <vt:lpstr>dms_020701_02_UOM</vt:lpstr>
      <vt:lpstr>dms_0306_Year</vt:lpstr>
      <vt:lpstr>dms_030601_01_UOM</vt:lpstr>
      <vt:lpstr>dms_030601_02_UOM</vt:lpstr>
      <vt:lpstr>dms_030605_UOM</vt:lpstr>
      <vt:lpstr>dms_03060703_UOM</vt:lpstr>
      <vt:lpstr>dms_030701_01_UOM</vt:lpstr>
      <vt:lpstr>dms_030702_01_UOM</vt:lpstr>
      <vt:lpstr>dms_030703_01_UOM</vt:lpstr>
      <vt:lpstr>dms_040102_01_UOM</vt:lpstr>
      <vt:lpstr>dms_040102_04_UOM</vt:lpstr>
      <vt:lpstr>dms_0502_Inst_Year</vt:lpstr>
      <vt:lpstr>dms_060101_Rows</vt:lpstr>
      <vt:lpstr>dms_060101_StartDateTxt</vt:lpstr>
      <vt:lpstr>dms_060101_StartDateVal</vt:lpstr>
      <vt:lpstr>dms_060102_Rows</vt:lpstr>
      <vt:lpstr>dms_0603_FeederList</vt:lpstr>
      <vt:lpstr>dms_060301_Avg_Duration_Sustained_Int_Row</vt:lpstr>
      <vt:lpstr>dms_060301_checkvalue</vt:lpstr>
      <vt:lpstr>dms_060301_CustNo_Affected_Row</vt:lpstr>
      <vt:lpstr>dms_060301_Effect_unplanned_SAIDI_Row</vt:lpstr>
      <vt:lpstr>dms_060301_Effect_unplanned_SAIFI_Row</vt:lpstr>
      <vt:lpstr>dms_060301_LastRow</vt:lpstr>
      <vt:lpstr>dms_060301_MaxRows</vt:lpstr>
      <vt:lpstr>dms_060701_ARR_MaxRows</vt:lpstr>
      <vt:lpstr>dms_060701_Feeder_Header_Lvl4</vt:lpstr>
      <vt:lpstr>dms_060701_MaxCols</vt:lpstr>
      <vt:lpstr>dms_060701_MaxRows</vt:lpstr>
      <vt:lpstr>dms_060701_OffsetRows</vt:lpstr>
      <vt:lpstr>dms_060701_Reset_MaxRows</vt:lpstr>
      <vt:lpstr>dms_060701_Rows</vt:lpstr>
      <vt:lpstr>dms_060701_StartDateTxt</vt:lpstr>
      <vt:lpstr>dms_060701_StartDateVal</vt:lpstr>
      <vt:lpstr>dms_0608_LastRow</vt:lpstr>
      <vt:lpstr>dms_0608_OffsetRows</vt:lpstr>
      <vt:lpstr>dms_060801_01_Rows</vt:lpstr>
      <vt:lpstr>dms_060801_02_Rows</vt:lpstr>
      <vt:lpstr>dms_060801_03_Rows</vt:lpstr>
      <vt:lpstr>dms_060801_04_Rows</vt:lpstr>
      <vt:lpstr>dms_060801_MaxRows</vt:lpstr>
      <vt:lpstr>dms_070904_01_Rows</vt:lpstr>
      <vt:lpstr>dms_070904_Start_Year</vt:lpstr>
      <vt:lpstr>dms_663</vt:lpstr>
      <vt:lpstr>dms_663_List</vt:lpstr>
      <vt:lpstr>dms_ABN</vt:lpstr>
      <vt:lpstr>dms_ABN_List</vt:lpstr>
      <vt:lpstr>dms_Addr1</vt:lpstr>
      <vt:lpstr>dms_Addr1_List</vt:lpstr>
      <vt:lpstr>dms_Addr2</vt:lpstr>
      <vt:lpstr>dms_Addr2_List</vt:lpstr>
      <vt:lpstr>dms_Amendment_Text</vt:lpstr>
      <vt:lpstr>dms_AmendmentReason</vt:lpstr>
      <vt:lpstr>dms_ARR</vt:lpstr>
      <vt:lpstr>dms_Beg</vt:lpstr>
      <vt:lpstr>dms_CA</vt:lpstr>
      <vt:lpstr>dms_Cal_Year_B4_CRY</vt:lpstr>
      <vt:lpstr>dms_CBD_flag</vt:lpstr>
      <vt:lpstr>dms_CBD_flag_NSP</vt:lpstr>
      <vt:lpstr>dms_CF_3.6.1</vt:lpstr>
      <vt:lpstr>dms_CF_3.6.5</vt:lpstr>
      <vt:lpstr>dms_CF_3.6.6</vt:lpstr>
      <vt:lpstr>dms_CF_3.6.7.1</vt:lpstr>
      <vt:lpstr>dms_CF_3.6.7.2</vt:lpstr>
      <vt:lpstr>dms_CF_3.6.7.3</vt:lpstr>
      <vt:lpstr>dms_CF_3.6.7.4</vt:lpstr>
      <vt:lpstr>dms_CF_3.6.8</vt:lpstr>
      <vt:lpstr>dms_CF_4.1</vt:lpstr>
      <vt:lpstr>dms_CF_4.4.1</vt:lpstr>
      <vt:lpstr>dms_CF_6.6.1</vt:lpstr>
      <vt:lpstr>dms_CF_6.8</vt:lpstr>
      <vt:lpstr>dms_CF_7.12</vt:lpstr>
      <vt:lpstr>dms_CF_8.1_A</vt:lpstr>
      <vt:lpstr>dms_CF_8.1_B</vt:lpstr>
      <vt:lpstr>dms_CF_8.1_Neg</vt:lpstr>
      <vt:lpstr>dms_CF_TradingName</vt:lpstr>
      <vt:lpstr>dms_Classification</vt:lpstr>
      <vt:lpstr>dms_Confid_status_List</vt:lpstr>
      <vt:lpstr>dms_ContactEmail</vt:lpstr>
      <vt:lpstr>dms_ContactEmail2</vt:lpstr>
      <vt:lpstr>dms_ContactName1</vt:lpstr>
      <vt:lpstr>dms_ContactName2</vt:lpstr>
      <vt:lpstr>dms_ContactPh1</vt:lpstr>
      <vt:lpstr>dms_ContactPh2</vt:lpstr>
      <vt:lpstr>dms_CRCP_start_row</vt:lpstr>
      <vt:lpstr>dms_CRCPlength_List</vt:lpstr>
      <vt:lpstr>dms_CRCPlength_Num</vt:lpstr>
      <vt:lpstr>dms_CRY_RYE</vt:lpstr>
      <vt:lpstr>dms_CRY_start_row</vt:lpstr>
      <vt:lpstr>dms_CRY_start_year</vt:lpstr>
      <vt:lpstr>dms_DataQuality</vt:lpstr>
      <vt:lpstr>dms_DataQuality_List</vt:lpstr>
      <vt:lpstr>dms_Defined_Names_Used</vt:lpstr>
      <vt:lpstr>dms_DISCARD</vt:lpstr>
      <vt:lpstr>dms_DNSP_020301_ProjectTrigger</vt:lpstr>
      <vt:lpstr>dms_DNSP_020301_ProjectType</vt:lpstr>
      <vt:lpstr>dms_DNSP_020301_SubstationType</vt:lpstr>
      <vt:lpstr>dms_DNSP_020302_ProjectTrigger</vt:lpstr>
      <vt:lpstr>dms_DNSP_020302_ProjectType</vt:lpstr>
      <vt:lpstr>dms_dollar_nom_UOM</vt:lpstr>
      <vt:lpstr>dms_DollarReal</vt:lpstr>
      <vt:lpstr>dms_DollarReal_Prev</vt:lpstr>
      <vt:lpstr>dms_DollarReal_year</vt:lpstr>
      <vt:lpstr>dms_DQ_1</vt:lpstr>
      <vt:lpstr>dms_DQ_2</vt:lpstr>
      <vt:lpstr>dms_E020101_CC_Rows</vt:lpstr>
      <vt:lpstr>dms_E020101_CC_Values</vt:lpstr>
      <vt:lpstr>dms_E020101_Rows</vt:lpstr>
      <vt:lpstr>dms_E020101_Values</vt:lpstr>
      <vt:lpstr>dms_E0202_ProjectNames</vt:lpstr>
      <vt:lpstr>dms_E020201_Values</vt:lpstr>
      <vt:lpstr>dms_E020202_UOM</vt:lpstr>
      <vt:lpstr>dms_E020202_Values</vt:lpstr>
      <vt:lpstr>dms_E030101_CC_Rows</vt:lpstr>
      <vt:lpstr>dms_E030101_CC_Values</vt:lpstr>
      <vt:lpstr>dms_E030101_Rows</vt:lpstr>
      <vt:lpstr>dms_E030101_Values</vt:lpstr>
      <vt:lpstr>dms_E0302_ProjectNames</vt:lpstr>
      <vt:lpstr>dms_E030201_Values</vt:lpstr>
      <vt:lpstr>dms_E030202_Values</vt:lpstr>
      <vt:lpstr>dms_E06_ProjectNames</vt:lpstr>
      <vt:lpstr>dms_E060101_CC_Rows</vt:lpstr>
      <vt:lpstr>dms_E060101_CC_Values</vt:lpstr>
      <vt:lpstr>dms_E060101_Rows</vt:lpstr>
      <vt:lpstr>dms_E060101_Values</vt:lpstr>
      <vt:lpstr>dms_E060102_Values</vt:lpstr>
      <vt:lpstr>dms_E10_01_Rows</vt:lpstr>
      <vt:lpstr>dms_E10_02_Rows</vt:lpstr>
      <vt:lpstr>dms_E100101_01_Values</vt:lpstr>
      <vt:lpstr>dms_E100101_02_Values</vt:lpstr>
      <vt:lpstr>dms_E100101_capex_01_Values</vt:lpstr>
      <vt:lpstr>dms_E100101_capex_02_Values</vt:lpstr>
      <vt:lpstr>dms_E100101_opex_01_Values</vt:lpstr>
      <vt:lpstr>dms_E100101_opex_02_Values</vt:lpstr>
      <vt:lpstr>dms_E100102_01_Values</vt:lpstr>
      <vt:lpstr>dms_E100102_02_Values</vt:lpstr>
      <vt:lpstr>dms_E100201_01_Values</vt:lpstr>
      <vt:lpstr>dms_E100201_02_Values</vt:lpstr>
      <vt:lpstr>dms_E100201_capex_01_Values</vt:lpstr>
      <vt:lpstr>dms_E100201_capex_02_Values</vt:lpstr>
      <vt:lpstr>dms_E100201_opex_01_Values</vt:lpstr>
      <vt:lpstr>dms_E100201_opex_02_Values</vt:lpstr>
      <vt:lpstr>dms_E100202_01_Values</vt:lpstr>
      <vt:lpstr>dms_E100202_02_Values</vt:lpstr>
      <vt:lpstr>dms_E13_ProjectNames</vt:lpstr>
      <vt:lpstr>dms_E130101_CC_Rows</vt:lpstr>
      <vt:lpstr>dms_E130101_CC_Values</vt:lpstr>
      <vt:lpstr>dms_E130101_Rows</vt:lpstr>
      <vt:lpstr>dms_E130101_Values</vt:lpstr>
      <vt:lpstr>dms_E130102_Values</vt:lpstr>
      <vt:lpstr>dms_EB</vt:lpstr>
      <vt:lpstr>dms_EB_RAB_PIT</vt:lpstr>
      <vt:lpstr>dms_End</vt:lpstr>
      <vt:lpstr>dms_FeederName_1</vt:lpstr>
      <vt:lpstr>dms_FeederName_2</vt:lpstr>
      <vt:lpstr>dms_FeederName_3</vt:lpstr>
      <vt:lpstr>dms_FeederName_4</vt:lpstr>
      <vt:lpstr>dms_FeederName_5</vt:lpstr>
      <vt:lpstr>dms_FeederType_5_flag</vt:lpstr>
      <vt:lpstr>dms_FifthFeeder_flag_NSP</vt:lpstr>
      <vt:lpstr>dms_FormControl</vt:lpstr>
      <vt:lpstr>dms_FormControl_Choices</vt:lpstr>
      <vt:lpstr>dms_FormControl_List</vt:lpstr>
      <vt:lpstr>dms_FRCP_start_row</vt:lpstr>
      <vt:lpstr>dms_FRCP_y1</vt:lpstr>
      <vt:lpstr>dms_FRCPlength_List</vt:lpstr>
      <vt:lpstr>dms_FRCPlength_Num</vt:lpstr>
      <vt:lpstr>dms_Header_Span</vt:lpstr>
      <vt:lpstr>dms_Jurisdiction</vt:lpstr>
      <vt:lpstr>dms_JurisdictionList</vt:lpstr>
      <vt:lpstr>dms_LeapYear_Result</vt:lpstr>
      <vt:lpstr>dms_LongRural_flag</vt:lpstr>
      <vt:lpstr>dms_LongRural_flag_NSP</vt:lpstr>
      <vt:lpstr>dms_MAIFI_flag_List</vt:lpstr>
      <vt:lpstr>dms_Mid</vt:lpstr>
      <vt:lpstr>dms_Model</vt:lpstr>
      <vt:lpstr>dms_Model_List</vt:lpstr>
      <vt:lpstr>dms_Model_Name_Format1</vt:lpstr>
      <vt:lpstr>dms_Model_Span</vt:lpstr>
      <vt:lpstr>dms_Model_Span_List</vt:lpstr>
      <vt:lpstr>dms_Multi_RYE_flag</vt:lpstr>
      <vt:lpstr>dms_MultiYear_ABC_RIN</vt:lpstr>
      <vt:lpstr>dms_MultiYear_FinalYear_Result</vt:lpstr>
      <vt:lpstr>dms_MultiYear_Flag</vt:lpstr>
      <vt:lpstr>dms_MultiYear_ResponseFlag</vt:lpstr>
      <vt:lpstr>dms_N0205_AssetType</vt:lpstr>
      <vt:lpstr>dms_PAddr1</vt:lpstr>
      <vt:lpstr>dms_PAddr1_List</vt:lpstr>
      <vt:lpstr>dms_PAddr2</vt:lpstr>
      <vt:lpstr>dms_PAddr2_List</vt:lpstr>
      <vt:lpstr>dms_Partial</vt:lpstr>
      <vt:lpstr>dms_PostCode</vt:lpstr>
      <vt:lpstr>dms_PostCode_List</vt:lpstr>
      <vt:lpstr>dms_PPostCode</vt:lpstr>
      <vt:lpstr>dms_PPostCode_List</vt:lpstr>
      <vt:lpstr>dms_PRCP_start_row</vt:lpstr>
      <vt:lpstr>dms_PRCPlength_List</vt:lpstr>
      <vt:lpstr>dms_PRCPlength_Num</vt:lpstr>
      <vt:lpstr>dms_Previous_DollarReal_year</vt:lpstr>
      <vt:lpstr>dms_PState</vt:lpstr>
      <vt:lpstr>dms_PState_List</vt:lpstr>
      <vt:lpstr>dms_PSuburb</vt:lpstr>
      <vt:lpstr>dms_PSuburb_List</vt:lpstr>
      <vt:lpstr>dms_PTRM_RAB_PIT</vt:lpstr>
      <vt:lpstr>dms_PTRM_TAB_PIT</vt:lpstr>
      <vt:lpstr>dms_Public_Lighting</vt:lpstr>
      <vt:lpstr>dms_Public_Lighting_List</vt:lpstr>
      <vt:lpstr>dms_Reason_Interruption</vt:lpstr>
      <vt:lpstr>dms_Reset_final_year</vt:lpstr>
      <vt:lpstr>dms_Reset_RYE</vt:lpstr>
      <vt:lpstr>dms_Reset_Span</vt:lpstr>
      <vt:lpstr>dms_RPT</vt:lpstr>
      <vt:lpstr>dms_RPT_List</vt:lpstr>
      <vt:lpstr>dms_RPTMonth</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dms_RYE_result</vt:lpstr>
      <vt:lpstr>dms_RYE_start_row</vt:lpstr>
      <vt:lpstr>dms_S140101_UOM</vt:lpstr>
      <vt:lpstr>dms_S140102_UOM</vt:lpstr>
      <vt:lpstr>dms_S140201_UOM</vt:lpstr>
      <vt:lpstr>dms_Sector</vt:lpstr>
      <vt:lpstr>dms_Sector_List</vt:lpstr>
      <vt:lpstr>dms_Segment</vt:lpstr>
      <vt:lpstr>dms_Segment_List</vt:lpstr>
      <vt:lpstr>dms_Selected_Quality</vt:lpstr>
      <vt:lpstr>dms_Selected_Source</vt:lpstr>
      <vt:lpstr>dms_Selected_Status</vt:lpstr>
      <vt:lpstr>dms_ShortRural_flag</vt:lpstr>
      <vt:lpstr>dms_ShortRural_flag_NSP</vt:lpstr>
      <vt:lpstr>dms_SingleYear_FinalYear_Result</vt:lpstr>
      <vt:lpstr>dms_SingleYear_Model</vt:lpstr>
      <vt:lpstr>dms_SingleYearModel</vt:lpstr>
      <vt:lpstr>dms_Source</vt:lpstr>
      <vt:lpstr>dms_SourceList</vt:lpstr>
      <vt:lpstr>dms_Specified_FinalYear</vt:lpstr>
      <vt:lpstr>dms_Specified_RYE</vt:lpstr>
      <vt:lpstr>dms_SpecifiedYear_final_year</vt:lpstr>
      <vt:lpstr>dms_SpecifiedYear_Span</vt:lpstr>
      <vt:lpstr>dms_start_year</vt:lpstr>
      <vt:lpstr>dms_State</vt:lpstr>
      <vt:lpstr>dms_State_List</vt:lpstr>
      <vt:lpstr>dms_STPIS_Exclusion_List</vt:lpstr>
      <vt:lpstr>dms_SubmissionDate</vt:lpstr>
      <vt:lpstr>dms_Suburb</vt:lpstr>
      <vt:lpstr>dms_Suburb_List</vt:lpstr>
      <vt:lpstr>dms_TemplateNumber</vt:lpstr>
      <vt:lpstr>dms_TNSP_0203_ProjectTrigger</vt:lpstr>
      <vt:lpstr>dms_TNSP_0203_SubstationType</vt:lpstr>
      <vt:lpstr>dms_TNSP_020301_ProjectTrigger</vt:lpstr>
      <vt:lpstr>dms_TNSP_020301_ProjectType</vt:lpstr>
      <vt:lpstr>dms_TNSP_020302_ProjectType</vt:lpstr>
      <vt:lpstr>dms_Today</vt:lpstr>
      <vt:lpstr>dms_TradingName</vt:lpstr>
      <vt:lpstr>dms_TradingName_List</vt:lpstr>
      <vt:lpstr>dms_TradingNameFull</vt:lpstr>
      <vt:lpstr>dms_TradingNameFull_List</vt:lpstr>
      <vt:lpstr>dms_Typed_Submission_Date</vt:lpstr>
      <vt:lpstr>dms_UID</vt:lpstr>
      <vt:lpstr>dms_UID_List</vt:lpstr>
      <vt:lpstr>dms_Urban_flag</vt:lpstr>
      <vt:lpstr>dms_Urban_flag_NSP</vt:lpstr>
      <vt:lpstr>dms_Worksheet_List</vt:lpstr>
      <vt:lpstr>DMS_Xfactor</vt:lpstr>
      <vt:lpstr>dms_y1</vt:lpstr>
      <vt:lpstr>dms_y10</vt:lpstr>
      <vt:lpstr>dms_y11</vt:lpstr>
      <vt:lpstr>dms_y12</vt:lpstr>
      <vt:lpstr>dms_y13</vt:lpstr>
      <vt:lpstr>dms_y14</vt:lpstr>
      <vt:lpstr>dms_y15</vt:lpstr>
      <vt:lpstr>dms_y16</vt:lpstr>
      <vt:lpstr>dms_y2</vt:lpstr>
      <vt:lpstr>dms_y3</vt:lpstr>
      <vt:lpstr>dms_y4</vt:lpstr>
      <vt:lpstr>dms_y5</vt:lpstr>
      <vt:lpstr>dms_y6</vt:lpstr>
      <vt:lpstr>dms_y7</vt:lpstr>
      <vt:lpstr>dms_y8</vt:lpstr>
      <vt:lpstr>dms_y9</vt:lpstr>
      <vt:lpstr>EB</vt:lpstr>
      <vt:lpstr>EB_Fmt2</vt:lpstr>
      <vt:lpstr>Financial</vt:lpstr>
      <vt:lpstr>FRCP_final_year</vt:lpstr>
      <vt:lpstr>FRCP_start_year</vt:lpstr>
      <vt:lpstr>FRCP_y1</vt:lpstr>
      <vt:lpstr>FRCP_y10</vt:lpstr>
      <vt:lpstr>FRCP_y11</vt:lpstr>
      <vt:lpstr>FRCP_y12</vt:lpstr>
      <vt:lpstr>FRCP_y13</vt:lpstr>
      <vt:lpstr>FRCP_y14</vt:lpstr>
      <vt:lpstr>FRCP_y15</vt:lpstr>
      <vt:lpstr>FRCP_y16</vt:lpstr>
      <vt:lpstr>FRCP_y2</vt:lpstr>
      <vt:lpstr>FRCP_y3</vt:lpstr>
      <vt:lpstr>FRCP_y4</vt:lpstr>
      <vt:lpstr>FRCP_y5</vt:lpstr>
      <vt:lpstr>FRCP_y6</vt:lpstr>
      <vt:lpstr>FRCP_y7</vt:lpstr>
      <vt:lpstr>FRCP_y8</vt:lpstr>
      <vt:lpstr>FRCP_y9</vt:lpstr>
      <vt:lpstr>FRY</vt:lpstr>
      <vt:lpstr>inserted_Power_and_Water__added_NRs__dms_FeederCat_1_and_dms_FeederCat_2</vt:lpstr>
      <vt:lpstr>JurisdictionList</vt:lpstr>
      <vt:lpstr>MAIFI_flag</vt:lpstr>
      <vt:lpstr>PRCP_final_year</vt:lpstr>
      <vt:lpstr>PRCP_start_year</vt:lpstr>
      <vt:lpstr>PRCP_y1</vt:lpstr>
      <vt:lpstr>PRCP_y10</vt:lpstr>
      <vt:lpstr>PRCP_y11</vt:lpstr>
      <vt:lpstr>PRCP_y12</vt:lpstr>
      <vt:lpstr>PRCP_y13</vt:lpstr>
      <vt:lpstr>PRCP_y14</vt:lpstr>
      <vt:lpstr>PRCP_y15</vt:lpstr>
      <vt:lpstr>PRCP_y16</vt:lpstr>
      <vt:lpstr>PRCP_y2</vt:lpstr>
      <vt:lpstr>PRCP_y3</vt:lpstr>
      <vt:lpstr>PRCP_y4</vt:lpstr>
      <vt:lpstr>PRCP_y5</vt:lpstr>
      <vt:lpstr>PRCP_y6</vt:lpstr>
      <vt:lpstr>PRCP_y7</vt:lpstr>
      <vt:lpstr>PRCP_y8</vt:lpstr>
      <vt:lpstr>PRCP_y9</vt:lpstr>
      <vt:lpstr>Pricing</vt:lpstr>
      <vt:lpstr>Pricing_Fmt2</vt:lpstr>
      <vt:lpstr>PTRM</vt:lpstr>
      <vt:lpstr>PTRM_Fmt2</vt:lpstr>
      <vt:lpstr>Reset</vt:lpstr>
      <vt:lpstr>Reset_Fmt2</vt:lpstr>
      <vt:lpstr>RFM</vt:lpstr>
      <vt:lpstr>RFM_Fmt2</vt:lpstr>
      <vt:lpstr>Sector</vt:lpstr>
      <vt:lpstr>Segment</vt:lpstr>
      <vt:lpstr>select</vt:lpstr>
      <vt:lpstr>WACC</vt:lpstr>
      <vt:lpstr>WACC_Fmt2</vt:lpstr>
    </vt:vector>
  </TitlesOfParts>
  <Manager/>
  <Company>ACCC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AER</dc:creator>
  <cp:keywords>TNSP; Reset; Gas; 2027-31; NT</cp:keywords>
  <dc:description/>
  <cp:lastModifiedBy>Jana ZEMAN</cp:lastModifiedBy>
  <cp:revision/>
  <dcterms:created xsi:type="dcterms:W3CDTF">2018-03-27T22:19:10Z</dcterms:created>
  <dcterms:modified xsi:type="dcterms:W3CDTF">2026-07-13T05:42:05Z</dcterms:modified>
  <cp:category>TNSP;Reset;Gas;2027-31;NT</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2024-06-13T23:51:06Z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a49c3462-e297-40e5-85e0-c240d602201f</vt:lpwstr>
  </property>
  <property fmtid="{D5CDD505-2E9C-101B-9397-08002B2CF9AE}" pid="8" name="MSIP_Label_d9d5a995-dfdf-4407-9a97-edbbc68c9f53_ContentBits">
    <vt:lpwstr>0</vt:lpwstr>
  </property>
  <property fmtid="{D5CDD505-2E9C-101B-9397-08002B2CF9AE}" pid="9" name="ContentTypeId">
    <vt:lpwstr>0x0101005F1C94A243DD86478DDEC51CD091C07C</vt:lpwstr>
  </property>
  <property fmtid="{D5CDD505-2E9C-101B-9397-08002B2CF9AE}" pid="10" name="MSIP_Label_8e2e509a-f02b-496b-97a8-09ffbb9893ea_Enabled">
    <vt:lpwstr>true</vt:lpwstr>
  </property>
  <property fmtid="{D5CDD505-2E9C-101B-9397-08002B2CF9AE}" pid="11" name="MSIP_Label_8e2e509a-f02b-496b-97a8-09ffbb9893ea_SetDate">
    <vt:lpwstr>2026-03-19T03:25:03Z</vt:lpwstr>
  </property>
  <property fmtid="{D5CDD505-2E9C-101B-9397-08002B2CF9AE}" pid="12" name="MSIP_Label_8e2e509a-f02b-496b-97a8-09ffbb9893ea_Method">
    <vt:lpwstr>Privileged</vt:lpwstr>
  </property>
  <property fmtid="{D5CDD505-2E9C-101B-9397-08002B2CF9AE}" pid="13" name="MSIP_Label_8e2e509a-f02b-496b-97a8-09ffbb9893ea_Name">
    <vt:lpwstr>APA-Internal</vt:lpwstr>
  </property>
  <property fmtid="{D5CDD505-2E9C-101B-9397-08002B2CF9AE}" pid="14" name="MSIP_Label_8e2e509a-f02b-496b-97a8-09ffbb9893ea_SiteId">
    <vt:lpwstr>234ac309-c216-4661-a5ba-18879f6c4c75</vt:lpwstr>
  </property>
  <property fmtid="{D5CDD505-2E9C-101B-9397-08002B2CF9AE}" pid="15" name="MSIP_Label_8e2e509a-f02b-496b-97a8-09ffbb9893ea_ActionId">
    <vt:lpwstr>2098faac-c596-4add-b134-9d763ff6a36d</vt:lpwstr>
  </property>
  <property fmtid="{D5CDD505-2E9C-101B-9397-08002B2CF9AE}" pid="16" name="MSIP_Label_8e2e509a-f02b-496b-97a8-09ffbb9893ea_ContentBits">
    <vt:lpwstr>2</vt:lpwstr>
  </property>
  <property fmtid="{D5CDD505-2E9C-101B-9397-08002B2CF9AE}" pid="17" name="MSIP_Label_8e2e509a-f02b-496b-97a8-09ffbb9893ea_Tag">
    <vt:lpwstr>10, 0, 1, 1</vt:lpwstr>
  </property>
  <property fmtid="{D5CDD505-2E9C-101B-9397-08002B2CF9AE}" pid="18" name="MediaServiceImageTags">
    <vt:lpwstr/>
  </property>
</Properties>
</file>