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uid\AppData\Roaming\iManage\Work\Recent\AER25012036 - Monitoring team - Powerlink 2027-32 - Determination\"/>
    </mc:Choice>
  </mc:AlternateContent>
  <xr:revisionPtr revIDLastSave="0" documentId="8_{DB0A0A2B-7740-48C4-9973-F1A3269C7D02}" xr6:coauthVersionLast="47" xr6:coauthVersionMax="47" xr10:uidLastSave="{00000000-0000-0000-0000-000000000000}"/>
  <bookViews>
    <workbookView xWindow="15" yWindow="0" windowWidth="38505" windowHeight="20985" xr2:uid="{C8A66B82-8A74-493D-91D9-E60B13902378}"/>
  </bookViews>
  <sheets>
    <sheet name="Draft Decision" sheetId="6" r:id="rId1"/>
    <sheet name="@Risk simulation" sheetId="4" r:id="rId2"/>
  </sheets>
  <externalReferences>
    <externalReference r:id="rId3"/>
    <externalReference r:id="rId4"/>
    <externalReference r:id="rId5"/>
    <externalReference r:id="rId6"/>
  </externalReferences>
  <definedNames>
    <definedName name="_AtRisk_FitDataRange_FIT_28AF7_1F99B" hidden="1">#REF!</definedName>
    <definedName name="_AtRisk_FitDataRange_FIT_2D65F_B893F" hidden="1">#REF!</definedName>
    <definedName name="_AtRisk_FitDataRange_FIT_53444_B6F0A" hidden="1">#REF!</definedName>
    <definedName name="_AtRisk_FitDataRange_FIT_6046A_B0EEE" hidden="1">#REF!</definedName>
    <definedName name="_AtRisk_FitDataRange_FIT_65992_237BE" hidden="1">#REF!</definedName>
    <definedName name="_AtRisk_FitDataRange_FIT_77513_24C6A" hidden="1">#REF!</definedName>
    <definedName name="_AtRisk_FitDataRange_FIT_77728_A3A06" hidden="1">#REF!</definedName>
    <definedName name="_AtRisk_FitDataRange_FIT_7BB60_E67B5" hidden="1">#REF!</definedName>
    <definedName name="_AtRisk_FitDataRange_FIT_7C184_48ED9" hidden="1">#REF!</definedName>
    <definedName name="_AtRisk_FitDataRange_FIT_819_538C5" hidden="1">#REF!</definedName>
    <definedName name="_AtRisk_FitDataRange_FIT_89E92_3A95F" hidden="1">#REF!</definedName>
    <definedName name="_AtRisk_FitDataRange_FIT_A8D14_273D1" hidden="1">#REF!</definedName>
    <definedName name="_AtRisk_FitDataRange_FIT_AB370_6C441" hidden="1">#REF!</definedName>
    <definedName name="_AtRisk_FitDataRange_FIT_C5E5D_D37CA" hidden="1">#REF!</definedName>
    <definedName name="_AtRisk_FitDataRange_FIT_D4A43_A61BA" hidden="1">#REF!</definedName>
    <definedName name="_AtRisk_FitDataRange_FIT_D8145_250FD" hidden="1">#REF!</definedName>
    <definedName name="_AtRisk_FitDataRange_FIT_DC4D0_7EB56" hidden="1">#REF!</definedName>
    <definedName name="abba" localSheetId="1" hidden="1">{"Ownership",#N/A,FALSE,"Ownership";"Contents",#N/A,FALSE,"Contents"}</definedName>
    <definedName name="abba" hidden="1">{"Ownership",#N/A,FALSE,"Ownership";"Contents",#N/A,FALSE,"Contents"}</definedName>
    <definedName name="anscount" hidden="1">1</definedName>
    <definedName name="CRCP_final_year">'[1]AER ETL'!$C$47</definedName>
    <definedName name="CRCP_y1" localSheetId="1">'[2]AER lookups'!$G$38</definedName>
    <definedName name="CRCP_y1">'[3]AER lookups'!$G$40</definedName>
    <definedName name="CRCP_y10">'[1]AER lookups'!$G$47</definedName>
    <definedName name="CRCP_y11">'[1]AER lookups'!$G$48</definedName>
    <definedName name="CRCP_y12">'[1]AER lookups'!$G$49</definedName>
    <definedName name="CRCP_y13">'[1]AER lookups'!$G$50</definedName>
    <definedName name="CRCP_y14">'[1]AER lookups'!$G$51</definedName>
    <definedName name="CRCP_y15">'[1]AER lookups'!$G$52</definedName>
    <definedName name="CRCP_y2" localSheetId="1">'[2]AER lookups'!$G$39</definedName>
    <definedName name="CRCP_y2">'[3]AER lookups'!$G$41</definedName>
    <definedName name="CRCP_y3" localSheetId="1">'[2]AER lookups'!$G$40</definedName>
    <definedName name="CRCP_y3">'[3]AER lookups'!$G$42</definedName>
    <definedName name="CRCP_y4" localSheetId="1">'[1]AER lookups'!$G$41</definedName>
    <definedName name="CRCP_y4">'[3]AER lookups'!$G$43</definedName>
    <definedName name="CRCP_y5">'[1]AER lookups'!$G$42</definedName>
    <definedName name="CRCP_y6">'[1]AER lookups'!$G$43</definedName>
    <definedName name="CRCP_y7">'[1]AER lookups'!$G$44</definedName>
    <definedName name="CRCP_y8">'[1]AER lookups'!$G$45</definedName>
    <definedName name="CRCP_y9">'[1]AER lookups'!$G$46</definedName>
    <definedName name="dms_020501_mat_labour_Rows">'[1]2.5 Connections'!$B$12,'[1]2.5 Connections'!#REF!,'[1]2.5 Connections'!$B$14,'[1]2.5 Connections'!$B$15,'[1]2.5 Connections'!$B$16,'[1]2.5 Connections'!$B$17,'[1]2.5 Connections'!$B$18,'[1]2.5 Connections'!$B$19,'[1]2.5 Connections'!$B$20,'[1]2.5 Connections'!$B$21,'[1]2.5 Connections'!$B$22,'[1]2.5 Connections'!$B$23,'[1]2.5 Connections'!$B$24,'[1]2.5 Connections'!$B$25,'[1]2.5 Connections'!$B$26,'[1]2.5 Connections'!$B$27,'[1]2.5 Connections'!$B$28,'[1]2.5 Connections'!$B$29,'[1]2.5 Connections'!$B$30,'[1]2.5 Connections'!$B$31,'[1]2.5 Connections'!$B$32,'[1]2.5 Connections'!$B$33,'[1]2.5 Connections'!$B$34,'[1]2.5 Connections'!$B$35,'[1]2.5 Connections'!$B$36</definedName>
    <definedName name="dms_020501_materials_Values">'[1]2.5 Connections'!$C$12:$I$12,'[1]2.5 Connections'!$C$13:$I$13,'[1]2.5 Connections'!$C$14:$I$14,'[1]2.5 Connections'!$C$15:$I$15,'[1]2.5 Connections'!$C$16:$I$16,'[1]2.5 Connections'!$C$17:$I$17,'[1]2.5 Connections'!$C$18:$I$18,'[1]2.5 Connections'!$C$19:$I$19,'[1]2.5 Connections'!$C$20:$I$20,'[1]2.5 Connections'!$C$21:$I$21,'[1]2.5 Connections'!$C$22:$I$22,'[1]2.5 Connections'!$C$23:$I$23,'[1]2.5 Connections'!$C$24:$I$24,'[1]2.5 Connections'!$C$25:$I$25,'[1]2.5 Connections'!$C$26:$I$26,'[1]2.5 Connections'!$C$27:$I$27,'[1]2.5 Connections'!$C$28:$I$28,'[1]2.5 Connections'!$C$29:$I$29,'[1]2.5 Connections'!$C$30:$I$30</definedName>
    <definedName name="dms_060301_checkvalue">'[1]AER ETL'!$C$90</definedName>
    <definedName name="dms_060301_LastRow">'[1]AER ETL'!$C$92</definedName>
    <definedName name="dms_060701_ARR_MaxRows">'[1]AER ETL'!$C$100</definedName>
    <definedName name="dms_060701_Reset_MaxRows">'[1]AER ETL'!$C$99</definedName>
    <definedName name="dms_060701_StartDateTxt">'[1]AER ETL'!$C$106</definedName>
    <definedName name="dms_0608_LastRow">'[1]AER ETL'!$C$112</definedName>
    <definedName name="dms_0608_OffsetRows">'[1]AER ETL'!$C$111</definedName>
    <definedName name="dms_070901_01_Cap_Values">#REF!</definedName>
    <definedName name="dms_070901_01_Collar_Values">#REF!</definedName>
    <definedName name="dms_070901_01_Rows">#REF!</definedName>
    <definedName name="dms_070901_01_Target_Values">#REF!</definedName>
    <definedName name="dms_070901_01_Values">#REF!</definedName>
    <definedName name="dms_070901_02_Cap_Values">#REF!</definedName>
    <definedName name="dms_070901_02_Collar_Values">#REF!</definedName>
    <definedName name="dms_070901_02_Rows">#REF!</definedName>
    <definedName name="dms_070901_02_Target_Values">#REF!</definedName>
    <definedName name="dms_070901_02_Values">#REF!</definedName>
    <definedName name="dms_070901_03_Cap_Values">#REF!</definedName>
    <definedName name="dms_070901_03_Collar_Values">#REF!</definedName>
    <definedName name="dms_070901_03_Rows">#REF!</definedName>
    <definedName name="dms_070901_03_Target_Values">#REF!</definedName>
    <definedName name="dms_070901_03_Values">#REF!</definedName>
    <definedName name="dms_070901_04_Cap_Values">#REF!</definedName>
    <definedName name="dms_070901_04_Collar_Values">#REF!</definedName>
    <definedName name="dms_070901_04_Rows">#REF!</definedName>
    <definedName name="dms_070901_04_Target_Values">#REF!</definedName>
    <definedName name="dms_070901_04_Values">#REF!</definedName>
    <definedName name="dms_663_List">'[1]AER lookups'!$N$16:$N$17</definedName>
    <definedName name="dms_ABN_List">'[1]AER lookups'!$D$16:$D$17</definedName>
    <definedName name="dms_Addr1_List">'[1]AER lookups'!$P$16:$P$17</definedName>
    <definedName name="dms_Addr2_List">'[1]AER lookups'!$Q$16:$Q$17</definedName>
    <definedName name="dms_Amendment_Text">'[1]Business &amp; other details'!$AL$70</definedName>
    <definedName name="dms_BaseStepTrend">'[1]2.16 Opex Summary'!$M$7</definedName>
    <definedName name="dms_BaseYear_Choice">'[1]2.16 Opex Summary'!$M$9</definedName>
    <definedName name="dms_BaseYear_List">'[1]2.16 Opex Summary'!$C$13:$G$13</definedName>
    <definedName name="dms_Cal_Year_B4_CRY">'[1]AER ETL'!$C$29</definedName>
    <definedName name="dms_CBD_flag">'[1]AER lookups'!$Z$16:$Z$17</definedName>
    <definedName name="dms_CF_8.1_Neg">'[1]AER CF'!$U$7:$U$34</definedName>
    <definedName name="dms_CF_TradingName">'[1]AER CF'!$B$7:$B$34</definedName>
    <definedName name="dms_Confid_status_List">'[1]AER NRs'!$D$6:$D$8</definedName>
    <definedName name="dms_CRCP_start_row">'[1]AER ETL'!$C$40</definedName>
    <definedName name="dms_CRCPlength_List">'[1]AER lookups'!$K$16:$K$17</definedName>
    <definedName name="dms_CRCPlength_Num">'[1]AER ETL'!$C$69</definedName>
    <definedName name="dms_CRY_RYE">'[1]AER ETL'!$C$53</definedName>
    <definedName name="dms_CRY_start_row">'[1]AER ETL'!$C$38</definedName>
    <definedName name="dms_CRY_start_year">'[1]AER ETL'!$C$37</definedName>
    <definedName name="dms_DataQuality_List">'[1]AER NRs'!$C$6:$C$9</definedName>
    <definedName name="dms_DeterminationRef_List">'[1]AER lookups'!$O$16:$O$17</definedName>
    <definedName name="dms_DollarReal">'[1]AER ETL'!$C$31</definedName>
    <definedName name="dms_DollarReal_year">'[1]AER ETL'!$C$51</definedName>
    <definedName name="dms_FeederName_1">'[1]AER lookups'!$AE$16:$AE$17</definedName>
    <definedName name="dms_FeederName_2">'[1]AER lookups'!$AF$16:$AF$17</definedName>
    <definedName name="dms_FeederName_3">'[1]AER lookups'!$AG$16:$AG$17</definedName>
    <definedName name="dms_FeederName_4">'[1]AER lookups'!$AH$16:$AH$17</definedName>
    <definedName name="dms_FeederName_5">'[1]AER lookups'!$AI$16:$AI$17</definedName>
    <definedName name="dms_FeederType_5_flag">'[1]AER lookups'!$AD$16:$AD$17</definedName>
    <definedName name="dms_FifthFeeder_flag_NSP">'[1]AER ETL'!$C$125</definedName>
    <definedName name="dms_FormControl_List">'[1]AER lookups'!$H$16:$H$17</definedName>
    <definedName name="dms_FRCP_start_row">'[1]AER ETL'!$C$39</definedName>
    <definedName name="dms_FRCPlength_List">'[1]AER lookups'!$L$16:$L$17</definedName>
    <definedName name="dms_FRCPlength_Num">'[1]AER ETL'!$C$70</definedName>
    <definedName name="dms_Header_Span">'[1]AER ETL'!$C$60</definedName>
    <definedName name="dms_JurisdictionList">'[1]AER lookups'!$E$16:$E$17</definedName>
    <definedName name="dms_LeapYear_Result">'[1]AER ETL'!$C$98</definedName>
    <definedName name="dms_LongRural_flag">'[1]AER lookups'!$AC$16:$AC$17</definedName>
    <definedName name="dms_Model">'[1]AER ETL'!$C$11</definedName>
    <definedName name="dms_Model_List">'[1]AER lookups'!$B$24:$B$33</definedName>
    <definedName name="dms_Model_Span">'[1]AER ETL'!$C$56</definedName>
    <definedName name="dms_Model_Span_List">'[1]AER lookups'!$E$24:$E$33</definedName>
    <definedName name="dms_MultiYear_FinalYear_Result">'[1]AER ETL'!$C$80</definedName>
    <definedName name="dms_MultiYear_Flag">'[1]AER ETL'!$C$63</definedName>
    <definedName name="dms_MultiYear_ResponseFlag">'[1]AER ETL'!$C$62</definedName>
    <definedName name="dms_PAddr1_List">'[1]AER lookups'!$U$16:$U$17</definedName>
    <definedName name="dms_PAddr2_List">'[1]AER lookups'!$V$16:$V$17</definedName>
    <definedName name="dms_PRCP_start_row">'[1]AER ETL'!$C$41</definedName>
    <definedName name="dms_PRCPlength_List">'[1]AER lookups'!$M$16:$M$17</definedName>
    <definedName name="dms_PRCPlength_Num">'[1]AER ETL'!$C$68</definedName>
    <definedName name="dms_Previous_DollarReal_year">'[1]AER ETL'!$C$52</definedName>
    <definedName name="dms_PState_List">'[1]AER lookups'!$X$16:$X$17</definedName>
    <definedName name="dms_PSuburb_List">'[1]AER lookups'!$W$16:$W$17</definedName>
    <definedName name="dms_Public_Lighting_List">'[1]AER lookups'!$AJ$16:$AJ$17</definedName>
    <definedName name="dms_Reset_final_year">'[1]AER ETL'!$C$49</definedName>
    <definedName name="dms_Reset_RYE">'[1]AER ETL'!$C$54</definedName>
    <definedName name="dms_RPT">'[1]AER ETL'!$C$23</definedName>
    <definedName name="dms_RPT_List">'[1]AER lookups'!$I$16:$I$17</definedName>
    <definedName name="dms_RPTMonth">'[1]AER ETL'!$C$30</definedName>
    <definedName name="dms_RPTMonth_List">'[1]AER lookups'!$J$16:$J$17</definedName>
    <definedName name="dms_RYE_result">'[1]AER ETL'!$C$57</definedName>
    <definedName name="dms_RYE_start_row">'[1]AER ETL'!$C$42</definedName>
    <definedName name="dms_Sector">'[1]AER ETL'!$C$20</definedName>
    <definedName name="dms_Sector_List">'[1]AER lookups'!$F$16:$F$17</definedName>
    <definedName name="dms_Segment">'[1]AER ETL'!$C$21</definedName>
    <definedName name="dms_Segment_List">'[1]AER lookups'!$G$16:$G$17</definedName>
    <definedName name="dms_ShortRural_flag">'[1]AER lookups'!$AB$16:$AB$17</definedName>
    <definedName name="dms_SingleYear_Model">'[1]AER ETL'!$C$72:$C$74</definedName>
    <definedName name="dms_SingleYearModel">'[1]AER ETL'!$C$75</definedName>
    <definedName name="dms_SourceList">'[1]AER NRs'!$C$14:$C$28</definedName>
    <definedName name="dms_Specified_FinalYear">'[1]AER ETL'!$C$64</definedName>
    <definedName name="dms_Specified_RYE">'[1]AER ETL'!$C$55</definedName>
    <definedName name="dms_SpecifiedYear_Span">'[1]AER ETL'!$C$59</definedName>
    <definedName name="dms_start_year">'[1]AER ETL'!$C$36</definedName>
    <definedName name="dms_State_List">'[1]AER lookups'!$S$16:$S$17</definedName>
    <definedName name="dms_STPIS_Detail">'[4]6'!$O$15:$O$37</definedName>
    <definedName name="dms_STPIS_Reasons">'[4]6'!$P$17:$P$30</definedName>
    <definedName name="dms_Suburb_List">'[1]AER lookups'!$R$16:$R$17</definedName>
    <definedName name="dms_TradingName">'[1]Business &amp; other details'!$AL$16</definedName>
    <definedName name="dms_TradingName_List">'[1]AER lookups'!$B$16:$B$17</definedName>
    <definedName name="dms_TradingNameFull">'[1]AER ETL'!$C$9</definedName>
    <definedName name="dms_TradingNameFull_List">'[1]AER lookups'!$C$16:$C$17</definedName>
    <definedName name="dms_Typed_Submission_Date">'[1]Business &amp; other details'!$AL$74</definedName>
    <definedName name="dms_Urban_flag">'[1]AER lookups'!$AA$16:$AA$17</definedName>
    <definedName name="dms_Worksheet_List">'[1]AER lookups'!$D$24:$D$33</definedName>
    <definedName name="dms_y1">'[1]AER lookups'!$E$57</definedName>
    <definedName name="dms_y2">'[1]AER lookups'!$E$58</definedName>
    <definedName name="dms_y3">'[1]AER lookups'!$E$59</definedName>
    <definedName name="dms_y4">'[1]AER lookups'!$E$60</definedName>
    <definedName name="dms_y5">'[1]AER lookups'!$E$61</definedName>
    <definedName name="dms_y6">'[1]AER lookups'!$E$62</definedName>
    <definedName name="dms_y7">'[1]AER lookups'!$E$63</definedName>
    <definedName name="FRCP_final_year">'[1]AER ETL'!$C$46</definedName>
    <definedName name="FRCP_y1">'[1]Business &amp; other details'!$AL$42</definedName>
    <definedName name="FRCP_y10">'[1]AER lookups'!$I$47</definedName>
    <definedName name="FRCP_y11">'[1]AER lookups'!$I$48</definedName>
    <definedName name="FRCP_y12">'[1]AER lookups'!$I$49</definedName>
    <definedName name="FRCP_y13">'[1]AER lookups'!$I$50</definedName>
    <definedName name="FRCP_y14">'[1]AER lookups'!$I$51</definedName>
    <definedName name="FRCP_y15">'[1]AER lookups'!$I$52</definedName>
    <definedName name="FRCP_y2">'[1]AER lookups'!$I$39</definedName>
    <definedName name="FRCP_y3">'[1]AER lookups'!$I$40</definedName>
    <definedName name="FRCP_y4">'[1]AER lookups'!$I$41</definedName>
    <definedName name="FRCP_y5">'[1]AER lookups'!$I$42</definedName>
    <definedName name="FRCP_y6">'[1]AER lookups'!$I$43</definedName>
    <definedName name="FRCP_y7">'[1]AER lookups'!$I$44</definedName>
    <definedName name="FRCP_y8">'[1]AER lookups'!$I$45</definedName>
    <definedName name="FRCP_y9">'[1]AER lookups'!$I$46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40970.780625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LAN" localSheetId="1" hidden="1">{"Ownership",#N/A,FALSE,"Ownership";"Contents",#N/A,FALSE,"Contents"}</definedName>
    <definedName name="LAN" hidden="1">{"Ownership",#N/A,FALSE,"Ownership";"Contents",#N/A,FALSE,"Contents"}</definedName>
    <definedName name="PRCP_final_year">'[1]AER ETL'!$C$48</definedName>
    <definedName name="PRCP_y1">'[1]AER lookups'!$E$38</definedName>
    <definedName name="PRCP_y10">'[1]AER lookups'!$E$47</definedName>
    <definedName name="PRCP_y11">'[1]AER lookups'!$E$48</definedName>
    <definedName name="PRCP_y12">'[1]AER lookups'!$E$49</definedName>
    <definedName name="PRCP_y13">'[1]AER lookups'!$E$50</definedName>
    <definedName name="PRCP_y14">'[1]AER lookups'!$E$51</definedName>
    <definedName name="PRCP_y15">'[1]AER lookups'!$E$52</definedName>
    <definedName name="PRCP_y2">'[1]AER lookups'!$E$39</definedName>
    <definedName name="PRCP_y3">'[2]AER lookups'!$E$40</definedName>
    <definedName name="PRCP_y4" localSheetId="1">'[2]AER lookups'!$E$41</definedName>
    <definedName name="PRCP_y4">'[3]AER lookups'!$E$43</definedName>
    <definedName name="PRCP_y5" localSheetId="1">'[2]AER lookups'!$E$42</definedName>
    <definedName name="PRCP_y5">'[3]AER lookups'!$E$44</definedName>
    <definedName name="PRCP_y6">'[1]AER lookups'!$E$43</definedName>
    <definedName name="PRCP_y7">'[1]AER lookups'!$E$44</definedName>
    <definedName name="PRCP_y8">'[1]AER lookups'!$E$45</definedName>
    <definedName name="PRCP_y9">'[1]AER lookups'!$E$46</definedName>
    <definedName name="teest" localSheetId="1" hidden="1">{"Ownership",#N/A,FALSE,"Ownership";"Contents",#N/A,FALSE,"Contents"}</definedName>
    <definedName name="teest" hidden="1">{"Ownership",#N/A,FALSE,"Ownership";"Contents",#N/A,FALSE,"Contents"}</definedName>
    <definedName name="test" localSheetId="1" hidden="1">{"Ownership",#N/A,FALSE,"Ownership";"Contents",#N/A,FALSE,"Contents"}</definedName>
    <definedName name="test" hidden="1">{"Ownership",#N/A,FALSE,"Ownership";"Contents",#N/A,FALSE,"Contents"}</definedName>
    <definedName name="wrn.App._.Custodians." localSheetId="1" hidden="1">{"Ownership",#N/A,FALSE,"Ownership";"Contents",#N/A,FALSE,"Contents"}</definedName>
    <definedName name="wrn.App._.Custodians." hidden="1">{"Ownership",#N/A,FALSE,"Ownership";"Contents",#N/A,FALSE,"Contents"}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6" l="1"/>
  <c r="I16" i="6"/>
  <c r="G16" i="6"/>
  <c r="I15" i="6"/>
  <c r="G15" i="6"/>
  <c r="I9" i="6"/>
  <c r="G9" i="6"/>
  <c r="I8" i="6"/>
  <c r="G8" i="6"/>
  <c r="J13" i="6"/>
  <c r="J12" i="6"/>
  <c r="J11" i="6"/>
  <c r="J9" i="6"/>
  <c r="J10" i="6"/>
  <c r="J8" i="6"/>
  <c r="J18" i="6"/>
  <c r="J16" i="6"/>
  <c r="J15" i="6"/>
  <c r="J22" i="6"/>
  <c r="J20" i="6"/>
  <c r="J21" i="6"/>
  <c r="D22" i="6"/>
  <c r="H22" i="6"/>
  <c r="H21" i="6"/>
  <c r="D20" i="6"/>
  <c r="H20" i="6"/>
  <c r="B18" i="6"/>
  <c r="C18" i="6"/>
  <c r="D18" i="6"/>
  <c r="F18" i="6"/>
  <c r="H18" i="6"/>
  <c r="D16" i="6"/>
  <c r="H16" i="6"/>
  <c r="D15" i="6"/>
  <c r="H15" i="6"/>
  <c r="B13" i="6"/>
  <c r="C13" i="6"/>
  <c r="D13" i="6"/>
  <c r="E13" i="6"/>
  <c r="F13" i="6"/>
  <c r="H13" i="6"/>
  <c r="B12" i="6"/>
  <c r="C12" i="6"/>
  <c r="D12" i="6"/>
  <c r="E12" i="6"/>
  <c r="F12" i="6"/>
  <c r="H12" i="6"/>
  <c r="B11" i="6"/>
  <c r="C11" i="6"/>
  <c r="D11" i="6"/>
  <c r="E11" i="6"/>
  <c r="F11" i="6"/>
  <c r="H11" i="6"/>
  <c r="B10" i="6"/>
  <c r="C10" i="6"/>
  <c r="D10" i="6"/>
  <c r="E10" i="6"/>
  <c r="F10" i="6"/>
  <c r="H10" i="6"/>
  <c r="B9" i="6"/>
  <c r="C9" i="6"/>
  <c r="D9" i="6"/>
  <c r="E9" i="6"/>
  <c r="F9" i="6"/>
  <c r="H9" i="6"/>
  <c r="B8" i="6"/>
  <c r="C8" i="6"/>
  <c r="D8" i="6"/>
  <c r="E8" i="6"/>
  <c r="F8" i="6"/>
  <c r="H8" i="6"/>
  <c r="J27" i="4"/>
  <c r="I27" i="4"/>
  <c r="H27" i="4"/>
  <c r="G27" i="4"/>
  <c r="J26" i="4"/>
  <c r="I26" i="4"/>
  <c r="H26" i="4"/>
  <c r="G26" i="4"/>
  <c r="J24" i="4"/>
  <c r="I24" i="4"/>
  <c r="H24" i="4"/>
  <c r="G24" i="4"/>
  <c r="J23" i="4"/>
  <c r="I23" i="4"/>
  <c r="H23" i="4"/>
  <c r="G23" i="4"/>
  <c r="G3" i="4"/>
  <c r="H3" i="4"/>
  <c r="I3" i="4"/>
  <c r="J3" i="4"/>
  <c r="G4" i="4"/>
  <c r="H4" i="4"/>
  <c r="I4" i="4"/>
  <c r="J4" i="4"/>
  <c r="G5" i="4"/>
  <c r="H5" i="4"/>
  <c r="I5" i="4"/>
  <c r="J5" i="4"/>
  <c r="G6" i="4"/>
  <c r="H6" i="4"/>
  <c r="I6" i="4"/>
  <c r="J6" i="4"/>
  <c r="G7" i="4"/>
  <c r="H7" i="4"/>
  <c r="I7" i="4"/>
  <c r="J7" i="4"/>
  <c r="G8" i="4"/>
  <c r="H8" i="4"/>
  <c r="I8" i="4"/>
  <c r="J8" i="4"/>
  <c r="G9" i="4"/>
  <c r="H9" i="4"/>
  <c r="I9" i="4"/>
  <c r="J9" i="4"/>
  <c r="G22" i="4"/>
  <c r="H22" i="4"/>
  <c r="I22" i="4"/>
  <c r="J22" i="4"/>
  <c r="G25" i="4"/>
  <c r="H25" i="4"/>
  <c r="I25" i="4"/>
  <c r="J25" i="4"/>
  <c r="G28" i="4"/>
  <c r="H28" i="4"/>
  <c r="I28" i="4"/>
  <c r="J28" i="4"/>
  <c r="G30" i="4"/>
  <c r="H30" i="4"/>
  <c r="I30" i="4"/>
  <c r="J30" i="4"/>
</calcChain>
</file>

<file path=xl/sharedStrings.xml><?xml version="1.0" encoding="utf-8"?>
<sst xmlns="http://schemas.openxmlformats.org/spreadsheetml/2006/main" count="84" uniqueCount="65">
  <si>
    <t>AER's input data and target calculations:</t>
  </si>
  <si>
    <t>7.9.1 - Historical performance and proposed floor, caps and targets for the service component of the STPIS</t>
  </si>
  <si>
    <t>Parameter</t>
  </si>
  <si>
    <t>Unplanned outage circuit event rate (percentage):</t>
  </si>
  <si>
    <t>Proper operation of equipment (number of events):</t>
  </si>
  <si>
    <t>Failure of protection system</t>
  </si>
  <si>
    <t>Floor (95th Percentile)</t>
  </si>
  <si>
    <t>Target = Average of performance</t>
  </si>
  <si>
    <t>Cap (5th Percentile)</t>
  </si>
  <si>
    <t xml:space="preserve">Lines event rate – fault </t>
  </si>
  <si>
    <t xml:space="preserve">Transformer event rate – fault </t>
  </si>
  <si>
    <t xml:space="preserve">Reactive plant event rate – fault </t>
  </si>
  <si>
    <t xml:space="preserve">Lines event rate – forced </t>
  </si>
  <si>
    <t xml:space="preserve">Transformer event rate – forced </t>
  </si>
  <si>
    <t xml:space="preserve">Reactive plant event rate – forced </t>
  </si>
  <si>
    <t xml:space="preserve">Material failure of SCADA </t>
  </si>
  <si>
    <t>Incorrect operational isolation of primary or secondary equipment</t>
  </si>
  <si>
    <t>Loss of supply event frequency (number of events)</t>
  </si>
  <si>
    <t>Average outage duration (minutes)</t>
  </si>
  <si>
    <t>Performance Actuals by compliance year</t>
  </si>
  <si>
    <t>Average Outage Duration (aggreggate LOS minutes / number of LOS events)</t>
  </si>
  <si>
    <t xml:space="preserve">  </t>
  </si>
  <si>
    <t>Geomet</t>
  </si>
  <si>
    <t>Poisson</t>
  </si>
  <si>
    <t>Material failure of SCADA</t>
  </si>
  <si>
    <t>Number of events &gt; (y) system minutes</t>
  </si>
  <si>
    <t>Number of events &gt; (x) system minutes</t>
  </si>
  <si>
    <t>95th percentile of fitted distribution</t>
  </si>
  <si>
    <t>50th percentile of fitted distribution</t>
  </si>
  <si>
    <t>5th percentile of fitted distribution</t>
  </si>
  <si>
    <t>Collar at 2SD</t>
  </si>
  <si>
    <t>Collar at 1SD</t>
  </si>
  <si>
    <t>Cap at 2SD</t>
  </si>
  <si>
    <t>Cap at 1SD</t>
  </si>
  <si>
    <t>SD of fitted distribution</t>
  </si>
  <si>
    <t>Mean of fitted distribution</t>
  </si>
  <si>
    <t>Mean of sample</t>
  </si>
  <si>
    <t>AIC</t>
  </si>
  <si>
    <t>Distribution</t>
  </si>
  <si>
    <t xml:space="preserve">Powerlink - distributions selected based on mechanical selection of lowest AIC, 2020-2024 underlying input data. </t>
  </si>
  <si>
    <t xml:space="preserve">While @Risk allows beta general to be a candidate distribution, we have not included it as a candidate distribution as it uses 4 parameters and we only have 5 data points. </t>
  </si>
  <si>
    <t>Distributions fitted setting: lower limit with fixed bound of zero; unsure upper limit; no change to default "suppress questionable fits" setting</t>
  </si>
  <si>
    <t>Average outage duration</t>
  </si>
  <si>
    <t>LogLogistic</t>
  </si>
  <si>
    <t>Reactive plant event rate - forced</t>
  </si>
  <si>
    <t>Weibull</t>
  </si>
  <si>
    <t>Transformer event rate - forced</t>
  </si>
  <si>
    <t>Lines event rate - forced</t>
  </si>
  <si>
    <t>Transformer event rate - fault</t>
  </si>
  <si>
    <t>Gamma</t>
  </si>
  <si>
    <t>Lines event rate - fault</t>
  </si>
  <si>
    <t>KS Distance Statistic</t>
  </si>
  <si>
    <t>Powerlink - distributions selected based on mechanical selection of lowest K-S distance statistic, 2020-2024 underlying input data. Calendar year data</t>
  </si>
  <si>
    <t>Pearson5</t>
  </si>
  <si>
    <t>N/A</t>
  </si>
  <si>
    <t>IntUniform</t>
  </si>
  <si>
    <t>Bimomial</t>
  </si>
  <si>
    <t>Weibull (skew of opp sign to input data)</t>
  </si>
  <si>
    <t>Poisson (skew of opposite sign to input data)</t>
  </si>
  <si>
    <t>Geomet (skew of opposite sign to input data)</t>
  </si>
  <si>
    <t>REU Distribution</t>
  </si>
  <si>
    <t>Loss of supply events &gt; 0.05 system (x) minutes</t>
  </si>
  <si>
    <t>Loss of supply events &gt; 0.40 system (y) minutes</t>
  </si>
  <si>
    <t>Can't fit distribution - 5 years of zeros</t>
  </si>
  <si>
    <t xml:space="preserve">Draft Decision - Powerlink - SERVICE COMPONENT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</si>
</sst>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_-;[Red]\(#,##0\)_-;_-* &quot;-&quot;??_-;_-@_-"/>
    <numFmt numFmtId="165" formatCode="0.0000"/>
    <numFmt numFmtId="166" formatCode="0.0"/>
    <numFmt numFmtId="167" formatCode="0.000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Arial"/>
      <family val="2"/>
    </font>
    <font>
      <sz val="10"/>
      <name val="Arial"/>
      <family val="2"/>
    </font>
    <font>
      <b/>
      <sz val="14"/>
      <color theme="0"/>
      <name val="Aptos Narrow"/>
      <family val="2"/>
      <scheme val="minor"/>
    </font>
    <font>
      <b/>
      <sz val="12"/>
      <color theme="0"/>
      <name val="Arial"/>
      <family val="2"/>
    </font>
    <font>
      <b/>
      <sz val="10"/>
      <name val="Arial"/>
      <family val="2"/>
    </font>
    <font>
      <sz val="10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9"/>
      <name val="Arial"/>
      <family val="2"/>
    </font>
    <font>
      <b/>
      <sz val="16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CC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rgb="FFA6A6A6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 tint="-0.34998626667073579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4" fillId="0" borderId="0" applyFill="0"/>
    <xf numFmtId="0" fontId="4" fillId="0" borderId="0" applyFill="0"/>
    <xf numFmtId="10" fontId="9" fillId="4" borderId="4" applyBorder="0">
      <alignment horizontal="right"/>
      <protection locked="0"/>
    </xf>
    <xf numFmtId="164" fontId="9" fillId="5" borderId="6" applyBorder="0">
      <alignment horizontal="right"/>
      <protection locked="0"/>
    </xf>
  </cellStyleXfs>
  <cellXfs count="64">
    <xf numFmtId="0" fontId="0" fillId="0" borderId="0" xfId="0"/>
    <xf numFmtId="0" fontId="3" fillId="0" borderId="0" xfId="0" applyFont="1" applyAlignment="1">
      <alignment vertical="center"/>
    </xf>
    <xf numFmtId="0" fontId="11" fillId="0" borderId="0" xfId="0" applyFont="1"/>
    <xf numFmtId="0" fontId="10" fillId="0" borderId="0" xfId="0" applyFont="1" applyAlignment="1">
      <alignment horizontal="left" vertical="center"/>
    </xf>
    <xf numFmtId="0" fontId="8" fillId="3" borderId="14" xfId="0" applyFont="1" applyFill="1" applyBorder="1"/>
    <xf numFmtId="0" fontId="1" fillId="3" borderId="14" xfId="0" applyFont="1" applyFill="1" applyBorder="1"/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/>
    <xf numFmtId="1" fontId="9" fillId="4" borderId="5" xfId="4" applyNumberFormat="1" applyBorder="1">
      <alignment horizontal="right"/>
      <protection locked="0"/>
    </xf>
    <xf numFmtId="1" fontId="9" fillId="4" borderId="12" xfId="4" applyNumberFormat="1" applyBorder="1">
      <alignment horizontal="right"/>
      <protection locked="0"/>
    </xf>
    <xf numFmtId="0" fontId="8" fillId="3" borderId="15" xfId="0" applyFont="1" applyFill="1" applyBorder="1"/>
    <xf numFmtId="165" fontId="0" fillId="0" borderId="0" xfId="0" applyNumberFormat="1"/>
    <xf numFmtId="0" fontId="7" fillId="7" borderId="2" xfId="1" applyNumberFormat="1" applyFont="1" applyFill="1" applyBorder="1" applyAlignment="1">
      <alignment horizontal="center" vertical="center"/>
    </xf>
    <xf numFmtId="10" fontId="9" fillId="4" borderId="12" xfId="1" applyNumberFormat="1" applyFont="1" applyFill="1" applyBorder="1" applyAlignment="1" applyProtection="1">
      <alignment horizontal="right"/>
      <protection locked="0"/>
    </xf>
    <xf numFmtId="10" fontId="9" fillId="4" borderId="5" xfId="1" applyNumberFormat="1" applyFont="1" applyFill="1" applyBorder="1" applyAlignment="1" applyProtection="1">
      <alignment horizontal="right"/>
      <protection locked="0"/>
    </xf>
    <xf numFmtId="2" fontId="2" fillId="6" borderId="12" xfId="1" applyNumberFormat="1" applyFont="1" applyFill="1" applyBorder="1" applyAlignment="1">
      <alignment horizontal="center"/>
    </xf>
    <xf numFmtId="10" fontId="2" fillId="6" borderId="12" xfId="1" applyNumberFormat="1" applyFont="1" applyFill="1" applyBorder="1" applyAlignment="1">
      <alignment horizontal="center"/>
    </xf>
    <xf numFmtId="10" fontId="2" fillId="6" borderId="5" xfId="1" applyNumberFormat="1" applyFont="1" applyFill="1" applyBorder="1" applyAlignment="1">
      <alignment horizontal="center"/>
    </xf>
    <xf numFmtId="2" fontId="0" fillId="0" borderId="0" xfId="0" applyNumberFormat="1"/>
    <xf numFmtId="166" fontId="9" fillId="0" borderId="0" xfId="4" applyNumberFormat="1" applyFill="1" applyBorder="1">
      <alignment horizontal="right"/>
      <protection locked="0"/>
    </xf>
    <xf numFmtId="166" fontId="9" fillId="4" borderId="5" xfId="4" applyNumberFormat="1" applyBorder="1">
      <alignment horizontal="right"/>
      <protection locked="0"/>
    </xf>
    <xf numFmtId="166" fontId="2" fillId="6" borderId="5" xfId="1" applyNumberFormat="1" applyFont="1" applyFill="1" applyBorder="1" applyAlignment="1">
      <alignment horizontal="center"/>
    </xf>
    <xf numFmtId="0" fontId="12" fillId="0" borderId="0" xfId="0" applyFont="1"/>
    <xf numFmtId="10" fontId="2" fillId="6" borderId="11" xfId="1" applyNumberFormat="1" applyFont="1" applyFill="1" applyBorder="1" applyAlignment="1">
      <alignment horizontal="center"/>
    </xf>
    <xf numFmtId="1" fontId="2" fillId="6" borderId="12" xfId="1" applyNumberFormat="1" applyFont="1" applyFill="1" applyBorder="1" applyAlignment="1">
      <alignment horizontal="center"/>
    </xf>
    <xf numFmtId="1" fontId="2" fillId="6" borderId="13" xfId="1" applyNumberFormat="1" applyFont="1" applyFill="1" applyBorder="1" applyAlignment="1">
      <alignment horizontal="center"/>
    </xf>
    <xf numFmtId="2" fontId="2" fillId="6" borderId="13" xfId="1" applyNumberFormat="1" applyFont="1" applyFill="1" applyBorder="1" applyAlignment="1">
      <alignment horizontal="center"/>
    </xf>
    <xf numFmtId="0" fontId="0" fillId="5" borderId="0" xfId="0" applyFill="1"/>
    <xf numFmtId="165" fontId="0" fillId="5" borderId="0" xfId="0" applyNumberFormat="1" applyFill="1"/>
    <xf numFmtId="2" fontId="0" fillId="5" borderId="0" xfId="0" applyNumberFormat="1" applyFill="1"/>
    <xf numFmtId="167" fontId="0" fillId="5" borderId="0" xfId="0" applyNumberFormat="1" applyFill="1"/>
    <xf numFmtId="10" fontId="2" fillId="6" borderId="13" xfId="1" applyNumberFormat="1" applyFont="1" applyFill="1" applyBorder="1" applyAlignment="1">
      <alignment horizontal="center"/>
    </xf>
    <xf numFmtId="0" fontId="7" fillId="7" borderId="1" xfId="3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5" fillId="2" borderId="17" xfId="2" applyFont="1" applyFill="1" applyBorder="1" applyAlignment="1">
      <alignment vertical="center"/>
    </xf>
    <xf numFmtId="0" fontId="6" fillId="2" borderId="18" xfId="2" applyFont="1" applyFill="1" applyBorder="1" applyAlignment="1">
      <alignment vertical="center"/>
    </xf>
    <xf numFmtId="0" fontId="6" fillId="2" borderId="19" xfId="2" applyFont="1" applyFill="1" applyBorder="1" applyAlignment="1">
      <alignment vertical="center"/>
    </xf>
    <xf numFmtId="0" fontId="6" fillId="2" borderId="20" xfId="2" applyFont="1" applyFill="1" applyBorder="1" applyAlignment="1">
      <alignment vertical="center"/>
    </xf>
    <xf numFmtId="0" fontId="7" fillId="0" borderId="7" xfId="0" applyFont="1" applyBorder="1" applyAlignment="1">
      <alignment horizontal="center" wrapText="1"/>
    </xf>
    <xf numFmtId="0" fontId="7" fillId="7" borderId="21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wrapText="1"/>
    </xf>
    <xf numFmtId="0" fontId="7" fillId="3" borderId="22" xfId="0" applyFont="1" applyFill="1" applyBorder="1" applyAlignment="1">
      <alignment vertical="center" wrapText="1"/>
    </xf>
    <xf numFmtId="0" fontId="8" fillId="3" borderId="21" xfId="0" applyFont="1" applyFill="1" applyBorder="1"/>
    <xf numFmtId="0" fontId="4" fillId="0" borderId="23" xfId="0" applyFont="1" applyBorder="1" applyAlignment="1">
      <alignment horizontal="left" vertical="center" wrapText="1" indent="2"/>
    </xf>
    <xf numFmtId="9" fontId="2" fillId="6" borderId="21" xfId="1" applyFont="1" applyFill="1" applyBorder="1" applyAlignment="1">
      <alignment horizontal="center"/>
    </xf>
    <xf numFmtId="0" fontId="1" fillId="3" borderId="21" xfId="0" applyFont="1" applyFill="1" applyBorder="1"/>
    <xf numFmtId="0" fontId="4" fillId="0" borderId="24" xfId="0" applyFont="1" applyBorder="1" applyAlignment="1">
      <alignment horizontal="left" vertical="center" wrapText="1" indent="2"/>
    </xf>
    <xf numFmtId="9" fontId="2" fillId="6" borderId="21" xfId="1" applyFont="1" applyFill="1" applyBorder="1" applyAlignment="1">
      <alignment horizontal="center" wrapText="1"/>
    </xf>
    <xf numFmtId="0" fontId="4" fillId="0" borderId="25" xfId="0" applyFont="1" applyBorder="1" applyAlignment="1">
      <alignment horizontal="left" vertical="center" wrapText="1" indent="2"/>
    </xf>
    <xf numFmtId="1" fontId="9" fillId="4" borderId="26" xfId="4" applyNumberFormat="1" applyBorder="1">
      <alignment horizontal="right"/>
      <protection locked="0"/>
    </xf>
    <xf numFmtId="1" fontId="2" fillId="6" borderId="26" xfId="1" applyNumberFormat="1" applyFont="1" applyFill="1" applyBorder="1" applyAlignment="1">
      <alignment horizontal="center"/>
    </xf>
    <xf numFmtId="1" fontId="2" fillId="6" borderId="27" xfId="1" applyNumberFormat="1" applyFont="1" applyFill="1" applyBorder="1" applyAlignment="1">
      <alignment horizontal="center"/>
    </xf>
    <xf numFmtId="9" fontId="2" fillId="6" borderId="28" xfId="1" applyFont="1" applyFill="1" applyBorder="1" applyAlignment="1">
      <alignment horizontal="center"/>
    </xf>
    <xf numFmtId="0" fontId="7" fillId="0" borderId="3" xfId="0" applyFont="1" applyBorder="1" applyAlignment="1">
      <alignment vertical="center" wrapText="1"/>
    </xf>
    <xf numFmtId="0" fontId="7" fillId="5" borderId="3" xfId="0" applyFont="1" applyFill="1" applyBorder="1" applyAlignment="1">
      <alignment vertical="center" wrapText="1"/>
    </xf>
    <xf numFmtId="0" fontId="7" fillId="5" borderId="16" xfId="0" applyFont="1" applyFill="1" applyBorder="1" applyAlignment="1">
      <alignment vertical="center" wrapText="1"/>
    </xf>
    <xf numFmtId="0" fontId="7" fillId="5" borderId="0" xfId="0" applyFont="1" applyFill="1" applyAlignment="1">
      <alignment vertical="center" wrapText="1"/>
    </xf>
    <xf numFmtId="0" fontId="12" fillId="5" borderId="0" xfId="0" applyFont="1" applyFill="1"/>
    <xf numFmtId="0" fontId="7" fillId="0" borderId="0" xfId="0" applyFont="1" applyAlignment="1">
      <alignment horizontal="left" vertical="center" wrapText="1"/>
    </xf>
    <xf numFmtId="0" fontId="7" fillId="5" borderId="0" xfId="0" applyFont="1" applyFill="1" applyAlignment="1">
      <alignment horizontal="left" vertical="center" wrapText="1"/>
    </xf>
    <xf numFmtId="0" fontId="7" fillId="5" borderId="0" xfId="0" applyFont="1" applyFill="1" applyAlignment="1">
      <alignment horizontal="left" wrapText="1"/>
    </xf>
  </cellXfs>
  <cellStyles count="6">
    <cellStyle name="dms_NUM" xfId="5" xr:uid="{90E16632-7F08-4C40-B6CB-82B156E9AD18}"/>
    <cellStyle name="dms_Num%" xfId="4" xr:uid="{BF368AE5-FB01-4C08-9D49-562C4ADB43C5}"/>
    <cellStyle name="Normal" xfId="0" builtinId="0"/>
    <cellStyle name="Normal 114" xfId="2" xr:uid="{EEF51F68-9F9D-4DF0-9E62-C56AE244BAAE}"/>
    <cellStyle name="Normal 4" xfId="3" xr:uid="{0032B65A-C9FD-42C7-9408-DB08346D87F0}"/>
    <cellStyle name="Percent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0" Type="http://schemas.microsoft.com/office/2017/10/relationships/person" Target="persons/perso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ER\STPIS%20annual%20compliance\Transmission%20STPIS\Powerlink%20Revenue%20Determination%202022-2027\Powerlink%202023-27%20-%20RIN%20-%20Workbook%201%20-%20Forecast%20-%20January%202021%20-%20PUBLIC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AER\AusNet%20TX%202021\01%20Regulatory%20proposal\03%20RIN%20(ANT%20-%20TRR%202023-27)\AusNet%20Services%20-%20TRR%202023-27%20RIN%20Workbook%201%20Forecast%20-%20updated%2013%20Nov%202020.xlsm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hpras\Work%20Folders\Downloads\Directlink%20&#8211;%20Attachment%2007a%20&#8211;%20Directlink%202025-30%20&#8211;%20Final%20&#8211;%20Reset%20RIN%20&#8211;%20Workbook%201%20&#8211;%20Forecast%20and%20historical%20&#8211;%20240130%20-%20Public%20(4).xlsm" TargetMode="External"/><Relationship Id="rId1" Type="http://schemas.openxmlformats.org/officeDocument/2006/relationships/externalLinkPath" Target="https://acccgovau-my.sharepoint.com/Users/shpras/Work%20Folders/Downloads/Directlink%20&#8211;%20Attachment%2007a%20&#8211;%20Directlink%202025-30%20&#8211;%20Final%20&#8211;%20Reset%20RIN%20&#8211;%20Workbook%201%20&#8211;%20Forecast%20and%20historical%20&#8211;%20240130%20-%20Public%20(4)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6.3%20Sustained%20interruptions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ER Sheet Heading"/>
      <sheetName val="AER CF"/>
      <sheetName val="AER NRs"/>
      <sheetName val="AER lookups"/>
      <sheetName val="AER ETL"/>
      <sheetName val="Instructions"/>
      <sheetName val="CONTENTS"/>
      <sheetName val="Business &amp; other details"/>
      <sheetName val="CPI series"/>
      <sheetName val="2.1 Expenditure summary"/>
      <sheetName val="2.1 Unprotected Exp Summary"/>
      <sheetName val="2.1 Balancing Item"/>
      <sheetName val="2.2 Repex"/>
      <sheetName val="2.3 Augex (a)"/>
      <sheetName val="2.3 Augex (b)"/>
      <sheetName val="2.5 Connections"/>
      <sheetName val="2.6 Non-network"/>
      <sheetName val="2.10 Overheads"/>
      <sheetName val="2.11 Labour"/>
      <sheetName val="2.14 Forecast price changes"/>
      <sheetName val="2.16 Opex Summary"/>
      <sheetName val="2.17 Step Changes"/>
      <sheetName val="3.1 Revenue"/>
      <sheetName val="3.2 Operating expenditure"/>
      <sheetName val="3.3 Assets (RAB)"/>
      <sheetName val="3.3 Unprotected Assets (RAB)"/>
      <sheetName val="3.4 Operational data"/>
      <sheetName val="3.5 Physical assets"/>
      <sheetName val="3.7 Operating environment"/>
      <sheetName val="5.4 MD &amp; Utilisation - Spatial"/>
      <sheetName val="7.1  Policies and Procedures"/>
      <sheetName val="7.2 Contingent projects"/>
      <sheetName val="7.3 Obligations"/>
      <sheetName val="7.4 Shared Assets"/>
      <sheetName val="7.9 STPIS"/>
      <sheetName val="7.9 STPIS (Alternative)"/>
      <sheetName val="8.2 Capex"/>
      <sheetName val="Powerlink 2023-27 - RIN - Workb"/>
    </sheetNames>
    <sheetDataSet>
      <sheetData sheetId="0"/>
      <sheetData sheetId="1">
        <row r="7">
          <cell r="B7" t="str">
            <v>Ausgrid</v>
          </cell>
          <cell r="U7" t="str">
            <v>Y</v>
          </cell>
        </row>
        <row r="8">
          <cell r="B8" t="str">
            <v>Ausgrid (Tx Assets)</v>
          </cell>
          <cell r="U8" t="str">
            <v>Y</v>
          </cell>
        </row>
        <row r="9">
          <cell r="B9" t="str">
            <v>AusNet (D)</v>
          </cell>
          <cell r="U9" t="str">
            <v>Y</v>
          </cell>
        </row>
        <row r="10">
          <cell r="B10" t="str">
            <v>AusNet (T)</v>
          </cell>
          <cell r="U10" t="str">
            <v>Y</v>
          </cell>
        </row>
        <row r="11">
          <cell r="B11" t="str">
            <v>Amadeus</v>
          </cell>
          <cell r="U11" t="str">
            <v>Y</v>
          </cell>
        </row>
        <row r="12">
          <cell r="B12" t="str">
            <v>APA GasNet</v>
          </cell>
          <cell r="U12" t="str">
            <v>Y</v>
          </cell>
        </row>
        <row r="13">
          <cell r="B13" t="str">
            <v>Australian Distribution Co.</v>
          </cell>
          <cell r="U13" t="str">
            <v>N</v>
          </cell>
        </row>
        <row r="14">
          <cell r="B14" t="str">
            <v>Australian Distribution Co. (Vic)</v>
          </cell>
          <cell r="U14" t="str">
            <v>N</v>
          </cell>
        </row>
        <row r="15">
          <cell r="B15" t="str">
            <v>CitiPower</v>
          </cell>
          <cell r="U15" t="str">
            <v>Y</v>
          </cell>
        </row>
        <row r="16">
          <cell r="B16" t="str">
            <v>Directlink</v>
          </cell>
          <cell r="U16" t="str">
            <v>Y</v>
          </cell>
        </row>
        <row r="17">
          <cell r="B17" t="str">
            <v>ElectraNet</v>
          </cell>
          <cell r="U17" t="str">
            <v>Y</v>
          </cell>
        </row>
        <row r="18">
          <cell r="B18" t="str">
            <v>Endeavour Energy</v>
          </cell>
          <cell r="U18" t="str">
            <v>Y</v>
          </cell>
        </row>
        <row r="19">
          <cell r="B19" t="str">
            <v>Energex</v>
          </cell>
          <cell r="U19" t="str">
            <v>Y</v>
          </cell>
        </row>
        <row r="20">
          <cell r="B20" t="str">
            <v>Ergon Energy</v>
          </cell>
          <cell r="U20" t="str">
            <v>Y</v>
          </cell>
        </row>
        <row r="21">
          <cell r="B21" t="str">
            <v>Essential Energy</v>
          </cell>
          <cell r="U21" t="str">
            <v>Y</v>
          </cell>
        </row>
        <row r="22">
          <cell r="B22" t="str">
            <v>Evoenergy Distribution</v>
          </cell>
          <cell r="U22" t="str">
            <v>Y</v>
          </cell>
        </row>
        <row r="23">
          <cell r="B23" t="str">
            <v>Evoenergy Distribution (Tx Assets)</v>
          </cell>
          <cell r="U23" t="str">
            <v>Y</v>
          </cell>
        </row>
        <row r="24">
          <cell r="B24" t="str">
            <v>Jemena Electricity</v>
          </cell>
          <cell r="U24" t="str">
            <v>Y</v>
          </cell>
        </row>
        <row r="25">
          <cell r="B25" t="str">
            <v>Murraylink</v>
          </cell>
          <cell r="U25" t="str">
            <v>Y</v>
          </cell>
        </row>
        <row r="26">
          <cell r="B26" t="str">
            <v>Power and Water</v>
          </cell>
          <cell r="U26" t="str">
            <v>Y</v>
          </cell>
        </row>
        <row r="27">
          <cell r="B27" t="str">
            <v>Powercor Australia</v>
          </cell>
          <cell r="U27" t="str">
            <v>Y</v>
          </cell>
        </row>
        <row r="28">
          <cell r="B28" t="str">
            <v>Powerlink</v>
          </cell>
          <cell r="U28" t="str">
            <v>Y</v>
          </cell>
        </row>
        <row r="29">
          <cell r="B29" t="str">
            <v>Roma to Brisbane Pipeline</v>
          </cell>
          <cell r="U29" t="str">
            <v>Y</v>
          </cell>
        </row>
        <row r="30">
          <cell r="B30" t="str">
            <v>SA Power Networks</v>
          </cell>
          <cell r="U30" t="str">
            <v>N</v>
          </cell>
        </row>
        <row r="31">
          <cell r="B31" t="str">
            <v>TasNetworks (D)</v>
          </cell>
          <cell r="U31" t="str">
            <v>Y</v>
          </cell>
        </row>
        <row r="32">
          <cell r="B32" t="str">
            <v>TasNetworks (T)</v>
          </cell>
          <cell r="U32" t="str">
            <v>Y</v>
          </cell>
        </row>
        <row r="33">
          <cell r="B33" t="str">
            <v>TransGrid</v>
          </cell>
          <cell r="U33" t="str">
            <v>Y</v>
          </cell>
        </row>
        <row r="34">
          <cell r="B34" t="str">
            <v>United Energy</v>
          </cell>
          <cell r="U34" t="str">
            <v>Y</v>
          </cell>
        </row>
      </sheetData>
      <sheetData sheetId="2">
        <row r="6">
          <cell r="C6" t="str">
            <v>-- select --</v>
          </cell>
          <cell r="D6" t="str">
            <v>-- select --</v>
          </cell>
        </row>
        <row r="7">
          <cell r="C7" t="str">
            <v>Actual</v>
          </cell>
          <cell r="D7" t="str">
            <v>Public</v>
          </cell>
        </row>
        <row r="8">
          <cell r="C8" t="str">
            <v>Estimate</v>
          </cell>
          <cell r="D8" t="str">
            <v>Confidential</v>
          </cell>
        </row>
        <row r="9">
          <cell r="C9" t="str">
            <v>Consolidated</v>
          </cell>
        </row>
        <row r="14">
          <cell r="C14" t="str">
            <v>-- select --</v>
          </cell>
        </row>
        <row r="15">
          <cell r="C15" t="str">
            <v>After appeal</v>
          </cell>
        </row>
        <row r="16">
          <cell r="C16" t="str">
            <v>Draft decision</v>
          </cell>
        </row>
        <row r="17">
          <cell r="C17" t="str">
            <v>Final decision</v>
          </cell>
        </row>
        <row r="18">
          <cell r="C18" t="str">
            <v>PTRM update 1</v>
          </cell>
        </row>
        <row r="19">
          <cell r="C19" t="str">
            <v>PTRM update 2</v>
          </cell>
        </row>
        <row r="20">
          <cell r="C20" t="str">
            <v>PTRM update 3</v>
          </cell>
        </row>
        <row r="21">
          <cell r="C21" t="str">
            <v>PTRM update 4</v>
          </cell>
        </row>
        <row r="22">
          <cell r="C22" t="str">
            <v>PTRM update 5</v>
          </cell>
        </row>
        <row r="23">
          <cell r="C23" t="str">
            <v>PTRM update 6</v>
          </cell>
        </row>
        <row r="24">
          <cell r="C24" t="str">
            <v>PTRM update 7</v>
          </cell>
        </row>
        <row r="25">
          <cell r="C25" t="str">
            <v>Recast</v>
          </cell>
        </row>
        <row r="26">
          <cell r="C26" t="str">
            <v>Regulatory proposal</v>
          </cell>
        </row>
        <row r="27">
          <cell r="C27" t="str">
            <v>Reporting</v>
          </cell>
        </row>
        <row r="28">
          <cell r="C28" t="str">
            <v>Revised regulatory proposal</v>
          </cell>
        </row>
      </sheetData>
      <sheetData sheetId="3">
        <row r="16">
          <cell r="B16" t="str">
            <v>AusNet (T)</v>
          </cell>
          <cell r="C16" t="str">
            <v>AusNet Transmission Group Pty Ltd</v>
          </cell>
          <cell r="D16">
            <v>78079798173</v>
          </cell>
          <cell r="E16" t="str">
            <v>Vic</v>
          </cell>
          <cell r="F16" t="str">
            <v>Electricity</v>
          </cell>
          <cell r="G16" t="str">
            <v>Transmission</v>
          </cell>
          <cell r="H16" t="str">
            <v>Revenue cap</v>
          </cell>
          <cell r="I16" t="str">
            <v>Financial</v>
          </cell>
          <cell r="J16" t="str">
            <v>March</v>
          </cell>
          <cell r="K16">
            <v>5</v>
          </cell>
          <cell r="L16">
            <v>5</v>
          </cell>
          <cell r="M16">
            <v>5</v>
          </cell>
          <cell r="N16">
            <v>2</v>
          </cell>
          <cell r="O16" t="str">
            <v>transmission determination</v>
          </cell>
          <cell r="P16" t="str">
            <v>Level 32</v>
          </cell>
          <cell r="Q16" t="str">
            <v>2 Southbank Boulevard</v>
          </cell>
          <cell r="R16" t="str">
            <v>SOUTHBANK</v>
          </cell>
          <cell r="S16" t="str">
            <v>Vic</v>
          </cell>
          <cell r="U16" t="str">
            <v>Locked Bag 14051</v>
          </cell>
          <cell r="V16"/>
          <cell r="W16" t="str">
            <v>MELBOURNE CITY MAIL CENTRE</v>
          </cell>
          <cell r="X16" t="str">
            <v>Vic</v>
          </cell>
          <cell r="Z16" t="str">
            <v>NO</v>
          </cell>
          <cell r="AA16" t="str">
            <v>NO</v>
          </cell>
          <cell r="AB16" t="str">
            <v>NO</v>
          </cell>
          <cell r="AC16" t="str">
            <v>NO</v>
          </cell>
          <cell r="AD16" t="str">
            <v>NO</v>
          </cell>
          <cell r="AE16" t="str">
            <v>CBD</v>
          </cell>
          <cell r="AF16" t="str">
            <v>Urban</v>
          </cell>
          <cell r="AG16" t="str">
            <v>Short rural</v>
          </cell>
          <cell r="AH16" t="str">
            <v>Long rural</v>
          </cell>
          <cell r="AI16"/>
          <cell r="AJ16" t="str">
            <v>NO</v>
          </cell>
        </row>
        <row r="17">
          <cell r="B17" t="str">
            <v>Powerlink</v>
          </cell>
          <cell r="C17" t="str">
            <v>Queensland Electricity Transmission Corporation Limited trading as Powerlink Queensland</v>
          </cell>
          <cell r="D17">
            <v>82078849233</v>
          </cell>
          <cell r="E17" t="str">
            <v>Qld</v>
          </cell>
          <cell r="F17" t="str">
            <v>Electricity</v>
          </cell>
          <cell r="G17" t="str">
            <v>Transmission</v>
          </cell>
          <cell r="H17" t="str">
            <v>Revenue cap</v>
          </cell>
          <cell r="I17" t="str">
            <v>Financial</v>
          </cell>
          <cell r="J17" t="str">
            <v>June</v>
          </cell>
          <cell r="K17">
            <v>5</v>
          </cell>
          <cell r="L17">
            <v>5</v>
          </cell>
          <cell r="M17">
            <v>5</v>
          </cell>
          <cell r="N17">
            <v>5</v>
          </cell>
          <cell r="O17" t="str">
            <v>transmission determination</v>
          </cell>
          <cell r="P17" t="str">
            <v>33 Harold St</v>
          </cell>
          <cell r="Q17"/>
          <cell r="R17" t="str">
            <v>VIRGINIA</v>
          </cell>
          <cell r="S17" t="str">
            <v>Qld</v>
          </cell>
          <cell r="U17" t="str">
            <v>PO Box 1193</v>
          </cell>
          <cell r="V17"/>
          <cell r="W17" t="str">
            <v>VIRGINIA</v>
          </cell>
          <cell r="X17" t="str">
            <v>QLD</v>
          </cell>
          <cell r="Z17" t="str">
            <v>NO</v>
          </cell>
          <cell r="AA17" t="str">
            <v>NO</v>
          </cell>
          <cell r="AB17" t="str">
            <v>NO</v>
          </cell>
          <cell r="AC17" t="str">
            <v>NO</v>
          </cell>
          <cell r="AD17" t="str">
            <v>NO</v>
          </cell>
          <cell r="AE17" t="str">
            <v>CBD</v>
          </cell>
          <cell r="AF17" t="str">
            <v>Urban</v>
          </cell>
          <cell r="AG17" t="str">
            <v>Short rural</v>
          </cell>
          <cell r="AH17" t="str">
            <v>Long rural</v>
          </cell>
          <cell r="AI17"/>
          <cell r="AJ17" t="str">
            <v>NO</v>
          </cell>
        </row>
        <row r="24">
          <cell r="B24" t="str">
            <v>ARR</v>
          </cell>
          <cell r="D24" t="str">
            <v>ANNUAL REPORTING</v>
          </cell>
          <cell r="E24">
            <v>1</v>
          </cell>
        </row>
        <row r="25">
          <cell r="B25" t="str">
            <v>CA</v>
          </cell>
          <cell r="D25" t="str">
            <v>CATEGORY ANALYSIS</v>
          </cell>
          <cell r="E25">
            <v>1</v>
          </cell>
        </row>
        <row r="26">
          <cell r="B26" t="str">
            <v>CESS</v>
          </cell>
          <cell r="D26" t="str">
            <v>CAPITLAL EXPENDITURE SHARING SCHEMING</v>
          </cell>
          <cell r="E26">
            <v>5</v>
          </cell>
        </row>
        <row r="27">
          <cell r="B27" t="str">
            <v>CPI</v>
          </cell>
          <cell r="D27" t="str">
            <v>CPI</v>
          </cell>
          <cell r="E27">
            <v>5</v>
          </cell>
        </row>
        <row r="28">
          <cell r="B28" t="str">
            <v>EB</v>
          </cell>
          <cell r="D28" t="str">
            <v>ECONOMIC BENCHMARKING</v>
          </cell>
          <cell r="E28">
            <v>1</v>
          </cell>
        </row>
        <row r="29">
          <cell r="B29" t="str">
            <v>Pricing</v>
          </cell>
          <cell r="D29" t="str">
            <v>PRICING PROPOSAL</v>
          </cell>
          <cell r="E29">
            <v>5</v>
          </cell>
        </row>
        <row r="30">
          <cell r="B30" t="str">
            <v>PTRM</v>
          </cell>
          <cell r="D30" t="str">
            <v>POST TAX REVENUE MODEL</v>
          </cell>
          <cell r="E30">
            <v>5</v>
          </cell>
        </row>
        <row r="31">
          <cell r="B31" t="str">
            <v>Reset</v>
          </cell>
          <cell r="D31" t="str">
            <v>REGULATORY REPORTING STATEMENT</v>
          </cell>
          <cell r="E31">
            <v>5</v>
          </cell>
        </row>
        <row r="32">
          <cell r="B32" t="str">
            <v>RFM</v>
          </cell>
          <cell r="D32" t="str">
            <v>ROLL FORWARD MODEL</v>
          </cell>
          <cell r="E32">
            <v>5</v>
          </cell>
        </row>
        <row r="33">
          <cell r="B33" t="str">
            <v>WACC</v>
          </cell>
          <cell r="D33" t="str">
            <v>WEIGHTED AVERAGE COST OF CAPITAL</v>
          </cell>
          <cell r="E33">
            <v>1</v>
          </cell>
        </row>
        <row r="38">
          <cell r="E38" t="str">
            <v>2012-13</v>
          </cell>
        </row>
        <row r="39">
          <cell r="E39" t="str">
            <v>2013-14</v>
          </cell>
          <cell r="I39" t="str">
            <v>2023-24</v>
          </cell>
        </row>
        <row r="40">
          <cell r="I40" t="str">
            <v>2024-25</v>
          </cell>
        </row>
        <row r="41">
          <cell r="G41" t="str">
            <v>2020-21</v>
          </cell>
          <cell r="I41" t="str">
            <v>2025-26</v>
          </cell>
        </row>
        <row r="42">
          <cell r="G42" t="str">
            <v>2021-22</v>
          </cell>
          <cell r="I42" t="str">
            <v>2026-27</v>
          </cell>
        </row>
        <row r="43">
          <cell r="E43" t="str">
            <v>2017-18</v>
          </cell>
          <cell r="G43" t="str">
            <v>2022-23</v>
          </cell>
          <cell r="I43" t="str">
            <v>2027-28</v>
          </cell>
        </row>
        <row r="44">
          <cell r="E44" t="str">
            <v>2018-19</v>
          </cell>
          <cell r="G44" t="str">
            <v>2023-24</v>
          </cell>
          <cell r="I44" t="str">
            <v>2028-29</v>
          </cell>
        </row>
        <row r="45">
          <cell r="E45" t="str">
            <v>2019-20</v>
          </cell>
          <cell r="G45" t="str">
            <v>2024-25</v>
          </cell>
          <cell r="I45" t="str">
            <v>2029-30</v>
          </cell>
        </row>
        <row r="46">
          <cell r="E46" t="str">
            <v>2020-21</v>
          </cell>
          <cell r="G46" t="str">
            <v>2025-26</v>
          </cell>
          <cell r="I46" t="str">
            <v>2030-31</v>
          </cell>
        </row>
        <row r="47">
          <cell r="E47" t="str">
            <v>2021-22</v>
          </cell>
          <cell r="G47" t="str">
            <v>2026-27</v>
          </cell>
          <cell r="I47" t="str">
            <v>2031-32</v>
          </cell>
        </row>
        <row r="48">
          <cell r="E48" t="str">
            <v>2022-23</v>
          </cell>
          <cell r="G48" t="str">
            <v>2027-28</v>
          </cell>
          <cell r="I48" t="str">
            <v>2032-33</v>
          </cell>
        </row>
        <row r="49">
          <cell r="E49" t="str">
            <v>2023-24</v>
          </cell>
          <cell r="G49" t="str">
            <v>2028-29</v>
          </cell>
          <cell r="I49" t="str">
            <v>2033-34</v>
          </cell>
        </row>
        <row r="50">
          <cell r="E50" t="str">
            <v>2024-25</v>
          </cell>
          <cell r="G50" t="str">
            <v>2029-30</v>
          </cell>
          <cell r="I50" t="str">
            <v>2034-35</v>
          </cell>
        </row>
        <row r="51">
          <cell r="E51" t="str">
            <v>2025-26</v>
          </cell>
          <cell r="G51" t="str">
            <v>2030-31</v>
          </cell>
          <cell r="I51" t="str">
            <v>2035-36</v>
          </cell>
        </row>
        <row r="52">
          <cell r="E52" t="str">
            <v>2026-27</v>
          </cell>
          <cell r="G52" t="str">
            <v>2031-32</v>
          </cell>
          <cell r="I52" t="str">
            <v>2036-37</v>
          </cell>
        </row>
        <row r="57">
          <cell r="E57" t="str">
            <v>2020-21</v>
          </cell>
        </row>
        <row r="58">
          <cell r="E58" t="str">
            <v>2021-22</v>
          </cell>
        </row>
        <row r="59">
          <cell r="E59" t="str">
            <v>2022-23</v>
          </cell>
        </row>
        <row r="60">
          <cell r="E60" t="str">
            <v>2023-24</v>
          </cell>
        </row>
        <row r="61">
          <cell r="E61" t="str">
            <v>2024-25</v>
          </cell>
        </row>
        <row r="62">
          <cell r="E62" t="str">
            <v>2025-26</v>
          </cell>
        </row>
        <row r="63">
          <cell r="E63" t="str">
            <v>2026-27</v>
          </cell>
        </row>
      </sheetData>
      <sheetData sheetId="4">
        <row r="9">
          <cell r="C9" t="str">
            <v>Queensland Electricity Transmission Corporation Limited trading as Powerlink Queensland</v>
          </cell>
        </row>
        <row r="11">
          <cell r="C11" t="str">
            <v>Reset</v>
          </cell>
        </row>
        <row r="20">
          <cell r="C20" t="str">
            <v>Electricity</v>
          </cell>
        </row>
        <row r="21">
          <cell r="C21" t="str">
            <v>Transmission</v>
          </cell>
        </row>
        <row r="23">
          <cell r="C23" t="str">
            <v>Financial</v>
          </cell>
        </row>
        <row r="29">
          <cell r="C29" t="str">
            <v>CRY not present</v>
          </cell>
        </row>
        <row r="30">
          <cell r="C30" t="str">
            <v>June</v>
          </cell>
        </row>
        <row r="31">
          <cell r="C31" t="str">
            <v>June 2022</v>
          </cell>
        </row>
        <row r="36">
          <cell r="C36" t="str">
            <v>2022-23</v>
          </cell>
        </row>
        <row r="37">
          <cell r="C37" t="str">
            <v>2020-21</v>
          </cell>
        </row>
        <row r="38">
          <cell r="C38">
            <v>34</v>
          </cell>
        </row>
        <row r="39">
          <cell r="C39">
            <v>36</v>
          </cell>
        </row>
        <row r="40">
          <cell r="C40">
            <v>31</v>
          </cell>
        </row>
        <row r="41">
          <cell r="C41">
            <v>26</v>
          </cell>
        </row>
        <row r="42">
          <cell r="C42">
            <v>40</v>
          </cell>
        </row>
        <row r="46">
          <cell r="C46" t="str">
            <v>2026-27</v>
          </cell>
        </row>
        <row r="47">
          <cell r="C47" t="str">
            <v>2021-22</v>
          </cell>
        </row>
        <row r="48">
          <cell r="C48" t="str">
            <v>2016-17</v>
          </cell>
        </row>
        <row r="49">
          <cell r="C49" t="str">
            <v>2026-27</v>
          </cell>
        </row>
        <row r="51">
          <cell r="C51" t="str">
            <v>2022</v>
          </cell>
        </row>
        <row r="52">
          <cell r="C52" t="str">
            <v>2017</v>
          </cell>
        </row>
        <row r="53">
          <cell r="C53">
            <v>0</v>
          </cell>
        </row>
        <row r="54">
          <cell r="C54" t="str">
            <v>2027</v>
          </cell>
        </row>
        <row r="55">
          <cell r="C55">
            <v>0</v>
          </cell>
        </row>
        <row r="56">
          <cell r="C56">
            <v>5</v>
          </cell>
        </row>
        <row r="57">
          <cell r="C57" t="str">
            <v>2027</v>
          </cell>
        </row>
        <row r="59">
          <cell r="C59">
            <v>0</v>
          </cell>
        </row>
        <row r="60">
          <cell r="C60" t="str">
            <v>2020-21 - 2026-27</v>
          </cell>
        </row>
        <row r="62">
          <cell r="C62" t="str">
            <v>No</v>
          </cell>
        </row>
        <row r="63">
          <cell r="C63">
            <v>0</v>
          </cell>
        </row>
        <row r="64">
          <cell r="C64" t="str">
            <v>not a Multiple year submission</v>
          </cell>
        </row>
        <row r="68">
          <cell r="C68">
            <v>5</v>
          </cell>
        </row>
        <row r="69">
          <cell r="C69">
            <v>5</v>
          </cell>
        </row>
        <row r="70">
          <cell r="C70">
            <v>5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 t="str">
            <v>no</v>
          </cell>
        </row>
        <row r="80">
          <cell r="C80" t="str">
            <v>2026-27</v>
          </cell>
        </row>
        <row r="90">
          <cell r="C90" t="str">
            <v>no</v>
          </cell>
        </row>
        <row r="92">
          <cell r="C92" t="str">
            <v>not a CA</v>
          </cell>
        </row>
        <row r="98">
          <cell r="C98" t="str">
            <v>dms_LeapYear not present</v>
          </cell>
        </row>
        <row r="99">
          <cell r="C99">
            <v>1826</v>
          </cell>
        </row>
        <row r="100">
          <cell r="C100">
            <v>365</v>
          </cell>
        </row>
        <row r="106">
          <cell r="C106" t="str">
            <v>1-Jul-2015</v>
          </cell>
        </row>
        <row r="111">
          <cell r="C111">
            <v>12</v>
          </cell>
        </row>
        <row r="112">
          <cell r="C112" t="str">
            <v>0</v>
          </cell>
        </row>
        <row r="125">
          <cell r="C125" t="str">
            <v>NO</v>
          </cell>
        </row>
      </sheetData>
      <sheetData sheetId="5"/>
      <sheetData sheetId="6"/>
      <sheetData sheetId="7">
        <row r="16">
          <cell r="AL16" t="str">
            <v>Powerlink</v>
          </cell>
        </row>
        <row r="42">
          <cell r="AL42" t="str">
            <v>2022-23</v>
          </cell>
        </row>
        <row r="70">
          <cell r="AL70" t="str">
            <v>.</v>
          </cell>
        </row>
        <row r="74">
          <cell r="AL74">
            <v>44224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>
        <row r="12">
          <cell r="B12" t="str">
            <v>H038 - Goodna, T6</v>
          </cell>
          <cell r="C12"/>
          <cell r="D12"/>
          <cell r="E12"/>
          <cell r="F12"/>
          <cell r="G12"/>
          <cell r="H12"/>
          <cell r="I12"/>
        </row>
        <row r="13">
          <cell r="C13"/>
          <cell r="D13"/>
          <cell r="E13"/>
          <cell r="F13"/>
          <cell r="G13"/>
          <cell r="H13"/>
          <cell r="I13"/>
        </row>
        <row r="14">
          <cell r="B14"/>
          <cell r="C14"/>
          <cell r="D14"/>
          <cell r="E14"/>
          <cell r="F14"/>
          <cell r="G14"/>
          <cell r="H14"/>
          <cell r="I14"/>
        </row>
        <row r="15">
          <cell r="B15"/>
          <cell r="C15"/>
          <cell r="D15"/>
          <cell r="E15"/>
          <cell r="F15"/>
          <cell r="G15"/>
          <cell r="H15"/>
          <cell r="I15"/>
        </row>
        <row r="16">
          <cell r="B16"/>
          <cell r="C16"/>
          <cell r="D16"/>
          <cell r="E16"/>
          <cell r="F16"/>
          <cell r="G16"/>
          <cell r="H16"/>
          <cell r="I16"/>
        </row>
        <row r="17">
          <cell r="B17"/>
          <cell r="C17"/>
          <cell r="D17"/>
          <cell r="E17"/>
          <cell r="F17"/>
          <cell r="G17"/>
          <cell r="H17"/>
          <cell r="I17"/>
        </row>
        <row r="18">
          <cell r="B18"/>
          <cell r="C18"/>
          <cell r="D18"/>
          <cell r="E18"/>
          <cell r="F18"/>
          <cell r="G18"/>
          <cell r="H18"/>
          <cell r="I18"/>
        </row>
        <row r="19">
          <cell r="B19"/>
          <cell r="C19"/>
          <cell r="D19"/>
          <cell r="E19"/>
          <cell r="F19"/>
          <cell r="G19"/>
          <cell r="H19"/>
          <cell r="I19"/>
        </row>
        <row r="20">
          <cell r="B20"/>
          <cell r="C20"/>
          <cell r="D20"/>
          <cell r="E20"/>
          <cell r="F20"/>
          <cell r="G20"/>
          <cell r="H20"/>
          <cell r="I20"/>
        </row>
        <row r="21">
          <cell r="B21"/>
          <cell r="C21"/>
          <cell r="D21"/>
          <cell r="E21"/>
          <cell r="F21"/>
          <cell r="G21"/>
          <cell r="H21"/>
          <cell r="I21"/>
        </row>
        <row r="22">
          <cell r="B22"/>
          <cell r="C22"/>
          <cell r="D22"/>
          <cell r="E22"/>
          <cell r="F22"/>
          <cell r="G22"/>
          <cell r="H22"/>
          <cell r="I22"/>
        </row>
        <row r="23">
          <cell r="B23"/>
          <cell r="C23"/>
          <cell r="D23"/>
          <cell r="E23"/>
          <cell r="F23"/>
          <cell r="G23"/>
          <cell r="H23"/>
          <cell r="I23"/>
        </row>
        <row r="24">
          <cell r="B24"/>
          <cell r="C24"/>
          <cell r="D24"/>
          <cell r="E24"/>
          <cell r="F24"/>
          <cell r="G24"/>
          <cell r="H24"/>
          <cell r="I24"/>
        </row>
        <row r="25">
          <cell r="B25"/>
          <cell r="C25"/>
          <cell r="D25"/>
          <cell r="E25"/>
          <cell r="F25"/>
          <cell r="G25"/>
          <cell r="H25"/>
          <cell r="I25"/>
        </row>
        <row r="26">
          <cell r="B26"/>
          <cell r="C26"/>
          <cell r="D26"/>
          <cell r="E26"/>
          <cell r="F26"/>
          <cell r="G26"/>
          <cell r="H26"/>
          <cell r="I26"/>
        </row>
        <row r="27">
          <cell r="B27"/>
          <cell r="C27"/>
          <cell r="D27"/>
          <cell r="E27"/>
          <cell r="F27"/>
          <cell r="G27"/>
          <cell r="H27"/>
          <cell r="I27"/>
        </row>
        <row r="28">
          <cell r="B28"/>
          <cell r="C28"/>
          <cell r="D28"/>
          <cell r="E28"/>
          <cell r="F28"/>
          <cell r="G28"/>
          <cell r="H28"/>
          <cell r="I28"/>
        </row>
        <row r="29">
          <cell r="B29"/>
          <cell r="C29"/>
          <cell r="D29"/>
          <cell r="E29"/>
          <cell r="F29"/>
          <cell r="G29"/>
          <cell r="H29"/>
          <cell r="I29"/>
        </row>
        <row r="30">
          <cell r="B30"/>
          <cell r="C30"/>
          <cell r="D30"/>
          <cell r="E30"/>
          <cell r="F30"/>
          <cell r="G30"/>
          <cell r="H30"/>
          <cell r="I30"/>
        </row>
        <row r="31">
          <cell r="B31"/>
        </row>
        <row r="32">
          <cell r="B32"/>
        </row>
        <row r="33">
          <cell r="B33"/>
        </row>
        <row r="34">
          <cell r="B34"/>
        </row>
        <row r="35">
          <cell r="B35"/>
        </row>
        <row r="36">
          <cell r="B36"/>
        </row>
      </sheetData>
      <sheetData sheetId="16"/>
      <sheetData sheetId="17"/>
      <sheetData sheetId="18"/>
      <sheetData sheetId="19"/>
      <sheetData sheetId="20">
        <row r="7">
          <cell r="M7" t="str">
            <v>Yes</v>
          </cell>
        </row>
        <row r="9">
          <cell r="M9" t="str">
            <v>2018-19</v>
          </cell>
        </row>
        <row r="13">
          <cell r="C13" t="str">
            <v>2017-18</v>
          </cell>
          <cell r="D13" t="str">
            <v>2018-19</v>
          </cell>
          <cell r="E13" t="str">
            <v>2019-20</v>
          </cell>
          <cell r="F13" t="str">
            <v>2020-21</v>
          </cell>
          <cell r="G13" t="str">
            <v>2021-22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ER Sheet Heading"/>
      <sheetName val="AER CF"/>
      <sheetName val="AER NRs"/>
      <sheetName val="AER lookups"/>
      <sheetName val="AER ETL"/>
      <sheetName val="Instructions"/>
      <sheetName val="CONTENTS"/>
      <sheetName val="Business &amp; other details"/>
      <sheetName val="CPI series"/>
      <sheetName val="2.1 Expenditure summary"/>
      <sheetName val="2.2 Repex"/>
      <sheetName val="2.3 Augex (a)"/>
      <sheetName val="2.3 Augex (b)"/>
      <sheetName val="2.5 Connections"/>
      <sheetName val="2.6 Non-network"/>
      <sheetName val="2.10 Overheads"/>
      <sheetName val="2.11 Labour"/>
      <sheetName val="2.14 Forecast price changes"/>
      <sheetName val="2.16 Opex Summary"/>
      <sheetName val="2.17 Step Changes"/>
      <sheetName val="3.1 Revenue"/>
      <sheetName val="3.2 Operating expenditure"/>
      <sheetName val="3.3 Assets (RAB)"/>
      <sheetName val="3.4 Operational data"/>
      <sheetName val="3.5 Physical assets"/>
      <sheetName val="3.7 Operating environment"/>
      <sheetName val="5.4 MD &amp; Utilisation - Spatial"/>
      <sheetName val="7.1  Policies and Procedures"/>
      <sheetName val="7.2 Contingent projects"/>
      <sheetName val="7.3 Obligations"/>
      <sheetName val="7.4 Shared Assets"/>
      <sheetName val="7.9 STPIS"/>
      <sheetName val="8.2 Capex"/>
    </sheetNames>
    <sheetDataSet>
      <sheetData sheetId="0"/>
      <sheetData sheetId="1"/>
      <sheetData sheetId="2"/>
      <sheetData sheetId="3">
        <row r="16">
          <cell r="B16" t="str">
            <v>AusNet (T)</v>
          </cell>
        </row>
        <row r="38">
          <cell r="G38" t="str">
            <v>2017-18</v>
          </cell>
        </row>
        <row r="39">
          <cell r="G39" t="str">
            <v>2018-19</v>
          </cell>
        </row>
        <row r="40">
          <cell r="E40" t="str">
            <v>2014-15</v>
          </cell>
          <cell r="G40" t="str">
            <v>2019-20</v>
          </cell>
        </row>
        <row r="41">
          <cell r="E41" t="str">
            <v>2015-16</v>
          </cell>
        </row>
        <row r="42">
          <cell r="E42" t="str">
            <v>2016-17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ctions"/>
      <sheetName val="CONTENTS"/>
      <sheetName val="Business &amp; other details"/>
      <sheetName val="2.1 Expenditure Summary"/>
      <sheetName val="2.3c Material Projects"/>
      <sheetName val="2.6 Non-network"/>
      <sheetName val="2.14 Forecast price changes"/>
      <sheetName val="2.16 Opex Summary"/>
      <sheetName val="2.17 Step Changes"/>
      <sheetName val="3.2.3 Provisions"/>
      <sheetName val="Chart13"/>
      <sheetName val="Chart12"/>
      <sheetName val="Chart11"/>
      <sheetName val="Chart10"/>
      <sheetName val="Chart9"/>
      <sheetName val="Chart8"/>
      <sheetName val="Chart7"/>
      <sheetName val="Chart6"/>
      <sheetName val="Chart5"/>
      <sheetName val="Chart4"/>
      <sheetName val="Chart3"/>
      <sheetName val="Chart2"/>
      <sheetName val="Chart1"/>
      <sheetName val="7.9 STPIS"/>
      <sheetName val="7.1  Policies and Procedures"/>
      <sheetName val="8.2 Capex"/>
      <sheetName val="7.2 Contingent projects"/>
      <sheetName val="7.3 Obligations"/>
      <sheetName val="7.4 Shared Assets"/>
      <sheetName val="AER CF"/>
      <sheetName val="AER NRs"/>
      <sheetName val="AER lookups"/>
      <sheetName val="AER ET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40">
          <cell r="G40" t="str">
            <v>2020-21</v>
          </cell>
        </row>
        <row r="41">
          <cell r="G41" t="str">
            <v>2021-22</v>
          </cell>
        </row>
        <row r="42">
          <cell r="G42" t="str">
            <v>2022-23</v>
          </cell>
        </row>
        <row r="43">
          <cell r="E43" t="str">
            <v>2018-19</v>
          </cell>
          <cell r="G43" t="str">
            <v>2023-24</v>
          </cell>
        </row>
        <row r="44">
          <cell r="E44" t="str">
            <v>2019-20</v>
          </cell>
        </row>
      </sheetData>
      <sheetData sheetId="3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6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22779-C567-4A15-B2FF-83DE61655BF4}">
  <dimension ref="A1:J31"/>
  <sheetViews>
    <sheetView showGridLines="0" tabSelected="1" zoomScale="160" zoomScaleNormal="160" workbookViewId="0">
      <selection activeCell="B27" sqref="B27"/>
    </sheetView>
  </sheetViews>
  <sheetFormatPr defaultRowHeight="15" x14ac:dyDescent="0.25"/>
  <cols>
    <col min="1" max="1" width="51.42578125" customWidth="1"/>
    <col min="2" max="3" width="12.140625" customWidth="1"/>
    <col min="4" max="6" width="9.140625" customWidth="1"/>
    <col min="7" max="9" width="16.85546875" customWidth="1"/>
    <col min="10" max="10" width="20.140625" customWidth="1"/>
  </cols>
  <sheetData>
    <row r="1" spans="1:10" ht="21" x14ac:dyDescent="0.35">
      <c r="A1" s="2" t="s">
        <v>64</v>
      </c>
    </row>
    <row r="3" spans="1:10" x14ac:dyDescent="0.25">
      <c r="A3" s="1" t="s">
        <v>0</v>
      </c>
      <c r="G3" s="3"/>
    </row>
    <row r="4" spans="1:10" ht="19.5" thickBot="1" x14ac:dyDescent="0.3">
      <c r="A4" s="37" t="s">
        <v>1</v>
      </c>
      <c r="B4" s="38"/>
      <c r="C4" s="38"/>
      <c r="D4" s="38"/>
      <c r="E4" s="38"/>
      <c r="F4" s="38"/>
      <c r="G4" s="38"/>
      <c r="H4" s="38"/>
      <c r="I4" s="39"/>
      <c r="J4" s="40"/>
    </row>
    <row r="5" spans="1:10" ht="14.45" customHeight="1" x14ac:dyDescent="0.25">
      <c r="A5" s="41" t="s">
        <v>2</v>
      </c>
      <c r="B5" s="32" t="s">
        <v>19</v>
      </c>
      <c r="C5" s="32"/>
      <c r="D5" s="32"/>
      <c r="E5" s="32"/>
      <c r="F5" s="32"/>
      <c r="G5" s="33" t="s">
        <v>6</v>
      </c>
      <c r="H5" s="33" t="s">
        <v>7</v>
      </c>
      <c r="I5" s="35" t="s">
        <v>8</v>
      </c>
      <c r="J5" s="42" t="s">
        <v>60</v>
      </c>
    </row>
    <row r="6" spans="1:10" ht="15.75" thickBot="1" x14ac:dyDescent="0.3">
      <c r="A6" s="43"/>
      <c r="B6" s="12">
        <v>2020</v>
      </c>
      <c r="C6" s="12">
        <v>2021</v>
      </c>
      <c r="D6" s="12">
        <v>2022</v>
      </c>
      <c r="E6" s="12">
        <v>2023</v>
      </c>
      <c r="F6" s="12">
        <v>2024</v>
      </c>
      <c r="G6" s="34"/>
      <c r="H6" s="34"/>
      <c r="I6" s="36"/>
      <c r="J6" s="42"/>
    </row>
    <row r="7" spans="1:10" ht="15.75" thickBot="1" x14ac:dyDescent="0.3">
      <c r="A7" s="44" t="s">
        <v>3</v>
      </c>
      <c r="B7" s="4"/>
      <c r="C7" s="4"/>
      <c r="D7" s="4"/>
      <c r="E7" s="4"/>
      <c r="F7" s="4"/>
      <c r="G7" s="4"/>
      <c r="H7" s="4"/>
      <c r="I7" s="10"/>
      <c r="J7" s="45"/>
    </row>
    <row r="8" spans="1:10" x14ac:dyDescent="0.25">
      <c r="A8" s="46" t="s">
        <v>9</v>
      </c>
      <c r="B8" s="13">
        <f>27/298</f>
        <v>9.0604026845637578E-2</v>
      </c>
      <c r="C8" s="13">
        <f>34/297</f>
        <v>0.11447811447811448</v>
      </c>
      <c r="D8" s="14">
        <f>23/301</f>
        <v>7.6411960132890366E-2</v>
      </c>
      <c r="E8" s="13">
        <f>23/305</f>
        <v>7.5409836065573776E-2</v>
      </c>
      <c r="F8" s="13">
        <f>33/307</f>
        <v>0.10749185667752444</v>
      </c>
      <c r="G8" s="16">
        <f>'@Risk simulation'!M4</f>
        <v>0.12039999999999999</v>
      </c>
      <c r="H8" s="16">
        <f t="shared" ref="H8:H13" si="0">+AVERAGE(B8:F8)</f>
        <v>9.2879158839948128E-2</v>
      </c>
      <c r="I8" s="31">
        <f>'@Risk simulation'!K4</f>
        <v>6.8400000000000002E-2</v>
      </c>
      <c r="J8" s="47" t="str">
        <f>'@Risk simulation'!B4</f>
        <v>Gamma</v>
      </c>
    </row>
    <row r="9" spans="1:10" x14ac:dyDescent="0.25">
      <c r="A9" s="46" t="s">
        <v>10</v>
      </c>
      <c r="B9" s="14">
        <f>20/172</f>
        <v>0.11627906976744186</v>
      </c>
      <c r="C9" s="14">
        <f>20/171</f>
        <v>0.11695906432748537</v>
      </c>
      <c r="D9" s="14">
        <f>24/171</f>
        <v>0.14035087719298245</v>
      </c>
      <c r="E9" s="14">
        <f>18/170</f>
        <v>0.10588235294117647</v>
      </c>
      <c r="F9" s="14">
        <f>24/168</f>
        <v>0.14285714285714285</v>
      </c>
      <c r="G9" s="17">
        <f>'@Risk simulation'!M5</f>
        <v>0.15260000000000001</v>
      </c>
      <c r="H9" s="17">
        <f t="shared" si="0"/>
        <v>0.12446570141724581</v>
      </c>
      <c r="I9" s="23">
        <f>'@Risk simulation'!K5</f>
        <v>9.9400000000000002E-2</v>
      </c>
      <c r="J9" s="47" t="str">
        <f>'@Risk simulation'!B5</f>
        <v>LogLogistic</v>
      </c>
    </row>
    <row r="10" spans="1:10" x14ac:dyDescent="0.25">
      <c r="A10" s="46" t="s">
        <v>11</v>
      </c>
      <c r="B10" s="13">
        <f>30/133</f>
        <v>0.22556390977443608</v>
      </c>
      <c r="C10" s="13">
        <f>31/133</f>
        <v>0.23308270676691728</v>
      </c>
      <c r="D10" s="13">
        <f>22/133</f>
        <v>0.16541353383458646</v>
      </c>
      <c r="E10" s="13">
        <f>30/133</f>
        <v>0.22556390977443608</v>
      </c>
      <c r="F10" s="13">
        <f>25/134</f>
        <v>0.18656716417910449</v>
      </c>
      <c r="G10" s="17">
        <v>0.2427</v>
      </c>
      <c r="H10" s="17">
        <f t="shared" si="0"/>
        <v>0.20723824486589609</v>
      </c>
      <c r="I10" s="23">
        <v>0.16450000000000001</v>
      </c>
      <c r="J10" s="47" t="str">
        <f>'@Risk simulation'!B6</f>
        <v>Weibull</v>
      </c>
    </row>
    <row r="11" spans="1:10" x14ac:dyDescent="0.25">
      <c r="A11" s="46" t="s">
        <v>12</v>
      </c>
      <c r="B11" s="13">
        <f>54/298</f>
        <v>0.18120805369127516</v>
      </c>
      <c r="C11" s="13">
        <f>40/297</f>
        <v>0.13468013468013468</v>
      </c>
      <c r="D11" s="13">
        <f>33/301</f>
        <v>0.10963455149501661</v>
      </c>
      <c r="E11" s="13">
        <f>36/305</f>
        <v>0.11803278688524591</v>
      </c>
      <c r="F11" s="13">
        <f>32/307</f>
        <v>0.10423452768729642</v>
      </c>
      <c r="G11" s="17">
        <v>0.17610000000000001</v>
      </c>
      <c r="H11" s="17">
        <f t="shared" si="0"/>
        <v>0.12955801088779378</v>
      </c>
      <c r="I11" s="23">
        <v>9.3399999999999997E-2</v>
      </c>
      <c r="J11" s="47" t="str">
        <f>'@Risk simulation'!B7</f>
        <v>Pearson5</v>
      </c>
    </row>
    <row r="12" spans="1:10" x14ac:dyDescent="0.25">
      <c r="A12" s="46" t="s">
        <v>13</v>
      </c>
      <c r="B12" s="13">
        <f>32/172</f>
        <v>0.18604651162790697</v>
      </c>
      <c r="C12" s="13">
        <f>25/171</f>
        <v>0.14619883040935672</v>
      </c>
      <c r="D12" s="13">
        <f>19/171</f>
        <v>0.1111111111111111</v>
      </c>
      <c r="E12" s="13">
        <f>22/170</f>
        <v>0.12941176470588237</v>
      </c>
      <c r="F12" s="13">
        <f>14/168</f>
        <v>8.3333333333333329E-2</v>
      </c>
      <c r="G12" s="17">
        <v>0.19309999999999999</v>
      </c>
      <c r="H12" s="17">
        <f t="shared" si="0"/>
        <v>0.1312203102375181</v>
      </c>
      <c r="I12" s="23">
        <v>7.9799999999999996E-2</v>
      </c>
      <c r="J12" s="47" t="str">
        <f>'@Risk simulation'!B8</f>
        <v>Gamma</v>
      </c>
    </row>
    <row r="13" spans="1:10" ht="15.75" thickBot="1" x14ac:dyDescent="0.3">
      <c r="A13" s="46" t="s">
        <v>14</v>
      </c>
      <c r="B13" s="13">
        <f>27/133</f>
        <v>0.20300751879699247</v>
      </c>
      <c r="C13" s="13">
        <f>34/133</f>
        <v>0.25563909774436089</v>
      </c>
      <c r="D13" s="13">
        <f>29/133</f>
        <v>0.21804511278195488</v>
      </c>
      <c r="E13" s="13">
        <f>36/133</f>
        <v>0.27067669172932329</v>
      </c>
      <c r="F13" s="13">
        <f>26/134</f>
        <v>0.19402985074626866</v>
      </c>
      <c r="G13" s="17">
        <v>0.27910000000000001</v>
      </c>
      <c r="H13" s="17">
        <f t="shared" si="0"/>
        <v>0.22827965435978004</v>
      </c>
      <c r="I13" s="23">
        <v>0.18179999999999999</v>
      </c>
      <c r="J13" s="47" t="str">
        <f>'@Risk simulation'!B9</f>
        <v>Gamma</v>
      </c>
    </row>
    <row r="14" spans="1:10" ht="15.75" thickBot="1" x14ac:dyDescent="0.3">
      <c r="A14" s="44" t="s">
        <v>17</v>
      </c>
      <c r="B14" s="4"/>
      <c r="C14" s="4"/>
      <c r="D14" s="4"/>
      <c r="E14" s="4"/>
      <c r="F14" s="4"/>
      <c r="G14" s="5"/>
      <c r="H14" s="6"/>
      <c r="I14" s="7"/>
      <c r="J14" s="48"/>
    </row>
    <row r="15" spans="1:10" x14ac:dyDescent="0.25">
      <c r="A15" s="46" t="s">
        <v>61</v>
      </c>
      <c r="B15" s="8">
        <v>0</v>
      </c>
      <c r="C15" s="8">
        <v>3</v>
      </c>
      <c r="D15" s="8">
        <f>1+1</f>
        <v>2</v>
      </c>
      <c r="E15" s="8">
        <v>2</v>
      </c>
      <c r="F15" s="8">
        <v>0</v>
      </c>
      <c r="G15" s="21">
        <f>'@Risk simulation'!M24</f>
        <v>3</v>
      </c>
      <c r="H15" s="21">
        <f>+AVERAGE(B15:F15)</f>
        <v>1.4</v>
      </c>
      <c r="I15" s="21">
        <f>'@Risk simulation'!K24</f>
        <v>0</v>
      </c>
      <c r="J15" s="47" t="str">
        <f>'@Risk simulation'!B24</f>
        <v>IntUniform</v>
      </c>
    </row>
    <row r="16" spans="1:10" ht="15.75" thickBot="1" x14ac:dyDescent="0.3">
      <c r="A16" s="46" t="s">
        <v>62</v>
      </c>
      <c r="B16" s="8">
        <v>0</v>
      </c>
      <c r="C16" s="8">
        <v>1</v>
      </c>
      <c r="D16" s="8">
        <f>1</f>
        <v>1</v>
      </c>
      <c r="E16" s="8">
        <v>1</v>
      </c>
      <c r="F16" s="8">
        <v>0</v>
      </c>
      <c r="G16" s="21">
        <f>'@Risk simulation'!M27</f>
        <v>1</v>
      </c>
      <c r="H16" s="21">
        <f>+AVERAGE(B16:F16)</f>
        <v>0.6</v>
      </c>
      <c r="I16" s="21">
        <f>'@Risk simulation'!K27</f>
        <v>0</v>
      </c>
      <c r="J16" s="47" t="str">
        <f>'@Risk simulation'!B27</f>
        <v>Bimomial</v>
      </c>
    </row>
    <row r="17" spans="1:10" ht="15.75" thickBot="1" x14ac:dyDescent="0.3">
      <c r="A17" s="44" t="s">
        <v>18</v>
      </c>
      <c r="B17" s="4"/>
      <c r="C17" s="4"/>
      <c r="D17" s="4"/>
      <c r="E17" s="4"/>
      <c r="F17" s="4"/>
      <c r="G17" s="5"/>
      <c r="H17" s="6"/>
      <c r="I17" s="7"/>
      <c r="J17" s="48"/>
    </row>
    <row r="18" spans="1:10" ht="26.25" thickBot="1" x14ac:dyDescent="0.3">
      <c r="A18" s="49" t="s">
        <v>20</v>
      </c>
      <c r="B18" s="20">
        <f>229.63/4</f>
        <v>57.407499999999999</v>
      </c>
      <c r="C18" s="8">
        <f>358/8</f>
        <v>44.75</v>
      </c>
      <c r="D18" s="8">
        <f>1222/2</f>
        <v>611</v>
      </c>
      <c r="E18" s="8">
        <f>171/5</f>
        <v>34.200000000000003</v>
      </c>
      <c r="F18" s="8">
        <f>175/3</f>
        <v>58.333333333333336</v>
      </c>
      <c r="G18" s="15">
        <v>297.35000000000002</v>
      </c>
      <c r="H18" s="15">
        <f>+AVERAGE(B18:F18)</f>
        <v>161.13816666666668</v>
      </c>
      <c r="I18" s="26">
        <v>13.19</v>
      </c>
      <c r="J18" s="47" t="str">
        <f>'@Risk simulation'!B10</f>
        <v>LogLogistic</v>
      </c>
    </row>
    <row r="19" spans="1:10" ht="15.75" thickBot="1" x14ac:dyDescent="0.3">
      <c r="A19" s="44" t="s">
        <v>4</v>
      </c>
      <c r="B19" s="4"/>
      <c r="C19" s="4"/>
      <c r="D19" s="4"/>
      <c r="E19" s="4"/>
      <c r="F19" s="4"/>
      <c r="G19" s="5"/>
      <c r="H19" s="6"/>
      <c r="I19" s="7"/>
      <c r="J19" s="48"/>
    </row>
    <row r="20" spans="1:10" x14ac:dyDescent="0.25">
      <c r="A20" s="49" t="s">
        <v>5</v>
      </c>
      <c r="B20" s="9">
        <v>21</v>
      </c>
      <c r="C20" s="9">
        <v>29</v>
      </c>
      <c r="D20" s="9">
        <f>9+13</f>
        <v>22</v>
      </c>
      <c r="E20" s="9">
        <v>20</v>
      </c>
      <c r="F20" s="9">
        <v>21</v>
      </c>
      <c r="G20" s="24">
        <v>31</v>
      </c>
      <c r="H20" s="24">
        <f t="shared" ref="H20:H22" si="1">+AVERAGE(B20:F20)</f>
        <v>22.6</v>
      </c>
      <c r="I20" s="25">
        <v>15</v>
      </c>
      <c r="J20" s="47" t="str">
        <f>'@Risk simulation'!B28</f>
        <v>Poisson</v>
      </c>
    </row>
    <row r="21" spans="1:10" ht="31.5" customHeight="1" x14ac:dyDescent="0.25">
      <c r="A21" s="49" t="s">
        <v>15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21">
        <v>0</v>
      </c>
      <c r="H21" s="21">
        <f t="shared" si="1"/>
        <v>0</v>
      </c>
      <c r="I21" s="21">
        <v>0</v>
      </c>
      <c r="J21" s="50" t="str">
        <f>'@Risk simulation'!B29</f>
        <v>Can't fit distribution - 5 years of zeros</v>
      </c>
    </row>
    <row r="22" spans="1:10" ht="25.5" x14ac:dyDescent="0.25">
      <c r="A22" s="51" t="s">
        <v>16</v>
      </c>
      <c r="B22" s="52">
        <v>9</v>
      </c>
      <c r="C22" s="52">
        <v>11</v>
      </c>
      <c r="D22" s="52">
        <f>1+1</f>
        <v>2</v>
      </c>
      <c r="E22" s="52">
        <v>2</v>
      </c>
      <c r="F22" s="52">
        <v>5</v>
      </c>
      <c r="G22" s="53">
        <v>18</v>
      </c>
      <c r="H22" s="53">
        <f t="shared" si="1"/>
        <v>5.8</v>
      </c>
      <c r="I22" s="54">
        <v>0</v>
      </c>
      <c r="J22" s="55" t="str">
        <f>'@Risk simulation'!B30</f>
        <v>Geomet</v>
      </c>
    </row>
    <row r="25" spans="1:10" x14ac:dyDescent="0.25">
      <c r="D25" s="19"/>
    </row>
    <row r="26" spans="1:10" x14ac:dyDescent="0.25">
      <c r="F26" s="11"/>
      <c r="G26" s="11"/>
    </row>
    <row r="27" spans="1:10" x14ac:dyDescent="0.25">
      <c r="D27" s="18"/>
      <c r="F27" s="11"/>
      <c r="G27" s="11"/>
    </row>
    <row r="28" spans="1:10" x14ac:dyDescent="0.25">
      <c r="D28" s="18"/>
      <c r="F28" s="11"/>
      <c r="G28" s="11"/>
    </row>
    <row r="29" spans="1:10" x14ac:dyDescent="0.25">
      <c r="F29" s="11"/>
      <c r="G29" s="11"/>
    </row>
    <row r="30" spans="1:10" x14ac:dyDescent="0.25">
      <c r="F30" s="11"/>
      <c r="G30" s="11"/>
    </row>
    <row r="31" spans="1:10" x14ac:dyDescent="0.25">
      <c r="F31" s="11"/>
      <c r="G31" s="11"/>
    </row>
  </sheetData>
  <mergeCells count="5">
    <mergeCell ref="A5:A6"/>
    <mergeCell ref="B5:F5"/>
    <mergeCell ref="G5:G6"/>
    <mergeCell ref="H5:H6"/>
    <mergeCell ref="I5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0DF61-8C3B-497C-8D3B-C6D448157278}">
  <dimension ref="A1:M36"/>
  <sheetViews>
    <sheetView zoomScaleNormal="100" workbookViewId="0">
      <selection activeCell="A35" sqref="A35"/>
    </sheetView>
  </sheetViews>
  <sheetFormatPr defaultRowHeight="15" x14ac:dyDescent="0.25"/>
  <cols>
    <col min="1" max="1" width="44.5703125" customWidth="1"/>
    <col min="2" max="2" width="41.42578125" bestFit="1" customWidth="1"/>
    <col min="3" max="3" width="18.85546875" customWidth="1"/>
    <col min="4" max="4" width="15.28515625" bestFit="1" customWidth="1"/>
    <col min="5" max="5" width="25" customWidth="1"/>
    <col min="6" max="6" width="22.28515625" customWidth="1"/>
    <col min="7" max="8" width="11.42578125" customWidth="1"/>
    <col min="9" max="10" width="13.5703125" customWidth="1"/>
    <col min="11" max="11" width="33.85546875" bestFit="1" customWidth="1"/>
    <col min="12" max="12" width="32.7109375" bestFit="1" customWidth="1"/>
    <col min="13" max="13" width="33.85546875" bestFit="1" customWidth="1"/>
  </cols>
  <sheetData>
    <row r="1" spans="1:13" x14ac:dyDescent="0.25">
      <c r="A1" t="s">
        <v>52</v>
      </c>
    </row>
    <row r="2" spans="1:13" x14ac:dyDescent="0.25">
      <c r="B2" s="22" t="s">
        <v>38</v>
      </c>
      <c r="C2" s="22" t="s">
        <v>51</v>
      </c>
      <c r="D2" s="22" t="s">
        <v>36</v>
      </c>
      <c r="E2" s="22" t="s">
        <v>35</v>
      </c>
      <c r="F2" s="22" t="s">
        <v>34</v>
      </c>
      <c r="G2" s="22" t="s">
        <v>33</v>
      </c>
      <c r="H2" s="22" t="s">
        <v>32</v>
      </c>
      <c r="I2" s="22" t="s">
        <v>31</v>
      </c>
      <c r="J2" s="22" t="s">
        <v>30</v>
      </c>
      <c r="K2" s="22" t="s">
        <v>29</v>
      </c>
      <c r="L2" s="22" t="s">
        <v>28</v>
      </c>
      <c r="M2" s="22" t="s">
        <v>27</v>
      </c>
    </row>
    <row r="3" spans="1:13" x14ac:dyDescent="0.25">
      <c r="A3" s="56" t="s">
        <v>50</v>
      </c>
      <c r="B3" t="s">
        <v>57</v>
      </c>
      <c r="C3" s="11">
        <v>0.24210000000000001</v>
      </c>
      <c r="D3" s="11">
        <v>9.2899999999999996E-2</v>
      </c>
      <c r="E3" s="11">
        <v>9.2999999999999999E-2</v>
      </c>
      <c r="F3" s="11">
        <v>1.6500000000000001E-2</v>
      </c>
      <c r="G3" s="11">
        <f t="shared" ref="G3:G9" si="0">E3+F3</f>
        <v>0.1095</v>
      </c>
      <c r="H3" s="11">
        <f t="shared" ref="H3:H9" si="1">E3+2*F3</f>
        <v>0.126</v>
      </c>
      <c r="I3" s="11">
        <f t="shared" ref="I3:I9" si="2">E3-F3</f>
        <v>7.6499999999999999E-2</v>
      </c>
      <c r="J3" s="11">
        <f t="shared" ref="J3:J9" si="3">E3-2*F3</f>
        <v>0.06</v>
      </c>
      <c r="K3" s="11">
        <v>6.3700000000000007E-2</v>
      </c>
      <c r="L3">
        <v>9.4299999999999995E-2</v>
      </c>
      <c r="M3" s="11">
        <v>0.1177</v>
      </c>
    </row>
    <row r="4" spans="1:13" x14ac:dyDescent="0.25">
      <c r="A4" s="57"/>
      <c r="B4" s="27" t="s">
        <v>49</v>
      </c>
      <c r="C4" s="28">
        <v>0.25319999999999998</v>
      </c>
      <c r="D4" s="28">
        <v>9.2899999999999996E-2</v>
      </c>
      <c r="E4" s="28">
        <v>9.2899999999999996E-2</v>
      </c>
      <c r="F4" s="28">
        <v>1.5900000000000001E-2</v>
      </c>
      <c r="G4" s="28">
        <f t="shared" si="0"/>
        <v>0.10879999999999999</v>
      </c>
      <c r="H4" s="28">
        <f t="shared" si="1"/>
        <v>0.12470000000000001</v>
      </c>
      <c r="I4" s="28">
        <f t="shared" si="2"/>
        <v>7.6999999999999999E-2</v>
      </c>
      <c r="J4" s="28">
        <f t="shared" si="3"/>
        <v>6.1099999999999995E-2</v>
      </c>
      <c r="K4" s="28">
        <v>6.8400000000000002E-2</v>
      </c>
      <c r="L4" s="28">
        <v>9.1999999999999998E-2</v>
      </c>
      <c r="M4" s="28">
        <v>0.12039999999999999</v>
      </c>
    </row>
    <row r="5" spans="1:13" x14ac:dyDescent="0.25">
      <c r="A5" s="57" t="s">
        <v>48</v>
      </c>
      <c r="B5" s="27" t="s">
        <v>43</v>
      </c>
      <c r="C5" s="28">
        <v>0.26900000000000002</v>
      </c>
      <c r="D5" s="28">
        <v>0.1245</v>
      </c>
      <c r="E5" s="28">
        <v>0.1242</v>
      </c>
      <c r="F5" s="28">
        <v>1.66E-2</v>
      </c>
      <c r="G5" s="28">
        <f t="shared" si="0"/>
        <v>0.14080000000000001</v>
      </c>
      <c r="H5" s="28">
        <f t="shared" si="1"/>
        <v>0.15740000000000001</v>
      </c>
      <c r="I5" s="28">
        <f t="shared" si="2"/>
        <v>0.1076</v>
      </c>
      <c r="J5" s="28">
        <f t="shared" si="3"/>
        <v>9.0999999999999998E-2</v>
      </c>
      <c r="K5" s="27">
        <v>9.9400000000000002E-2</v>
      </c>
      <c r="L5" s="28">
        <v>0.1231</v>
      </c>
      <c r="M5" s="28">
        <v>0.15260000000000001</v>
      </c>
    </row>
    <row r="6" spans="1:13" x14ac:dyDescent="0.25">
      <c r="A6" s="57" t="s">
        <v>11</v>
      </c>
      <c r="B6" s="27" t="s">
        <v>45</v>
      </c>
      <c r="C6" s="28">
        <v>0.35210000000000002</v>
      </c>
      <c r="D6" s="28">
        <v>0.2072</v>
      </c>
      <c r="E6" s="28">
        <v>0.20830000000000001</v>
      </c>
      <c r="F6" s="28">
        <v>2.4E-2</v>
      </c>
      <c r="G6" s="28">
        <f t="shared" si="0"/>
        <v>0.23230000000000001</v>
      </c>
      <c r="H6" s="28">
        <f t="shared" si="1"/>
        <v>0.25630000000000003</v>
      </c>
      <c r="I6" s="28">
        <f t="shared" si="2"/>
        <v>0.18430000000000002</v>
      </c>
      <c r="J6" s="28">
        <f t="shared" si="3"/>
        <v>0.1603</v>
      </c>
      <c r="K6" s="27">
        <v>0.16450000000000001</v>
      </c>
      <c r="L6" s="28">
        <v>0.21099999999999999</v>
      </c>
      <c r="M6" s="28">
        <v>0.2427</v>
      </c>
    </row>
    <row r="7" spans="1:13" x14ac:dyDescent="0.25">
      <c r="A7" s="57" t="s">
        <v>47</v>
      </c>
      <c r="B7" s="27" t="s">
        <v>53</v>
      </c>
      <c r="C7" s="28">
        <v>0.2364</v>
      </c>
      <c r="D7" s="28">
        <v>0.12959999999999999</v>
      </c>
      <c r="E7" s="28">
        <v>0.1293</v>
      </c>
      <c r="F7" s="28">
        <v>2.5700000000000001E-2</v>
      </c>
      <c r="G7" s="28">
        <f t="shared" si="0"/>
        <v>0.155</v>
      </c>
      <c r="H7" s="28">
        <f t="shared" si="1"/>
        <v>0.1807</v>
      </c>
      <c r="I7" s="28">
        <f t="shared" si="2"/>
        <v>0.1036</v>
      </c>
      <c r="J7" s="28">
        <f t="shared" si="3"/>
        <v>7.7899999999999997E-2</v>
      </c>
      <c r="K7" s="27">
        <v>9.3399999999999997E-2</v>
      </c>
      <c r="L7" s="28">
        <v>0.12609999999999999</v>
      </c>
      <c r="M7" s="28">
        <v>0.17610000000000001</v>
      </c>
    </row>
    <row r="8" spans="1:13" x14ac:dyDescent="0.25">
      <c r="A8" s="58" t="s">
        <v>46</v>
      </c>
      <c r="B8" s="27" t="s">
        <v>49</v>
      </c>
      <c r="C8" s="28">
        <v>0.13370000000000001</v>
      </c>
      <c r="D8" s="28">
        <v>0.13120000000000001</v>
      </c>
      <c r="E8" s="28">
        <v>0.13120000000000001</v>
      </c>
      <c r="F8" s="28">
        <v>3.4700000000000002E-2</v>
      </c>
      <c r="G8" s="28">
        <f t="shared" si="0"/>
        <v>0.16590000000000002</v>
      </c>
      <c r="H8" s="28">
        <f t="shared" si="1"/>
        <v>0.2006</v>
      </c>
      <c r="I8" s="28">
        <f t="shared" si="2"/>
        <v>9.6500000000000002E-2</v>
      </c>
      <c r="J8" s="28">
        <f t="shared" si="3"/>
        <v>6.1800000000000008E-2</v>
      </c>
      <c r="K8" s="27">
        <v>7.9799999999999996E-2</v>
      </c>
      <c r="L8" s="28">
        <v>0.12820000000000001</v>
      </c>
      <c r="M8" s="28">
        <v>0.19309999999999999</v>
      </c>
    </row>
    <row r="9" spans="1:13" x14ac:dyDescent="0.25">
      <c r="A9" s="59" t="s">
        <v>44</v>
      </c>
      <c r="B9" s="27" t="s">
        <v>49</v>
      </c>
      <c r="C9" s="28">
        <v>0.2243</v>
      </c>
      <c r="D9" s="28">
        <v>0.2283</v>
      </c>
      <c r="E9" s="28">
        <v>0.2283</v>
      </c>
      <c r="F9" s="27">
        <v>2.9600000000000001E-2</v>
      </c>
      <c r="G9" s="28">
        <f t="shared" si="0"/>
        <v>0.25790000000000002</v>
      </c>
      <c r="H9" s="28">
        <f t="shared" si="1"/>
        <v>0.28749999999999998</v>
      </c>
      <c r="I9" s="28">
        <f t="shared" si="2"/>
        <v>0.19869999999999999</v>
      </c>
      <c r="J9" s="28">
        <f t="shared" si="3"/>
        <v>0.1691</v>
      </c>
      <c r="K9" s="28">
        <v>0.18179999999999999</v>
      </c>
      <c r="L9" s="28">
        <v>0.22700000000000001</v>
      </c>
      <c r="M9" s="28">
        <v>0.27910000000000001</v>
      </c>
    </row>
    <row r="10" spans="1:13" x14ac:dyDescent="0.25">
      <c r="A10" s="60" t="s">
        <v>42</v>
      </c>
      <c r="B10" s="27" t="s">
        <v>43</v>
      </c>
      <c r="C10" s="28">
        <v>0.33350000000000002</v>
      </c>
      <c r="D10" s="29">
        <v>161.13999999999999</v>
      </c>
      <c r="E10" s="29">
        <v>104.52</v>
      </c>
      <c r="F10" s="27" t="s">
        <v>54</v>
      </c>
      <c r="G10" s="29"/>
      <c r="H10" s="29"/>
      <c r="I10" s="29"/>
      <c r="J10" s="29"/>
      <c r="K10" s="29">
        <v>13.19</v>
      </c>
      <c r="L10" s="29">
        <v>62.63</v>
      </c>
      <c r="M10" s="29">
        <v>297.35000000000002</v>
      </c>
    </row>
    <row r="11" spans="1:13" x14ac:dyDescent="0.25">
      <c r="A11" s="22"/>
      <c r="C11" s="11"/>
      <c r="D11" s="18"/>
      <c r="E11" s="18"/>
      <c r="G11" s="11"/>
      <c r="H11" s="11"/>
      <c r="I11" s="11"/>
      <c r="J11" s="11"/>
      <c r="K11" s="18"/>
      <c r="L11" s="18"/>
      <c r="M11" s="18"/>
    </row>
    <row r="12" spans="1:13" x14ac:dyDescent="0.25">
      <c r="A12" s="22"/>
      <c r="C12" s="11"/>
      <c r="D12" s="18"/>
      <c r="E12" s="18"/>
      <c r="G12" s="18"/>
      <c r="H12" s="18"/>
      <c r="I12" s="18"/>
      <c r="J12" s="18"/>
      <c r="K12" s="18"/>
      <c r="L12" s="18"/>
      <c r="M12" s="18"/>
    </row>
    <row r="15" spans="1:13" x14ac:dyDescent="0.25">
      <c r="A15" t="s">
        <v>41</v>
      </c>
    </row>
    <row r="16" spans="1:13" x14ac:dyDescent="0.25">
      <c r="A16" t="s">
        <v>40</v>
      </c>
    </row>
    <row r="20" spans="1:13" x14ac:dyDescent="0.25">
      <c r="A20" t="s">
        <v>39</v>
      </c>
    </row>
    <row r="21" spans="1:13" x14ac:dyDescent="0.25">
      <c r="B21" s="22" t="s">
        <v>38</v>
      </c>
      <c r="C21" s="22" t="s">
        <v>37</v>
      </c>
      <c r="D21" s="22" t="s">
        <v>36</v>
      </c>
      <c r="E21" s="22" t="s">
        <v>35</v>
      </c>
      <c r="F21" s="22" t="s">
        <v>34</v>
      </c>
      <c r="G21" s="22" t="s">
        <v>33</v>
      </c>
      <c r="H21" s="22" t="s">
        <v>32</v>
      </c>
      <c r="I21" s="22" t="s">
        <v>31</v>
      </c>
      <c r="J21" s="22" t="s">
        <v>30</v>
      </c>
      <c r="K21" s="22" t="s">
        <v>29</v>
      </c>
      <c r="L21" s="22" t="s">
        <v>28</v>
      </c>
      <c r="M21" s="22" t="s">
        <v>27</v>
      </c>
    </row>
    <row r="22" spans="1:13" x14ac:dyDescent="0.25">
      <c r="A22" s="61" t="s">
        <v>26</v>
      </c>
      <c r="B22" t="s">
        <v>58</v>
      </c>
      <c r="C22" s="11">
        <v>18.9788</v>
      </c>
      <c r="D22" s="18">
        <v>1.4</v>
      </c>
      <c r="E22" s="18">
        <v>1.4</v>
      </c>
      <c r="F22">
        <v>1.1832</v>
      </c>
      <c r="G22" s="18">
        <f>E22+F22</f>
        <v>2.5831999999999997</v>
      </c>
      <c r="H22" s="18">
        <f>E22+2*F22</f>
        <v>3.7664</v>
      </c>
      <c r="I22" s="18">
        <f>E22-F22</f>
        <v>0.21679999999999988</v>
      </c>
      <c r="J22" s="18">
        <f>E22-2*F22</f>
        <v>-0.96640000000000015</v>
      </c>
      <c r="K22">
        <v>0</v>
      </c>
      <c r="L22">
        <v>1</v>
      </c>
      <c r="M22">
        <v>4</v>
      </c>
    </row>
    <row r="23" spans="1:13" x14ac:dyDescent="0.25">
      <c r="A23" s="61"/>
      <c r="B23" t="s">
        <v>59</v>
      </c>
      <c r="C23" s="11">
        <v>19.634</v>
      </c>
      <c r="D23" s="18">
        <v>1.4</v>
      </c>
      <c r="E23" s="18">
        <v>1.4</v>
      </c>
      <c r="F23">
        <v>1.833</v>
      </c>
      <c r="G23" s="18">
        <f t="shared" ref="G23:G24" si="4">E23+F23</f>
        <v>3.2329999999999997</v>
      </c>
      <c r="H23" s="18">
        <f t="shared" ref="H23:H24" si="5">E23+2*F23</f>
        <v>5.0659999999999998</v>
      </c>
      <c r="I23" s="18">
        <f t="shared" ref="I23:I24" si="6">E23-F23</f>
        <v>-0.43300000000000005</v>
      </c>
      <c r="J23" s="18">
        <f t="shared" ref="J23:J24" si="7">E23-2*F23</f>
        <v>-2.266</v>
      </c>
      <c r="K23">
        <v>0</v>
      </c>
      <c r="L23">
        <v>1</v>
      </c>
      <c r="M23">
        <v>5</v>
      </c>
    </row>
    <row r="24" spans="1:13" x14ac:dyDescent="0.25">
      <c r="A24" s="62"/>
      <c r="B24" s="27" t="s">
        <v>55</v>
      </c>
      <c r="C24" s="28">
        <v>23.8629</v>
      </c>
      <c r="D24" s="29">
        <v>1.4</v>
      </c>
      <c r="E24" s="29">
        <v>1.5</v>
      </c>
      <c r="F24" s="27">
        <v>1.1180000000000001</v>
      </c>
      <c r="G24" s="29">
        <f t="shared" si="4"/>
        <v>2.6180000000000003</v>
      </c>
      <c r="H24" s="29">
        <f t="shared" si="5"/>
        <v>3.7360000000000002</v>
      </c>
      <c r="I24" s="29">
        <f t="shared" si="6"/>
        <v>0.3819999999999999</v>
      </c>
      <c r="J24" s="29">
        <f t="shared" si="7"/>
        <v>-0.73600000000000021</v>
      </c>
      <c r="K24" s="27">
        <v>0</v>
      </c>
      <c r="L24" s="27">
        <v>1</v>
      </c>
      <c r="M24" s="27">
        <v>3</v>
      </c>
    </row>
    <row r="25" spans="1:13" x14ac:dyDescent="0.25">
      <c r="A25" s="61" t="s">
        <v>25</v>
      </c>
      <c r="B25" t="s">
        <v>58</v>
      </c>
      <c r="C25" s="11">
        <v>12.398300000000001</v>
      </c>
      <c r="D25" s="18">
        <v>0.6</v>
      </c>
      <c r="E25" s="18">
        <v>0.6</v>
      </c>
      <c r="F25">
        <v>0.77459999999999996</v>
      </c>
      <c r="G25" s="18">
        <f>E25+F25</f>
        <v>1.3746</v>
      </c>
      <c r="H25" s="18">
        <f>E25+2*F25</f>
        <v>2.1492</v>
      </c>
      <c r="I25" s="18">
        <f>E25-F25</f>
        <v>-0.17459999999999998</v>
      </c>
      <c r="J25" s="18">
        <f>E25-2*F25</f>
        <v>-0.94919999999999993</v>
      </c>
      <c r="K25">
        <v>0</v>
      </c>
      <c r="L25">
        <v>0</v>
      </c>
      <c r="M25">
        <v>2</v>
      </c>
    </row>
    <row r="26" spans="1:13" x14ac:dyDescent="0.25">
      <c r="A26" s="61"/>
      <c r="B26" t="s">
        <v>59</v>
      </c>
      <c r="C26" s="11">
        <v>13.9183</v>
      </c>
      <c r="D26" s="18">
        <v>0.6</v>
      </c>
      <c r="E26" s="18">
        <v>0.6</v>
      </c>
      <c r="F26">
        <v>0.9798</v>
      </c>
      <c r="G26" s="18">
        <f>E26+F26</f>
        <v>1.5798000000000001</v>
      </c>
      <c r="H26" s="18">
        <f>E26+2*F26</f>
        <v>2.5596000000000001</v>
      </c>
      <c r="I26" s="18">
        <f>E26-F26</f>
        <v>-0.37980000000000003</v>
      </c>
      <c r="J26" s="18">
        <f>E26-2*F26</f>
        <v>-1.3595999999999999</v>
      </c>
      <c r="K26">
        <v>0</v>
      </c>
      <c r="L26">
        <v>0</v>
      </c>
      <c r="M26">
        <v>3</v>
      </c>
    </row>
    <row r="27" spans="1:13" x14ac:dyDescent="0.25">
      <c r="A27" s="62"/>
      <c r="B27" s="27" t="s">
        <v>56</v>
      </c>
      <c r="C27" s="28">
        <v>16.7301</v>
      </c>
      <c r="D27" s="29">
        <v>0.6</v>
      </c>
      <c r="E27" s="29">
        <v>0.6</v>
      </c>
      <c r="F27" s="27">
        <v>0.4899</v>
      </c>
      <c r="G27" s="29">
        <f>E27+F27</f>
        <v>1.0899000000000001</v>
      </c>
      <c r="H27" s="29">
        <f>E27+2*F27</f>
        <v>1.5798000000000001</v>
      </c>
      <c r="I27" s="29">
        <f>E27-F27</f>
        <v>0.11009999999999998</v>
      </c>
      <c r="J27" s="29">
        <f>E27-2*F27</f>
        <v>-0.37980000000000003</v>
      </c>
      <c r="K27" s="27">
        <v>0</v>
      </c>
      <c r="L27" s="27">
        <v>1</v>
      </c>
      <c r="M27" s="27">
        <v>1</v>
      </c>
    </row>
    <row r="28" spans="1:13" x14ac:dyDescent="0.25">
      <c r="A28" s="62" t="s">
        <v>5</v>
      </c>
      <c r="B28" s="27" t="s">
        <v>23</v>
      </c>
      <c r="C28" s="28">
        <v>30.3249</v>
      </c>
      <c r="D28" s="29">
        <v>22.6</v>
      </c>
      <c r="E28" s="29">
        <v>22.6</v>
      </c>
      <c r="F28" s="27">
        <v>4.7539999999999996</v>
      </c>
      <c r="G28" s="29">
        <f>E28+F28</f>
        <v>27.353999999999999</v>
      </c>
      <c r="H28" s="29">
        <f>E28+2*F28</f>
        <v>32.108000000000004</v>
      </c>
      <c r="I28" s="29">
        <f>E28-F28</f>
        <v>17.846000000000004</v>
      </c>
      <c r="J28" s="29">
        <f>E28-2*F28</f>
        <v>13.092000000000002</v>
      </c>
      <c r="K28" s="27">
        <v>15</v>
      </c>
      <c r="L28" s="27">
        <v>22</v>
      </c>
      <c r="M28" s="27">
        <v>31</v>
      </c>
    </row>
    <row r="29" spans="1:13" x14ac:dyDescent="0.25">
      <c r="A29" s="62" t="s">
        <v>24</v>
      </c>
      <c r="B29" s="27" t="s">
        <v>63</v>
      </c>
      <c r="C29" s="28"/>
      <c r="D29" s="29"/>
      <c r="E29" s="29"/>
      <c r="F29" s="30"/>
      <c r="G29" s="29"/>
      <c r="H29" s="29"/>
      <c r="I29" s="29"/>
      <c r="J29" s="29"/>
      <c r="K29" s="27"/>
      <c r="L29" s="27"/>
      <c r="M29" s="27"/>
    </row>
    <row r="30" spans="1:13" ht="26.25" x14ac:dyDescent="0.25">
      <c r="A30" s="63" t="s">
        <v>16</v>
      </c>
      <c r="B30" s="27" t="s">
        <v>22</v>
      </c>
      <c r="C30" s="28">
        <v>31.782299999999999</v>
      </c>
      <c r="D30" s="29">
        <v>5.8</v>
      </c>
      <c r="E30" s="29">
        <v>5.8</v>
      </c>
      <c r="F30" s="27">
        <v>6.28</v>
      </c>
      <c r="G30" s="29">
        <f>E30+F30</f>
        <v>12.08</v>
      </c>
      <c r="H30" s="29">
        <f>E30+2*F30</f>
        <v>18.36</v>
      </c>
      <c r="I30" s="29">
        <f>E30-F30</f>
        <v>-0.48000000000000043</v>
      </c>
      <c r="J30" s="29">
        <f>E30-2*F30</f>
        <v>-6.7600000000000007</v>
      </c>
      <c r="K30" s="27">
        <v>0</v>
      </c>
      <c r="L30" s="27">
        <v>4</v>
      </c>
      <c r="M30" s="27">
        <v>18</v>
      </c>
    </row>
    <row r="36" spans="2:2" x14ac:dyDescent="0.25">
      <c r="B36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Draft Decision</vt:lpstr>
      <vt:lpstr>@Risk simulation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Alaia Guido</dc:creator>
  <cp:lastModifiedBy>Alaia GUIDO</cp:lastModifiedBy>
  <dcterms:created xsi:type="dcterms:W3CDTF">2025-08-06T02:26:45Z</dcterms:created>
  <dcterms:modified xsi:type="dcterms:W3CDTF">2026-09-04T02:11:30Z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d5a995-dfdf-4407-9a97-edbbc68c9f53_Enabled">
    <vt:lpwstr>true</vt:lpwstr>
  </property>
  <property fmtid="{D5CDD505-2E9C-101B-9397-08002B2CF9AE}" pid="3" name="MSIP_Label_d9d5a995-dfdf-4407-9a97-edbbc68c9f53_SetDate">
    <vt:lpwstr>2025-08-06T03:35:21Z</vt:lpwstr>
  </property>
  <property fmtid="{D5CDD505-2E9C-101B-9397-08002B2CF9AE}" pid="4" name="MSIP_Label_d9d5a995-dfdf-4407-9a97-edbbc68c9f53_Method">
    <vt:lpwstr>Privileged</vt:lpwstr>
  </property>
  <property fmtid="{D5CDD505-2E9C-101B-9397-08002B2CF9AE}" pid="5" name="MSIP_Label_d9d5a995-dfdf-4407-9a97-edbbc68c9f53_Name">
    <vt:lpwstr>OFFICIAL</vt:lpwstr>
  </property>
  <property fmtid="{D5CDD505-2E9C-101B-9397-08002B2CF9AE}" pid="6" name="MSIP_Label_d9d5a995-dfdf-4407-9a97-edbbc68c9f53_SiteId">
    <vt:lpwstr>b33e9e1a-e443-4edd-9789-24bed26d38d6</vt:lpwstr>
  </property>
  <property fmtid="{D5CDD505-2E9C-101B-9397-08002B2CF9AE}" pid="7" name="MSIP_Label_d9d5a995-dfdf-4407-9a97-edbbc68c9f53_ActionId">
    <vt:lpwstr>fcce63a0-2b10-4145-9b3c-f93578f0995f</vt:lpwstr>
  </property>
  <property fmtid="{D5CDD505-2E9C-101B-9397-08002B2CF9AE}" pid="8" name="MSIP_Label_d9d5a995-dfdf-4407-9a97-edbbc68c9f53_ContentBits">
    <vt:lpwstr>0</vt:lpwstr>
  </property>
  <property fmtid="{D5CDD505-2E9C-101B-9397-08002B2CF9AE}" pid="9" name="MSIP_Label_d9d5a995-dfdf-4407-9a97-edbbc68c9f53_Tag">
    <vt:lpwstr>10, 0, 1, 1</vt:lpwstr>
  </property>
</Properties>
</file>