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B:\Price Review\2028-32 TRR\12 2028 TRR - Revised proposal submission models\"/>
    </mc:Choice>
  </mc:AlternateContent>
  <xr:revisionPtr revIDLastSave="0" documentId="13_ncr:1_{54495C5C-003E-481B-8641-5F2E33563712}" xr6:coauthVersionLast="47" xr6:coauthVersionMax="47" xr10:uidLastSave="{00000000-0000-0000-0000-000000000000}"/>
  <bookViews>
    <workbookView xWindow="-120" yWindow="-120" windowWidth="29040" windowHeight="15720" xr2:uid="{2AAF785F-1B12-4C31-8ECF-FCFAE250809A}"/>
  </bookViews>
  <sheets>
    <sheet name="DMIAM" sheetId="2" r:id="rId1"/>
  </sheets>
  <externalReferences>
    <externalReference r:id="rId2"/>
    <externalReference r:id="rId3"/>
  </externalReferences>
  <definedNames>
    <definedName name="Segment">DMIAM!$B$7</definedName>
  </definedNames>
  <calcPr calcId="191029" iterateDelta="1E-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4" i="2" l="1"/>
  <c r="H4" i="2"/>
  <c r="G4" i="2"/>
  <c r="F4" i="2"/>
  <c r="E4" i="2"/>
  <c r="D4" i="2"/>
  <c r="C10" i="2"/>
  <c r="D10" i="2"/>
  <c r="E10" i="2"/>
  <c r="F10" i="2"/>
  <c r="G10" i="2"/>
  <c r="D5" i="2" l="1"/>
  <c r="E5" i="2" s="1"/>
  <c r="F5" i="2" s="1"/>
  <c r="G5" i="2" s="1"/>
  <c r="H5" i="2" s="1"/>
  <c r="I5" i="2" s="1"/>
  <c r="B10" i="2" l="1"/>
  <c r="G9" i="2"/>
  <c r="F9" i="2"/>
  <c r="E9" i="2"/>
  <c r="D9" i="2"/>
  <c r="C9" i="2"/>
  <c r="H9" i="2" l="1"/>
  <c r="C38" i="2" l="1" a="1"/>
  <c r="C38" i="2" s="1"/>
  <c r="C20" i="2"/>
  <c r="C31" i="2"/>
  <c r="D38" i="2" l="1" a="1"/>
  <c r="D38" i="2" s="1"/>
  <c r="D31" i="2"/>
  <c r="D20" i="2"/>
  <c r="E20" i="2" l="1"/>
  <c r="E31" i="2"/>
  <c r="E38" i="2" a="1"/>
  <c r="E38" i="2" s="1"/>
  <c r="F20" i="2" l="1"/>
  <c r="F38" i="2" a="1"/>
  <c r="F38" i="2" s="1"/>
  <c r="F31" i="2"/>
  <c r="G38" i="2" l="1" a="1"/>
  <c r="G38" i="2" s="1"/>
  <c r="G20" i="2"/>
  <c r="H20" i="2" s="1"/>
  <c r="G31" i="2"/>
  <c r="D32" i="2" l="1"/>
  <c r="F32" i="2"/>
  <c r="E32" i="2"/>
  <c r="G32" i="2"/>
  <c r="C32" i="2"/>
  <c r="C28" i="2" l="1"/>
  <c r="C27" i="2" l="1"/>
  <c r="C17" i="2"/>
  <c r="C37" i="2"/>
  <c r="G36" i="2" l="1"/>
  <c r="E36" i="2"/>
  <c r="D36" i="2" l="1"/>
  <c r="F36" i="2"/>
  <c r="C36" i="2"/>
  <c r="C18" i="2" l="1"/>
  <c r="C29" i="2"/>
  <c r="D28" i="2" l="1"/>
  <c r="D18" i="2" l="1"/>
  <c r="D29" i="2"/>
  <c r="D27" i="2"/>
  <c r="D17" i="2"/>
  <c r="E28" i="2"/>
  <c r="D37" i="2"/>
  <c r="E17" i="2" l="1"/>
  <c r="E27" i="2"/>
  <c r="E29" i="2"/>
  <c r="E18" i="2"/>
  <c r="F28" i="2"/>
  <c r="E37" i="2"/>
  <c r="F29" i="2" l="1"/>
  <c r="F18" i="2"/>
  <c r="F17" i="2"/>
  <c r="F27" i="2"/>
  <c r="G28" i="2"/>
  <c r="F37" i="2"/>
  <c r="G17" i="2" l="1"/>
  <c r="G27" i="2"/>
  <c r="G29" i="2"/>
  <c r="G18" i="2"/>
  <c r="H18" i="2" s="1"/>
  <c r="G37" i="2"/>
  <c r="H17" i="2" l="1"/>
  <c r="F19" i="2" l="1"/>
  <c r="F30" i="2"/>
  <c r="D19" i="2"/>
  <c r="D30" i="2"/>
  <c r="G19" i="2"/>
  <c r="G30" i="2"/>
  <c r="E19" i="2"/>
  <c r="E30" i="2"/>
  <c r="F35" i="2" l="1"/>
  <c r="F39" i="2" s="1"/>
  <c r="G33" i="2"/>
  <c r="E33" i="2"/>
  <c r="G35" i="2"/>
  <c r="G39" i="2" s="1"/>
  <c r="F33" i="2"/>
  <c r="D35" i="2"/>
  <c r="D39" i="2" s="1"/>
  <c r="E35" i="2"/>
  <c r="E39" i="2" s="1"/>
  <c r="D33" i="2"/>
  <c r="C30" i="2"/>
  <c r="C19" i="2"/>
  <c r="C35" i="2" l="1"/>
  <c r="C39" i="2" s="1"/>
  <c r="C41" i="2" s="1"/>
  <c r="C43" i="2" s="1"/>
  <c r="C44" i="2" s="1"/>
  <c r="C21" i="2" s="1"/>
  <c r="H19" i="2"/>
  <c r="C33" i="2"/>
  <c r="C22" i="2" l="1"/>
  <c r="C11" i="2" l="1"/>
  <c r="C12" i="2" l="1"/>
  <c r="C13" i="2" l="1"/>
  <c r="D41" i="2" l="1"/>
  <c r="D43" i="2" s="1"/>
  <c r="D44" i="2" s="1"/>
  <c r="D21" i="2" s="1"/>
  <c r="D22" i="2" l="1"/>
  <c r="D11" i="2" l="1"/>
  <c r="D12" i="2" l="1"/>
  <c r="D13" i="2" l="1"/>
  <c r="E41" i="2" l="1"/>
  <c r="E43" i="2" s="1"/>
  <c r="E44" i="2" s="1"/>
  <c r="E21" i="2" s="1"/>
  <c r="E22" i="2" l="1"/>
  <c r="E11" i="2" l="1"/>
  <c r="E12" i="2" l="1"/>
  <c r="E13" i="2" l="1"/>
  <c r="F41" i="2" l="1"/>
  <c r="F43" i="2" s="1"/>
  <c r="F44" i="2" s="1"/>
  <c r="F21" i="2" s="1"/>
  <c r="F22" i="2" l="1"/>
  <c r="F11" i="2" l="1"/>
  <c r="F12" i="2" l="1"/>
  <c r="F13" i="2" l="1"/>
  <c r="G41" i="2" l="1"/>
  <c r="G43" i="2" s="1"/>
  <c r="G44" i="2" s="1"/>
  <c r="G21" i="2" s="1"/>
  <c r="G22" i="2" l="1"/>
  <c r="H21" i="2"/>
  <c r="G11" i="2" l="1"/>
  <c r="H22" i="2"/>
  <c r="G12" i="2" l="1"/>
  <c r="H11" i="2"/>
  <c r="G13" i="2" l="1"/>
  <c r="H12" i="2"/>
  <c r="H13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<sst xmlns="http://schemas.openxmlformats.org/spreadsheetml/2006/main" count="46" uniqueCount="43">
  <si>
    <t>2027–28</t>
  </si>
  <si>
    <t>2028–29</t>
  </si>
  <si>
    <t>2029–30</t>
  </si>
  <si>
    <t>2030–31</t>
  </si>
  <si>
    <t>2031–32</t>
  </si>
  <si>
    <t>Inflation</t>
  </si>
  <si>
    <t>Base allowance</t>
  </si>
  <si>
    <t>Next regulatory control period</t>
  </si>
  <si>
    <t>Total</t>
  </si>
  <si>
    <t>Transmission</t>
  </si>
  <si>
    <t>2021–22</t>
  </si>
  <si>
    <t>2022–23</t>
  </si>
  <si>
    <t>2023–24</t>
  </si>
  <si>
    <t>2024–25</t>
  </si>
  <si>
    <t>2025–26</t>
  </si>
  <si>
    <t>2026–27</t>
  </si>
  <si>
    <t>2020–21</t>
  </si>
  <si>
    <t>Transmission base allowance ($m, 2026-27)</t>
  </si>
  <si>
    <t>Base allowance - indexed ($m, 2026–27)</t>
  </si>
  <si>
    <t>Real unsmoothed revenue (prior to shared asset &amp; DMIA adjustment) ($m, 2026–27)</t>
  </si>
  <si>
    <t>Scaling factor allowance ($m, 2026–27)</t>
  </si>
  <si>
    <t>Forecast DMIA allowance - input to PTRM ($m, 2026–27)</t>
  </si>
  <si>
    <t>Return on Capital</t>
  </si>
  <si>
    <t>Return of Capital (regulatory depreciation)</t>
  </si>
  <si>
    <t>Operating Expenditure</t>
  </si>
  <si>
    <t>Revenue Adjustments (excl DMIA allowance)</t>
  </si>
  <si>
    <t>Net Tax Allowance (excl DMIA allowance)</t>
  </si>
  <si>
    <t>Unsmoothed Revenue - $Mar 2027 (before DMIA allowance)</t>
  </si>
  <si>
    <t>TOTAL</t>
  </si>
  <si>
    <t>Net Tax Allowance calculation (excl DMIA allowance)</t>
  </si>
  <si>
    <t>Return on Equity</t>
  </si>
  <si>
    <t>Return on Debt</t>
  </si>
  <si>
    <t>Opex</t>
  </si>
  <si>
    <t>Deduct Non-tax Income Revenue Adjustments</t>
  </si>
  <si>
    <t>Revenue For Tax Assessment Subtotal</t>
  </si>
  <si>
    <t>Tax Depreciation</t>
  </si>
  <si>
    <t>Interest</t>
  </si>
  <si>
    <t>Tax Expense Revenue Adjustments (excl DMIA allowance)</t>
  </si>
  <si>
    <t>Total Tax Expenses</t>
  </si>
  <si>
    <t>Intermediate tax calculation</t>
  </si>
  <si>
    <t>Tax Payable</t>
  </si>
  <si>
    <t>Less Value of Imputation Credits</t>
  </si>
  <si>
    <t>Link to PTRM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</si>
</sst>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00%"/>
    <numFmt numFmtId="166" formatCode="_(#,##0.00_);\(#,##0.00\);_(&quot;&quot;\-&quot;&quot;_);_)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1"/>
      <color rgb="FFFF0000"/>
      <name val="Aptos Narrow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3" fillId="3" borderId="1" xfId="0" applyFont="1" applyFill="1" applyBorder="1" applyAlignment="1">
      <alignment horizontal="left"/>
    </xf>
    <xf numFmtId="10" fontId="0" fillId="0" borderId="0" xfId="2" applyNumberFormat="1" applyFont="1" applyFill="1"/>
    <xf numFmtId="43" fontId="0" fillId="0" borderId="0" xfId="1" applyFont="1" applyFill="1"/>
    <xf numFmtId="0" fontId="2" fillId="0" borderId="7" xfId="0" applyFont="1" applyBorder="1"/>
    <xf numFmtId="43" fontId="0" fillId="0" borderId="8" xfId="1" applyFont="1" applyFill="1" applyBorder="1"/>
    <xf numFmtId="43" fontId="0" fillId="2" borderId="7" xfId="1" applyFont="1" applyFill="1" applyBorder="1"/>
    <xf numFmtId="0" fontId="2" fillId="0" borderId="7" xfId="0" applyFont="1" applyBorder="1" applyAlignment="1">
      <alignment wrapText="1"/>
    </xf>
    <xf numFmtId="164" fontId="2" fillId="4" borderId="7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8" xfId="0" applyFont="1" applyBorder="1" applyAlignment="1">
      <alignment wrapText="1"/>
    </xf>
    <xf numFmtId="0" fontId="2" fillId="0" borderId="0" xfId="3" applyFont="1"/>
    <xf numFmtId="0" fontId="1" fillId="0" borderId="0" xfId="3"/>
    <xf numFmtId="0" fontId="2" fillId="0" borderId="1" xfId="3" applyFont="1" applyBorder="1"/>
    <xf numFmtId="166" fontId="0" fillId="0" borderId="0" xfId="4" applyNumberFormat="1" applyFont="1" applyFill="1"/>
    <xf numFmtId="166" fontId="5" fillId="0" borderId="1" xfId="4" applyNumberFormat="1" applyFont="1" applyFill="1" applyBorder="1"/>
    <xf numFmtId="0" fontId="4" fillId="0" borderId="0" xfId="0" applyFont="1"/>
    <xf numFmtId="0" fontId="2" fillId="0" borderId="7" xfId="0" applyFont="1" applyBorder="1" applyAlignment="1">
      <alignment horizontal="right"/>
    </xf>
    <xf numFmtId="165" fontId="0" fillId="0" borderId="7" xfId="0" applyNumberFormat="1" applyBorder="1"/>
    <xf numFmtId="164" fontId="0" fillId="0" borderId="8" xfId="0" applyNumberFormat="1" applyBorder="1"/>
    <xf numFmtId="0" fontId="2" fillId="0" borderId="4" xfId="0" applyFont="1" applyBorder="1" applyAlignment="1">
      <alignment horizontal="right"/>
    </xf>
    <xf numFmtId="164" fontId="0" fillId="0" borderId="9" xfId="0" applyNumberFormat="1" applyBorder="1"/>
    <xf numFmtId="164" fontId="2" fillId="0" borderId="7" xfId="0" applyNumberFormat="1" applyFont="1" applyBorder="1"/>
    <xf numFmtId="0" fontId="2" fillId="5" borderId="7" xfId="0" applyFont="1" applyFill="1" applyBorder="1"/>
    <xf numFmtId="166" fontId="5" fillId="0" borderId="0" xfId="4" applyNumberFormat="1" applyFont="1" applyFill="1"/>
    <xf numFmtId="43" fontId="0" fillId="0" borderId="0" xfId="4" applyFont="1" applyFill="1"/>
    <xf numFmtId="43" fontId="1" fillId="0" borderId="0" xfId="3" applyNumberFormat="1"/>
    <xf numFmtId="166" fontId="2" fillId="0" borderId="0" xfId="3" applyNumberFormat="1" applyFont="1"/>
    <xf numFmtId="164" fontId="2" fillId="0" borderId="4" xfId="0" applyNumberFormat="1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</cellXfs>
  <cellStyles count="5">
    <cellStyle name="Comma" xfId="1" builtinId="3"/>
    <cellStyle name="Comma 2 7" xfId="4" xr:uid="{CDBCD975-99B8-4B47-A5CB-363847E7B42B}"/>
    <cellStyle name="Normal" xfId="0" builtinId="0"/>
    <cellStyle name="Normal 7 3" xfId="3" xr:uid="{AAFCEE7F-B8FA-4C6A-8070-02E835BC5D8C}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eetMetadata" Target="metadata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Price%20Review\2028-32%20TRR\12%202028%20TRR%20-%20Revised%20proposal%20submission%20models\AusNet%20-%20Roll%20Forward%20Model%20-%201%20Sep%202026%20-%20PUBL.xlsm" TargetMode="External"/><Relationship Id="rId1" Type="http://schemas.openxmlformats.org/officeDocument/2006/relationships/externalLinkPath" Target="AusNet%20-%20Roll%20Forward%20Model%20-%201%20Sep%202026%20-%20PUBL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B:\Price%20Review\2028-32%20TRR\12%202028%20TRR%20-%20Revised%20proposal%20submission%20models\AusNet%20-%20Post%20Tax%20Revenue%20Model%20-%201%20Sep%202026%20-%20PUBL.xlsm" TargetMode="External"/><Relationship Id="rId1" Type="http://schemas.openxmlformats.org/officeDocument/2006/relationships/externalLinkPath" Target="AusNet%20-%20Post%20Tax%20Revenue%20Model%20-%201%20Sep%202026%20-%20PUB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ER NRs"/>
      <sheetName val="AER lookups"/>
      <sheetName val="AER ETL"/>
      <sheetName val="Business &amp; other details"/>
      <sheetName val="AST Change Log"/>
      <sheetName val="Intro"/>
      <sheetName val="DMS input"/>
      <sheetName val="RFM input"/>
      <sheetName val="Adjustment for previous period"/>
      <sheetName val="RAB roll forward"/>
      <sheetName val="Total RAB roll forward"/>
      <sheetName val="TAB roll forward"/>
      <sheetName val="RAB remaining lives"/>
      <sheetName val="TAB remaining lives"/>
      <sheetName val="PTRM input summary"/>
      <sheetName val="Inputs working"/>
      <sheetName val="All legacy leases"/>
      <sheetName val="Leases - Prior peri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F7" t="str">
            <v>Secondary</v>
          </cell>
        </row>
        <row r="385">
          <cell r="G385">
            <v>3.0120481927710774E-2</v>
          </cell>
          <cell r="H385">
            <v>7.268170426065157E-2</v>
          </cell>
          <cell r="I385">
            <v>5.3738317757009435E-2</v>
          </cell>
          <cell r="J385">
            <v>2.8085735402808343E-2</v>
          </cell>
          <cell r="K385">
            <v>3.2350826743350103E-2</v>
          </cell>
          <cell r="L385">
            <v>3.2000000000000001E-2</v>
          </cell>
        </row>
      </sheetData>
      <sheetData sheetId="8">
        <row r="118">
          <cell r="G118">
            <v>-3.8394247967939137</v>
          </cell>
        </row>
      </sheetData>
      <sheetData sheetId="9"/>
      <sheetData sheetId="10"/>
      <sheetData sheetId="11">
        <row r="8">
          <cell r="C8" t="str">
            <v>Secondary</v>
          </cell>
        </row>
      </sheetData>
      <sheetData sheetId="12"/>
      <sheetData sheetId="13"/>
      <sheetData sheetId="14">
        <row r="7">
          <cell r="G7" t="str">
            <v>Secondary</v>
          </cell>
        </row>
      </sheetData>
      <sheetData sheetId="15"/>
      <sheetData sheetId="16"/>
      <sheetData sheetId="17">
        <row r="10">
          <cell r="J10">
            <v>5.5066112298583683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ro"/>
      <sheetName val="DMS input"/>
      <sheetName val="PTRM input"/>
      <sheetName val="WACC"/>
      <sheetName val="Assets"/>
      <sheetName val="Analysis"/>
      <sheetName val="X factors"/>
      <sheetName val="Revenue summary"/>
      <sheetName val="Equity raising costs"/>
      <sheetName val="Chart 1-Revenue"/>
      <sheetName val="Chart 2-Price path"/>
      <sheetName val="Chart 3-Building blocks"/>
      <sheetName val="AER NRs"/>
      <sheetName val="AER lookups"/>
      <sheetName val="AER ETL"/>
      <sheetName val="Business &amp; other details"/>
    </sheetNames>
    <sheetDataSet>
      <sheetData sheetId="0"/>
      <sheetData sheetId="1"/>
      <sheetData sheetId="2">
        <row r="453">
          <cell r="G453">
            <v>11.488502678564217</v>
          </cell>
          <cell r="H453">
            <v>-25.539787801382275</v>
          </cell>
          <cell r="I453">
            <v>-21.728975127081583</v>
          </cell>
          <cell r="J453">
            <v>-9.4642457912194544</v>
          </cell>
          <cell r="K453">
            <v>0</v>
          </cell>
          <cell r="S453" t="str">
            <v>Yes</v>
          </cell>
        </row>
        <row r="454">
          <cell r="G454">
            <v>-7.0549911222063511</v>
          </cell>
          <cell r="H454">
            <v>-7.0549911222063511</v>
          </cell>
          <cell r="I454">
            <v>-7.0549911222063511</v>
          </cell>
          <cell r="J454">
            <v>-7.0549911222063511</v>
          </cell>
          <cell r="K454">
            <v>-7.0549911222063511</v>
          </cell>
          <cell r="S454" t="str">
            <v>Yes</v>
          </cell>
        </row>
        <row r="455">
          <cell r="G455">
            <v>-2.0221879418322022</v>
          </cell>
          <cell r="H455">
            <v>-2.0412838498006241</v>
          </cell>
          <cell r="I455">
            <v>-2.04240917590952</v>
          </cell>
          <cell r="J455">
            <v>-2.0475221532716872</v>
          </cell>
          <cell r="K455">
            <v>-2.060799076438014</v>
          </cell>
          <cell r="S455" t="str">
            <v>Yes</v>
          </cell>
        </row>
        <row r="456">
          <cell r="G456">
            <v>2.0123642000021156</v>
          </cell>
          <cell r="H456">
            <v>2.0123642000021156</v>
          </cell>
          <cell r="I456">
            <v>2.0123642000021156</v>
          </cell>
          <cell r="J456">
            <v>2.0123642000021156</v>
          </cell>
          <cell r="K456">
            <v>2.0123642000021156</v>
          </cell>
          <cell r="S456" t="str">
            <v>Yes</v>
          </cell>
        </row>
      </sheetData>
      <sheetData sheetId="3"/>
      <sheetData sheetId="4"/>
      <sheetData sheetId="5">
        <row r="7">
          <cell r="G7">
            <v>1.0244999389946272</v>
          </cell>
          <cell r="H7">
            <v>1.0496001249999949</v>
          </cell>
          <cell r="I7">
            <v>1.0753152640312478</v>
          </cell>
          <cell r="J7">
            <v>1.1016604224000048</v>
          </cell>
          <cell r="K7">
            <v>1.1286510355416002</v>
          </cell>
        </row>
        <row r="25">
          <cell r="G25">
            <v>160.28097761928007</v>
          </cell>
          <cell r="H25">
            <v>176.23089761695158</v>
          </cell>
          <cell r="I25">
            <v>192.28021900883618</v>
          </cell>
          <cell r="J25">
            <v>206.25574419824929</v>
          </cell>
          <cell r="K25">
            <v>216.25873930571186</v>
          </cell>
        </row>
        <row r="26">
          <cell r="G26">
            <v>136.19580952973382</v>
          </cell>
          <cell r="H26">
            <v>153.81081150081337</v>
          </cell>
          <cell r="I26">
            <v>173.21017462533791</v>
          </cell>
          <cell r="J26">
            <v>196.27844923360254</v>
          </cell>
          <cell r="K26">
            <v>219.63996642439804</v>
          </cell>
        </row>
        <row r="28">
          <cell r="G28">
            <v>123.68388258870645</v>
          </cell>
          <cell r="H28">
            <v>143.1820485877067</v>
          </cell>
          <cell r="I28">
            <v>166.77123241825984</v>
          </cell>
          <cell r="J28">
            <v>179.73870794565823</v>
          </cell>
          <cell r="K28">
            <v>195.91102285321264</v>
          </cell>
        </row>
        <row r="30">
          <cell r="G30">
            <v>421.78887842105837</v>
          </cell>
          <cell r="H30">
            <v>444.75061180553882</v>
          </cell>
          <cell r="I30">
            <v>459.38761670250273</v>
          </cell>
          <cell r="J30">
            <v>476.65497707799778</v>
          </cell>
          <cell r="K30">
            <v>493.57153519949264</v>
          </cell>
        </row>
        <row r="35">
          <cell r="D35">
            <v>0.57999999999999996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5">
          <cell r="G45">
            <v>421.78887842105837</v>
          </cell>
          <cell r="H45">
            <v>444.75061180553882</v>
          </cell>
          <cell r="I45">
            <v>459.38761670250273</v>
          </cell>
          <cell r="J45">
            <v>476.65497707799778</v>
          </cell>
          <cell r="K45">
            <v>493.57153519949264</v>
          </cell>
        </row>
        <row r="46">
          <cell r="G46">
            <v>241.11835270500163</v>
          </cell>
          <cell r="H46">
            <v>283.98680179039616</v>
          </cell>
          <cell r="I46">
            <v>323.80438513303028</v>
          </cell>
          <cell r="J46">
            <v>316.97638786905702</v>
          </cell>
          <cell r="K46">
            <v>319.83095407024285</v>
          </cell>
        </row>
        <row r="47">
          <cell r="G47">
            <v>136.19580952973382</v>
          </cell>
          <cell r="H47">
            <v>153.81081150081337</v>
          </cell>
          <cell r="I47">
            <v>173.21017462533791</v>
          </cell>
          <cell r="J47">
            <v>196.27844923360254</v>
          </cell>
          <cell r="K47">
            <v>219.63996642439804</v>
          </cell>
        </row>
        <row r="52">
          <cell r="G52">
            <v>0.3</v>
          </cell>
          <cell r="H52">
            <v>0.3</v>
          </cell>
          <cell r="I52">
            <v>0.3</v>
          </cell>
          <cell r="J52">
            <v>0.3</v>
          </cell>
          <cell r="K52">
            <v>0.3</v>
          </cell>
        </row>
        <row r="55">
          <cell r="F55">
            <v>-7.9613141890295083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</sheetData>
      <sheetData sheetId="6">
        <row r="11">
          <cell r="G11">
            <v>1.0244999389946272</v>
          </cell>
          <cell r="H11">
            <v>1.0496001249999949</v>
          </cell>
          <cell r="I11">
            <v>1.0753152640312478</v>
          </cell>
          <cell r="J11">
            <v>1.1016604224000048</v>
          </cell>
          <cell r="K11">
            <v>1.1286510355416002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65B34-19ED-41F4-AED5-6CA463F3EBFF}">
  <dimension ref="B3:J45"/>
  <sheetViews>
    <sheetView showGridLines="0" tabSelected="1" zoomScale="90" zoomScaleNormal="90" workbookViewId="0"/>
  </sheetViews>
  <sheetFormatPr defaultRowHeight="14.5" x14ac:dyDescent="0.35"/>
  <cols>
    <col min="2" max="2" width="53.08984375" customWidth="1"/>
    <col min="3" max="8" width="10.6328125" customWidth="1"/>
  </cols>
  <sheetData>
    <row r="3" spans="2:10" s="9" customFormat="1" x14ac:dyDescent="0.35">
      <c r="B3" s="1" t="s">
        <v>17</v>
      </c>
      <c r="C3" s="10" t="s">
        <v>16</v>
      </c>
      <c r="D3" s="10" t="s">
        <v>10</v>
      </c>
      <c r="E3" s="10" t="s">
        <v>11</v>
      </c>
      <c r="F3" s="10" t="s">
        <v>12</v>
      </c>
      <c r="G3" s="10" t="s">
        <v>13</v>
      </c>
      <c r="H3" s="10" t="s">
        <v>14</v>
      </c>
      <c r="I3" s="10" t="s">
        <v>15</v>
      </c>
    </row>
    <row r="4" spans="2:10" x14ac:dyDescent="0.35">
      <c r="B4" s="2" t="s">
        <v>5</v>
      </c>
      <c r="C4" s="2"/>
      <c r="D4" s="2">
        <f>'[1]RFM input'!G385</f>
        <v>3.0120481927710774E-2</v>
      </c>
      <c r="E4" s="2">
        <f>'[1]RFM input'!H385</f>
        <v>7.268170426065157E-2</v>
      </c>
      <c r="F4" s="2">
        <f>'[1]RFM input'!I385</f>
        <v>5.3738317757009435E-2</v>
      </c>
      <c r="G4" s="2">
        <f>'[1]RFM input'!J385</f>
        <v>2.8085735402808343E-2</v>
      </c>
      <c r="H4" s="2">
        <f>'[1]RFM input'!K385</f>
        <v>3.2350826743350103E-2</v>
      </c>
      <c r="I4" s="2">
        <f>'[1]RFM input'!L385</f>
        <v>3.2000000000000001E-2</v>
      </c>
    </row>
    <row r="5" spans="2:10" x14ac:dyDescent="0.35">
      <c r="B5" t="s">
        <v>6</v>
      </c>
      <c r="C5" s="3">
        <v>0.2</v>
      </c>
      <c r="D5" s="3">
        <f t="shared" ref="D5:I5" si="0">C5*(1+D4)</f>
        <v>0.20602409638554217</v>
      </c>
      <c r="E5" s="3">
        <f t="shared" si="0"/>
        <v>0.22099827882960413</v>
      </c>
      <c r="F5" s="3">
        <f t="shared" si="0"/>
        <v>0.23287435456110156</v>
      </c>
      <c r="G5" s="3">
        <f t="shared" si="0"/>
        <v>0.23941480206540444</v>
      </c>
      <c r="H5" s="3">
        <f t="shared" si="0"/>
        <v>0.24716006884681579</v>
      </c>
      <c r="I5" s="3">
        <f t="shared" si="0"/>
        <v>0.25506919104991393</v>
      </c>
    </row>
    <row r="6" spans="2:10" x14ac:dyDescent="0.35">
      <c r="C6" s="17"/>
    </row>
    <row r="7" spans="2:10" x14ac:dyDescent="0.35">
      <c r="B7" s="30" t="s">
        <v>9</v>
      </c>
      <c r="C7" s="32" t="s">
        <v>7</v>
      </c>
      <c r="D7" s="33"/>
      <c r="E7" s="33"/>
      <c r="F7" s="33"/>
      <c r="G7" s="34"/>
      <c r="H7" s="35" t="s">
        <v>8</v>
      </c>
    </row>
    <row r="8" spans="2:10" x14ac:dyDescent="0.35">
      <c r="B8" s="31"/>
      <c r="C8" s="18" t="s">
        <v>0</v>
      </c>
      <c r="D8" s="18" t="s">
        <v>1</v>
      </c>
      <c r="E8" s="18" t="s">
        <v>2</v>
      </c>
      <c r="F8" s="18" t="s">
        <v>3</v>
      </c>
      <c r="G8" s="21" t="s">
        <v>4</v>
      </c>
      <c r="H8" s="36"/>
    </row>
    <row r="9" spans="2:10" x14ac:dyDescent="0.35">
      <c r="B9" s="4" t="s">
        <v>18</v>
      </c>
      <c r="C9" s="5">
        <f>LOOKUP(2, 1/(5:5 &lt;&gt; ""),5:5 )</f>
        <v>0.25506919104991393</v>
      </c>
      <c r="D9" s="5">
        <f>IF(Segment="Distribution",#REF!, 0)</f>
        <v>0</v>
      </c>
      <c r="E9" s="5">
        <f>IF(Segment="Distribution",#REF!, 0)</f>
        <v>0</v>
      </c>
      <c r="F9" s="5">
        <f>IF(Segment="Distribution",#REF!, 0)</f>
        <v>0</v>
      </c>
      <c r="G9" s="5">
        <f>IF(Segment="Distribution",#REF!, 0)</f>
        <v>0</v>
      </c>
      <c r="H9" s="23">
        <f>SUM(C9:G9)</f>
        <v>0.25506919104991393</v>
      </c>
    </row>
    <row r="10" spans="2:10" x14ac:dyDescent="0.35">
      <c r="B10" s="4" t="str">
        <f>"Annual scaling factor of " &amp; IF(Segment="Distribution", "0.075%", "0.1%")</f>
        <v>Annual scaling factor of 0.1%</v>
      </c>
      <c r="C10" s="19">
        <f>IF(Segment="Distribution", 0.075%, 0.1%)</f>
        <v>1E-3</v>
      </c>
      <c r="D10" s="19">
        <f>IF(Segment="Distribution", 0.075%, 0.1%)</f>
        <v>1E-3</v>
      </c>
      <c r="E10" s="19">
        <f>IF(Segment="Distribution", 0.075%, 0.1%)</f>
        <v>1E-3</v>
      </c>
      <c r="F10" s="19">
        <f>IF(Segment="Distribution", 0.075%, 0.1%)</f>
        <v>1E-3</v>
      </c>
      <c r="G10" s="19">
        <f>IF(Segment="Distribution", 0.075%, 0.1%)</f>
        <v>1E-3</v>
      </c>
      <c r="H10" s="24"/>
    </row>
    <row r="11" spans="2:10" ht="29" x14ac:dyDescent="0.35">
      <c r="B11" s="11" t="s">
        <v>19</v>
      </c>
      <c r="C11" s="6">
        <f ca="1">C22</f>
        <v>831.14776210000321</v>
      </c>
      <c r="D11" s="6">
        <f t="shared" ref="D11:G11" ca="1" si="1">D22</f>
        <v>846.83653501651884</v>
      </c>
      <c r="E11" s="6">
        <f t="shared" ca="1" si="1"/>
        <v>898.10543364681723</v>
      </c>
      <c r="F11" s="6">
        <f t="shared" ca="1" si="1"/>
        <v>953.68818567351957</v>
      </c>
      <c r="G11" s="6">
        <f t="shared" ca="1" si="1"/>
        <v>1001.7941251543859</v>
      </c>
      <c r="H11" s="23">
        <f ca="1">SUM(C11:G11)</f>
        <v>4531.5720415912447</v>
      </c>
    </row>
    <row r="12" spans="2:10" x14ac:dyDescent="0.35">
      <c r="B12" s="4" t="s">
        <v>20</v>
      </c>
      <c r="C12" s="20">
        <f ca="1">C10*C11</f>
        <v>0.83114776210000318</v>
      </c>
      <c r="D12" s="20">
        <f ca="1">D10*D11</f>
        <v>0.8468365350165189</v>
      </c>
      <c r="E12" s="20">
        <f t="shared" ref="E12:G12" ca="1" si="2">E10*E11</f>
        <v>0.89810543364681727</v>
      </c>
      <c r="F12" s="20">
        <f t="shared" ca="1" si="2"/>
        <v>0.95368818567351954</v>
      </c>
      <c r="G12" s="22">
        <f t="shared" ca="1" si="2"/>
        <v>1.001794125154386</v>
      </c>
      <c r="H12" s="23">
        <f ca="1">SUM(C12:G12)</f>
        <v>4.5315720415912448</v>
      </c>
    </row>
    <row r="13" spans="2:10" x14ac:dyDescent="0.35">
      <c r="B13" s="7" t="s">
        <v>21</v>
      </c>
      <c r="C13" s="8">
        <f ca="1">$H$9/5+C12</f>
        <v>0.88216160030998592</v>
      </c>
      <c r="D13" s="8">
        <f t="shared" ref="D13:G13" ca="1" si="3">$H$9/5+D12</f>
        <v>0.89785037322650174</v>
      </c>
      <c r="E13" s="8">
        <f t="shared" ca="1" si="3"/>
        <v>0.94911927185680001</v>
      </c>
      <c r="F13" s="8">
        <f t="shared" ca="1" si="3"/>
        <v>1.0047020238835023</v>
      </c>
      <c r="G13" s="8">
        <f t="shared" ca="1" si="3"/>
        <v>1.0528079633643688</v>
      </c>
      <c r="H13" s="29">
        <f ca="1">H12+H9</f>
        <v>4.7866412326411591</v>
      </c>
      <c r="J13" t="s">
        <v>42</v>
      </c>
    </row>
    <row r="16" spans="2:10" x14ac:dyDescent="0.35">
      <c r="B16" s="12" t="s">
        <v>27</v>
      </c>
      <c r="C16" s="13"/>
      <c r="D16" s="13"/>
      <c r="E16" s="13"/>
      <c r="F16" s="13"/>
      <c r="G16" s="13"/>
      <c r="H16" s="13"/>
    </row>
    <row r="17" spans="2:8" x14ac:dyDescent="0.35">
      <c r="B17" s="13" t="s">
        <v>22</v>
      </c>
      <c r="C17" s="15">
        <f ca="1">([2]Analysis!G25+[2]Analysis!G26)/'[2]X factors'!G11</f>
        <v>289.38682752871176</v>
      </c>
      <c r="D17" s="15">
        <f ca="1">([2]Analysis!H25+[2]Analysis!H26)/'[2]X factors'!H11</f>
        <v>314.44518846428929</v>
      </c>
      <c r="E17" s="15">
        <f ca="1">([2]Analysis!I25+[2]Analysis!I26)/'[2]X factors'!I11</f>
        <v>339.89138428481681</v>
      </c>
      <c r="F17" s="15">
        <f ca="1">([2]Analysis!J25+[2]Analysis!J26)/'[2]X factors'!J11</f>
        <v>365.38863087676083</v>
      </c>
      <c r="G17" s="15">
        <f ca="1">([2]Analysis!K25+[2]Analysis!K26)/'[2]X factors'!K11</f>
        <v>386.21211694625998</v>
      </c>
      <c r="H17" s="25">
        <f t="shared" ref="H17:H22" ca="1" si="4">SUM(C17:G17)</f>
        <v>1695.3241481008388</v>
      </c>
    </row>
    <row r="18" spans="2:8" x14ac:dyDescent="0.35">
      <c r="B18" s="13" t="s">
        <v>23</v>
      </c>
      <c r="C18" s="15">
        <f ca="1">[2]Analysis!G28/'[2]X factors'!G11</f>
        <v>120.72610049160295</v>
      </c>
      <c r="D18" s="15">
        <f ca="1">[2]Analysis!H28/'[2]X factors'!H11</f>
        <v>136.41580748450025</v>
      </c>
      <c r="E18" s="15">
        <f ca="1">[2]Analysis!I28/'[2]X factors'!I11</f>
        <v>155.09054692765304</v>
      </c>
      <c r="F18" s="15">
        <f ca="1">[2]Analysis!J28/'[2]X factors'!J11</f>
        <v>163.15255072347188</v>
      </c>
      <c r="G18" s="15">
        <f ca="1">[2]Analysis!K28/'[2]X factors'!K11</f>
        <v>173.57980162504506</v>
      </c>
      <c r="H18" s="25">
        <f t="shared" ca="1" si="4"/>
        <v>748.9648072522732</v>
      </c>
    </row>
    <row r="19" spans="2:8" x14ac:dyDescent="0.35">
      <c r="B19" s="13" t="s">
        <v>24</v>
      </c>
      <c r="C19" s="15">
        <f ca="1">[2]Analysis!G30/'[2]X factors'!G11</f>
        <v>411.70219964578285</v>
      </c>
      <c r="D19" s="15">
        <f ca="1">[2]Analysis!H30/'[2]X factors'!H11</f>
        <v>423.73338304008013</v>
      </c>
      <c r="E19" s="15">
        <f ca="1">[2]Analysis!I30/'[2]X factors'!I11</f>
        <v>427.21202987513186</v>
      </c>
      <c r="F19" s="15">
        <f ca="1">[2]Analysis!J30/'[2]X factors'!J11</f>
        <v>432.66960252560278</v>
      </c>
      <c r="G19" s="15">
        <f ca="1">[2]Analysis!K30/'[2]X factors'!K11</f>
        <v>437.31101966574187</v>
      </c>
      <c r="H19" s="25">
        <f t="shared" ca="1" si="4"/>
        <v>2132.6282347523393</v>
      </c>
    </row>
    <row r="20" spans="2:8" x14ac:dyDescent="0.35">
      <c r="B20" s="13" t="s">
        <v>25</v>
      </c>
      <c r="C20" s="15">
        <f ca="1">SUM('[2]PTRM input'!G$453:G$456)*[2]Analysis!G7/'[2]X factors'!G11</f>
        <v>4.4236878145277796</v>
      </c>
      <c r="D20" s="15">
        <f ca="1">SUM('[2]PTRM input'!H$453:H$456)*[2]Analysis!H7/'[2]X factors'!H11</f>
        <v>-32.623698573387131</v>
      </c>
      <c r="E20" s="15">
        <f ca="1">SUM('[2]PTRM input'!I$453:I$456)*[2]Analysis!I7/'[2]X factors'!I11</f>
        <v>-28.81401122519534</v>
      </c>
      <c r="F20" s="15">
        <f ca="1">SUM('[2]PTRM input'!J$453:J$456)*[2]Analysis!J7/'[2]X factors'!J11</f>
        <v>-16.554394866695379</v>
      </c>
      <c r="G20" s="15">
        <f ca="1">SUM('[2]PTRM input'!K$453:K$456)*[2]Analysis!K7/'[2]X factors'!K11</f>
        <v>-7.1034259986422494</v>
      </c>
      <c r="H20" s="25">
        <f t="shared" ca="1" si="4"/>
        <v>-80.67184284939232</v>
      </c>
    </row>
    <row r="21" spans="2:8" x14ac:dyDescent="0.35">
      <c r="B21" s="13" t="s">
        <v>26</v>
      </c>
      <c r="C21" s="15">
        <f ca="1">(C43+C44)/'[2]X factors'!G11</f>
        <v>4.9089466193778835</v>
      </c>
      <c r="D21" s="15">
        <f ca="1">(D43+D44)/'[2]X factors'!H11</f>
        <v>4.86585460103624</v>
      </c>
      <c r="E21" s="15">
        <f ca="1">(E43+E44)/'[2]X factors'!I11</f>
        <v>4.7254837844109661</v>
      </c>
      <c r="F21" s="15">
        <f ca="1">(F43+F44)/'[2]X factors'!J11</f>
        <v>9.0317964143794125</v>
      </c>
      <c r="G21" s="15">
        <f ca="1">(G43+G44)/'[2]X factors'!K11</f>
        <v>11.794612915981352</v>
      </c>
      <c r="H21" s="25">
        <f t="shared" ca="1" si="4"/>
        <v>35.326694335185856</v>
      </c>
    </row>
    <row r="22" spans="2:8" x14ac:dyDescent="0.35">
      <c r="B22" s="14" t="s">
        <v>28</v>
      </c>
      <c r="C22" s="16">
        <f ca="1">SUM(C17:C21)</f>
        <v>831.14776210000321</v>
      </c>
      <c r="D22" s="16">
        <f ca="1">SUM(D17:D21)</f>
        <v>846.83653501651884</v>
      </c>
      <c r="E22" s="16">
        <f ca="1">SUM(E17:E21)</f>
        <v>898.10543364681723</v>
      </c>
      <c r="F22" s="16">
        <f ca="1">SUM(F17:F21)</f>
        <v>953.68818567351957</v>
      </c>
      <c r="G22" s="16">
        <f ca="1">SUM(G17:G21)</f>
        <v>1001.7941251543859</v>
      </c>
      <c r="H22" s="16">
        <f t="shared" ca="1" si="4"/>
        <v>4531.5720415912447</v>
      </c>
    </row>
    <row r="23" spans="2:8" x14ac:dyDescent="0.35">
      <c r="B23" s="13"/>
      <c r="C23" s="13"/>
      <c r="D23" s="13"/>
      <c r="E23" s="13"/>
      <c r="F23" s="13"/>
      <c r="G23" s="13"/>
      <c r="H23" s="13"/>
    </row>
    <row r="24" spans="2:8" x14ac:dyDescent="0.35">
      <c r="B24" s="13"/>
      <c r="C24" s="13"/>
      <c r="D24" s="13"/>
      <c r="E24" s="13"/>
      <c r="F24" s="13"/>
      <c r="G24" s="13"/>
      <c r="H24" s="13"/>
    </row>
    <row r="25" spans="2:8" x14ac:dyDescent="0.35">
      <c r="B25" s="12" t="s">
        <v>29</v>
      </c>
      <c r="C25" s="26"/>
      <c r="D25" s="26"/>
      <c r="E25" s="26"/>
      <c r="F25" s="26"/>
      <c r="G25" s="26"/>
      <c r="H25" s="13"/>
    </row>
    <row r="26" spans="2:8" x14ac:dyDescent="0.35">
      <c r="B26" s="13"/>
      <c r="C26" s="27"/>
      <c r="D26" s="27"/>
      <c r="E26" s="27"/>
      <c r="F26" s="27"/>
      <c r="G26" s="27"/>
      <c r="H26" s="13"/>
    </row>
    <row r="27" spans="2:8" x14ac:dyDescent="0.35">
      <c r="B27" s="13" t="s">
        <v>30</v>
      </c>
      <c r="C27" s="15">
        <f>[2]Analysis!G25</f>
        <v>160.28097761928007</v>
      </c>
      <c r="D27" s="15">
        <f ca="1">[2]Analysis!H25</f>
        <v>176.23089761695158</v>
      </c>
      <c r="E27" s="15">
        <f ca="1">[2]Analysis!I25</f>
        <v>192.28021900883618</v>
      </c>
      <c r="F27" s="15">
        <f ca="1">[2]Analysis!J25</f>
        <v>206.25574419824929</v>
      </c>
      <c r="G27" s="15">
        <f ca="1">[2]Analysis!K25</f>
        <v>216.25873930571186</v>
      </c>
      <c r="H27" s="13"/>
    </row>
    <row r="28" spans="2:8" x14ac:dyDescent="0.35">
      <c r="B28" s="13" t="s">
        <v>31</v>
      </c>
      <c r="C28" s="15">
        <f>[2]Analysis!G26</f>
        <v>136.19580952973382</v>
      </c>
      <c r="D28" s="15">
        <f ca="1">[2]Analysis!H26</f>
        <v>153.81081150081337</v>
      </c>
      <c r="E28" s="15">
        <f ca="1">[2]Analysis!I26</f>
        <v>173.21017462533791</v>
      </c>
      <c r="F28" s="15">
        <f ca="1">[2]Analysis!J26</f>
        <v>196.27844923360254</v>
      </c>
      <c r="G28" s="15">
        <f ca="1">[2]Analysis!K26</f>
        <v>219.63996642439804</v>
      </c>
      <c r="H28" s="13"/>
    </row>
    <row r="29" spans="2:8" x14ac:dyDescent="0.35">
      <c r="B29" s="13" t="s">
        <v>23</v>
      </c>
      <c r="C29" s="15">
        <f ca="1">[2]Analysis!G28</f>
        <v>123.68388258870645</v>
      </c>
      <c r="D29" s="15">
        <f ca="1">[2]Analysis!H28</f>
        <v>143.1820485877067</v>
      </c>
      <c r="E29" s="15">
        <f ca="1">[2]Analysis!I28</f>
        <v>166.77123241825984</v>
      </c>
      <c r="F29" s="15">
        <f ca="1">[2]Analysis!J28</f>
        <v>179.73870794565823</v>
      </c>
      <c r="G29" s="15">
        <f ca="1">[2]Analysis!K28</f>
        <v>195.91102285321264</v>
      </c>
      <c r="H29" s="13"/>
    </row>
    <row r="30" spans="2:8" x14ac:dyDescent="0.35">
      <c r="B30" s="13" t="s">
        <v>32</v>
      </c>
      <c r="C30" s="15">
        <f ca="1">[2]Analysis!G30</f>
        <v>421.78887842105837</v>
      </c>
      <c r="D30" s="15">
        <f ca="1">[2]Analysis!H30</f>
        <v>444.75061180553882</v>
      </c>
      <c r="E30" s="15">
        <f ca="1">[2]Analysis!I30</f>
        <v>459.38761670250273</v>
      </c>
      <c r="F30" s="15">
        <f ca="1">[2]Analysis!J30</f>
        <v>476.65497707799778</v>
      </c>
      <c r="G30" s="15">
        <f ca="1">[2]Analysis!K30</f>
        <v>493.57153519949264</v>
      </c>
      <c r="H30" s="13"/>
    </row>
    <row r="31" spans="2:8" x14ac:dyDescent="0.35">
      <c r="B31" s="13" t="s">
        <v>25</v>
      </c>
      <c r="C31" s="15">
        <f ca="1">SUM('[2]PTRM input'!G$453:G$456)*[2]Analysis!G7</f>
        <v>4.5320678961149863</v>
      </c>
      <c r="D31" s="15">
        <f ca="1">SUM('[2]PTRM input'!H$453:H$456)*[2]Analysis!H7</f>
        <v>-34.241838100589284</v>
      </c>
      <c r="E31" s="15">
        <f ca="1">SUM('[2]PTRM input'!I$453:I$456)*[2]Analysis!I7</f>
        <v>-30.984146088420264</v>
      </c>
      <c r="F31" s="15">
        <f ca="1">SUM('[2]PTRM input'!J$453:J$456)*[2]Analysis!J7</f>
        <v>-18.237321641420102</v>
      </c>
      <c r="G31" s="15">
        <f ca="1">SUM('[2]PTRM input'!K$453:K$456)*[2]Analysis!K7</f>
        <v>-8.0172891092606999</v>
      </c>
      <c r="H31" s="13"/>
    </row>
    <row r="32" spans="2:8" x14ac:dyDescent="0.35">
      <c r="B32" s="13" t="s">
        <v>33</v>
      </c>
      <c r="C32" s="15">
        <f ca="1">[2]Analysis!G40</f>
        <v>0</v>
      </c>
      <c r="D32" s="15">
        <f ca="1">[2]Analysis!H40</f>
        <v>0</v>
      </c>
      <c r="E32" s="15">
        <f ca="1">[2]Analysis!I40</f>
        <v>0</v>
      </c>
      <c r="F32" s="15">
        <f ca="1">[2]Analysis!J40</f>
        <v>0</v>
      </c>
      <c r="G32" s="15">
        <f ca="1">[2]Analysis!K40</f>
        <v>0</v>
      </c>
      <c r="H32" s="13"/>
    </row>
    <row r="33" spans="2:8" x14ac:dyDescent="0.35">
      <c r="B33" s="12" t="s">
        <v>34</v>
      </c>
      <c r="C33" s="28">
        <f ca="1">SUM(C27:C32)</f>
        <v>846.48161605489372</v>
      </c>
      <c r="D33" s="28">
        <f ca="1">SUM(D27:D32)</f>
        <v>883.7325314104213</v>
      </c>
      <c r="E33" s="28">
        <f ca="1">SUM(E27:E32)</f>
        <v>960.66509666651643</v>
      </c>
      <c r="F33" s="28">
        <f ca="1">SUM(F27:F32)</f>
        <v>1040.6905568140878</v>
      </c>
      <c r="G33" s="28">
        <f ca="1">SUM(G27:G32)</f>
        <v>1117.3639746735546</v>
      </c>
      <c r="H33" s="13"/>
    </row>
    <row r="34" spans="2:8" x14ac:dyDescent="0.35">
      <c r="B34" s="13"/>
      <c r="C34" s="13"/>
      <c r="D34" s="13"/>
      <c r="E34" s="13"/>
      <c r="F34" s="13"/>
      <c r="G34" s="13"/>
      <c r="H34" s="13"/>
    </row>
    <row r="35" spans="2:8" x14ac:dyDescent="0.35">
      <c r="B35" s="13" t="s">
        <v>32</v>
      </c>
      <c r="C35" s="15">
        <f ca="1">[2]Analysis!G45</f>
        <v>421.78887842105837</v>
      </c>
      <c r="D35" s="15">
        <f ca="1">[2]Analysis!H45</f>
        <v>444.75061180553882</v>
      </c>
      <c r="E35" s="15">
        <f ca="1">[2]Analysis!I45</f>
        <v>459.38761670250273</v>
      </c>
      <c r="F35" s="15">
        <f ca="1">[2]Analysis!J45</f>
        <v>476.65497707799778</v>
      </c>
      <c r="G35" s="15">
        <f ca="1">[2]Analysis!K45</f>
        <v>493.57153519949264</v>
      </c>
      <c r="H35" s="13"/>
    </row>
    <row r="36" spans="2:8" x14ac:dyDescent="0.35">
      <c r="B36" s="13" t="s">
        <v>35</v>
      </c>
      <c r="C36" s="15">
        <f ca="1">[2]Analysis!G46</f>
        <v>241.11835270500163</v>
      </c>
      <c r="D36" s="15">
        <f ca="1">[2]Analysis!H46</f>
        <v>283.98680179039616</v>
      </c>
      <c r="E36" s="15">
        <f ca="1">[2]Analysis!I46</f>
        <v>323.80438513303028</v>
      </c>
      <c r="F36" s="15">
        <f ca="1">[2]Analysis!J46</f>
        <v>316.97638786905702</v>
      </c>
      <c r="G36" s="15">
        <f ca="1">[2]Analysis!K46</f>
        <v>319.83095407024285</v>
      </c>
      <c r="H36" s="13"/>
    </row>
    <row r="37" spans="2:8" x14ac:dyDescent="0.35">
      <c r="B37" s="13" t="s">
        <v>36</v>
      </c>
      <c r="C37" s="15">
        <f>[2]Analysis!G47</f>
        <v>136.19580952973382</v>
      </c>
      <c r="D37" s="15">
        <f ca="1">[2]Analysis!H47</f>
        <v>153.81081150081337</v>
      </c>
      <c r="E37" s="15">
        <f ca="1">[2]Analysis!I47</f>
        <v>173.21017462533791</v>
      </c>
      <c r="F37" s="15">
        <f ca="1">[2]Analysis!J47</f>
        <v>196.27844923360254</v>
      </c>
      <c r="G37" s="15">
        <f ca="1">[2]Analysis!K47</f>
        <v>219.63996642439804</v>
      </c>
      <c r="H37" s="13"/>
    </row>
    <row r="38" spans="2:8" x14ac:dyDescent="0.35">
      <c r="B38" s="13" t="s">
        <v>37</v>
      </c>
      <c r="C38" s="15" cm="1">
        <f t="array" aca="1" ref="C38" ca="1">SUMPRODUCT(('[2]PTRM input'!$S$453:$S$456="Yes")*('[2]PTRM input'!G$453:G$456))*[2]Analysis!G$7</f>
        <v>4.5320678961149863</v>
      </c>
      <c r="D38" s="15" cm="1">
        <f t="array" aca="1" ref="D38" ca="1">SUMPRODUCT(('[2]PTRM input'!$S$453:$S$456="Yes")*('[2]PTRM input'!H$453:H$456))*[2]Analysis!H$7</f>
        <v>-34.241838100589284</v>
      </c>
      <c r="E38" s="15" cm="1">
        <f t="array" aca="1" ref="E38" ca="1">SUMPRODUCT(('[2]PTRM input'!$S$453:$S$456="Yes")*('[2]PTRM input'!I$453:I$456))*[2]Analysis!I$7</f>
        <v>-30.984146088420264</v>
      </c>
      <c r="F38" s="15" cm="1">
        <f t="array" aca="1" ref="F38" ca="1">SUMPRODUCT(('[2]PTRM input'!$S$453:$S$456="Yes")*('[2]PTRM input'!J$453:J$456))*[2]Analysis!J$7</f>
        <v>-18.237321641420102</v>
      </c>
      <c r="G38" s="15" cm="1">
        <f t="array" aca="1" ref="G38" ca="1">SUMPRODUCT(('[2]PTRM input'!$S$453:$S$456="Yes")*('[2]PTRM input'!K$453:K$456))*[2]Analysis!K$7</f>
        <v>-8.0172891092606999</v>
      </c>
      <c r="H38" s="13"/>
    </row>
    <row r="39" spans="2:8" x14ac:dyDescent="0.35">
      <c r="B39" s="12" t="s">
        <v>38</v>
      </c>
      <c r="C39" s="28">
        <f ca="1">SUM(C35:C38)</f>
        <v>803.63510855190884</v>
      </c>
      <c r="D39" s="28">
        <f ca="1">SUM(D35:D38)</f>
        <v>848.30638699615918</v>
      </c>
      <c r="E39" s="28">
        <f ca="1">SUM(E35:E38)</f>
        <v>925.41803037245063</v>
      </c>
      <c r="F39" s="28">
        <f ca="1">SUM(F35:F38)</f>
        <v>971.67249253923728</v>
      </c>
      <c r="G39" s="28">
        <f ca="1">SUM(G35:G38)</f>
        <v>1025.0251665848727</v>
      </c>
      <c r="H39" s="13"/>
    </row>
    <row r="40" spans="2:8" x14ac:dyDescent="0.35">
      <c r="B40" s="13"/>
      <c r="C40" s="13"/>
      <c r="D40" s="13"/>
      <c r="E40" s="13"/>
      <c r="F40" s="13"/>
      <c r="G40" s="13"/>
      <c r="H40" s="13"/>
    </row>
    <row r="41" spans="2:8" x14ac:dyDescent="0.35">
      <c r="B41" s="12" t="s">
        <v>39</v>
      </c>
      <c r="C41" s="25">
        <f ca="1">MAX(0,(C27+C28+C29+C30+C31+C32-C39+[2]Analysis!F55)*[2]Analysis!G52/(1-(1-[2]Analysis!$D$35)*[2]Analysis!G52))</f>
        <v>11.974322647810768</v>
      </c>
      <c r="D41" s="25">
        <f ca="1">MAX(0,(D27+D28+D29+D30+D31+D32-D39+[2]Analysis!G55)*[2]Analysis!H52/(1-(1-[2]Analysis!$D$35)*[2]Analysis!H52))</f>
        <v>12.16000380352247</v>
      </c>
      <c r="E41" s="25">
        <f ca="1">MAX(0,(E27+E28+E29+E30+E31+E32-E39+[2]Analysis!H55)*[2]Analysis!I52/(1-(1-[2]Analysis!$D$35)*[2]Analysis!I52))</f>
        <v>12.098535341212518</v>
      </c>
      <c r="F41" s="25">
        <f ca="1">MAX(0,(F27+F28+F29+F30+F31+F32-F39+[2]Analysis!I55)*[2]Analysis!J52/(1-(1-[2]Analysis!$D$35)*[2]Analysis!J52))</f>
        <v>23.690411078323979</v>
      </c>
      <c r="G41" s="25">
        <f ca="1">MAX(0,(G27+G28+G29+G30+G31+G32-G39+[2]Analysis!J55)*[2]Analysis!K52/(1-(1-[2]Analysis!$D$35)*[2]Analysis!K52))</f>
        <v>31.695243051034957</v>
      </c>
      <c r="H41" s="13"/>
    </row>
    <row r="42" spans="2:8" x14ac:dyDescent="0.35">
      <c r="B42" s="13"/>
      <c r="C42" s="13"/>
      <c r="D42" s="13"/>
      <c r="E42" s="13"/>
      <c r="F42" s="13"/>
      <c r="G42" s="13"/>
      <c r="H42" s="13"/>
    </row>
    <row r="43" spans="2:8" x14ac:dyDescent="0.35">
      <c r="B43" s="13" t="s">
        <v>40</v>
      </c>
      <c r="C43" s="15">
        <f ca="1">C41</f>
        <v>11.974322647810768</v>
      </c>
      <c r="D43" s="15">
        <f ca="1">D41</f>
        <v>12.16000380352247</v>
      </c>
      <c r="E43" s="15">
        <f ca="1">E41</f>
        <v>12.098535341212518</v>
      </c>
      <c r="F43" s="15">
        <f ca="1">F41</f>
        <v>23.690411078323979</v>
      </c>
      <c r="G43" s="15">
        <f ca="1">G41</f>
        <v>31.695243051034957</v>
      </c>
      <c r="H43" s="13"/>
    </row>
    <row r="44" spans="2:8" x14ac:dyDescent="0.35">
      <c r="B44" s="13" t="s">
        <v>41</v>
      </c>
      <c r="C44" s="15">
        <f ca="1">-C43*[2]Analysis!$D$35</f>
        <v>-6.945107135730245</v>
      </c>
      <c r="D44" s="15">
        <f ca="1">-D43*[2]Analysis!$D$35</f>
        <v>-7.0528022060430322</v>
      </c>
      <c r="E44" s="15">
        <f ca="1">-E43*[2]Analysis!$D$35</f>
        <v>-7.01715049790326</v>
      </c>
      <c r="F44" s="15">
        <f ca="1">-F43*[2]Analysis!$D$35</f>
        <v>-13.740438425427907</v>
      </c>
      <c r="G44" s="15">
        <f ca="1">-G43*[2]Analysis!$D$35</f>
        <v>-18.383240969600273</v>
      </c>
      <c r="H44" s="13"/>
    </row>
    <row r="45" spans="2:8" x14ac:dyDescent="0.35">
      <c r="B45" s="13"/>
      <c r="C45" s="13"/>
      <c r="D45" s="13"/>
      <c r="E45" s="13"/>
      <c r="F45" s="13"/>
      <c r="G45" s="13"/>
      <c r="H45" s="13"/>
    </row>
  </sheetData>
  <mergeCells count="3">
    <mergeCell ref="B7:B8"/>
    <mergeCell ref="C7:G7"/>
    <mergeCell ref="H7:H8"/>
  </mergeCells>
  <conditionalFormatting sqref="B4:I4">
    <cfRule type="containsText" dxfId="0" priority="1" operator="containsText" text="Actual CPI required">
      <formula>NOT(ISERROR(SEARCH("Actual CPI required",B4)))</formula>
    </cfRule>
  </conditionalFormatting>
  <dataValidations disablePrompts="1" count="1">
    <dataValidation type="list" allowBlank="1" showInputMessage="1" showErrorMessage="1" sqref="B7:B8" xr:uid="{18AEB1D2-C361-4597-8D90-EA341BE61EC9}">
      <formula1>#REF!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807872E4E7174B8680AF6F5A2ADC76" ma:contentTypeVersion="15" ma:contentTypeDescription="Create a new document." ma:contentTypeScope="" ma:versionID="39f1ab2e6d6e0243db9393e060a6a3a1">
  <xsd:schema xmlns:xsd="http://www.w3.org/2001/XMLSchema" xmlns:xs="http://www.w3.org/2001/XMLSchema" xmlns:p="http://schemas.microsoft.com/office/2006/metadata/properties" xmlns:ns2="4d3c6a57-5bda-4aa8-ac8a-498e975ae2a0" xmlns:ns3="991da4fe-ce16-4509-ba6d-f993200f40ab" targetNamespace="http://schemas.microsoft.com/office/2006/metadata/properties" ma:root="true" ma:fieldsID="d559c752cff94a381c8e2a9193b69b14" ns2:_="" ns3:_="">
    <xsd:import namespace="4d3c6a57-5bda-4aa8-ac8a-498e975ae2a0"/>
    <xsd:import namespace="991da4fe-ce16-4509-ba6d-f993200f40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c6a57-5bda-4aa8-ac8a-498e975ae2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9e67b6b-74cb-4963-8df3-8bbebf5323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da4fe-ce16-4509-ba6d-f993200f40a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e4f8352-8701-47d2-b76f-b70630237ffb}" ma:internalName="TaxCatchAll" ma:showField="CatchAllData" ma:web="991da4fe-ce16-4509-ba6d-f993200f40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1da4fe-ce16-4509-ba6d-f993200f40ab" xsi:nil="true"/>
    <lcf76f155ced4ddcb4097134ff3c332f xmlns="4d3c6a57-5bda-4aa8-ac8a-498e975ae2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24156A-F72A-42C2-9093-94315A6939BD}"/>
</file>

<file path=customXml/itemProps2.xml><?xml version="1.0" encoding="utf-8"?>
<ds:datastoreItem xmlns:ds="http://schemas.openxmlformats.org/officeDocument/2006/customXml" ds:itemID="{89BC7B71-01D4-49E2-A5E4-DEF13B62E02E}"/>
</file>

<file path=customXml/itemProps3.xml><?xml version="1.0" encoding="utf-8"?>
<ds:datastoreItem xmlns:ds="http://schemas.openxmlformats.org/officeDocument/2006/customXml" ds:itemID="{F0A7A56A-243B-4928-909D-EFE6FC061D01}"/>
</file>

<file path=docMetadata/LabelInfo.xml><?xml version="1.0" encoding="utf-8"?>
<clbl:labelList xmlns:clbl="http://schemas.microsoft.com/office/2020/mipLabelMetadata">
  <clbl:label id="{f59ee16a-f4d8-42fc-8e4b-5abdff9fc8a9}" enabled="1" method="Standard" siteId="{a394e41c-cf8d-458e-ac1b-ddae1aa156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DMIAM</vt:lpstr>
      <vt:lpstr>Segment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Boo</dc:creator>
  <cp:lastModifiedBy>Kane Glenister</cp:lastModifiedBy>
  <dcterms:created xsi:type="dcterms:W3CDTF">2026-05-25T02:26:28Z</dcterms:created>
  <dcterms:modified xsi:type="dcterms:W3CDTF">2026-09-01T01:09:36Z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d5a995-dfdf-4407-9a97-edbbc68c9f53_Enabled">
    <vt:lpwstr>true</vt:lpwstr>
  </property>
  <property fmtid="{D5CDD505-2E9C-101B-9397-08002B2CF9AE}" pid="3" name="MSIP_Label_d9d5a995-dfdf-4407-9a97-edbbc68c9f53_SetDate">
    <vt:lpwstr>2026-05-25T02:35:47Z</vt:lpwstr>
  </property>
  <property fmtid="{D5CDD505-2E9C-101B-9397-08002B2CF9AE}" pid="4" name="MSIP_Label_d9d5a995-dfdf-4407-9a97-edbbc68c9f53_Method">
    <vt:lpwstr>Privileged</vt:lpwstr>
  </property>
  <property fmtid="{D5CDD505-2E9C-101B-9397-08002B2CF9AE}" pid="5" name="MSIP_Label_d9d5a995-dfdf-4407-9a97-edbbc68c9f53_Name">
    <vt:lpwstr>OFFICIAL</vt:lpwstr>
  </property>
  <property fmtid="{D5CDD505-2E9C-101B-9397-08002B2CF9AE}" pid="6" name="MSIP_Label_d9d5a995-dfdf-4407-9a97-edbbc68c9f53_SiteId">
    <vt:lpwstr>b33e9e1a-e443-4edd-9789-24bed26d38d6</vt:lpwstr>
  </property>
  <property fmtid="{D5CDD505-2E9C-101B-9397-08002B2CF9AE}" pid="7" name="MSIP_Label_d9d5a995-dfdf-4407-9a97-edbbc68c9f53_ActionId">
    <vt:lpwstr>14920cda-b2d6-4e52-b512-1f17bc2d816f</vt:lpwstr>
  </property>
  <property fmtid="{D5CDD505-2E9C-101B-9397-08002B2CF9AE}" pid="8" name="MSIP_Label_d9d5a995-dfdf-4407-9a97-edbbc68c9f53_ContentBits">
    <vt:lpwstr>0</vt:lpwstr>
  </property>
  <property fmtid="{D5CDD505-2E9C-101B-9397-08002B2CF9AE}" pid="9" name="MSIP_Label_d9d5a995-dfdf-4407-9a97-edbbc68c9f53_Tag">
    <vt:lpwstr>10, 0, 1, 1</vt:lpwstr>
  </property>
  <property fmtid="{D5CDD505-2E9C-101B-9397-08002B2CF9AE}" pid="10" name="ContentTypeId">
    <vt:lpwstr>0x01010039807872E4E7174B8680AF6F5A2ADC76</vt:lpwstr>
  </property>
</Properties>
</file>