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ilnsw.sharepoint.com/sites/NetworkRegulation/Shared Documents/Cost Pass Throughs/2025 North Coast Weather event (Cyclone Alfred)/Docs for CFO review/"/>
    </mc:Choice>
  </mc:AlternateContent>
  <xr:revisionPtr revIDLastSave="152" documentId="8_{310BE797-717A-4781-BE32-2F8CA7E7C052}" xr6:coauthVersionLast="47" xr6:coauthVersionMax="47" xr10:uidLastSave="{7A60C544-5B93-43D0-866B-2DF75355B427}"/>
  <bookViews>
    <workbookView xWindow="28680" yWindow="-120" windowWidth="29040" windowHeight="15720" tabRatio="807" activeTab="1" xr2:uid="{00000000-000D-0000-FFFF-FFFF00000000}"/>
  </bookViews>
  <sheets>
    <sheet name="Summary" sheetId="33" r:id="rId1"/>
    <sheet name="PTRM input " sheetId="43" r:id="rId2"/>
    <sheet name="Direct costs" sheetId="48" r:id="rId3"/>
    <sheet name="Capitalised Overheads" sheetId="41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43" l="1"/>
  <c r="H29" i="43"/>
  <c r="G34" i="43"/>
  <c r="G29" i="43"/>
  <c r="F37" i="43"/>
  <c r="F36" i="43"/>
  <c r="F35" i="43"/>
  <c r="F34" i="43"/>
  <c r="F32" i="43"/>
  <c r="F31" i="43"/>
  <c r="F30" i="43"/>
  <c r="F29" i="43"/>
  <c r="E37" i="43"/>
  <c r="E36" i="43"/>
  <c r="E35" i="43"/>
  <c r="E34" i="43"/>
  <c r="E32" i="43"/>
  <c r="E31" i="43"/>
  <c r="E30" i="43"/>
  <c r="E29" i="43"/>
  <c r="G12" i="41" l="1"/>
  <c r="O32" i="48" l="1"/>
  <c r="N32" i="48"/>
  <c r="N31" i="48"/>
  <c r="O31" i="48"/>
  <c r="O30" i="48"/>
  <c r="N30" i="48"/>
  <c r="L22" i="48"/>
  <c r="H22" i="48"/>
  <c r="D22" i="48"/>
  <c r="O22" i="48"/>
  <c r="N22" i="48"/>
  <c r="P22" i="48" s="1"/>
  <c r="L21" i="48"/>
  <c r="H21" i="48"/>
  <c r="O21" i="48"/>
  <c r="N20" i="48"/>
  <c r="G23" i="48"/>
  <c r="D19" i="48"/>
  <c r="D20" i="48" l="1"/>
  <c r="H20" i="48"/>
  <c r="C23" i="48"/>
  <c r="C33" i="48"/>
  <c r="J23" i="48"/>
  <c r="P31" i="48"/>
  <c r="H19" i="48"/>
  <c r="O19" i="48"/>
  <c r="O29" i="48"/>
  <c r="O33" i="48" s="1"/>
  <c r="L20" i="48"/>
  <c r="O20" i="48"/>
  <c r="P20" i="48" s="1"/>
  <c r="P30" i="48"/>
  <c r="K23" i="48"/>
  <c r="D21" i="48"/>
  <c r="P32" i="48"/>
  <c r="F23" i="48"/>
  <c r="B33" i="48"/>
  <c r="H23" i="48"/>
  <c r="D23" i="48"/>
  <c r="L19" i="48"/>
  <c r="N19" i="48"/>
  <c r="N21" i="48"/>
  <c r="P21" i="48" s="1"/>
  <c r="N29" i="48"/>
  <c r="B23" i="48"/>
  <c r="L23" i="48" l="1"/>
  <c r="O23" i="48"/>
  <c r="D33" i="48"/>
  <c r="P19" i="48"/>
  <c r="P23" i="48" s="1"/>
  <c r="N23" i="48"/>
  <c r="P29" i="48"/>
  <c r="P33" i="48" s="1"/>
  <c r="N33" i="48"/>
  <c r="F4" i="43" l="1"/>
  <c r="F14" i="41" s="1"/>
  <c r="F6" i="41" s="1"/>
  <c r="E4" i="43"/>
  <c r="E14" i="41" s="1"/>
  <c r="E6" i="41" s="1"/>
  <c r="D4" i="43"/>
  <c r="D14" i="41" l="1"/>
  <c r="B50" i="43"/>
  <c r="L10" i="48"/>
  <c r="D6" i="41" l="1"/>
  <c r="G14" i="41"/>
  <c r="L12" i="48"/>
  <c r="H6" i="48"/>
  <c r="K13" i="48" l="1"/>
  <c r="K38" i="48" s="1"/>
  <c r="F15" i="43" s="1"/>
  <c r="L8" i="48"/>
  <c r="L11" i="48"/>
  <c r="L6" i="48"/>
  <c r="L9" i="48"/>
  <c r="L5" i="48"/>
  <c r="N6" i="48"/>
  <c r="L7" i="48"/>
  <c r="J13" i="48" l="1"/>
  <c r="J38" i="48" s="1"/>
  <c r="F14" i="43" s="1"/>
  <c r="L13" i="48"/>
  <c r="L38" i="48" s="1"/>
  <c r="G6" i="41" l="1"/>
  <c r="O6" i="48" l="1"/>
  <c r="P6" i="48" s="1"/>
  <c r="D6" i="48"/>
  <c r="G19" i="43" l="1"/>
  <c r="G13" i="43"/>
  <c r="F13" i="43"/>
  <c r="E13" i="43"/>
  <c r="D13" i="43"/>
  <c r="H10" i="43"/>
  <c r="I8" i="43" l="1"/>
  <c r="G44" i="43"/>
  <c r="G16" i="43"/>
  <c r="G18" i="43"/>
  <c r="G20" i="43" s="1"/>
  <c r="G25" i="43" l="1"/>
  <c r="G9" i="43" s="1"/>
  <c r="G10" i="43" s="1"/>
  <c r="H10" i="48" l="1"/>
  <c r="O7" i="48"/>
  <c r="H5" i="48" l="1"/>
  <c r="H8" i="48"/>
  <c r="O12" i="48"/>
  <c r="D7" i="48"/>
  <c r="N7" i="48"/>
  <c r="P7" i="48" s="1"/>
  <c r="O8" i="48"/>
  <c r="D11" i="48"/>
  <c r="N11" i="48"/>
  <c r="H11" i="48"/>
  <c r="O11" i="48"/>
  <c r="N10" i="48"/>
  <c r="D10" i="48"/>
  <c r="O10" i="48"/>
  <c r="H9" i="48"/>
  <c r="G13" i="48"/>
  <c r="G38" i="48" s="1"/>
  <c r="E15" i="43" s="1"/>
  <c r="D5" i="48"/>
  <c r="N5" i="48"/>
  <c r="B13" i="48"/>
  <c r="H12" i="48"/>
  <c r="O5" i="48"/>
  <c r="O9" i="48"/>
  <c r="D12" i="48"/>
  <c r="N12" i="48"/>
  <c r="P12" i="48" s="1"/>
  <c r="D9" i="48"/>
  <c r="N9" i="48"/>
  <c r="H7" i="48"/>
  <c r="N8" i="48"/>
  <c r="D8" i="48"/>
  <c r="F19" i="43"/>
  <c r="F24" i="43" s="1"/>
  <c r="F4" i="41"/>
  <c r="F9" i="41" s="1"/>
  <c r="P8" i="48" l="1"/>
  <c r="P5" i="48"/>
  <c r="N13" i="48"/>
  <c r="D13" i="48"/>
  <c r="D7" i="33"/>
  <c r="O13" i="48"/>
  <c r="P11" i="48"/>
  <c r="C13" i="48"/>
  <c r="P9" i="48"/>
  <c r="H13" i="48"/>
  <c r="H38" i="48" s="1"/>
  <c r="P10" i="48"/>
  <c r="F13" i="48"/>
  <c r="F38" i="48" s="1"/>
  <c r="E14" i="43" s="1"/>
  <c r="F16" i="43"/>
  <c r="F18" i="43"/>
  <c r="F20" i="43" s="1"/>
  <c r="P13" i="48" l="1"/>
  <c r="E4" i="41"/>
  <c r="E9" i="41" s="1"/>
  <c r="E19" i="43"/>
  <c r="E24" i="43" s="1"/>
  <c r="E18" i="43"/>
  <c r="C7" i="33" l="1"/>
  <c r="E16" i="43"/>
  <c r="E20" i="43"/>
  <c r="F23" i="43"/>
  <c r="D6" i="33" l="1"/>
  <c r="D8" i="33" s="1"/>
  <c r="F25" i="43"/>
  <c r="F9" i="43" l="1"/>
  <c r="F10" i="43" s="1"/>
  <c r="D11" i="33" s="1"/>
  <c r="E23" i="43"/>
  <c r="C6" i="33" l="1"/>
  <c r="C8" i="33" s="1"/>
  <c r="E25" i="43"/>
  <c r="E9" i="43" l="1"/>
  <c r="E10" i="43" s="1"/>
  <c r="C11" i="33" s="1"/>
  <c r="N35" i="48" l="1"/>
  <c r="B38" i="48"/>
  <c r="D14" i="43" s="1"/>
  <c r="O35" i="48" l="1"/>
  <c r="O38" i="48" s="1"/>
  <c r="C38" i="48"/>
  <c r="D15" i="43" s="1"/>
  <c r="D35" i="48"/>
  <c r="D38" i="48" s="1"/>
  <c r="P35" i="48"/>
  <c r="P38" i="48" s="1"/>
  <c r="N38" i="48"/>
  <c r="D4" i="41" l="1"/>
  <c r="D18" i="43"/>
  <c r="H14" i="43"/>
  <c r="H18" i="43" l="1"/>
  <c r="H15" i="43"/>
  <c r="H16" i="43" s="1"/>
  <c r="D19" i="43"/>
  <c r="D16" i="43"/>
  <c r="G4" i="41"/>
  <c r="G9" i="41" s="1"/>
  <c r="D9" i="41"/>
  <c r="D23" i="43" s="1"/>
  <c r="B6" i="33" l="1"/>
  <c r="H23" i="43"/>
  <c r="D24" i="43"/>
  <c r="H19" i="43"/>
  <c r="H20" i="43" s="1"/>
  <c r="D20" i="43"/>
  <c r="H24" i="43" l="1"/>
  <c r="H25" i="43" s="1"/>
  <c r="B7" i="33"/>
  <c r="E7" i="33" s="1"/>
  <c r="D25" i="43"/>
  <c r="E6" i="33"/>
  <c r="E8" i="33" l="1"/>
  <c r="D9" i="43"/>
  <c r="D10" i="43" s="1"/>
  <c r="B11" i="33" s="1"/>
  <c r="B8" i="33"/>
  <c r="I9" i="43" l="1"/>
  <c r="I10" i="43" s="1"/>
  <c r="B46" i="43" l="1"/>
  <c r="B45" i="43" l="1"/>
  <c r="C46" i="43"/>
  <c r="C45" i="43" s="1"/>
  <c r="D46" i="43" l="1"/>
  <c r="D45" i="43" s="1"/>
  <c r="E46" i="43" l="1"/>
  <c r="E45" i="43" s="1"/>
  <c r="F46" i="43" l="1"/>
  <c r="F45" i="43" s="1"/>
  <c r="G45" i="43" s="1"/>
  <c r="G46" i="43" l="1"/>
  <c r="G30" i="43"/>
  <c r="G35" i="43"/>
  <c r="G31" i="43" l="1"/>
  <c r="G36" i="43"/>
  <c r="H30" i="43"/>
  <c r="H35" i="43"/>
  <c r="G32" i="43" l="1"/>
  <c r="G37" i="43"/>
  <c r="I35" i="43"/>
  <c r="E15" i="33" s="1"/>
  <c r="H36" i="43"/>
  <c r="I30" i="43"/>
  <c r="E14" i="33" s="1"/>
  <c r="H31" i="43"/>
  <c r="H37" i="43" l="1"/>
  <c r="H32" i="43"/>
  <c r="I37" i="43" l="1"/>
  <c r="I32" i="43"/>
</calcChain>
</file>

<file path=xl/sharedStrings.xml><?xml version="1.0" encoding="utf-8"?>
<sst xmlns="http://schemas.openxmlformats.org/spreadsheetml/2006/main" count="188" uniqueCount="77">
  <si>
    <t xml:space="preserve">FY25 </t>
  </si>
  <si>
    <t>FY26</t>
  </si>
  <si>
    <t>Total</t>
  </si>
  <si>
    <t>Capex</t>
  </si>
  <si>
    <t>Opex</t>
  </si>
  <si>
    <t>$</t>
  </si>
  <si>
    <t>Labour</t>
  </si>
  <si>
    <t>Contractors and consultants</t>
  </si>
  <si>
    <t>Materials</t>
  </si>
  <si>
    <t>IT Expenditure</t>
  </si>
  <si>
    <t>Plant Expenditure</t>
  </si>
  <si>
    <t>Travel</t>
  </si>
  <si>
    <t>FY27</t>
  </si>
  <si>
    <t>Additional Costs Associated with Tasks (Candidate &amp; Planned)</t>
  </si>
  <si>
    <t>Total excluding costs already funded</t>
  </si>
  <si>
    <t>FY24</t>
  </si>
  <si>
    <t>FY25</t>
  </si>
  <si>
    <t>FY28</t>
  </si>
  <si>
    <t>FY29</t>
  </si>
  <si>
    <t>Source</t>
  </si>
  <si>
    <t>Cumulative inflation index</t>
  </si>
  <si>
    <t>Inflation index sourced from Essential Energy’s PTRM 2026-27 RoD update - Bushfire Risk Reclassification</t>
  </si>
  <si>
    <t>ARR Materiality (nominal unsmoothed)</t>
  </si>
  <si>
    <t>Threshold</t>
  </si>
  <si>
    <t>deflate to FY24 for PTRM</t>
  </si>
  <si>
    <t>total</t>
  </si>
  <si>
    <t>Capex -Dx lines and cables</t>
  </si>
  <si>
    <t>totex</t>
  </si>
  <si>
    <t>Impact on customer bill</t>
  </si>
  <si>
    <t>2025-26</t>
  </si>
  <si>
    <t>2026-27</t>
  </si>
  <si>
    <t>2027-28</t>
  </si>
  <si>
    <t>2028-29</t>
  </si>
  <si>
    <t>2yr average</t>
  </si>
  <si>
    <t>Residential Customers</t>
  </si>
  <si>
    <t xml:space="preserve">     Distribution component ($) - Existing costs</t>
  </si>
  <si>
    <t xml:space="preserve">     Distribution component ($) - CPT costs</t>
  </si>
  <si>
    <t xml:space="preserve">     Residential annual bill ($)</t>
  </si>
  <si>
    <t xml:space="preserve">     Change to current retail bill (%)</t>
  </si>
  <si>
    <t>Small Business Customers</t>
  </si>
  <si>
    <t xml:space="preserve">     Small business annual bill ($)</t>
  </si>
  <si>
    <t>Nominal Totex</t>
  </si>
  <si>
    <t>Other</t>
  </si>
  <si>
    <t>Table 3: Proposed change in smoothed revenue</t>
  </si>
  <si>
    <t>$M Nominal terms</t>
  </si>
  <si>
    <t>2024-29</t>
  </si>
  <si>
    <t>Approved annual revenue smoothed</t>
  </si>
  <si>
    <t>Plus, 2025 North Coast Weather Event</t>
  </si>
  <si>
    <t>Updated annual revenue smoothed</t>
  </si>
  <si>
    <t>Table 2</t>
  </si>
  <si>
    <t>Avoided costs FY24</t>
  </si>
  <si>
    <t>Fully loaded capex</t>
  </si>
  <si>
    <t>Fleet</t>
  </si>
  <si>
    <t xml:space="preserve">Fleet </t>
  </si>
  <si>
    <t>Summary</t>
  </si>
  <si>
    <t>Residential customers</t>
  </si>
  <si>
    <t>Small business customers</t>
  </si>
  <si>
    <t>Average bill impact for FY27 and FY28- $ per annum</t>
  </si>
  <si>
    <t>Materiality Threshold %</t>
  </si>
  <si>
    <t>Direct expenditure</t>
  </si>
  <si>
    <t>Direct totex</t>
  </si>
  <si>
    <t>Table 1 ($M) Fully loaded FY24$</t>
  </si>
  <si>
    <t>Public Lighting</t>
  </si>
  <si>
    <t>Capitalised Overheads from Power BI (Nominal $)</t>
  </si>
  <si>
    <t>25% of allocated overheads</t>
  </si>
  <si>
    <t>Factor to convert $nominal (mid year) to $ real 2023-24 (end year)</t>
  </si>
  <si>
    <t>Allocated Project Costs</t>
  </si>
  <si>
    <t>Avoided Costs Associated with Tasks already funded (Cancelled)</t>
  </si>
  <si>
    <t>Real June 2024 ($million)</t>
  </si>
  <si>
    <t>Direct expenditure (Real June 2024)</t>
  </si>
  <si>
    <t>Nominal Dollars</t>
  </si>
  <si>
    <t>Capitalised Overheads from Power BI (Real June 2024 $)</t>
  </si>
  <si>
    <t>Fleet -fuel</t>
  </si>
  <si>
    <t>Note 1</t>
  </si>
  <si>
    <t xml:space="preserve">This is the total allocation as per the CAM. The full amount has been excluded from the cost pass through application and using the </t>
  </si>
  <si>
    <t>AER's established approach for overheads, only the incremental variable component (25%) of overheads allocated to capex is included.</t>
  </si>
  <si>
    <t>Sourced from Essential Energy’s PTRM 2026-27 RoD update - Bushfire Risk Reclassification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</si>
</sst>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-* #,##0_-;\-* #,##0_-;_-* &quot;-&quot;??_-;_-@_-"/>
    <numFmt numFmtId="165" formatCode="0.00000"/>
    <numFmt numFmtId="166" formatCode="0.0%"/>
    <numFmt numFmtId="167" formatCode="&quot;$&quot;#,##0.00"/>
    <numFmt numFmtId="168" formatCode="#,##0.0"/>
    <numFmt numFmtId="169" formatCode="_-* #,##0.0_-;\-* #,##0.0_-;_-* &quot;-&quot;??_-;_-@_-"/>
    <numFmt numFmtId="170" formatCode="0.00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</font>
    <font>
      <sz val="11"/>
      <color rgb="FF424242"/>
      <name val="Courier New"/>
      <family val="3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D1D1D1"/>
      </left>
      <right style="medium">
        <color rgb="FFD1D1D1"/>
      </right>
      <top style="medium">
        <color rgb="FFD1D1D1"/>
      </top>
      <bottom style="medium">
        <color rgb="FFD1D1D1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27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/>
    <xf numFmtId="9" fontId="0" fillId="0" borderId="0" xfId="1" applyFont="1"/>
    <xf numFmtId="43" fontId="0" fillId="0" borderId="0" xfId="43" applyFont="1"/>
    <xf numFmtId="43" fontId="0" fillId="0" borderId="0" xfId="0" applyNumberFormat="1"/>
    <xf numFmtId="164" fontId="0" fillId="0" borderId="0" xfId="43" applyNumberFormat="1" applyFont="1"/>
    <xf numFmtId="164" fontId="0" fillId="0" borderId="0" xfId="43" applyNumberFormat="1" applyFont="1" applyFill="1"/>
    <xf numFmtId="164" fontId="16" fillId="0" borderId="0" xfId="43" applyNumberFormat="1" applyFont="1"/>
    <xf numFmtId="9" fontId="16" fillId="0" borderId="0" xfId="1" applyFont="1"/>
    <xf numFmtId="0" fontId="0" fillId="0" borderId="0" xfId="0" applyAlignment="1">
      <alignment horizontal="left" vertical="center" indent="1"/>
    </xf>
    <xf numFmtId="164" fontId="1" fillId="0" borderId="0" xfId="43" applyNumberFormat="1" applyFont="1" applyFill="1"/>
    <xf numFmtId="164" fontId="0" fillId="0" borderId="0" xfId="0" applyNumberFormat="1"/>
    <xf numFmtId="164" fontId="16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5" fontId="16" fillId="0" borderId="0" xfId="0" applyNumberFormat="1" applyFont="1" applyAlignment="1">
      <alignment horizontal="center"/>
    </xf>
    <xf numFmtId="10" fontId="16" fillId="0" borderId="0" xfId="0" applyNumberFormat="1" applyFont="1"/>
    <xf numFmtId="164" fontId="16" fillId="0" borderId="0" xfId="43" applyNumberFormat="1" applyFont="1" applyFill="1"/>
    <xf numFmtId="0" fontId="19" fillId="34" borderId="13" xfId="44" applyFont="1" applyFill="1" applyBorder="1" applyAlignment="1">
      <alignment vertical="center"/>
    </xf>
    <xf numFmtId="0" fontId="19" fillId="34" borderId="14" xfId="44" applyFont="1" applyFill="1" applyBorder="1" applyAlignment="1">
      <alignment horizontal="center" vertical="center"/>
    </xf>
    <xf numFmtId="0" fontId="19" fillId="34" borderId="15" xfId="44" applyFont="1" applyFill="1" applyBorder="1" applyAlignment="1">
      <alignment horizontal="center" vertical="center"/>
    </xf>
    <xf numFmtId="0" fontId="19" fillId="34" borderId="16" xfId="44" applyFont="1" applyFill="1" applyBorder="1" applyAlignment="1">
      <alignment horizontal="center" vertical="center"/>
    </xf>
    <xf numFmtId="0" fontId="19" fillId="34" borderId="13" xfId="44" applyFont="1" applyFill="1" applyBorder="1" applyAlignment="1">
      <alignment horizontal="center" vertical="center"/>
    </xf>
    <xf numFmtId="0" fontId="20" fillId="0" borderId="17" xfId="44" applyFont="1" applyBorder="1" applyAlignment="1">
      <alignment vertical="center"/>
    </xf>
    <xf numFmtId="0" fontId="22" fillId="35" borderId="17" xfId="44" applyFont="1" applyFill="1" applyBorder="1" applyAlignment="1">
      <alignment vertical="center"/>
    </xf>
    <xf numFmtId="10" fontId="22" fillId="35" borderId="18" xfId="44" applyNumberFormat="1" applyFont="1" applyFill="1" applyBorder="1" applyAlignment="1">
      <alignment horizontal="center" vertical="center"/>
    </xf>
    <xf numFmtId="166" fontId="22" fillId="35" borderId="0" xfId="44" applyNumberFormat="1" applyFont="1" applyFill="1" applyAlignment="1">
      <alignment horizontal="center" vertical="center"/>
    </xf>
    <xf numFmtId="166" fontId="22" fillId="35" borderId="19" xfId="44" applyNumberFormat="1" applyFont="1" applyFill="1" applyBorder="1" applyAlignment="1">
      <alignment horizontal="center" vertical="center"/>
    </xf>
    <xf numFmtId="0" fontId="21" fillId="35" borderId="17" xfId="44" applyFont="1" applyFill="1" applyBorder="1" applyAlignment="1">
      <alignment horizontal="center"/>
    </xf>
    <xf numFmtId="167" fontId="20" fillId="0" borderId="18" xfId="43" applyNumberFormat="1" applyFont="1" applyFill="1" applyBorder="1" applyAlignment="1">
      <alignment horizontal="center" vertical="center"/>
    </xf>
    <xf numFmtId="167" fontId="20" fillId="0" borderId="0" xfId="44" applyNumberFormat="1" applyFont="1" applyAlignment="1">
      <alignment horizontal="center" vertical="center"/>
    </xf>
    <xf numFmtId="167" fontId="20" fillId="0" borderId="19" xfId="44" applyNumberFormat="1" applyFont="1" applyBorder="1" applyAlignment="1">
      <alignment horizontal="center" vertical="center"/>
    </xf>
    <xf numFmtId="167" fontId="21" fillId="0" borderId="17" xfId="44" applyNumberFormat="1" applyFont="1" applyBorder="1" applyAlignment="1">
      <alignment horizontal="center"/>
    </xf>
    <xf numFmtId="0" fontId="22" fillId="0" borderId="17" xfId="44" applyFont="1" applyBorder="1" applyAlignment="1">
      <alignment vertical="center"/>
    </xf>
    <xf numFmtId="167" fontId="22" fillId="0" borderId="18" xfId="44" applyNumberFormat="1" applyFont="1" applyBorder="1" applyAlignment="1">
      <alignment horizontal="center" vertical="center"/>
    </xf>
    <xf numFmtId="167" fontId="22" fillId="0" borderId="0" xfId="44" applyNumberFormat="1" applyFont="1" applyAlignment="1">
      <alignment horizontal="center" vertical="center"/>
    </xf>
    <xf numFmtId="167" fontId="22" fillId="0" borderId="19" xfId="44" applyNumberFormat="1" applyFont="1" applyBorder="1" applyAlignment="1">
      <alignment horizontal="center" vertical="center"/>
    </xf>
    <xf numFmtId="167" fontId="21" fillId="36" borderId="17" xfId="44" applyNumberFormat="1" applyFont="1" applyFill="1" applyBorder="1" applyAlignment="1">
      <alignment horizontal="center"/>
    </xf>
    <xf numFmtId="167" fontId="20" fillId="0" borderId="18" xfId="44" applyNumberFormat="1" applyFont="1" applyBorder="1" applyAlignment="1">
      <alignment horizontal="center" vertical="center"/>
    </xf>
    <xf numFmtId="10" fontId="22" fillId="0" borderId="0" xfId="1" applyNumberFormat="1" applyFont="1" applyFill="1" applyBorder="1" applyAlignment="1">
      <alignment horizontal="center" vertical="center"/>
    </xf>
    <xf numFmtId="10" fontId="22" fillId="0" borderId="19" xfId="1" applyNumberFormat="1" applyFont="1" applyFill="1" applyBorder="1" applyAlignment="1">
      <alignment horizontal="center" vertical="center"/>
    </xf>
    <xf numFmtId="10" fontId="21" fillId="36" borderId="17" xfId="1" applyNumberFormat="1" applyFont="1" applyFill="1" applyBorder="1" applyAlignment="1">
      <alignment horizontal="center"/>
    </xf>
    <xf numFmtId="167" fontId="21" fillId="35" borderId="17" xfId="44" applyNumberFormat="1" applyFont="1" applyFill="1" applyBorder="1" applyAlignment="1">
      <alignment horizontal="center"/>
    </xf>
    <xf numFmtId="0" fontId="22" fillId="0" borderId="20" xfId="44" applyFont="1" applyBorder="1" applyAlignment="1">
      <alignment vertical="center"/>
    </xf>
    <xf numFmtId="167" fontId="22" fillId="0" borderId="21" xfId="44" applyNumberFormat="1" applyFont="1" applyBorder="1" applyAlignment="1">
      <alignment horizontal="center" vertical="center"/>
    </xf>
    <xf numFmtId="10" fontId="22" fillId="0" borderId="22" xfId="1" applyNumberFormat="1" applyFont="1" applyFill="1" applyBorder="1" applyAlignment="1">
      <alignment horizontal="center" vertical="center"/>
    </xf>
    <xf numFmtId="10" fontId="22" fillId="0" borderId="23" xfId="1" applyNumberFormat="1" applyFont="1" applyFill="1" applyBorder="1" applyAlignment="1">
      <alignment horizontal="center" vertical="center"/>
    </xf>
    <xf numFmtId="0" fontId="23" fillId="0" borderId="0" xfId="0" applyFont="1"/>
    <xf numFmtId="168" fontId="0" fillId="0" borderId="0" xfId="0" applyNumberFormat="1"/>
    <xf numFmtId="168" fontId="0" fillId="0" borderId="24" xfId="0" applyNumberFormat="1" applyBorder="1" applyAlignment="1">
      <alignment horizontal="right"/>
    </xf>
    <xf numFmtId="0" fontId="0" fillId="0" borderId="24" xfId="0" applyBorder="1" applyAlignment="1">
      <alignment wrapText="1"/>
    </xf>
    <xf numFmtId="0" fontId="25" fillId="38" borderId="24" xfId="0" applyFont="1" applyFill="1" applyBorder="1" applyAlignment="1">
      <alignment horizontal="center"/>
    </xf>
    <xf numFmtId="0" fontId="22" fillId="0" borderId="0" xfId="44" applyFont="1" applyAlignment="1">
      <alignment vertical="center"/>
    </xf>
    <xf numFmtId="169" fontId="16" fillId="0" borderId="0" xfId="43" applyNumberFormat="1" applyFont="1" applyFill="1"/>
    <xf numFmtId="3" fontId="16" fillId="0" borderId="0" xfId="0" applyNumberFormat="1" applyFont="1"/>
    <xf numFmtId="164" fontId="16" fillId="0" borderId="0" xfId="43" applyNumberFormat="1" applyFont="1" applyFill="1" applyAlignment="1">
      <alignment horizontal="right"/>
    </xf>
    <xf numFmtId="169" fontId="0" fillId="0" borderId="0" xfId="0" applyNumberFormat="1"/>
    <xf numFmtId="10" fontId="0" fillId="0" borderId="0" xfId="0" applyNumberFormat="1"/>
    <xf numFmtId="2" fontId="0" fillId="0" borderId="0" xfId="0" applyNumberFormat="1"/>
    <xf numFmtId="2" fontId="16" fillId="0" borderId="0" xfId="0" applyNumberFormat="1" applyFont="1"/>
    <xf numFmtId="170" fontId="28" fillId="0" borderId="25" xfId="0" applyNumberFormat="1" applyFont="1" applyBorder="1" applyAlignment="1">
      <alignment horizontal="center" vertical="center"/>
    </xf>
    <xf numFmtId="10" fontId="0" fillId="0" borderId="0" xfId="1" applyNumberFormat="1" applyFont="1"/>
    <xf numFmtId="170" fontId="0" fillId="0" borderId="0" xfId="0" applyNumberFormat="1"/>
    <xf numFmtId="170" fontId="28" fillId="0" borderId="0" xfId="0" applyNumberFormat="1" applyFont="1" applyAlignment="1">
      <alignment horizontal="center" vertical="center"/>
    </xf>
    <xf numFmtId="0" fontId="24" fillId="37" borderId="24" xfId="0" applyFont="1" applyFill="1" applyBorder="1"/>
    <xf numFmtId="0" fontId="16" fillId="0" borderId="0" xfId="0" applyFont="1" applyAlignment="1">
      <alignment horizontal="left" vertical="center" wrapText="1"/>
    </xf>
    <xf numFmtId="0" fontId="16" fillId="33" borderId="1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 2" xfId="44" xr:uid="{7FD2D300-BF4A-4D23-A41B-027E4F3FBFAF}"/>
    <cellStyle name="Normal 2" xfId="45" xr:uid="{E9965134-751B-4DE6-9950-1B5CBD3C4E30}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1" defaultTableStyle="TableStyleMedium2" defaultPivotStyle="PivotStyleLight16">
    <tableStyle name="Invisible" pivot="0" table="0" count="0" xr9:uid="{AFFD1E8E-E1A5-4758-BF80-1DABE1C901D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tilnsw.sharepoint.com/sites/NetworkRegulation/Shared%20Documents/Cost%20Pass%20Throughs/2025%20North%20Coast%20Weather%20event%20(Cyclone%20Alfred)/Docs%20for%20CFO%20review/C%20-%20Amended%20PTRM%20-%20Incremental%20costs%20-%20public.xlsm" TargetMode="External"/><Relationship Id="rId1" Type="http://schemas.openxmlformats.org/officeDocument/2006/relationships/externalLinkPath" Target="C%20-%20Amended%20PTRM%20-%20Incremental%20costs%20-%20publi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ER NRs"/>
      <sheetName val="AER lookups"/>
      <sheetName val="AER ETL"/>
      <sheetName val="Business &amp; other details"/>
      <sheetName val="Bill impact summary"/>
      <sheetName val="Bill impact calcs"/>
      <sheetName val="Amendments"/>
      <sheetName val="Intro"/>
      <sheetName val="PTRM input"/>
      <sheetName val="DMS input"/>
      <sheetName val="WACC"/>
      <sheetName val="Assets"/>
      <sheetName val="Analysis"/>
      <sheetName val="Forecast revenues"/>
      <sheetName val="X factors"/>
      <sheetName val="Revenue summary"/>
      <sheetName val="Equity raising costs"/>
      <sheetName val="Chart 1-Revenue"/>
      <sheetName val="Chart 2-Price path"/>
      <sheetName val="Chart 3-Building block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B9">
            <v>951.38945000000012</v>
          </cell>
          <cell r="C9">
            <v>865.72355522398675</v>
          </cell>
          <cell r="D9">
            <v>914.05869183060429</v>
          </cell>
          <cell r="E9">
            <v>965.09247908231828</v>
          </cell>
        </row>
        <row r="10">
          <cell r="D10">
            <v>2.8571431947875681</v>
          </cell>
          <cell r="E10">
            <v>3.0166634085918531</v>
          </cell>
          <cell r="F10">
            <v>2.9369033016897106</v>
          </cell>
        </row>
        <row r="11">
          <cell r="B11">
            <v>2741</v>
          </cell>
          <cell r="C11">
            <v>2530</v>
          </cell>
          <cell r="D11">
            <v>2581.1922798014052</v>
          </cell>
          <cell r="E11">
            <v>2635.2427304617108</v>
          </cell>
        </row>
        <row r="12">
          <cell r="D12">
            <v>1.1069083140940567E-3</v>
          </cell>
          <cell r="E12">
            <v>1.1447383475234234E-3</v>
          </cell>
          <cell r="F12">
            <v>1.12582333080874E-3</v>
          </cell>
        </row>
        <row r="14">
          <cell r="B14">
            <v>2325.5071400000006</v>
          </cell>
          <cell r="C14">
            <v>1721.148252469136</v>
          </cell>
          <cell r="D14">
            <v>1817.2435191409695</v>
          </cell>
          <cell r="E14">
            <v>1918.7039832985415</v>
          </cell>
        </row>
        <row r="15">
          <cell r="D15">
            <v>5.6802971192003042</v>
          </cell>
          <cell r="E15">
            <v>5.9974398555461903</v>
          </cell>
          <cell r="F15">
            <v>5.8388684873732473</v>
          </cell>
        </row>
        <row r="16">
          <cell r="B16">
            <v>6222</v>
          </cell>
          <cell r="C16">
            <v>4919</v>
          </cell>
          <cell r="D16">
            <v>5020.7755637910332</v>
          </cell>
          <cell r="E16">
            <v>5128.2334678041516</v>
          </cell>
        </row>
        <row r="17">
          <cell r="D17">
            <v>1.1313585016955602E-3</v>
          </cell>
          <cell r="E17">
            <v>1.1694943089465509E-3</v>
          </cell>
          <cell r="F17">
            <v>1.1504264053210555E-3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21">
          <cell r="G21">
            <v>1145.6032448530646</v>
          </cell>
          <cell r="H21">
            <v>1187.0671911715917</v>
          </cell>
          <cell r="I21">
            <v>1251.890729372557</v>
          </cell>
          <cell r="J21">
            <v>1325.9179868176243</v>
          </cell>
          <cell r="K21">
            <v>1399.9467303296567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1">
    <wetp:webextensionref xmlns:r="http://schemas.openxmlformats.org/officeDocument/2006/relationships" r:id="rId1"/>
  </wetp:taskpane>
  <wetp:taskpane dockstate="right" visibility="0" width="350" row="11">
    <wetp:webextensionref xmlns:r="http://schemas.openxmlformats.org/officeDocument/2006/relationships" r:id="rId2"/>
  </wetp:taskpane>
  <wetp:taskpane dockstate="right" visibility="0" width="350" row="11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2C5F8BCA-3CC1-4E86-B10D-B72F73C163AD}">
  <we:reference id="11d7cf85-ae5a-43b8-bc58-1e1a151cce24" version="1.0.0.1" store="EXCatalog" storeType="EXCatalog"/>
  <we:alternateReferences>
    <we:reference id="WA200010725" version="1.0.0.1" store="en-GB" storeType="OMEX"/>
  </we:alternateReferences>
  <we:properties>
    <we:property name="claude.fileId" value="&quot;4f3a79f9-830e-47d3-aa86-af3128144cfb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6B9504C8-0539-48BA-95AB-6C7142BCB74C}">
  <we:reference id="29673e3c-d826-4f00-92ee-162334a52b1a" version="1.0.0.8" store="EXCatalog" storeType="EXCatalog"/>
  <we:alternateReferences>
    <we:reference id="WA200009404" version="1.0.0.8" store="en-GB" storeType="OMEX"/>
  </we:alternateReferences>
  <we:properties>
    <we:property name="claude.fileId" value="&quot;b1023a98-f6af-4c6f-bec1-aaaba43be49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3.xml><?xml version="1.0" encoding="utf-8"?>
<we:webextension xmlns:we="http://schemas.microsoft.com/office/webextensions/webextension/2010/11" id="{8BD0A7B6-E8C9-40AD-AAF3-11EABAD8EFD5}">
  <we:reference id="cba9fc06-6fc9-492e-9525-923870a3b909" version="2.0.0.0" store="EXCatalog" storeType="EXCatalog"/>
  <we:alternateReferences>
    <we:reference id="WA200010215" version="2.0.0.0" store="en-US" storeType="OMEX"/>
  </we:alternateReferences>
  <we:properties>
    <we:property name="bps.codex_control.document_id" value="&quot;87f024c0-55f7-4e42-8200-385c55fb1ce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DC3A-5F10-4BC1-B66E-17844D581B76}">
  <dimension ref="A1:E15"/>
  <sheetViews>
    <sheetView workbookViewId="0">
      <selection activeCell="E14" sqref="E14"/>
    </sheetView>
  </sheetViews>
  <sheetFormatPr defaultRowHeight="14.4" x14ac:dyDescent="0.3"/>
  <cols>
    <col min="1" max="1" width="48.33203125" customWidth="1"/>
  </cols>
  <sheetData>
    <row r="1" spans="1:5" ht="18" x14ac:dyDescent="0.35">
      <c r="A1" s="52" t="s">
        <v>54</v>
      </c>
    </row>
    <row r="3" spans="1:5" x14ac:dyDescent="0.3">
      <c r="B3" s="5"/>
      <c r="C3" s="5"/>
      <c r="D3" s="5"/>
      <c r="E3" s="5"/>
    </row>
    <row r="4" spans="1:5" x14ac:dyDescent="0.3">
      <c r="B4" s="18" t="s">
        <v>16</v>
      </c>
      <c r="C4" s="18" t="s">
        <v>1</v>
      </c>
      <c r="D4" s="18" t="s">
        <v>12</v>
      </c>
      <c r="E4" s="18" t="s">
        <v>2</v>
      </c>
    </row>
    <row r="5" spans="1:5" x14ac:dyDescent="0.3">
      <c r="A5" s="5" t="s">
        <v>68</v>
      </c>
    </row>
    <row r="6" spans="1:5" x14ac:dyDescent="0.3">
      <c r="A6" t="s">
        <v>3</v>
      </c>
      <c r="B6" s="63">
        <f>'PTRM input '!D23</f>
        <v>15.403447120418281</v>
      </c>
      <c r="C6" s="63">
        <f>'PTRM input '!E23</f>
        <v>0.56726808345083601</v>
      </c>
      <c r="D6" s="63">
        <f>'PTRM input '!F23</f>
        <v>6.2202929404341072E-2</v>
      </c>
      <c r="E6" s="63">
        <f>SUM(B6:D6)</f>
        <v>16.032918133273458</v>
      </c>
    </row>
    <row r="7" spans="1:5" x14ac:dyDescent="0.3">
      <c r="A7" t="s">
        <v>4</v>
      </c>
      <c r="B7" s="63">
        <f>'PTRM input '!D24</f>
        <v>3.6791474864353035</v>
      </c>
      <c r="C7" s="63">
        <f>'PTRM input '!E24</f>
        <v>0.13662733871880378</v>
      </c>
      <c r="D7" s="63">
        <f>'PTRM input '!F24</f>
        <v>3.913992567251539E-2</v>
      </c>
      <c r="E7" s="63">
        <f>SUM(B7:D7)</f>
        <v>3.854914750826623</v>
      </c>
    </row>
    <row r="8" spans="1:5" s="5" customFormat="1" x14ac:dyDescent="0.3">
      <c r="B8" s="64">
        <f>B6+B7</f>
        <v>19.082594606853586</v>
      </c>
      <c r="C8" s="64">
        <f t="shared" ref="C8:E8" si="0">C6+C7</f>
        <v>0.70389542216963985</v>
      </c>
      <c r="D8" s="64">
        <f t="shared" si="0"/>
        <v>0.10134285507685646</v>
      </c>
      <c r="E8" s="64">
        <f t="shared" si="0"/>
        <v>19.887832884100082</v>
      </c>
    </row>
    <row r="9" spans="1:5" s="5" customFormat="1" x14ac:dyDescent="0.3">
      <c r="B9" s="64"/>
      <c r="C9" s="64"/>
      <c r="D9" s="64"/>
      <c r="E9" s="64"/>
    </row>
    <row r="10" spans="1:5" s="5" customFormat="1" x14ac:dyDescent="0.3">
      <c r="B10" s="64"/>
      <c r="C10" s="64"/>
      <c r="D10" s="64"/>
      <c r="E10" s="64"/>
    </row>
    <row r="11" spans="1:5" x14ac:dyDescent="0.3">
      <c r="A11" s="5" t="s">
        <v>58</v>
      </c>
      <c r="B11" s="21">
        <f>'PTRM input '!D10</f>
        <v>1.7302258778782695E-2</v>
      </c>
      <c r="C11" s="21">
        <f>'PTRM input '!E10</f>
        <v>6.1570319000783032E-4</v>
      </c>
      <c r="D11" s="21">
        <f>'PTRM input '!F10</f>
        <v>8.4586532028794412E-5</v>
      </c>
      <c r="E11" s="21"/>
    </row>
    <row r="13" spans="1:5" x14ac:dyDescent="0.3">
      <c r="A13" s="5" t="s">
        <v>57</v>
      </c>
    </row>
    <row r="14" spans="1:5" x14ac:dyDescent="0.3">
      <c r="A14" t="s">
        <v>55</v>
      </c>
      <c r="B14" s="5"/>
      <c r="C14" s="5"/>
      <c r="D14" s="5"/>
      <c r="E14" s="64">
        <f>'PTRM input '!I30</f>
        <v>2.9369033016897106</v>
      </c>
    </row>
    <row r="15" spans="1:5" x14ac:dyDescent="0.3">
      <c r="A15" t="s">
        <v>56</v>
      </c>
      <c r="B15" s="5"/>
      <c r="C15" s="5"/>
      <c r="D15" s="5"/>
      <c r="E15" s="64">
        <f>'PTRM input '!I35</f>
        <v>5.8388684873732473</v>
      </c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&amp;COFFICIAL</oddHeader>
    <oddFooter>&amp;COFFICIAL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55A0-60B8-48E1-83BB-E53E1CE2D407}">
  <dimension ref="A1:Q53"/>
  <sheetViews>
    <sheetView tabSelected="1" topLeftCell="G1" workbookViewId="0">
      <selection activeCell="J17" sqref="J17"/>
    </sheetView>
  </sheetViews>
  <sheetFormatPr defaultRowHeight="14.4" x14ac:dyDescent="0.3"/>
  <cols>
    <col min="1" max="1" width="58" customWidth="1"/>
    <col min="2" max="2" width="7.33203125" bestFit="1" customWidth="1"/>
    <col min="3" max="3" width="7.5546875" bestFit="1" customWidth="1"/>
    <col min="4" max="4" width="27.109375" customWidth="1"/>
    <col min="5" max="5" width="13.109375" customWidth="1"/>
    <col min="6" max="6" width="13.88671875" bestFit="1" customWidth="1"/>
    <col min="7" max="7" width="11.44140625" bestFit="1" customWidth="1"/>
    <col min="8" max="8" width="13.44140625" customWidth="1"/>
    <col min="9" max="9" width="9.6640625" bestFit="1" customWidth="1"/>
    <col min="10" max="10" width="92.6640625" bestFit="1" customWidth="1"/>
    <col min="11" max="11" width="15" customWidth="1"/>
    <col min="12" max="12" width="18.88671875" bestFit="1" customWidth="1"/>
  </cols>
  <sheetData>
    <row r="1" spans="1:12" ht="18" x14ac:dyDescent="0.35">
      <c r="A1" s="52"/>
    </row>
    <row r="2" spans="1:12" x14ac:dyDescent="0.3">
      <c r="B2" s="17"/>
      <c r="C2" s="18" t="s">
        <v>15</v>
      </c>
      <c r="D2" s="18" t="s">
        <v>16</v>
      </c>
      <c r="E2" s="18" t="s">
        <v>1</v>
      </c>
      <c r="F2" s="18" t="s">
        <v>12</v>
      </c>
      <c r="G2" s="18" t="s">
        <v>17</v>
      </c>
      <c r="H2" s="18" t="s">
        <v>18</v>
      </c>
      <c r="J2" s="19" t="s">
        <v>19</v>
      </c>
    </row>
    <row r="3" spans="1:12" ht="15" thickBot="1" x14ac:dyDescent="0.35">
      <c r="A3" s="5" t="s">
        <v>20</v>
      </c>
      <c r="B3" s="18"/>
      <c r="C3" s="20">
        <v>1</v>
      </c>
      <c r="D3" s="20">
        <v>1.0265975935088001</v>
      </c>
      <c r="E3" s="20">
        <v>1.0539026189980691</v>
      </c>
      <c r="F3" s="20">
        <v>1.0819338924560444</v>
      </c>
      <c r="G3" s="20">
        <v>1.1107107303309891</v>
      </c>
      <c r="H3" s="20">
        <v>1.1402529628422005</v>
      </c>
      <c r="J3" t="s">
        <v>21</v>
      </c>
    </row>
    <row r="4" spans="1:12" ht="15" thickBot="1" x14ac:dyDescent="0.35">
      <c r="A4" t="s">
        <v>65</v>
      </c>
      <c r="B4" s="17"/>
      <c r="D4" s="65">
        <f>1/SQRT(D3)</f>
        <v>0.98696074388865729</v>
      </c>
      <c r="E4" s="65">
        <f>1/SQRT(D3*E3)</f>
        <v>0.96139008130276948</v>
      </c>
      <c r="F4" s="65">
        <f>1/SQRT(E3*F3)</f>
        <v>0.93648191597336128</v>
      </c>
    </row>
    <row r="5" spans="1:12" x14ac:dyDescent="0.3">
      <c r="B5" s="18"/>
    </row>
    <row r="6" spans="1:12" x14ac:dyDescent="0.3">
      <c r="A6" s="5"/>
    </row>
    <row r="7" spans="1:12" x14ac:dyDescent="0.3">
      <c r="A7" s="5" t="s">
        <v>49</v>
      </c>
    </row>
    <row r="8" spans="1:12" x14ac:dyDescent="0.3">
      <c r="A8" t="s">
        <v>22</v>
      </c>
      <c r="D8" s="53">
        <v>1117.4670903634715</v>
      </c>
      <c r="E8" s="53">
        <v>1189.151258571738</v>
      </c>
      <c r="F8" s="53">
        <v>1279.3592700696879</v>
      </c>
      <c r="G8" s="53">
        <v>1307.6143302312655</v>
      </c>
      <c r="H8" s="53">
        <v>1412.7928502961995</v>
      </c>
      <c r="I8" s="53">
        <f>SUM(D8:H8)</f>
        <v>6306.3847995323631</v>
      </c>
      <c r="J8" t="s">
        <v>76</v>
      </c>
    </row>
    <row r="9" spans="1:12" x14ac:dyDescent="0.3">
      <c r="A9" t="s">
        <v>41</v>
      </c>
      <c r="D9" s="53">
        <f>D25/D4</f>
        <v>19.33470477424213</v>
      </c>
      <c r="E9" s="53">
        <f>E25/E4</f>
        <v>0.73216422330444542</v>
      </c>
      <c r="F9" s="53">
        <f>F25/F4</f>
        <v>0.1082165638740847</v>
      </c>
      <c r="G9" s="53">
        <f t="shared" ref="G9" si="0">G25*G3</f>
        <v>0</v>
      </c>
      <c r="H9" s="53">
        <v>0</v>
      </c>
      <c r="I9" s="53">
        <f>SUM(D9:H9)</f>
        <v>20.175085561420659</v>
      </c>
    </row>
    <row r="10" spans="1:12" x14ac:dyDescent="0.3">
      <c r="A10" t="s">
        <v>23</v>
      </c>
      <c r="D10" s="21">
        <f>D9/D8</f>
        <v>1.7302258778782695E-2</v>
      </c>
      <c r="E10" s="21">
        <f t="shared" ref="E10:I10" si="1">E9/E8</f>
        <v>6.1570319000783032E-4</v>
      </c>
      <c r="F10" s="21">
        <f t="shared" si="1"/>
        <v>8.4586532028794412E-5</v>
      </c>
      <c r="G10" s="21">
        <f t="shared" si="1"/>
        <v>0</v>
      </c>
      <c r="H10" s="21">
        <f t="shared" si="1"/>
        <v>0</v>
      </c>
      <c r="I10" s="21">
        <f t="shared" si="1"/>
        <v>3.1991523198706016E-3</v>
      </c>
    </row>
    <row r="11" spans="1:12" x14ac:dyDescent="0.3">
      <c r="L11" s="5"/>
    </row>
    <row r="12" spans="1:12" x14ac:dyDescent="0.3">
      <c r="A12" s="5" t="s">
        <v>24</v>
      </c>
      <c r="K12" s="66"/>
      <c r="L12" s="66"/>
    </row>
    <row r="13" spans="1:12" x14ac:dyDescent="0.3">
      <c r="A13" s="5" t="s">
        <v>59</v>
      </c>
      <c r="D13" s="60" t="str">
        <f>D2</f>
        <v>FY25</v>
      </c>
      <c r="E13" s="60" t="str">
        <f>E2</f>
        <v>FY26</v>
      </c>
      <c r="F13" s="60" t="str">
        <f>F2</f>
        <v>FY27</v>
      </c>
      <c r="G13" s="60" t="str">
        <f>G2</f>
        <v>FY28</v>
      </c>
      <c r="H13" s="4" t="s">
        <v>25</v>
      </c>
    </row>
    <row r="14" spans="1:12" x14ac:dyDescent="0.3">
      <c r="A14" t="s">
        <v>26</v>
      </c>
      <c r="D14" s="22">
        <f>'Direct costs'!B38*'PTRM input '!D4</f>
        <v>12795860.203506682</v>
      </c>
      <c r="E14" s="22">
        <f>'Direct costs'!F38*'PTRM input '!E4</f>
        <v>477640.20981994079</v>
      </c>
      <c r="F14" s="22">
        <f>'Direct costs'!J38*'PTRM input '!F4</f>
        <v>60767.852810279539</v>
      </c>
      <c r="G14" s="22"/>
      <c r="H14" s="16">
        <f>SUM(D14:G14)</f>
        <v>13334268.266136903</v>
      </c>
    </row>
    <row r="15" spans="1:12" x14ac:dyDescent="0.3">
      <c r="A15" t="s">
        <v>4</v>
      </c>
      <c r="D15" s="22">
        <f>'Direct costs'!C38*'PTRM input '!D4</f>
        <v>3679147.4864353035</v>
      </c>
      <c r="E15" s="22">
        <f>'Direct costs'!G38*'PTRM input '!E4</f>
        <v>136627.33871880377</v>
      </c>
      <c r="F15" s="22">
        <f>'Direct costs'!K38*'PTRM input '!F4</f>
        <v>39139.92567251539</v>
      </c>
      <c r="G15" s="22"/>
      <c r="H15" s="16">
        <f>SUM(D15:G15)</f>
        <v>3854914.7508266224</v>
      </c>
    </row>
    <row r="16" spans="1:12" x14ac:dyDescent="0.3">
      <c r="A16" t="s">
        <v>27</v>
      </c>
      <c r="D16" s="16">
        <f>SUM(D14:D15)</f>
        <v>16475007.689941986</v>
      </c>
      <c r="E16" s="16">
        <f t="shared" ref="E16:H16" si="2">SUM(E14:E15)</f>
        <v>614267.54853874457</v>
      </c>
      <c r="F16" s="16">
        <f t="shared" si="2"/>
        <v>99907.778482794936</v>
      </c>
      <c r="G16" s="16">
        <f t="shared" si="2"/>
        <v>0</v>
      </c>
      <c r="H16" s="16">
        <f t="shared" si="2"/>
        <v>17189183.016963527</v>
      </c>
    </row>
    <row r="17" spans="1:17" x14ac:dyDescent="0.3">
      <c r="D17" s="10"/>
      <c r="E17" s="10"/>
      <c r="F17" s="10"/>
      <c r="G17" s="3"/>
    </row>
    <row r="18" spans="1:17" x14ac:dyDescent="0.3">
      <c r="A18" t="s">
        <v>26</v>
      </c>
      <c r="D18" s="58">
        <f t="shared" ref="D18:G19" si="3">D14/1000000</f>
        <v>12.795860203506683</v>
      </c>
      <c r="E18" s="58">
        <f t="shared" si="3"/>
        <v>0.47764020981994076</v>
      </c>
      <c r="F18" s="58">
        <f t="shared" si="3"/>
        <v>6.0767852810279542E-2</v>
      </c>
      <c r="G18" s="58">
        <f t="shared" si="3"/>
        <v>0</v>
      </c>
      <c r="H18" s="61">
        <f>SUM(D18:G18)</f>
        <v>13.334268266136903</v>
      </c>
    </row>
    <row r="19" spans="1:17" x14ac:dyDescent="0.3">
      <c r="A19" t="s">
        <v>4</v>
      </c>
      <c r="D19" s="58">
        <f t="shared" si="3"/>
        <v>3.6791474864353035</v>
      </c>
      <c r="E19" s="58">
        <f t="shared" si="3"/>
        <v>0.13662733871880378</v>
      </c>
      <c r="F19" s="58">
        <f t="shared" si="3"/>
        <v>3.913992567251539E-2</v>
      </c>
      <c r="G19" s="58">
        <f t="shared" si="3"/>
        <v>0</v>
      </c>
      <c r="H19" s="61">
        <f>SUM(D19:G19)</f>
        <v>3.854914750826623</v>
      </c>
    </row>
    <row r="20" spans="1:17" x14ac:dyDescent="0.3">
      <c r="A20" t="s">
        <v>60</v>
      </c>
      <c r="D20" s="58">
        <f>SUM(D18:D19)</f>
        <v>16.475007689941986</v>
      </c>
      <c r="E20" s="58">
        <f t="shared" ref="E20:H20" si="4">SUM(E18:E19)</f>
        <v>0.61426754853874455</v>
      </c>
      <c r="F20" s="58">
        <f t="shared" si="4"/>
        <v>9.9907778482794932E-2</v>
      </c>
      <c r="G20" s="58">
        <f t="shared" si="4"/>
        <v>0</v>
      </c>
      <c r="H20" s="58">
        <f t="shared" si="4"/>
        <v>17.189183016963526</v>
      </c>
    </row>
    <row r="21" spans="1:17" x14ac:dyDescent="0.3">
      <c r="D21" s="58"/>
      <c r="E21" s="58"/>
      <c r="F21" s="58"/>
      <c r="G21" s="58"/>
      <c r="H21" s="58"/>
      <c r="K21" s="18"/>
      <c r="L21" s="18"/>
      <c r="M21" s="18"/>
      <c r="N21" s="18"/>
      <c r="O21" s="18"/>
      <c r="P21" s="18"/>
    </row>
    <row r="22" spans="1:17" x14ac:dyDescent="0.3">
      <c r="A22" s="5" t="s">
        <v>61</v>
      </c>
      <c r="K22" s="20"/>
      <c r="L22" s="20"/>
      <c r="M22" s="20"/>
      <c r="N22" s="20"/>
      <c r="O22" s="20"/>
      <c r="P22" s="20"/>
    </row>
    <row r="23" spans="1:17" x14ac:dyDescent="0.3">
      <c r="A23" t="s">
        <v>26</v>
      </c>
      <c r="D23" s="58">
        <f>'Capitalised Overheads'!D9/1000000</f>
        <v>15.403447120418281</v>
      </c>
      <c r="E23" s="58">
        <f>'Capitalised Overheads'!E9/1000000</f>
        <v>0.56726808345083601</v>
      </c>
      <c r="F23" s="58">
        <f>'Capitalised Overheads'!F9/1000000</f>
        <v>6.2202929404341072E-2</v>
      </c>
      <c r="G23" s="58">
        <v>0</v>
      </c>
      <c r="H23" s="61">
        <f>SUM(D23:G23)</f>
        <v>16.032918133273458</v>
      </c>
      <c r="L23" s="67"/>
      <c r="M23" s="67"/>
      <c r="N23" s="67"/>
    </row>
    <row r="24" spans="1:17" x14ac:dyDescent="0.3">
      <c r="A24" t="s">
        <v>4</v>
      </c>
      <c r="D24" s="58">
        <f>D19</f>
        <v>3.6791474864353035</v>
      </c>
      <c r="E24" s="58">
        <f t="shared" ref="E24:F24" si="5">E19</f>
        <v>0.13662733871880378</v>
      </c>
      <c r="F24" s="58">
        <f t="shared" si="5"/>
        <v>3.913992567251539E-2</v>
      </c>
      <c r="G24" s="58">
        <v>0</v>
      </c>
      <c r="H24" s="61">
        <f>SUM(D24:G24)</f>
        <v>3.854914750826623</v>
      </c>
    </row>
    <row r="25" spans="1:17" x14ac:dyDescent="0.3">
      <c r="A25" t="s">
        <v>27</v>
      </c>
      <c r="D25" s="58">
        <f>SUM(D23:D24)</f>
        <v>19.082594606853586</v>
      </c>
      <c r="E25" s="58">
        <f t="shared" ref="E25:H25" si="6">SUM(E23:E24)</f>
        <v>0.70389542216963985</v>
      </c>
      <c r="F25" s="58">
        <f t="shared" si="6"/>
        <v>0.10134285507685646</v>
      </c>
      <c r="G25" s="58">
        <f t="shared" si="6"/>
        <v>0</v>
      </c>
      <c r="H25" s="58">
        <f t="shared" si="6"/>
        <v>19.887832884100082</v>
      </c>
      <c r="I25" s="8"/>
      <c r="L25" s="20"/>
      <c r="M25" s="20"/>
      <c r="N25" s="20"/>
      <c r="O25" s="20"/>
      <c r="P25" s="20"/>
      <c r="Q25" s="20"/>
    </row>
    <row r="26" spans="1:17" x14ac:dyDescent="0.3">
      <c r="M26" s="68"/>
      <c r="N26" s="68"/>
      <c r="O26" s="68"/>
    </row>
    <row r="27" spans="1:17" x14ac:dyDescent="0.3">
      <c r="D27" s="23" t="s">
        <v>28</v>
      </c>
      <c r="E27" s="24" t="s">
        <v>29</v>
      </c>
      <c r="F27" s="25" t="s">
        <v>30</v>
      </c>
      <c r="G27" s="25" t="s">
        <v>31</v>
      </c>
      <c r="H27" s="26" t="s">
        <v>32</v>
      </c>
      <c r="I27" s="27" t="s">
        <v>33</v>
      </c>
      <c r="M27" s="63"/>
      <c r="N27" s="63"/>
      <c r="O27" s="63"/>
    </row>
    <row r="28" spans="1:17" x14ac:dyDescent="0.3">
      <c r="D28" s="29" t="s">
        <v>34</v>
      </c>
      <c r="E28" s="30"/>
      <c r="F28" s="31"/>
      <c r="G28" s="31"/>
      <c r="H28" s="32"/>
      <c r="I28" s="33"/>
    </row>
    <row r="29" spans="1:17" x14ac:dyDescent="0.3">
      <c r="D29" s="28" t="s">
        <v>35</v>
      </c>
      <c r="E29" s="34">
        <f>'[1]Bill impact summary'!B9</f>
        <v>951.38945000000012</v>
      </c>
      <c r="F29" s="34">
        <f>'[1]Bill impact summary'!C9</f>
        <v>865.72355522398675</v>
      </c>
      <c r="G29" s="34">
        <f>'[1]Bill impact summary'!D9</f>
        <v>914.05869183060429</v>
      </c>
      <c r="H29" s="34">
        <f>'[1]Bill impact summary'!E9</f>
        <v>965.09247908231828</v>
      </c>
      <c r="I29" s="37"/>
    </row>
    <row r="30" spans="1:17" x14ac:dyDescent="0.3">
      <c r="D30" s="38" t="s">
        <v>36</v>
      </c>
      <c r="E30" s="39">
        <f>'[1]Bill impact summary'!B10</f>
        <v>0</v>
      </c>
      <c r="F30" s="40">
        <f>'[1]Bill impact summary'!C10</f>
        <v>0</v>
      </c>
      <c r="G30" s="40">
        <f>'[1]Bill impact summary'!D10</f>
        <v>2.8571431947875681</v>
      </c>
      <c r="H30" s="41">
        <f>'[1]Bill impact summary'!E10</f>
        <v>3.0166634085918531</v>
      </c>
      <c r="I30" s="42">
        <f>'[1]Bill impact summary'!F10</f>
        <v>2.9369033016897106</v>
      </c>
    </row>
    <row r="31" spans="1:17" x14ac:dyDescent="0.3">
      <c r="D31" s="28" t="s">
        <v>37</v>
      </c>
      <c r="E31" s="43">
        <f>'[1]Bill impact summary'!B11</f>
        <v>2741</v>
      </c>
      <c r="F31" s="35">
        <f>'[1]Bill impact summary'!C11</f>
        <v>2530</v>
      </c>
      <c r="G31" s="35">
        <f>'[1]Bill impact summary'!D11</f>
        <v>2581.1922798014052</v>
      </c>
      <c r="H31" s="36">
        <f>'[1]Bill impact summary'!E11</f>
        <v>2635.2427304617108</v>
      </c>
      <c r="I31" s="37"/>
    </row>
    <row r="32" spans="1:17" x14ac:dyDescent="0.3">
      <c r="D32" s="38" t="s">
        <v>38</v>
      </c>
      <c r="E32" s="39">
        <f>'[1]Bill impact summary'!B12</f>
        <v>0</v>
      </c>
      <c r="F32" s="44">
        <f>'[1]Bill impact summary'!C12</f>
        <v>0</v>
      </c>
      <c r="G32" s="44">
        <f>'[1]Bill impact summary'!D12</f>
        <v>1.1069083140940567E-3</v>
      </c>
      <c r="H32" s="45">
        <f>'[1]Bill impact summary'!E12</f>
        <v>1.1447383475234234E-3</v>
      </c>
      <c r="I32" s="46">
        <f>'[1]Bill impact summary'!F12</f>
        <v>1.12582333080874E-3</v>
      </c>
    </row>
    <row r="33" spans="1:10" x14ac:dyDescent="0.3">
      <c r="D33" s="29" t="s">
        <v>39</v>
      </c>
      <c r="E33" s="30"/>
      <c r="F33" s="31"/>
      <c r="G33" s="31"/>
      <c r="H33" s="32"/>
      <c r="I33" s="47"/>
    </row>
    <row r="34" spans="1:10" x14ac:dyDescent="0.3">
      <c r="D34" s="28" t="s">
        <v>35</v>
      </c>
      <c r="E34" s="43">
        <f>'[1]Bill impact summary'!B14</f>
        <v>2325.5071400000006</v>
      </c>
      <c r="F34" s="35">
        <f>'[1]Bill impact summary'!C14</f>
        <v>1721.148252469136</v>
      </c>
      <c r="G34" s="35">
        <f>'[1]Bill impact summary'!D14</f>
        <v>1817.2435191409695</v>
      </c>
      <c r="H34" s="36">
        <f>'[1]Bill impact summary'!E14</f>
        <v>1918.7039832985415</v>
      </c>
      <c r="I34" s="37"/>
    </row>
    <row r="35" spans="1:10" x14ac:dyDescent="0.3">
      <c r="D35" s="38" t="s">
        <v>36</v>
      </c>
      <c r="E35" s="39">
        <f>'[1]Bill impact summary'!B15</f>
        <v>0</v>
      </c>
      <c r="F35" s="40">
        <f>'[1]Bill impact summary'!C15</f>
        <v>0</v>
      </c>
      <c r="G35" s="40">
        <f>'[1]Bill impact summary'!D15</f>
        <v>5.6802971192003042</v>
      </c>
      <c r="H35" s="41">
        <f>'[1]Bill impact summary'!E15</f>
        <v>5.9974398555461903</v>
      </c>
      <c r="I35" s="42">
        <f>'[1]Bill impact summary'!F15</f>
        <v>5.8388684873732473</v>
      </c>
    </row>
    <row r="36" spans="1:10" x14ac:dyDescent="0.3">
      <c r="D36" s="28" t="s">
        <v>40</v>
      </c>
      <c r="E36" s="43">
        <f>'[1]Bill impact summary'!B16</f>
        <v>6222</v>
      </c>
      <c r="F36" s="35">
        <f>'[1]Bill impact summary'!C16</f>
        <v>4919</v>
      </c>
      <c r="G36" s="35">
        <f>'[1]Bill impact summary'!D16</f>
        <v>5020.7755637910332</v>
      </c>
      <c r="H36" s="36">
        <f>'[1]Bill impact summary'!E16</f>
        <v>5128.2334678041516</v>
      </c>
      <c r="I36" s="37"/>
    </row>
    <row r="37" spans="1:10" x14ac:dyDescent="0.3">
      <c r="D37" s="48" t="s">
        <v>38</v>
      </c>
      <c r="E37" s="49">
        <f>'[1]Bill impact summary'!B17</f>
        <v>0</v>
      </c>
      <c r="F37" s="50">
        <f>'[1]Bill impact summary'!C17</f>
        <v>0</v>
      </c>
      <c r="G37" s="50">
        <f>'[1]Bill impact summary'!D17</f>
        <v>1.1313585016955602E-3</v>
      </c>
      <c r="H37" s="51">
        <f>'[1]Bill impact summary'!E17</f>
        <v>1.1694943089465509E-3</v>
      </c>
      <c r="I37" s="46">
        <f>'[1]Bill impact summary'!F17</f>
        <v>1.1504264053210555E-3</v>
      </c>
    </row>
    <row r="38" spans="1:10" x14ac:dyDescent="0.3">
      <c r="D38" s="57"/>
      <c r="E38" s="40"/>
      <c r="F38" s="44"/>
      <c r="G38" s="44"/>
    </row>
    <row r="39" spans="1:10" x14ac:dyDescent="0.3">
      <c r="D39" s="57"/>
      <c r="E39" s="40"/>
      <c r="F39" s="44"/>
      <c r="G39" s="44"/>
    </row>
    <row r="42" spans="1:10" ht="15.6" x14ac:dyDescent="0.3">
      <c r="A42" s="69" t="s">
        <v>43</v>
      </c>
      <c r="B42" s="69"/>
      <c r="C42" s="69"/>
      <c r="D42" s="69"/>
      <c r="E42" s="69"/>
      <c r="F42" s="69"/>
      <c r="G42" s="69"/>
      <c r="J42" s="8"/>
    </row>
    <row r="43" spans="1:10" x14ac:dyDescent="0.3">
      <c r="A43" s="56" t="s">
        <v>44</v>
      </c>
      <c r="B43" s="56" t="s">
        <v>16</v>
      </c>
      <c r="C43" s="56" t="s">
        <v>1</v>
      </c>
      <c r="D43" s="56" t="s">
        <v>12</v>
      </c>
      <c r="E43" s="56" t="s">
        <v>17</v>
      </c>
      <c r="F43" s="56" t="s">
        <v>18</v>
      </c>
      <c r="G43" s="56" t="s">
        <v>45</v>
      </c>
    </row>
    <row r="44" spans="1:10" x14ac:dyDescent="0.3">
      <c r="A44" s="55" t="s">
        <v>46</v>
      </c>
      <c r="B44" s="54">
        <v>1145.6032448530646</v>
      </c>
      <c r="C44" s="54">
        <v>1187.0671911715917</v>
      </c>
      <c r="D44" s="54">
        <v>1251.890729372557</v>
      </c>
      <c r="E44" s="54">
        <v>1321.786377995777</v>
      </c>
      <c r="F44" s="54">
        <v>1395.5844452421538</v>
      </c>
      <c r="G44" s="54">
        <f>SUM(B44:F44)</f>
        <v>6301.9319886351441</v>
      </c>
    </row>
    <row r="45" spans="1:10" x14ac:dyDescent="0.3">
      <c r="A45" s="55" t="s">
        <v>47</v>
      </c>
      <c r="B45" s="54">
        <f>B46-B44</f>
        <v>0</v>
      </c>
      <c r="C45" s="54">
        <f t="shared" ref="C45:F45" si="7">C46-C44</f>
        <v>0</v>
      </c>
      <c r="D45" s="54">
        <f t="shared" si="7"/>
        <v>0</v>
      </c>
      <c r="E45" s="54">
        <f t="shared" si="7"/>
        <v>4.1316088218472942</v>
      </c>
      <c r="F45" s="54">
        <f t="shared" si="7"/>
        <v>4.3622850875028689</v>
      </c>
      <c r="G45" s="54">
        <f>SUM(B45:F45)</f>
        <v>8.4938939093501631</v>
      </c>
    </row>
    <row r="46" spans="1:10" x14ac:dyDescent="0.3">
      <c r="A46" s="55" t="s">
        <v>48</v>
      </c>
      <c r="B46" s="54">
        <f>'[1]Revenue summary'!G21</f>
        <v>1145.6032448530646</v>
      </c>
      <c r="C46" s="54">
        <f>'[1]Revenue summary'!H21</f>
        <v>1187.0671911715917</v>
      </c>
      <c r="D46" s="54">
        <f>'[1]Revenue summary'!I21</f>
        <v>1251.890729372557</v>
      </c>
      <c r="E46" s="54">
        <f>'[1]Revenue summary'!J21</f>
        <v>1325.9179868176243</v>
      </c>
      <c r="F46" s="54">
        <f>'[1]Revenue summary'!K21</f>
        <v>1399.9467303296567</v>
      </c>
      <c r="G46" s="54">
        <f>SUM(B46:F46)</f>
        <v>6310.425882544494</v>
      </c>
    </row>
    <row r="48" spans="1:10" x14ac:dyDescent="0.3">
      <c r="B48" s="53"/>
      <c r="C48" s="53"/>
      <c r="D48" s="53"/>
      <c r="E48" s="53"/>
      <c r="F48" s="53"/>
      <c r="G48" s="53"/>
    </row>
    <row r="50" spans="1:6" x14ac:dyDescent="0.3">
      <c r="A50" s="5" t="s">
        <v>50</v>
      </c>
      <c r="B50" s="59">
        <f>'Direct costs'!P33*D4</f>
        <v>56727.952531780233</v>
      </c>
    </row>
    <row r="51" spans="1:6" x14ac:dyDescent="0.3">
      <c r="A51" s="5"/>
      <c r="B51" s="59"/>
    </row>
    <row r="52" spans="1:6" x14ac:dyDescent="0.3">
      <c r="B52" s="8"/>
      <c r="C52" s="8"/>
      <c r="D52" s="8"/>
      <c r="E52" s="8"/>
      <c r="F52" s="8"/>
    </row>
    <row r="53" spans="1:6" x14ac:dyDescent="0.3">
      <c r="D53" s="8"/>
      <c r="E53" s="8"/>
      <c r="F53" s="8"/>
    </row>
  </sheetData>
  <mergeCells count="1">
    <mergeCell ref="A42:G4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&amp;COFFICIAL</oddHeader>
    <oddFooter>&amp;COFFICIAL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B8965-E068-4DFB-B0D7-0944347644F4}">
  <dimension ref="A1:U48"/>
  <sheetViews>
    <sheetView topLeftCell="A7" workbookViewId="0">
      <selection activeCell="O41" sqref="O41"/>
    </sheetView>
  </sheetViews>
  <sheetFormatPr defaultRowHeight="14.4" x14ac:dyDescent="0.3"/>
  <cols>
    <col min="1" max="1" width="62.88671875" customWidth="1"/>
    <col min="2" max="2" width="11.44140625" bestFit="1" customWidth="1"/>
    <col min="3" max="3" width="13.33203125" customWidth="1"/>
    <col min="4" max="4" width="11.44140625" bestFit="1" customWidth="1"/>
    <col min="5" max="5" width="2" bestFit="1" customWidth="1"/>
    <col min="6" max="7" width="8.6640625" bestFit="1" customWidth="1"/>
    <col min="8" max="8" width="8.88671875" bestFit="1" customWidth="1"/>
    <col min="9" max="9" width="2" bestFit="1" customWidth="1"/>
    <col min="10" max="11" width="7.6640625" bestFit="1" customWidth="1"/>
    <col min="12" max="12" width="11.44140625" bestFit="1" customWidth="1"/>
    <col min="13" max="13" width="2" customWidth="1"/>
    <col min="14" max="14" width="11.44140625" bestFit="1" customWidth="1"/>
    <col min="15" max="15" width="10.44140625" bestFit="1" customWidth="1"/>
    <col min="16" max="16" width="11.44140625" bestFit="1" customWidth="1"/>
    <col min="17" max="17" width="5.5546875" bestFit="1" customWidth="1"/>
    <col min="19" max="19" width="10.6640625" customWidth="1"/>
    <col min="20" max="20" width="11.5546875" bestFit="1" customWidth="1"/>
  </cols>
  <sheetData>
    <row r="1" spans="1:21" x14ac:dyDescent="0.3">
      <c r="A1" t="s">
        <v>70</v>
      </c>
    </row>
    <row r="2" spans="1:21" x14ac:dyDescent="0.3">
      <c r="A2" s="70" t="s">
        <v>66</v>
      </c>
      <c r="B2" s="71" t="s">
        <v>0</v>
      </c>
      <c r="C2" s="72"/>
      <c r="D2" s="73"/>
      <c r="F2" s="71" t="s">
        <v>1</v>
      </c>
      <c r="G2" s="72"/>
      <c r="H2" s="73"/>
      <c r="J2" s="71" t="s">
        <v>12</v>
      </c>
      <c r="K2" s="72"/>
      <c r="L2" s="72"/>
      <c r="N2" s="71" t="s">
        <v>2</v>
      </c>
      <c r="O2" s="72"/>
      <c r="P2" s="73"/>
    </row>
    <row r="3" spans="1:21" x14ac:dyDescent="0.3">
      <c r="A3" s="70"/>
      <c r="B3" s="4" t="s">
        <v>3</v>
      </c>
      <c r="C3" s="4" t="s">
        <v>4</v>
      </c>
      <c r="D3" s="4" t="s">
        <v>2</v>
      </c>
      <c r="F3" s="4" t="s">
        <v>3</v>
      </c>
      <c r="G3" s="4" t="s">
        <v>4</v>
      </c>
      <c r="H3" s="4" t="s">
        <v>2</v>
      </c>
      <c r="J3" s="4" t="s">
        <v>3</v>
      </c>
      <c r="K3" s="4" t="s">
        <v>4</v>
      </c>
      <c r="L3" s="4" t="s">
        <v>2</v>
      </c>
      <c r="N3" s="4" t="s">
        <v>3</v>
      </c>
      <c r="O3" s="4" t="s">
        <v>4</v>
      </c>
      <c r="P3" s="4" t="s">
        <v>2</v>
      </c>
    </row>
    <row r="4" spans="1:21" x14ac:dyDescent="0.3">
      <c r="B4" s="3" t="s">
        <v>5</v>
      </c>
      <c r="C4" s="3" t="s">
        <v>5</v>
      </c>
      <c r="D4" s="3" t="s">
        <v>5</v>
      </c>
      <c r="F4" s="3" t="s">
        <v>5</v>
      </c>
      <c r="G4" s="3" t="s">
        <v>5</v>
      </c>
      <c r="H4" s="3" t="s">
        <v>5</v>
      </c>
      <c r="J4" s="3" t="s">
        <v>5</v>
      </c>
      <c r="K4" s="3" t="s">
        <v>5</v>
      </c>
      <c r="L4" s="3" t="s">
        <v>5</v>
      </c>
      <c r="N4" s="3" t="s">
        <v>5</v>
      </c>
      <c r="O4" s="3" t="s">
        <v>5</v>
      </c>
      <c r="P4" s="3" t="s">
        <v>5</v>
      </c>
    </row>
    <row r="5" spans="1:21" x14ac:dyDescent="0.3">
      <c r="A5" t="s">
        <v>6</v>
      </c>
      <c r="B5" s="9">
        <v>6430068.5751000009</v>
      </c>
      <c r="C5" s="9">
        <v>363158.52409999992</v>
      </c>
      <c r="D5" s="9">
        <f t="shared" ref="D5:D12" si="0">SUM(B5:C5)</f>
        <v>6793227.099200001</v>
      </c>
      <c r="E5" s="9"/>
      <c r="F5" s="9">
        <v>124337.31359999999</v>
      </c>
      <c r="G5" s="9">
        <v>21912.061399999999</v>
      </c>
      <c r="H5" s="9">
        <f t="shared" ref="H5:H12" si="1">SUM(F5:G5)</f>
        <v>146249.375</v>
      </c>
      <c r="I5" s="9"/>
      <c r="J5" s="9">
        <v>933.02</v>
      </c>
      <c r="K5" s="9">
        <v>0</v>
      </c>
      <c r="L5" s="9">
        <f t="shared" ref="L5:L12" si="2">SUM(J5:K5)</f>
        <v>933.02</v>
      </c>
      <c r="M5" s="9"/>
      <c r="N5" s="9">
        <f t="shared" ref="N5:O12" si="3">B5+F5+J5</f>
        <v>6555338.9087000005</v>
      </c>
      <c r="O5" s="9">
        <f t="shared" si="3"/>
        <v>385070.58549999993</v>
      </c>
      <c r="P5" s="9">
        <f t="shared" ref="P5:P12" si="4">N5+O5</f>
        <v>6940409.4942000005</v>
      </c>
      <c r="Q5" s="6"/>
      <c r="R5" s="13"/>
      <c r="T5" s="2"/>
      <c r="U5" s="6"/>
    </row>
    <row r="6" spans="1:21" x14ac:dyDescent="0.3">
      <c r="A6" t="s">
        <v>72</v>
      </c>
      <c r="B6" s="9">
        <v>0</v>
      </c>
      <c r="C6" s="9">
        <v>97259.14367999995</v>
      </c>
      <c r="D6" s="9">
        <f t="shared" si="0"/>
        <v>97259.14367999995</v>
      </c>
      <c r="E6" s="9"/>
      <c r="F6" s="9">
        <v>0</v>
      </c>
      <c r="G6" s="9">
        <v>0</v>
      </c>
      <c r="H6" s="9">
        <f t="shared" si="1"/>
        <v>0</v>
      </c>
      <c r="I6" s="9"/>
      <c r="J6" s="9">
        <v>0</v>
      </c>
      <c r="K6" s="9">
        <v>0</v>
      </c>
      <c r="L6" s="9">
        <f t="shared" si="2"/>
        <v>0</v>
      </c>
      <c r="M6" s="9"/>
      <c r="N6" s="9">
        <f t="shared" si="3"/>
        <v>0</v>
      </c>
      <c r="O6" s="9">
        <f t="shared" si="3"/>
        <v>97259.14367999995</v>
      </c>
      <c r="P6" s="9">
        <f t="shared" si="4"/>
        <v>97259.14367999995</v>
      </c>
      <c r="Q6" s="6"/>
      <c r="R6" s="13"/>
      <c r="T6" s="2"/>
      <c r="U6" s="6"/>
    </row>
    <row r="7" spans="1:21" x14ac:dyDescent="0.3">
      <c r="A7" t="s">
        <v>7</v>
      </c>
      <c r="B7" s="9">
        <v>4662850.6500000004</v>
      </c>
      <c r="C7" s="9">
        <v>1324103.0599999998</v>
      </c>
      <c r="D7" s="9">
        <f t="shared" si="0"/>
        <v>5986953.71</v>
      </c>
      <c r="E7" s="9"/>
      <c r="F7" s="9">
        <v>210251.18000000142</v>
      </c>
      <c r="G7" s="9">
        <v>63861.669999999969</v>
      </c>
      <c r="H7" s="9">
        <f t="shared" si="1"/>
        <v>274112.85000000137</v>
      </c>
      <c r="I7" s="9"/>
      <c r="J7" s="9">
        <v>6600</v>
      </c>
      <c r="K7" s="9">
        <v>35840</v>
      </c>
      <c r="L7" s="9">
        <f t="shared" si="2"/>
        <v>42440</v>
      </c>
      <c r="M7" s="9"/>
      <c r="N7" s="9">
        <f t="shared" si="3"/>
        <v>4879701.8300000019</v>
      </c>
      <c r="O7" s="9">
        <f t="shared" si="3"/>
        <v>1423804.7299999997</v>
      </c>
      <c r="P7" s="9">
        <f t="shared" si="4"/>
        <v>6303506.5600000015</v>
      </c>
      <c r="Q7" s="6"/>
    </row>
    <row r="8" spans="1:21" x14ac:dyDescent="0.3">
      <c r="A8" t="s">
        <v>8</v>
      </c>
      <c r="B8" s="9">
        <v>1122535.8163270035</v>
      </c>
      <c r="C8" s="9">
        <v>385337.10832708841</v>
      </c>
      <c r="D8" s="9">
        <f t="shared" si="0"/>
        <v>1507872.9246540919</v>
      </c>
      <c r="E8" s="9"/>
      <c r="F8" s="9">
        <v>134041.99</v>
      </c>
      <c r="G8" s="9">
        <v>19846.025991122195</v>
      </c>
      <c r="H8" s="9">
        <f t="shared" si="1"/>
        <v>153888.01599112217</v>
      </c>
      <c r="I8" s="9"/>
      <c r="J8" s="9">
        <v>0</v>
      </c>
      <c r="K8" s="9">
        <v>0</v>
      </c>
      <c r="L8" s="9">
        <f t="shared" si="2"/>
        <v>0</v>
      </c>
      <c r="M8" s="9"/>
      <c r="N8" s="9">
        <f t="shared" si="3"/>
        <v>1256577.8063270035</v>
      </c>
      <c r="O8" s="9">
        <f t="shared" si="3"/>
        <v>405183.13431821059</v>
      </c>
      <c r="P8" s="9">
        <f t="shared" si="4"/>
        <v>1661760.9406452142</v>
      </c>
      <c r="Q8" s="6"/>
      <c r="T8" s="7"/>
      <c r="U8" s="6"/>
    </row>
    <row r="9" spans="1:21" x14ac:dyDescent="0.3">
      <c r="A9" s="1" t="s">
        <v>9</v>
      </c>
      <c r="B9" s="9">
        <v>0</v>
      </c>
      <c r="C9" s="9">
        <v>130178.9</v>
      </c>
      <c r="D9" s="9">
        <f t="shared" si="0"/>
        <v>130178.9</v>
      </c>
      <c r="E9" s="9"/>
      <c r="F9" s="9">
        <v>0</v>
      </c>
      <c r="G9" s="9">
        <v>19618</v>
      </c>
      <c r="H9" s="9">
        <f t="shared" si="1"/>
        <v>19618</v>
      </c>
      <c r="I9" s="9"/>
      <c r="J9" s="9">
        <v>0</v>
      </c>
      <c r="K9" s="9">
        <v>0</v>
      </c>
      <c r="L9" s="9">
        <f t="shared" si="2"/>
        <v>0</v>
      </c>
      <c r="M9" s="9"/>
      <c r="N9" s="9">
        <f t="shared" si="3"/>
        <v>0</v>
      </c>
      <c r="O9" s="9">
        <f t="shared" si="3"/>
        <v>149796.9</v>
      </c>
      <c r="P9" s="9">
        <f t="shared" si="4"/>
        <v>149796.9</v>
      </c>
      <c r="Q9" s="6"/>
    </row>
    <row r="10" spans="1:21" x14ac:dyDescent="0.3">
      <c r="A10" s="1" t="s">
        <v>10</v>
      </c>
      <c r="B10" s="9">
        <v>1.4210854715202004E-14</v>
      </c>
      <c r="C10" s="9">
        <v>73938.880000000005</v>
      </c>
      <c r="D10" s="9">
        <f t="shared" si="0"/>
        <v>73938.880000000005</v>
      </c>
      <c r="E10" s="9"/>
      <c r="F10" s="9">
        <v>0</v>
      </c>
      <c r="G10" s="9">
        <v>0</v>
      </c>
      <c r="H10" s="9">
        <f t="shared" si="1"/>
        <v>0</v>
      </c>
      <c r="I10" s="9"/>
      <c r="J10" s="9">
        <v>0</v>
      </c>
      <c r="K10" s="9">
        <v>0</v>
      </c>
      <c r="L10" s="9">
        <f t="shared" si="2"/>
        <v>0</v>
      </c>
      <c r="M10" s="9"/>
      <c r="N10" s="9">
        <f t="shared" si="3"/>
        <v>1.4210854715202004E-14</v>
      </c>
      <c r="O10" s="9">
        <f t="shared" si="3"/>
        <v>73938.880000000005</v>
      </c>
      <c r="P10" s="9">
        <f t="shared" si="4"/>
        <v>73938.880000000005</v>
      </c>
      <c r="Q10" s="6"/>
    </row>
    <row r="11" spans="1:21" x14ac:dyDescent="0.3">
      <c r="A11" t="s">
        <v>42</v>
      </c>
      <c r="B11" s="9">
        <v>0</v>
      </c>
      <c r="C11" s="9">
        <v>17749.510000000002</v>
      </c>
      <c r="D11" s="9">
        <f t="shared" si="0"/>
        <v>17749.510000000002</v>
      </c>
      <c r="E11" s="9"/>
      <c r="F11" s="9">
        <v>0</v>
      </c>
      <c r="G11" s="9">
        <v>947.39</v>
      </c>
      <c r="H11" s="9">
        <f t="shared" si="1"/>
        <v>947.39</v>
      </c>
      <c r="I11" s="9"/>
      <c r="J11" s="9">
        <v>0</v>
      </c>
      <c r="K11" s="9">
        <v>0</v>
      </c>
      <c r="L11" s="9">
        <f t="shared" si="2"/>
        <v>0</v>
      </c>
      <c r="M11" s="9"/>
      <c r="N11" s="9">
        <f t="shared" si="3"/>
        <v>0</v>
      </c>
      <c r="O11" s="9">
        <f t="shared" si="3"/>
        <v>18696.900000000001</v>
      </c>
      <c r="P11" s="9">
        <f t="shared" si="4"/>
        <v>18696.900000000001</v>
      </c>
      <c r="Q11" s="6"/>
    </row>
    <row r="12" spans="1:21" x14ac:dyDescent="0.3">
      <c r="A12" t="s">
        <v>11</v>
      </c>
      <c r="B12" s="9">
        <v>1227.2199999999996</v>
      </c>
      <c r="C12" s="9">
        <v>685365.5700000003</v>
      </c>
      <c r="D12" s="9">
        <f t="shared" si="0"/>
        <v>686592.79000000027</v>
      </c>
      <c r="E12" s="9"/>
      <c r="F12" s="9">
        <v>0</v>
      </c>
      <c r="G12" s="9">
        <v>11174.34</v>
      </c>
      <c r="H12" s="9">
        <f t="shared" si="1"/>
        <v>11174.34</v>
      </c>
      <c r="I12" s="9"/>
      <c r="J12" s="9">
        <v>0</v>
      </c>
      <c r="K12" s="9">
        <v>0</v>
      </c>
      <c r="L12" s="9">
        <f t="shared" si="2"/>
        <v>0</v>
      </c>
      <c r="M12" s="9"/>
      <c r="N12" s="9">
        <f t="shared" si="3"/>
        <v>1227.2199999999996</v>
      </c>
      <c r="O12" s="9">
        <f t="shared" si="3"/>
        <v>696539.91000000027</v>
      </c>
      <c r="P12" s="9">
        <f t="shared" si="4"/>
        <v>697767.13000000024</v>
      </c>
      <c r="Q12" s="6"/>
    </row>
    <row r="13" spans="1:21" x14ac:dyDescent="0.3">
      <c r="A13" s="5"/>
      <c r="B13" s="11">
        <f>SUM(B5:B12)</f>
        <v>12216682.261427006</v>
      </c>
      <c r="C13" s="11">
        <f>SUM(C5:C12)</f>
        <v>3077090.6961070881</v>
      </c>
      <c r="D13" s="11">
        <f>SUM(D5:D12)</f>
        <v>15293772.957534095</v>
      </c>
      <c r="E13" s="11"/>
      <c r="F13" s="11">
        <f>SUM(F5:F12)</f>
        <v>468630.48360000143</v>
      </c>
      <c r="G13" s="11">
        <f>SUM(G5:G12)</f>
        <v>137359.48739112215</v>
      </c>
      <c r="H13" s="11">
        <f>SUM(H5:H12)</f>
        <v>605989.97099112347</v>
      </c>
      <c r="I13" s="11"/>
      <c r="J13" s="11">
        <f>SUM(J5:J12)</f>
        <v>7533.02</v>
      </c>
      <c r="K13" s="11">
        <f>SUM(K5:K12)</f>
        <v>35840</v>
      </c>
      <c r="L13" s="11">
        <f>SUM(L5:L12)</f>
        <v>43373.02</v>
      </c>
      <c r="M13" s="11"/>
      <c r="N13" s="11">
        <f>SUM(N5:N12)</f>
        <v>12692845.765027007</v>
      </c>
      <c r="O13" s="11">
        <f>SUM(O5:O12)</f>
        <v>3250290.1834982103</v>
      </c>
      <c r="P13" s="11">
        <f>SUM(P5:P12)</f>
        <v>15943135.948525218</v>
      </c>
      <c r="Q13" s="12"/>
      <c r="S13" s="15"/>
    </row>
    <row r="16" spans="1:21" x14ac:dyDescent="0.3">
      <c r="A16" s="70" t="s">
        <v>13</v>
      </c>
      <c r="B16" s="71" t="s">
        <v>0</v>
      </c>
      <c r="C16" s="72"/>
      <c r="D16" s="73"/>
      <c r="F16" s="71" t="s">
        <v>1</v>
      </c>
      <c r="G16" s="72"/>
      <c r="H16" s="73"/>
      <c r="J16" s="71" t="s">
        <v>12</v>
      </c>
      <c r="K16" s="72"/>
      <c r="L16" s="72"/>
      <c r="N16" s="71" t="s">
        <v>2</v>
      </c>
      <c r="O16" s="72"/>
      <c r="P16" s="73"/>
    </row>
    <row r="17" spans="1:16" x14ac:dyDescent="0.3">
      <c r="A17" s="70"/>
      <c r="B17" s="4" t="s">
        <v>3</v>
      </c>
      <c r="C17" s="4" t="s">
        <v>4</v>
      </c>
      <c r="D17" s="4" t="s">
        <v>2</v>
      </c>
      <c r="F17" s="4" t="s">
        <v>3</v>
      </c>
      <c r="G17" s="4" t="s">
        <v>4</v>
      </c>
      <c r="H17" s="4" t="s">
        <v>2</v>
      </c>
      <c r="J17" s="4" t="s">
        <v>3</v>
      </c>
      <c r="K17" s="4" t="s">
        <v>4</v>
      </c>
      <c r="L17" s="4" t="s">
        <v>2</v>
      </c>
      <c r="N17" s="4" t="s">
        <v>3</v>
      </c>
      <c r="O17" s="4" t="s">
        <v>4</v>
      </c>
      <c r="P17" s="4" t="s">
        <v>2</v>
      </c>
    </row>
    <row r="18" spans="1:16" x14ac:dyDescent="0.3">
      <c r="B18" s="3" t="s">
        <v>5</v>
      </c>
      <c r="C18" s="3" t="s">
        <v>5</v>
      </c>
      <c r="D18" s="3" t="s">
        <v>5</v>
      </c>
      <c r="F18" s="3" t="s">
        <v>5</v>
      </c>
      <c r="G18" s="3" t="s">
        <v>5</v>
      </c>
      <c r="H18" s="3" t="s">
        <v>5</v>
      </c>
      <c r="J18" s="3" t="s">
        <v>5</v>
      </c>
      <c r="K18" s="3" t="s">
        <v>5</v>
      </c>
      <c r="L18" s="3" t="s">
        <v>5</v>
      </c>
      <c r="N18" s="3" t="s">
        <v>5</v>
      </c>
      <c r="O18" s="3" t="s">
        <v>5</v>
      </c>
      <c r="P18" s="3" t="s">
        <v>5</v>
      </c>
    </row>
    <row r="19" spans="1:16" x14ac:dyDescent="0.3">
      <c r="A19" t="s">
        <v>6</v>
      </c>
      <c r="B19" s="9">
        <v>318809.8318836898</v>
      </c>
      <c r="C19" s="9">
        <v>307702.5556038681</v>
      </c>
      <c r="D19" s="9">
        <f>SUM(B19:C19)</f>
        <v>626512.38748755795</v>
      </c>
      <c r="E19" s="9"/>
      <c r="F19" s="9">
        <v>13972.73484692734</v>
      </c>
      <c r="G19" s="9">
        <v>3659.8459303202758</v>
      </c>
      <c r="H19" s="9">
        <f>SUM(F19:G19)</f>
        <v>17632.580777247615</v>
      </c>
      <c r="I19" s="9"/>
      <c r="J19" s="9">
        <v>30970.08358058993</v>
      </c>
      <c r="K19" s="9">
        <v>4893.0580339622384</v>
      </c>
      <c r="L19" s="9">
        <f>SUM(J19:K19)</f>
        <v>35863.141614552165</v>
      </c>
      <c r="M19" s="9"/>
      <c r="N19" s="9">
        <f>B19+F19+J19</f>
        <v>363752.65031120705</v>
      </c>
      <c r="O19" s="9">
        <f>C19+G19+K19</f>
        <v>316255.45956815057</v>
      </c>
      <c r="P19" s="9">
        <f>N19+O19</f>
        <v>680008.10987935762</v>
      </c>
    </row>
    <row r="20" spans="1:16" x14ac:dyDescent="0.3">
      <c r="A20" t="s">
        <v>53</v>
      </c>
      <c r="B20" s="9">
        <v>0</v>
      </c>
      <c r="C20" s="9">
        <v>0</v>
      </c>
      <c r="D20" s="9">
        <f>SUM(B20:C20)</f>
        <v>0</v>
      </c>
      <c r="E20" s="9"/>
      <c r="F20" s="9">
        <v>0</v>
      </c>
      <c r="G20" s="9">
        <v>0</v>
      </c>
      <c r="H20" s="9">
        <f>SUM(F20:G20)</f>
        <v>0</v>
      </c>
      <c r="I20" s="9"/>
      <c r="J20" s="9">
        <v>0</v>
      </c>
      <c r="K20" s="9">
        <v>0</v>
      </c>
      <c r="L20" s="9">
        <f>SUM(J20:K20)</f>
        <v>0</v>
      </c>
      <c r="M20" s="9"/>
      <c r="N20" s="9">
        <f>B20+F20+J20</f>
        <v>0</v>
      </c>
      <c r="O20" s="9">
        <f>C20+G20+K20</f>
        <v>0</v>
      </c>
      <c r="P20" s="9">
        <f>N20+O20</f>
        <v>0</v>
      </c>
    </row>
    <row r="21" spans="1:16" x14ac:dyDescent="0.3">
      <c r="A21" t="s">
        <v>7</v>
      </c>
      <c r="B21" s="9">
        <v>83031.174621454935</v>
      </c>
      <c r="C21" s="9">
        <v>41231.666897649353</v>
      </c>
      <c r="D21" s="9">
        <f t="shared" ref="D21:D22" si="5">SUM(B21:C21)</f>
        <v>124262.84151910429</v>
      </c>
      <c r="E21" s="9"/>
      <c r="F21" s="9">
        <v>3751.7932694181036</v>
      </c>
      <c r="G21" s="9">
        <v>513.51777266073145</v>
      </c>
      <c r="H21" s="9">
        <f t="shared" ref="H21:H22" si="6">SUM(F21:G21)</f>
        <v>4265.3110420788353</v>
      </c>
      <c r="I21" s="9"/>
      <c r="J21" s="9">
        <v>7049.9138465244132</v>
      </c>
      <c r="K21" s="9">
        <v>583.5053419285772</v>
      </c>
      <c r="L21" s="9">
        <f t="shared" ref="L21:L22" si="7">SUM(J21:K21)</f>
        <v>7633.4191884529901</v>
      </c>
      <c r="M21" s="9"/>
      <c r="N21" s="9">
        <f t="shared" ref="N21:O22" si="8">B21+F21+J21</f>
        <v>93832.88173739746</v>
      </c>
      <c r="O21" s="9">
        <f t="shared" si="8"/>
        <v>42328.690012238658</v>
      </c>
      <c r="P21" s="9">
        <f t="shared" ref="P21:P22" si="9">N21+O21</f>
        <v>136161.57174963612</v>
      </c>
    </row>
    <row r="22" spans="1:16" x14ac:dyDescent="0.3">
      <c r="A22" t="s">
        <v>8</v>
      </c>
      <c r="B22" s="9">
        <v>274481.98378455092</v>
      </c>
      <c r="C22" s="9">
        <v>43153.457500665703</v>
      </c>
      <c r="D22" s="9">
        <f t="shared" si="5"/>
        <v>317635.4412852166</v>
      </c>
      <c r="E22" s="9"/>
      <c r="F22" s="9">
        <v>10467.473879401794</v>
      </c>
      <c r="G22" s="9">
        <v>581.5116145920648</v>
      </c>
      <c r="H22" s="9">
        <f t="shared" si="6"/>
        <v>11048.98549399386</v>
      </c>
      <c r="I22" s="9"/>
      <c r="J22" s="9">
        <v>19336.49274257067</v>
      </c>
      <c r="K22" s="9">
        <v>478.07782850884922</v>
      </c>
      <c r="L22" s="9">
        <f t="shared" si="7"/>
        <v>19814.570571079519</v>
      </c>
      <c r="M22" s="9"/>
      <c r="N22" s="9">
        <f t="shared" si="8"/>
        <v>304285.95040652342</v>
      </c>
      <c r="O22" s="9">
        <f t="shared" si="8"/>
        <v>44213.046943766618</v>
      </c>
      <c r="P22" s="9">
        <f t="shared" si="9"/>
        <v>348498.99735029007</v>
      </c>
    </row>
    <row r="23" spans="1:16" x14ac:dyDescent="0.3">
      <c r="A23" s="5"/>
      <c r="B23" s="11">
        <f>SUM(B19:B22)</f>
        <v>676322.99028969568</v>
      </c>
      <c r="C23" s="11">
        <f>SUM(C19:C22)</f>
        <v>392087.68000218313</v>
      </c>
      <c r="D23" s="11">
        <f>SUM(D19:D22)</f>
        <v>1068410.6702918787</v>
      </c>
      <c r="E23" s="11"/>
      <c r="F23" s="11">
        <f>SUM(F19:F22)</f>
        <v>28192.001995747236</v>
      </c>
      <c r="G23" s="11">
        <f>SUM(G19:G22)</f>
        <v>4754.8753175730717</v>
      </c>
      <c r="H23" s="11">
        <f>SUM(H19:H22)</f>
        <v>32946.877313320307</v>
      </c>
      <c r="I23" s="11"/>
      <c r="J23" s="11">
        <f>SUM(J19:J22)</f>
        <v>57356.490169685014</v>
      </c>
      <c r="K23" s="11">
        <f>SUM(K19:K22)</f>
        <v>5954.6412043996643</v>
      </c>
      <c r="L23" s="11">
        <f>SUM(L19:L22)</f>
        <v>63311.131374084667</v>
      </c>
      <c r="M23" s="11"/>
      <c r="N23" s="11">
        <f>SUM(N19:N22)</f>
        <v>761871.48245512787</v>
      </c>
      <c r="O23" s="11">
        <f>SUM(O19:O22)</f>
        <v>402797.19652415591</v>
      </c>
      <c r="P23" s="11">
        <f>SUM(P19:P22)</f>
        <v>1164668.6789792837</v>
      </c>
    </row>
    <row r="24" spans="1:16" x14ac:dyDescent="0.3">
      <c r="N24" s="6"/>
      <c r="O24" s="6"/>
    </row>
    <row r="26" spans="1:16" x14ac:dyDescent="0.3">
      <c r="A26" s="70" t="s">
        <v>67</v>
      </c>
      <c r="B26" s="71" t="s">
        <v>0</v>
      </c>
      <c r="C26" s="72"/>
      <c r="D26" s="73"/>
      <c r="F26" s="71" t="s">
        <v>1</v>
      </c>
      <c r="G26" s="72"/>
      <c r="H26" s="73"/>
      <c r="J26" s="71" t="s">
        <v>12</v>
      </c>
      <c r="K26" s="72"/>
      <c r="L26" s="72"/>
      <c r="N26" s="71" t="s">
        <v>2</v>
      </c>
      <c r="O26" s="72"/>
      <c r="P26" s="73"/>
    </row>
    <row r="27" spans="1:16" x14ac:dyDescent="0.3">
      <c r="A27" s="70"/>
      <c r="B27" s="4" t="s">
        <v>3</v>
      </c>
      <c r="C27" s="4" t="s">
        <v>4</v>
      </c>
      <c r="D27" s="4" t="s">
        <v>2</v>
      </c>
      <c r="F27" s="4" t="s">
        <v>3</v>
      </c>
      <c r="G27" s="4" t="s">
        <v>4</v>
      </c>
      <c r="H27" s="4" t="s">
        <v>2</v>
      </c>
      <c r="J27" s="4" t="s">
        <v>3</v>
      </c>
      <c r="K27" s="4" t="s">
        <v>4</v>
      </c>
      <c r="L27" s="4" t="s">
        <v>2</v>
      </c>
      <c r="N27" s="4" t="s">
        <v>3</v>
      </c>
      <c r="O27" s="4" t="s">
        <v>4</v>
      </c>
      <c r="P27" s="4" t="s">
        <v>2</v>
      </c>
    </row>
    <row r="28" spans="1:16" x14ac:dyDescent="0.3">
      <c r="B28" s="3" t="s">
        <v>5</v>
      </c>
      <c r="C28" s="3" t="s">
        <v>5</v>
      </c>
      <c r="D28" s="3" t="s">
        <v>5</v>
      </c>
      <c r="F28" s="3" t="s">
        <v>5</v>
      </c>
      <c r="G28" s="3" t="s">
        <v>5</v>
      </c>
      <c r="H28" s="3" t="s">
        <v>5</v>
      </c>
      <c r="J28" s="3" t="s">
        <v>5</v>
      </c>
      <c r="K28" s="3" t="s">
        <v>5</v>
      </c>
      <c r="L28" s="3" t="s">
        <v>5</v>
      </c>
      <c r="N28" s="3" t="s">
        <v>5</v>
      </c>
      <c r="O28" s="3" t="s">
        <v>5</v>
      </c>
      <c r="P28" s="3" t="s">
        <v>5</v>
      </c>
    </row>
    <row r="29" spans="1:16" x14ac:dyDescent="0.3">
      <c r="A29" t="s">
        <v>6</v>
      </c>
      <c r="B29" s="9">
        <v>28733.905692821303</v>
      </c>
      <c r="C29" s="9">
        <v>9567.8266392133864</v>
      </c>
      <c r="D29" s="9">
        <v>38301.732332034691</v>
      </c>
      <c r="E29" s="9"/>
      <c r="F29" s="9"/>
      <c r="G29" s="9"/>
      <c r="H29" s="9"/>
      <c r="I29" s="9"/>
      <c r="J29" s="9"/>
      <c r="K29" s="9"/>
      <c r="L29" s="9"/>
      <c r="M29" s="9"/>
      <c r="N29" s="9">
        <f>B29+F29+J29</f>
        <v>28733.905692821303</v>
      </c>
      <c r="O29" s="9">
        <f>C29+G29+K29</f>
        <v>9567.8266392133864</v>
      </c>
      <c r="P29" s="9">
        <f>N29+O29</f>
        <v>38301.732332034691</v>
      </c>
    </row>
    <row r="30" spans="1:16" x14ac:dyDescent="0.3">
      <c r="A30" t="s">
        <v>52</v>
      </c>
      <c r="B30" s="9">
        <v>0</v>
      </c>
      <c r="C30" s="9">
        <v>0</v>
      </c>
      <c r="D30" s="9">
        <v>0</v>
      </c>
      <c r="E30" s="9"/>
      <c r="F30" s="9"/>
      <c r="G30" s="9"/>
      <c r="H30" s="9"/>
      <c r="I30" s="9"/>
      <c r="J30" s="9"/>
      <c r="K30" s="9"/>
      <c r="L30" s="9"/>
      <c r="M30" s="9"/>
      <c r="N30" s="9">
        <f>B30+F30+J30</f>
        <v>0</v>
      </c>
      <c r="O30" s="9">
        <f>C30+G30+K30</f>
        <v>0</v>
      </c>
      <c r="P30" s="9">
        <f>N30+O30</f>
        <v>0</v>
      </c>
    </row>
    <row r="31" spans="1:16" x14ac:dyDescent="0.3">
      <c r="A31" t="s">
        <v>7</v>
      </c>
      <c r="B31" s="9">
        <v>4411.013449940906</v>
      </c>
      <c r="C31" s="9">
        <v>1445.5940867236191</v>
      </c>
      <c r="D31" s="9">
        <v>5856.6075366645255</v>
      </c>
      <c r="E31" s="9"/>
      <c r="F31" s="9"/>
      <c r="G31" s="9"/>
      <c r="H31" s="9"/>
      <c r="I31" s="9"/>
      <c r="J31" s="9"/>
      <c r="K31" s="9"/>
      <c r="L31" s="9"/>
      <c r="M31" s="9"/>
      <c r="N31" s="9">
        <f t="shared" ref="N31:O32" si="10">B31+F31+J31</f>
        <v>4411.013449940906</v>
      </c>
      <c r="O31" s="9">
        <f t="shared" si="10"/>
        <v>1445.5940867236191</v>
      </c>
      <c r="P31" s="9">
        <f t="shared" ref="P31:P32" si="11">N31+O31</f>
        <v>5856.6075366645255</v>
      </c>
    </row>
    <row r="32" spans="1:16" x14ac:dyDescent="0.3">
      <c r="A32" t="s">
        <v>8</v>
      </c>
      <c r="B32" s="9">
        <v>11167.79284724291</v>
      </c>
      <c r="C32" s="9">
        <v>2151.2825541630118</v>
      </c>
      <c r="D32" s="9">
        <v>13319.075401405922</v>
      </c>
      <c r="E32" s="9"/>
      <c r="F32" s="9"/>
      <c r="G32" s="9"/>
      <c r="H32" s="9"/>
      <c r="I32" s="9"/>
      <c r="J32" s="9"/>
      <c r="K32" s="9"/>
      <c r="L32" s="9"/>
      <c r="M32" s="9"/>
      <c r="N32" s="9">
        <f t="shared" si="10"/>
        <v>11167.79284724291</v>
      </c>
      <c r="O32" s="9">
        <f t="shared" si="10"/>
        <v>2151.2825541630118</v>
      </c>
      <c r="P32" s="9">
        <f t="shared" si="11"/>
        <v>13319.075401405922</v>
      </c>
    </row>
    <row r="33" spans="1:16" x14ac:dyDescent="0.3">
      <c r="A33" s="5"/>
      <c r="B33" s="11">
        <f>SUM(B29:B32)</f>
        <v>44312.711990005118</v>
      </c>
      <c r="C33" s="11">
        <f>SUM(C29:C32)</f>
        <v>13164.703280100017</v>
      </c>
      <c r="D33" s="11">
        <f>SUM(D29:D32)</f>
        <v>57477.415270105135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>SUM(N29:N32)</f>
        <v>44312.711990005118</v>
      </c>
      <c r="O33" s="11">
        <f>SUM(O29:O32)</f>
        <v>13164.703280100017</v>
      </c>
      <c r="P33" s="11">
        <f>SUM(P29:P32)</f>
        <v>57477.415270105135</v>
      </c>
    </row>
    <row r="34" spans="1:16" x14ac:dyDescent="0.3">
      <c r="N34" s="6"/>
      <c r="O34" s="6"/>
    </row>
    <row r="35" spans="1:16" x14ac:dyDescent="0.3">
      <c r="A35" t="s">
        <v>62</v>
      </c>
      <c r="B35" s="9">
        <v>116220.48517293515</v>
      </c>
      <c r="C35" s="9">
        <v>271740.96099683386</v>
      </c>
      <c r="D35" s="9">
        <f>SUM(B35:C35)</f>
        <v>387961.44616976904</v>
      </c>
      <c r="H35" s="9"/>
      <c r="L35" s="9"/>
      <c r="N35" s="9">
        <f t="shared" ref="N35:O35" si="12">B35+F35+J35</f>
        <v>116220.48517293515</v>
      </c>
      <c r="O35" s="9">
        <f t="shared" si="12"/>
        <v>271740.96099683386</v>
      </c>
      <c r="P35" s="9">
        <f t="shared" ref="P35" si="13">N35+O35</f>
        <v>387961.44616976904</v>
      </c>
    </row>
    <row r="36" spans="1:16" x14ac:dyDescent="0.3">
      <c r="N36" s="6"/>
      <c r="O36" s="6"/>
    </row>
    <row r="38" spans="1:16" s="5" customFormat="1" x14ac:dyDescent="0.3">
      <c r="A38" s="5" t="s">
        <v>14</v>
      </c>
      <c r="B38" s="16">
        <f>B13+B23-B33+B35</f>
        <v>12964913.024899632</v>
      </c>
      <c r="C38" s="16">
        <f>C13+C23-C33+C35</f>
        <v>3727754.6338260053</v>
      </c>
      <c r="D38" s="16">
        <f>D13+D23-D33+D35</f>
        <v>16692667.658725638</v>
      </c>
      <c r="F38" s="16">
        <f>F13+F23-F33+F35</f>
        <v>496822.48559574864</v>
      </c>
      <c r="G38" s="16">
        <f>G13+G23-G33</f>
        <v>142114.36270869523</v>
      </c>
      <c r="H38" s="16">
        <f>H13+H23-H33</f>
        <v>638936.84830444376</v>
      </c>
      <c r="J38" s="16">
        <f>J13+J23-J33+J35</f>
        <v>64889.510169685018</v>
      </c>
      <c r="K38" s="16">
        <f>K13+K23-K33</f>
        <v>41794.641204399668</v>
      </c>
      <c r="L38" s="16">
        <f>L13+L23-L33</f>
        <v>106684.15137408467</v>
      </c>
      <c r="N38" s="16">
        <f>N13+N23-N33+N35</f>
        <v>13526625.020665066</v>
      </c>
      <c r="O38" s="16">
        <f t="shared" ref="O38:P38" si="14">O13+O23-O33+O35</f>
        <v>3911663.6377390996</v>
      </c>
      <c r="P38" s="16">
        <f t="shared" si="14"/>
        <v>17438288.658404164</v>
      </c>
    </row>
    <row r="40" spans="1:16" x14ac:dyDescent="0.3">
      <c r="B40" s="15"/>
      <c r="C40" s="15"/>
      <c r="D40" s="15"/>
      <c r="F40" s="15"/>
      <c r="G40" s="15"/>
      <c r="H40" s="15"/>
      <c r="J40" s="15"/>
      <c r="K40" s="15"/>
      <c r="L40" s="15"/>
      <c r="N40" s="15"/>
      <c r="O40" s="15"/>
      <c r="P40" s="15"/>
    </row>
    <row r="41" spans="1:16" x14ac:dyDescent="0.3">
      <c r="B41" s="62"/>
      <c r="C41" s="15"/>
      <c r="D41" s="15"/>
      <c r="E41" s="15"/>
      <c r="F41" s="62"/>
      <c r="G41" s="15"/>
      <c r="H41" s="15"/>
      <c r="I41" s="15"/>
      <c r="J41" s="62"/>
      <c r="K41" s="15"/>
      <c r="L41" s="15"/>
      <c r="M41" s="15"/>
      <c r="N41" s="62"/>
      <c r="O41" s="15"/>
      <c r="P41" s="15"/>
    </row>
    <row r="42" spans="1:16" x14ac:dyDescent="0.3">
      <c r="B42" s="62"/>
      <c r="D42" s="15"/>
      <c r="F42" s="62"/>
      <c r="J42" s="62"/>
      <c r="L42" s="15"/>
      <c r="N42" s="62"/>
      <c r="P42" s="15"/>
    </row>
    <row r="44" spans="1:16" x14ac:dyDescent="0.3">
      <c r="B44" s="9"/>
      <c r="F44" s="9"/>
      <c r="J44" s="9"/>
    </row>
    <row r="45" spans="1:16" x14ac:dyDescent="0.3">
      <c r="B45" s="9"/>
      <c r="F45" s="9"/>
      <c r="J45" s="9"/>
    </row>
    <row r="46" spans="1:16" x14ac:dyDescent="0.3">
      <c r="B46" s="15"/>
      <c r="F46" s="15"/>
      <c r="J46" s="15"/>
    </row>
    <row r="48" spans="1:16" x14ac:dyDescent="0.3">
      <c r="B48" s="15"/>
      <c r="C48" s="15"/>
      <c r="D48" s="15"/>
      <c r="F48" s="15"/>
      <c r="G48" s="15"/>
      <c r="H48" s="15"/>
      <c r="J48" s="15"/>
      <c r="K48" s="15"/>
      <c r="L48" s="15"/>
      <c r="N48" s="15"/>
      <c r="O48" s="15"/>
      <c r="P48" s="15"/>
    </row>
  </sheetData>
  <mergeCells count="15">
    <mergeCell ref="A16:A17"/>
    <mergeCell ref="B16:D16"/>
    <mergeCell ref="F16:H16"/>
    <mergeCell ref="J16:L16"/>
    <mergeCell ref="N16:P16"/>
    <mergeCell ref="A2:A3"/>
    <mergeCell ref="B2:D2"/>
    <mergeCell ref="F2:H2"/>
    <mergeCell ref="J2:L2"/>
    <mergeCell ref="N2:P2"/>
    <mergeCell ref="A26:A27"/>
    <mergeCell ref="B26:D26"/>
    <mergeCell ref="F26:H26"/>
    <mergeCell ref="J26:L26"/>
    <mergeCell ref="N26:P26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&amp;COFFICIAL</oddHeader>
    <oddFooter>&amp;COFFICIAL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B9E93-942C-4591-BA63-16C9C66236D6}">
  <dimension ref="A3:I19"/>
  <sheetViews>
    <sheetView workbookViewId="0">
      <selection activeCell="K33" sqref="K33"/>
    </sheetView>
  </sheetViews>
  <sheetFormatPr defaultRowHeight="14.4" x14ac:dyDescent="0.3"/>
  <cols>
    <col min="3" max="3" width="43.21875" customWidth="1"/>
    <col min="4" max="4" width="13.33203125" bestFit="1" customWidth="1"/>
    <col min="7" max="7" width="12.6640625" customWidth="1"/>
  </cols>
  <sheetData>
    <row r="3" spans="1:9" x14ac:dyDescent="0.3">
      <c r="A3" s="5" t="s">
        <v>69</v>
      </c>
      <c r="D3" s="60" t="s">
        <v>16</v>
      </c>
      <c r="E3" s="60" t="s">
        <v>1</v>
      </c>
      <c r="F3" s="60" t="s">
        <v>12</v>
      </c>
      <c r="G3" s="4" t="s">
        <v>2</v>
      </c>
    </row>
    <row r="4" spans="1:9" x14ac:dyDescent="0.3">
      <c r="A4" t="s">
        <v>26</v>
      </c>
      <c r="D4" s="22">
        <f>'PTRM input '!D14</f>
        <v>12795860.203506682</v>
      </c>
      <c r="E4" s="22">
        <f>'PTRM input '!E14</f>
        <v>477640.20981994079</v>
      </c>
      <c r="F4" s="22">
        <f>'PTRM input '!F14</f>
        <v>60767.852810279539</v>
      </c>
      <c r="G4" s="16">
        <f>SUM(D4:F4)</f>
        <v>13334268.266136903</v>
      </c>
    </row>
    <row r="6" spans="1:9" x14ac:dyDescent="0.3">
      <c r="A6" t="s">
        <v>64</v>
      </c>
      <c r="D6" s="14">
        <f>D14*25%</f>
        <v>2607586.9169115997</v>
      </c>
      <c r="E6" s="14">
        <f>E14*25%</f>
        <v>89627.873630895177</v>
      </c>
      <c r="F6" s="14">
        <f>F14*25%</f>
        <v>1435.0765940615286</v>
      </c>
      <c r="G6" s="15">
        <f>SUM(D6:F6)</f>
        <v>2698649.8671365567</v>
      </c>
      <c r="H6" s="59"/>
    </row>
    <row r="9" spans="1:9" s="5" customFormat="1" x14ac:dyDescent="0.3">
      <c r="A9" s="5" t="s">
        <v>51</v>
      </c>
      <c r="D9" s="16">
        <f>D4+D6</f>
        <v>15403447.120418282</v>
      </c>
      <c r="E9" s="16">
        <f t="shared" ref="E9:G9" si="0">E4+E6</f>
        <v>567268.08345083601</v>
      </c>
      <c r="F9" s="16">
        <f t="shared" si="0"/>
        <v>62202.92940434107</v>
      </c>
      <c r="G9" s="16">
        <f t="shared" si="0"/>
        <v>16032918.13327346</v>
      </c>
    </row>
    <row r="12" spans="1:9" s="5" customFormat="1" x14ac:dyDescent="0.3">
      <c r="A12" t="s">
        <v>63</v>
      </c>
      <c r="B12"/>
      <c r="C12"/>
      <c r="D12" s="2">
        <v>10568148.462065969</v>
      </c>
      <c r="E12" s="2">
        <v>372909.50000000582</v>
      </c>
      <c r="F12" s="2">
        <v>6129.6500000000005</v>
      </c>
      <c r="G12" s="15">
        <f>SUM(D12:F12)</f>
        <v>10947187.612065975</v>
      </c>
      <c r="H12" s="59" t="s">
        <v>73</v>
      </c>
      <c r="I12" s="59"/>
    </row>
    <row r="13" spans="1:9" x14ac:dyDescent="0.3">
      <c r="D13" s="2"/>
      <c r="E13" s="2"/>
      <c r="F13" s="2"/>
      <c r="G13" s="2"/>
      <c r="H13" s="2"/>
      <c r="I13" s="2"/>
    </row>
    <row r="14" spans="1:9" s="5" customFormat="1" x14ac:dyDescent="0.3">
      <c r="A14" t="s">
        <v>71</v>
      </c>
      <c r="B14"/>
      <c r="C14"/>
      <c r="D14" s="2">
        <f>D12*'PTRM input '!D4</f>
        <v>10430347.667646399</v>
      </c>
      <c r="E14" s="2">
        <f>E12*'PTRM input '!E4</f>
        <v>358511.49452358071</v>
      </c>
      <c r="F14" s="2">
        <f>F12*'PTRM input '!F4</f>
        <v>5740.3063762461143</v>
      </c>
      <c r="G14" s="15">
        <f>SUM(D14:F14)</f>
        <v>10794599.468546227</v>
      </c>
      <c r="H14" s="59"/>
      <c r="I14" s="59"/>
    </row>
    <row r="17" spans="1:1" x14ac:dyDescent="0.3">
      <c r="A17" s="5" t="s">
        <v>73</v>
      </c>
    </row>
    <row r="18" spans="1:1" x14ac:dyDescent="0.3">
      <c r="A18" t="s">
        <v>74</v>
      </c>
    </row>
    <row r="19" spans="1:1" x14ac:dyDescent="0.3">
      <c r="A19" t="s">
        <v>75</v>
      </c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&amp;COFFICIAL</oddHeader>
    <oddFooter>&amp;COFFICIAL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9877e4c-3db4-47b3-8d6f-f4cde6880cfe" xsi:nil="true"/>
    <lcf76f155ced4ddcb4097134ff3c332f xmlns="897fece7-7add-473b-ac43-dcab17d01e10">
      <Terms xmlns="http://schemas.microsoft.com/office/infopath/2007/PartnerControls"/>
    </lcf76f155ced4ddcb4097134ff3c332f>
    <Notes xmlns="897fece7-7add-473b-ac43-dcab17d01e10" xsi:nil="true"/>
    <Meetingdate xmlns="897fece7-7add-473b-ac43-dcab17d01e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ADB6AF000B0141985D43A2300C72BE" ma:contentTypeVersion="19" ma:contentTypeDescription="Create a new document." ma:contentTypeScope="" ma:versionID="4f869430c7ace80c7d7ec03dedfbb299">
  <xsd:schema xmlns:xsd="http://www.w3.org/2001/XMLSchema" xmlns:xs="http://www.w3.org/2001/XMLSchema" xmlns:p="http://schemas.microsoft.com/office/2006/metadata/properties" xmlns:ns1="http://schemas.microsoft.com/sharepoint/v3" xmlns:ns2="897fece7-7add-473b-ac43-dcab17d01e10" xmlns:ns3="d9877e4c-3db4-47b3-8d6f-f4cde6880cfe" targetNamespace="http://schemas.microsoft.com/office/2006/metadata/properties" ma:root="true" ma:fieldsID="646d93bfd71cff3aa0763b6f55640a00" ns1:_="" ns2:_="" ns3:_="">
    <xsd:import namespace="http://schemas.microsoft.com/sharepoint/v3"/>
    <xsd:import namespace="897fece7-7add-473b-ac43-dcab17d01e10"/>
    <xsd:import namespace="d9877e4c-3db4-47b3-8d6f-f4cde6880cfe"/>
    <xsd:element name="properties">
      <xsd:complexType>
        <xsd:sequence>
          <xsd:element name="documentManagement">
            <xsd:complexType>
              <xsd:all>
                <xsd:element ref="ns2:Meetingdate" minOccurs="0"/>
                <xsd:element ref="ns2:Note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fece7-7add-473b-ac43-dcab17d01e10" elementFormDefault="qualified">
    <xsd:import namespace="http://schemas.microsoft.com/office/2006/documentManagement/types"/>
    <xsd:import namespace="http://schemas.microsoft.com/office/infopath/2007/PartnerControls"/>
    <xsd:element name="Meetingdate" ma:index="2" nillable="true" ma:displayName="Meeting date" ma:format="Dropdown" ma:internalName="Meetingdate" ma:readOnly="false">
      <xsd:simpleType>
        <xsd:restriction base="dms:Text">
          <xsd:maxLength value="255"/>
        </xsd:restriction>
      </xsd:simpleType>
    </xsd:element>
    <xsd:element name="Notes" ma:index="3" nillable="true" ma:displayName="Notes" ma:format="Dropdown" ma:internalName="Notes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56b384c-9940-4a30-bae3-2bf88f9642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77e4c-3db4-47b3-8d6f-f4cde6880cf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8c0c5f4-9034-487c-91c7-0ba584a77eb0}" ma:internalName="TaxCatchAll" ma:readOnly="false" ma:showField="CatchAllData" ma:web="d9877e4c-3db4-47b3-8d6f-f4cde6880c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517FC-9539-4353-AD07-B730473DA1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4652F5-BCAA-498D-8238-DD1478724602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897fece7-7add-473b-ac43-dcab17d01e10"/>
    <ds:schemaRef ds:uri="http://schemas.microsoft.com/office/2006/metadata/properties"/>
    <ds:schemaRef ds:uri="http://schemas.microsoft.com/office/infopath/2007/PartnerControls"/>
    <ds:schemaRef ds:uri="d9877e4c-3db4-47b3-8d6f-f4cde6880cfe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565EC3C-2C82-4254-B6CD-95C221099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7fece7-7add-473b-ac43-dcab17d01e10"/>
    <ds:schemaRef ds:uri="d9877e4c-3db4-47b3-8d6f-f4cde6880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54b99d-9596-4774-8cd8-9830ea29b972}" enabled="1" method="Standard" siteId="{76c58198-c574-4bd9-84c3-598d38f5b8c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PTRM input </vt:lpstr>
      <vt:lpstr>Direct costs</vt:lpstr>
      <vt:lpstr>Capitalised Overheads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Pope</dc:creator>
  <cp:keywords/>
  <dc:description/>
  <cp:lastModifiedBy>Christina Gornall</cp:lastModifiedBy>
  <cp:revision/>
  <cp:lastPrinted>2026-09-06T22:59:46Z</cp:lastPrinted>
  <dcterms:created xsi:type="dcterms:W3CDTF">2026-01-29T03:10:14Z</dcterms:created>
  <dcterms:modified xsi:type="dcterms:W3CDTF">2026-09-07T00:01:35Z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0x01010049ADB6AF000B0141985D43A2300C72BE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