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JGN AA 2020-25\6DraftDecision\Public Model\"/>
    </mc:Choice>
  </mc:AlternateContent>
  <bookViews>
    <workbookView xWindow="2130" yWindow="1560" windowWidth="8670" windowHeight="478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abba" hidden="1">{"Ownership",#N/A,FALSE,"Ownership";"Contents",#N/A,FALSE,"Contents"}</definedName>
    <definedName name="anscount" hidden="1">1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62913"/>
</workbook>
</file>

<file path=xl/calcChain.xml><?xml version="1.0" encoding="utf-8"?>
<calcChain xmlns="http://schemas.openxmlformats.org/spreadsheetml/2006/main">
  <c r="F37" i="42" l="1"/>
  <c r="L47" i="58" l="1"/>
  <c r="F62" i="55" l="1"/>
  <c r="F60" i="55"/>
  <c r="F61" i="55" s="1"/>
  <c r="G61" i="55" s="1"/>
  <c r="G58" i="55"/>
  <c r="G57" i="55"/>
  <c r="G56" i="55"/>
  <c r="G55" i="55"/>
  <c r="G54" i="55"/>
  <c r="F64" i="55" l="1"/>
  <c r="G64" i="55" s="1"/>
  <c r="G60" i="55"/>
  <c r="G62" i="55"/>
  <c r="F59" i="55"/>
  <c r="G59" i="55" s="1"/>
  <c r="F63" i="55" l="1"/>
  <c r="G63" i="55" s="1"/>
  <c r="J91" i="2" l="1" a="1"/>
  <c r="J91" i="2" s="1"/>
  <c r="K91" i="2" a="1"/>
  <c r="K91" i="2" s="1"/>
  <c r="L91" i="2" a="1"/>
  <c r="L91" i="2" s="1"/>
  <c r="M91" i="2" a="1"/>
  <c r="M91" i="2" s="1"/>
  <c r="T104" i="2" l="1"/>
  <c r="S104" i="2"/>
  <c r="R104" i="2"/>
  <c r="Q104" i="2"/>
  <c r="T65" i="55" l="1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6" i="16"/>
  <c r="C15" i="16"/>
  <c r="C14" i="16"/>
  <c r="C13" i="16"/>
  <c r="C12" i="16"/>
  <c r="C11" i="16"/>
  <c r="G70" i="4"/>
  <c r="G69" i="4"/>
  <c r="G68" i="4"/>
  <c r="G67" i="4"/>
  <c r="G75" i="4"/>
  <c r="G74" i="4"/>
  <c r="G73" i="4"/>
  <c r="G72" i="4"/>
  <c r="G65" i="4"/>
  <c r="H65" i="4"/>
  <c r="F47" i="58" l="1"/>
  <c r="F42" i="58"/>
  <c r="F43" i="58"/>
  <c r="F44" i="58"/>
  <c r="F45" i="58"/>
  <c r="F41" i="58"/>
  <c r="C79" i="4" l="1"/>
  <c r="K47" i="58" l="1"/>
  <c r="M47" i="58"/>
  <c r="N47" i="58"/>
  <c r="O47" i="58"/>
  <c r="P47" i="58"/>
  <c r="Q47" i="58"/>
  <c r="R47" i="58"/>
  <c r="S47" i="58"/>
  <c r="J47" i="58"/>
  <c r="W56" i="58"/>
  <c r="W29" i="58"/>
  <c r="C95" i="2" l="1" a="1"/>
  <c r="C98" i="2" s="1"/>
  <c r="T91" i="2" a="1"/>
  <c r="T91" i="2" s="1"/>
  <c r="S91" i="2" a="1"/>
  <c r="S91" i="2" s="1"/>
  <c r="R91" i="2" a="1"/>
  <c r="R91" i="2" s="1"/>
  <c r="Q91" i="2"/>
  <c r="Q91" i="2" a="1"/>
  <c r="P91" i="2" a="1"/>
  <c r="P91" i="2" s="1"/>
  <c r="O91" i="2" a="1"/>
  <c r="O91" i="2" s="1"/>
  <c r="N91" i="2" a="1"/>
  <c r="N91" i="2" s="1"/>
  <c r="C89" i="2"/>
  <c r="C88" i="2"/>
  <c r="C87" i="2"/>
  <c r="C86" i="2"/>
  <c r="C85" i="2"/>
  <c r="C84" i="2"/>
  <c r="W91" i="2" l="1"/>
  <c r="C95" i="2"/>
  <c r="C96" i="2"/>
  <c r="C97" i="2"/>
  <c r="S1" i="58" l="1"/>
  <c r="F38" i="53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8" i="58"/>
  <c r="E28" i="42" s="1"/>
  <c r="F35" i="42" l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1" i="4"/>
  <c r="G66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H69" i="4"/>
  <c r="H68" i="4"/>
  <c r="H67" i="4"/>
  <c r="H75" i="4"/>
  <c r="H74" i="4"/>
  <c r="H73" i="4"/>
  <c r="H72" i="4"/>
  <c r="H71" i="4"/>
  <c r="H66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O35" i="42" s="1"/>
  <c r="N4" i="42"/>
  <c r="M4" i="42"/>
  <c r="L4" i="42"/>
  <c r="K4" i="42"/>
  <c r="K35" i="42" s="1"/>
  <c r="J4" i="42"/>
  <c r="J35" i="42" s="1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3" i="2" s="1"/>
  <c r="T4" i="2"/>
  <c r="T93" i="2" s="1"/>
  <c r="S4" i="2"/>
  <c r="S93" i="2" s="1"/>
  <c r="R4" i="2"/>
  <c r="R93" i="2" s="1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N34" i="58" l="1"/>
  <c r="R34" i="58"/>
  <c r="R96" i="2"/>
  <c r="R95" i="2"/>
  <c r="R98" i="2"/>
  <c r="R97" i="2"/>
  <c r="K97" i="2"/>
  <c r="K96" i="2"/>
  <c r="K95" i="2"/>
  <c r="K98" i="2"/>
  <c r="O97" i="2"/>
  <c r="O96" i="2"/>
  <c r="O95" i="2"/>
  <c r="O98" i="2"/>
  <c r="S97" i="2"/>
  <c r="S96" i="2"/>
  <c r="S95" i="2"/>
  <c r="S98" i="2"/>
  <c r="L98" i="2"/>
  <c r="L97" i="2"/>
  <c r="L96" i="2"/>
  <c r="L95" i="2"/>
  <c r="P98" i="2"/>
  <c r="P97" i="2"/>
  <c r="P96" i="2"/>
  <c r="P95" i="2"/>
  <c r="T98" i="2"/>
  <c r="T97" i="2"/>
  <c r="T95" i="2"/>
  <c r="T96" i="2"/>
  <c r="N96" i="2"/>
  <c r="N97" i="2"/>
  <c r="N98" i="2"/>
  <c r="N95" i="2"/>
  <c r="M95" i="2"/>
  <c r="M98" i="2"/>
  <c r="M97" i="2"/>
  <c r="M96" i="2"/>
  <c r="Q95" i="2"/>
  <c r="Q98" i="2"/>
  <c r="Q97" i="2"/>
  <c r="Q96" i="2"/>
  <c r="J96" i="2"/>
  <c r="J97" i="2"/>
  <c r="J95" i="2"/>
  <c r="J98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K33" i="42"/>
  <c r="Q33" i="42"/>
  <c r="S33" i="42"/>
  <c r="L12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S12" i="2" s="1"/>
  <c r="O10" i="2"/>
  <c r="O12" i="2" s="1"/>
  <c r="K10" i="2"/>
  <c r="K12" i="2" s="1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J12" i="2" s="1"/>
  <c r="Q10" i="2"/>
  <c r="Q12" i="2" s="1"/>
  <c r="M10" i="2"/>
  <c r="M12" i="2" s="1"/>
  <c r="K14" i="2"/>
  <c r="O14" i="2"/>
  <c r="S14" i="2"/>
  <c r="J47" i="2"/>
  <c r="M73" i="2"/>
  <c r="Q73" i="2"/>
  <c r="J102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L12" i="2" s="1"/>
  <c r="P62" i="2"/>
  <c r="P73" i="2"/>
  <c r="P14" i="2"/>
  <c r="P10" i="2"/>
  <c r="P12" i="2" s="1"/>
  <c r="R62" i="2"/>
  <c r="R73" i="2"/>
  <c r="R14" i="2"/>
  <c r="R10" i="2"/>
  <c r="R12" i="2" s="1"/>
  <c r="T62" i="2"/>
  <c r="T73" i="2"/>
  <c r="T14" i="2"/>
  <c r="T10" i="2"/>
  <c r="T12" i="2" s="1"/>
  <c r="J26" i="53"/>
  <c r="J10" i="53"/>
  <c r="R26" i="53"/>
  <c r="R10" i="53"/>
  <c r="L49" i="42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34" i="58"/>
  <c r="Q10" i="58"/>
  <c r="N62" i="2"/>
  <c r="N73" i="2"/>
  <c r="N14" i="2"/>
  <c r="N10" i="2"/>
  <c r="N12" i="2" s="1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6" i="58"/>
  <c r="E49" i="42" s="1"/>
  <c r="E65" i="58"/>
  <c r="E46" i="42" s="1"/>
  <c r="E64" i="58"/>
  <c r="E43" i="42" s="1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K14" i="42" l="1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1" i="42" s="1"/>
  <c r="L88" i="42"/>
  <c r="L72" i="42"/>
  <c r="L58" i="42"/>
  <c r="L61" i="42" s="1"/>
  <c r="N88" i="42"/>
  <c r="N72" i="42"/>
  <c r="N58" i="42"/>
  <c r="N61" i="42" s="1"/>
  <c r="P88" i="42"/>
  <c r="P72" i="42"/>
  <c r="P58" i="42"/>
  <c r="P61" i="42" s="1"/>
  <c r="R88" i="42"/>
  <c r="R72" i="42"/>
  <c r="R58" i="42"/>
  <c r="R61" i="42" s="1"/>
  <c r="K58" i="42"/>
  <c r="K61" i="42" s="1"/>
  <c r="M58" i="42"/>
  <c r="M61" i="42" s="1"/>
  <c r="O58" i="42"/>
  <c r="O61" i="42" s="1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06" i="2"/>
  <c r="J71" i="2"/>
  <c r="J45" i="2"/>
  <c r="S71" i="2"/>
  <c r="Q71" i="2"/>
  <c r="O71" i="2"/>
  <c r="M71" i="2"/>
  <c r="K71" i="2"/>
  <c r="J68" i="42" l="1" a="1"/>
  <c r="J68" i="42" s="1"/>
  <c r="L68" i="42" a="1"/>
  <c r="L68" i="42" s="1"/>
  <c r="K68" i="42" a="1"/>
  <c r="K68" i="42" s="1"/>
  <c r="K100" i="42"/>
  <c r="K13" i="44" s="1"/>
  <c r="K101" i="42"/>
  <c r="K102" i="42" s="1"/>
  <c r="L101" i="42"/>
  <c r="L102" i="42" s="1"/>
  <c r="L100" i="42"/>
  <c r="L13" i="44" s="1"/>
  <c r="J100" i="42"/>
  <c r="J13" i="44" s="1"/>
  <c r="J101" i="42"/>
  <c r="J102" i="42" s="1"/>
  <c r="W71" i="2"/>
  <c r="W22" i="53"/>
  <c r="W40" i="53"/>
  <c r="W32" i="53"/>
  <c r="W58" i="2"/>
  <c r="W106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S1" i="53"/>
  <c r="G14" i="16" s="1"/>
  <c r="D12" i="16"/>
  <c r="D13" i="16"/>
  <c r="D14" i="16"/>
  <c r="D15" i="16"/>
  <c r="D16" i="16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s="1" a="1"/>
  <c r="M68" i="42" s="1"/>
  <c r="N68" i="42" l="1" a="1"/>
  <c r="N68" i="42" s="1"/>
  <c r="S1" i="16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W1" i="55"/>
  <c r="V1" i="58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N20" i="2"/>
  <c r="J16" i="2"/>
  <c r="K16" i="2" s="1"/>
  <c r="K25" i="2" s="1"/>
  <c r="K17" i="2"/>
  <c r="K26" i="2" s="1"/>
  <c r="L18" i="2"/>
  <c r="L27" i="2" s="1"/>
  <c r="D21" i="2"/>
  <c r="E21" i="2"/>
  <c r="D17" i="2"/>
  <c r="E17" i="2"/>
  <c r="E18" i="2"/>
  <c r="D18" i="2"/>
  <c r="E30" i="2"/>
  <c r="D30" i="2"/>
  <c r="S30" i="2"/>
  <c r="R13" i="42" s="1"/>
  <c r="R26" i="42" s="1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P13" i="42" s="1"/>
  <c r="P26" i="42" s="1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S13" i="42" l="1"/>
  <c r="S26" i="42" s="1"/>
  <c r="P20" i="42"/>
  <c r="S20" i="42"/>
  <c r="R20" i="42"/>
  <c r="Q20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N19" i="2"/>
  <c r="N28" i="2" s="1"/>
  <c r="Q13" i="42"/>
  <c r="Q26" i="42" s="1"/>
  <c r="J25" i="2"/>
  <c r="N29" i="2"/>
  <c r="M20" i="42" l="1"/>
  <c r="M16" i="2"/>
  <c r="M25" i="2" s="1"/>
  <c r="L21" i="2"/>
  <c r="L20" i="2"/>
  <c r="L29" i="2" s="1"/>
  <c r="M17" i="2"/>
  <c r="K19" i="2"/>
  <c r="K28" i="2" s="1"/>
  <c r="O19" i="2"/>
  <c r="O28" i="2" s="1"/>
  <c r="N20" i="42" s="1"/>
  <c r="N18" i="2"/>
  <c r="N27" i="2" s="1"/>
  <c r="J18" i="2"/>
  <c r="J27" i="2" s="1"/>
  <c r="P28" i="2"/>
  <c r="O20" i="42" s="1"/>
  <c r="P26" i="2"/>
  <c r="P27" i="2"/>
  <c r="M30" i="2"/>
  <c r="M13" i="42"/>
  <c r="M26" i="42" s="1"/>
  <c r="M27" i="2"/>
  <c r="N16" i="2" l="1"/>
  <c r="N25" i="2" s="1"/>
  <c r="N13" i="42"/>
  <c r="N26" i="42" s="1"/>
  <c r="O13" i="42"/>
  <c r="O26" i="42" s="1"/>
  <c r="L20" i="42"/>
  <c r="L13" i="42"/>
  <c r="K21" i="2"/>
  <c r="O18" i="2"/>
  <c r="J19" i="2"/>
  <c r="J28" i="2" s="1"/>
  <c r="N17" i="2"/>
  <c r="M26" i="2"/>
  <c r="K20" i="2"/>
  <c r="K29" i="2" s="1"/>
  <c r="L30" i="2"/>
  <c r="O16" i="2" l="1"/>
  <c r="L26" i="42"/>
  <c r="K17" i="42"/>
  <c r="N24" i="42"/>
  <c r="Q22" i="42"/>
  <c r="N22" i="42"/>
  <c r="S22" i="42"/>
  <c r="Q24" i="42"/>
  <c r="S15" i="42"/>
  <c r="O15" i="42"/>
  <c r="O74" i="42"/>
  <c r="M38" i="42"/>
  <c r="O38" i="42"/>
  <c r="S38" i="42"/>
  <c r="Q38" i="42"/>
  <c r="L38" i="42"/>
  <c r="K74" i="42"/>
  <c r="R38" i="42"/>
  <c r="R74" i="42"/>
  <c r="P74" i="42"/>
  <c r="P38" i="42"/>
  <c r="J74" i="42"/>
  <c r="M74" i="42"/>
  <c r="L74" i="42"/>
  <c r="J38" i="42"/>
  <c r="S74" i="42"/>
  <c r="N38" i="42"/>
  <c r="Q74" i="42"/>
  <c r="N74" i="42"/>
  <c r="K38" i="42"/>
  <c r="Q17" i="42"/>
  <c r="R22" i="42"/>
  <c r="J17" i="42"/>
  <c r="L17" i="42"/>
  <c r="N15" i="42"/>
  <c r="R17" i="42"/>
  <c r="S24" i="42"/>
  <c r="R15" i="42"/>
  <c r="N17" i="42"/>
  <c r="J15" i="42"/>
  <c r="L31" i="42" s="1"/>
  <c r="R24" i="42"/>
  <c r="O17" i="42"/>
  <c r="P17" i="42"/>
  <c r="P15" i="42"/>
  <c r="Q15" i="42"/>
  <c r="K24" i="42"/>
  <c r="K13" i="42"/>
  <c r="K26" i="42" s="1"/>
  <c r="K20" i="42"/>
  <c r="K15" i="42"/>
  <c r="M15" i="42"/>
  <c r="P24" i="42"/>
  <c r="O22" i="42"/>
  <c r="K22" i="42"/>
  <c r="M22" i="42"/>
  <c r="O24" i="42"/>
  <c r="J21" i="2"/>
  <c r="J30" i="2" s="1"/>
  <c r="J20" i="2"/>
  <c r="J29" i="2" s="1"/>
  <c r="O17" i="2"/>
  <c r="M29" i="42" s="1"/>
  <c r="N26" i="2"/>
  <c r="O27" i="2"/>
  <c r="P25" i="2"/>
  <c r="O25" i="2"/>
  <c r="K30" i="2"/>
  <c r="L24" i="42" l="1"/>
  <c r="J24" i="42"/>
  <c r="M24" i="42"/>
  <c r="J22" i="42"/>
  <c r="L22" i="42"/>
  <c r="P22" i="42"/>
  <c r="S17" i="42"/>
  <c r="J78" i="42"/>
  <c r="S78" i="42"/>
  <c r="Q76" i="42"/>
  <c r="M92" i="42"/>
  <c r="M16" i="44" s="1"/>
  <c r="O80" i="42"/>
  <c r="M76" i="42"/>
  <c r="K91" i="42"/>
  <c r="M44" i="42"/>
  <c r="M81" i="42"/>
  <c r="R47" i="42"/>
  <c r="L80" i="42"/>
  <c r="N76" i="42"/>
  <c r="J80" i="42"/>
  <c r="O29" i="42"/>
  <c r="M50" i="42"/>
  <c r="J90" i="42"/>
  <c r="L92" i="42"/>
  <c r="J41" i="42"/>
  <c r="L78" i="42"/>
  <c r="Q44" i="42"/>
  <c r="O82" i="42"/>
  <c r="K81" i="42"/>
  <c r="L82" i="42"/>
  <c r="Q41" i="42"/>
  <c r="Q75" i="42"/>
  <c r="Q50" i="42"/>
  <c r="J92" i="42"/>
  <c r="O77" i="42"/>
  <c r="O90" i="42"/>
  <c r="O14" i="44" s="1"/>
  <c r="N41" i="42"/>
  <c r="P44" i="42"/>
  <c r="P90" i="42"/>
  <c r="P14" i="44" s="1"/>
  <c r="L29" i="42"/>
  <c r="N78" i="42"/>
  <c r="N75" i="42"/>
  <c r="O76" i="42"/>
  <c r="K90" i="42"/>
  <c r="M90" i="42"/>
  <c r="N47" i="42"/>
  <c r="P82" i="42"/>
  <c r="L50" i="42"/>
  <c r="N50" i="42"/>
  <c r="J81" i="42"/>
  <c r="L77" i="42"/>
  <c r="S91" i="42"/>
  <c r="S15" i="44" s="1"/>
  <c r="P77" i="42"/>
  <c r="O75" i="42"/>
  <c r="N44" i="42"/>
  <c r="P91" i="42"/>
  <c r="P15" i="44" s="1"/>
  <c r="Q77" i="42"/>
  <c r="Q91" i="42"/>
  <c r="Q15" i="44" s="1"/>
  <c r="J77" i="42"/>
  <c r="K50" i="42"/>
  <c r="N29" i="42"/>
  <c r="J79" i="42"/>
  <c r="Q82" i="42"/>
  <c r="N82" i="42"/>
  <c r="S90" i="42"/>
  <c r="S14" i="44" s="1"/>
  <c r="P29" i="42"/>
  <c r="K44" i="42"/>
  <c r="J76" i="42"/>
  <c r="P75" i="42"/>
  <c r="S92" i="42"/>
  <c r="S16" i="44" s="1"/>
  <c r="J82" i="42"/>
  <c r="Q79" i="42"/>
  <c r="J47" i="42"/>
  <c r="K47" i="42"/>
  <c r="R76" i="42"/>
  <c r="J50" i="42"/>
  <c r="R90" i="42"/>
  <c r="R14" i="44" s="1"/>
  <c r="P76" i="42"/>
  <c r="L44" i="42"/>
  <c r="L47" i="42"/>
  <c r="R75" i="42"/>
  <c r="S41" i="42"/>
  <c r="O79" i="42"/>
  <c r="Q78" i="42"/>
  <c r="N91" i="42"/>
  <c r="N15" i="44" s="1"/>
  <c r="O91" i="42"/>
  <c r="O15" i="44" s="1"/>
  <c r="R44" i="42"/>
  <c r="R91" i="42"/>
  <c r="R15" i="44" s="1"/>
  <c r="R50" i="42"/>
  <c r="K82" i="42"/>
  <c r="O81" i="42"/>
  <c r="S77" i="42"/>
  <c r="O92" i="42"/>
  <c r="O16" i="44" s="1"/>
  <c r="R92" i="42"/>
  <c r="R16" i="44" s="1"/>
  <c r="N77" i="42"/>
  <c r="N81" i="42"/>
  <c r="K78" i="42"/>
  <c r="L79" i="42"/>
  <c r="M41" i="42"/>
  <c r="M78" i="42"/>
  <c r="L91" i="42"/>
  <c r="N90" i="42"/>
  <c r="P47" i="42"/>
  <c r="R81" i="42"/>
  <c r="Q81" i="42"/>
  <c r="M47" i="42"/>
  <c r="S76" i="42"/>
  <c r="P81" i="42"/>
  <c r="R41" i="42"/>
  <c r="S79" i="42"/>
  <c r="L41" i="42"/>
  <c r="J29" i="42"/>
  <c r="P41" i="42"/>
  <c r="L76" i="42"/>
  <c r="Q29" i="42"/>
  <c r="K80" i="42"/>
  <c r="P50" i="42"/>
  <c r="Q80" i="42"/>
  <c r="K41" i="42"/>
  <c r="R29" i="42"/>
  <c r="S47" i="42"/>
  <c r="L90" i="42"/>
  <c r="L94" i="42" s="1"/>
  <c r="Q92" i="42"/>
  <c r="Q16" i="44" s="1"/>
  <c r="N79" i="42"/>
  <c r="M91" i="42"/>
  <c r="M15" i="44" s="1"/>
  <c r="S75" i="42"/>
  <c r="O78" i="42"/>
  <c r="J91" i="42"/>
  <c r="P78" i="42"/>
  <c r="Q47" i="42"/>
  <c r="O47" i="42"/>
  <c r="K92" i="42"/>
  <c r="S82" i="42"/>
  <c r="L75" i="42"/>
  <c r="R78" i="42"/>
  <c r="S50" i="42"/>
  <c r="M82" i="42"/>
  <c r="O50" i="42"/>
  <c r="O44" i="42"/>
  <c r="L81" i="42"/>
  <c r="O41" i="42"/>
  <c r="P92" i="42"/>
  <c r="P16" i="44" s="1"/>
  <c r="N80" i="42"/>
  <c r="K75" i="42"/>
  <c r="S81" i="42"/>
  <c r="M80" i="42"/>
  <c r="R82" i="42"/>
  <c r="K76" i="42"/>
  <c r="J44" i="42"/>
  <c r="R77" i="42"/>
  <c r="M77" i="42"/>
  <c r="S80" i="42"/>
  <c r="R80" i="42"/>
  <c r="Q90" i="42"/>
  <c r="Q14" i="44" s="1"/>
  <c r="P79" i="42"/>
  <c r="K77" i="42"/>
  <c r="J75" i="42"/>
  <c r="M79" i="42"/>
  <c r="K29" i="42"/>
  <c r="S44" i="42"/>
  <c r="R79" i="42"/>
  <c r="S29" i="42"/>
  <c r="M75" i="42"/>
  <c r="P80" i="42"/>
  <c r="N92" i="42"/>
  <c r="N16" i="44" s="1"/>
  <c r="K79" i="42"/>
  <c r="N14" i="44"/>
  <c r="M14" i="44"/>
  <c r="J13" i="42"/>
  <c r="J26" i="42" s="1"/>
  <c r="J20" i="42"/>
  <c r="O26" i="2"/>
  <c r="O33" i="42"/>
  <c r="S52" i="42" l="1"/>
  <c r="S54" i="42" s="1"/>
  <c r="K52" i="42"/>
  <c r="K54" i="42" s="1"/>
  <c r="J52" i="42"/>
  <c r="J54" i="42" s="1"/>
  <c r="R94" i="42"/>
  <c r="J94" i="42"/>
  <c r="S94" i="42"/>
  <c r="K94" i="42"/>
  <c r="O94" i="42"/>
  <c r="J84" i="42"/>
  <c r="O84" i="42"/>
  <c r="P94" i="42"/>
  <c r="N94" i="42"/>
  <c r="M84" i="42"/>
  <c r="N84" i="42"/>
  <c r="P52" i="42"/>
  <c r="P54" i="42" s="1"/>
  <c r="P84" i="42"/>
  <c r="S84" i="42"/>
  <c r="R52" i="42"/>
  <c r="R54" i="42" s="1"/>
  <c r="R84" i="42"/>
  <c r="Q84" i="42"/>
  <c r="L84" i="42"/>
  <c r="Q52" i="42"/>
  <c r="Q54" i="42" s="1"/>
  <c r="K84" i="42"/>
  <c r="M94" i="42"/>
  <c r="Q94" i="42"/>
  <c r="L35" i="42"/>
  <c r="M35" i="42"/>
  <c r="L33" i="42"/>
  <c r="L52" i="42" s="1"/>
  <c r="N35" i="42"/>
  <c r="O52" i="42"/>
  <c r="O54" i="42" s="1"/>
  <c r="L54" i="42" l="1"/>
  <c r="M100" i="42" l="1"/>
  <c r="M13" i="44" s="1"/>
  <c r="M101" i="42"/>
  <c r="M102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N101" i="42" s="1"/>
  <c r="N102" i="42" s="1"/>
  <c r="N100" i="42"/>
  <c r="N13" i="44" s="1"/>
  <c r="Q100" i="42" l="1"/>
  <c r="Q101" i="42"/>
  <c r="S101" i="42"/>
  <c r="R100" i="42"/>
  <c r="P101" i="42"/>
  <c r="R101" i="42"/>
  <c r="O101" i="42"/>
  <c r="O100" i="42"/>
  <c r="P100" i="42"/>
  <c r="S100" i="42"/>
  <c r="P102" i="42" l="1"/>
  <c r="S102" i="42"/>
  <c r="Q102" i="42"/>
  <c r="O102" i="42"/>
  <c r="S13" i="44"/>
  <c r="R13" i="44"/>
  <c r="O13" i="44"/>
  <c r="P13" i="44"/>
  <c r="Q13" i="44"/>
  <c r="R102" i="42"/>
</calcChain>
</file>

<file path=xl/sharedStrings.xml><?xml version="1.0" encoding="utf-8"?>
<sst xmlns="http://schemas.openxmlformats.org/spreadsheetml/2006/main" count="710" uniqueCount="214">
  <si>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</si>
  <si>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</si>
  <si>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</si>
  <si>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</si>
  <si>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</si>
  <si>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</si>
  <si>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</si>
  <si>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</si>
  <si>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</si>
  <si>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</si>
  <si>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</si>
  <si>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</si>
  <si>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</si>
  <si>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</si>
  <si>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</si>
  <si>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</si>
  <si>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</si>
  <si>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</si>
  <si>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</si>
  <si>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</si>
  <si>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</si>
  <si>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</si>
  <si>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</si>
  <si>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</si>
  <si>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</si>
  <si>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</si>
  <si>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</si>
  <si>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</si>
  <si>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</si>
  <si>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</si>
  <si>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</si>
  <si>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</si>
  <si>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</si>
  <si>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</si>
  <si>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</si>
  <si>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</si>
  <si>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</si>
  <si>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</si>
  <si>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</si>
  <si>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</si>
  <si>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</si>
  <si>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</si>
  <si>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</si>
  <si>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</si>
  <si>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</si>
  <si>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</si>
  <si>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</si>
  <si>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</si>
  <si>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</si>
  <si>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</si>
  <si>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</si>
  <si>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</si>
  <si>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</si>
  <si>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</si>
  <si>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</si>
  <si>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</si>
  <si>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</si>
  <si>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</si>
  <si>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</si>
  <si>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</si>
  <si>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</si>
  <si>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</si>
  <si>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</si>
  <si>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</si>
  <si>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</si>
  <si>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</si>
  <si>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</si>
  <si>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</si>
  <si>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</si>
  <si>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</si>
  <si>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</si>
  <si>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</si>
  <si>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</si>
  <si>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</si>
  <si>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</si>
  <si>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</si>
  <si>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</si>
  <si>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</si>
  <si>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</si>
  <si>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</si>
  <si>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</si>
  <si>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</si>
  <si>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</si>
  <si>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</si>
  <si>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</si>
  <si>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</si>
  <si>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</si>
  <si>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</si>
  <si>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</si>
  <si>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</si>
  <si>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</si>
  <si>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</si>
  <si>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</si>
  <si>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</si>
  <si>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</si>
  <si>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</si>
  <si>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</si>
  <si>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</si>
  <si>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</si>
  <si>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</si>
  <si>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</si>
  <si>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</si>
  <si>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</si>
  <si>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</si>
  <si>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</si>
  <si>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</si>
  <si>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</si>
  <si>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</si>
  <si>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</si>
  <si>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</si>
  <si>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</si>
  <si>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</si>
  <si>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</si>
  <si>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</si>
  <si>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</si>
  <si>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</si>
  <si>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</si>
  <si>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</si>
  <si>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</si>
  <si>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</si>
  <si>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</si>
  <si>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</si>
  <si>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</si>
  <si>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</si>
  <si>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</si>
  <si>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</si>
  <si>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</si>
  <si>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</si>
  <si>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</si>
  <si>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</si>
  <si>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</si>
  <si>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</si>
  <si>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</si>
  <si>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</si>
  <si>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</si>
  <si>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</si>
  <si>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</si>
  <si>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</si>
  <si>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</si>
  <si>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</si>
  <si>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</si>
  <si>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</si>
  <si>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</si>
  <si>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</si>
  <si>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</si>
  <si>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</si>
  <si>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</si>
  <si>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</si>
  <si>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</si>
  <si>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</si>
  <si>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</si>
  <si>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</si>
  <si>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</si>
  <si>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</si>
  <si>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</si>
  <si>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</si>
  <si>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</si>
  <si>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</si>
  <si>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</si>
  <si>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</si>
  <si>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</si>
  <si>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</si>
  <si>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</si>
  <si>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</si>
  <si>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</si>
  <si>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</si>
  <si>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</si>
  <si>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</si>
  <si>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</si>
  <si>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</si>
  <si>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</si>
  <si>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</si>
  <si>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</si>
  <si>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</si>
  <si>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Customer numbers (#)</t>
  </si>
  <si>
    <t>Output weights</t>
  </si>
  <si>
    <t>SFA CD</t>
  </si>
  <si>
    <t>LSE CD</t>
  </si>
  <si>
    <t>Forecast output growth</t>
  </si>
  <si>
    <t>These inputs should be entered as positive values.</t>
  </si>
  <si>
    <t>Movement in provisions</t>
  </si>
  <si>
    <t>DMIA/DMIS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</si>
  <si>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</si>
  <si>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</si>
  <si>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</si>
  <si>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</si>
  <si>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</si>
  <si>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</si>
  <si>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</si>
  <si>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</si>
  <si>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</si>
  <si>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Previous period year 0</t>
  </si>
  <si>
    <t>Adjustments can be postive or negative.</t>
  </si>
  <si>
    <t>JGN</t>
  </si>
  <si>
    <t xml:space="preserve">Interpolated </t>
  </si>
  <si>
    <t>RBA statement of monetary policy inflation forecast,  August 2019, Appendix</t>
  </si>
  <si>
    <t>https://www.rba.gov.au/publications/smp/2019/aug/economic-outlook.html</t>
  </si>
  <si>
    <t>Unaccounted for gas</t>
  </si>
  <si>
    <t>Government levies</t>
  </si>
  <si>
    <t>Carbon costs</t>
  </si>
  <si>
    <t>UAG</t>
  </si>
  <si>
    <t>Mains Length (km)</t>
  </si>
  <si>
    <t>Expensing of corporate overheads</t>
  </si>
  <si>
    <t>Pigging and inspection costs</t>
  </si>
  <si>
    <t>Total UAG (tariff and demand market)</t>
  </si>
  <si>
    <t>Total Government levies (Mains tax and licence fees)</t>
  </si>
  <si>
    <t>Government levies (mains tax &amp; IPART fees)</t>
  </si>
  <si>
    <t>Pipeline fees</t>
  </si>
  <si>
    <t>Input | Rate of change</t>
  </si>
  <si>
    <t xml:space="preserve">Inputs the cost escalation weights, cost escalation forecast, and inflation actuals and forecast. </t>
  </si>
  <si>
    <t>Calculates the opex forecast.</t>
  </si>
  <si>
    <t>Calc | Opex Forecast</t>
  </si>
  <si>
    <t>Output | Models</t>
  </si>
  <si>
    <t>Outputs the forecasts needed as a post tax revenue model inputs.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</si>
</sst>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[$-C09]dd/mmm/yy;@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77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1" fillId="0" borderId="0"/>
    <xf numFmtId="0" fontId="90" fillId="50" borderId="29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20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3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4" fontId="5" fillId="41" borderId="3" xfId="2" applyNumberFormat="1" applyFont="1" applyFill="1" applyBorder="1" applyAlignment="1" applyProtection="1">
      <alignment horizontal="center"/>
      <protection locked="0"/>
    </xf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6" fillId="0" borderId="0" xfId="0" applyNumberFormat="1" applyFont="1" applyAlignment="1" applyProtection="1">
      <alignment horizontal="center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2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 applyAlignment="1">
      <alignment horizontal="center"/>
    </xf>
    <xf numFmtId="164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49" fontId="4" fillId="41" borderId="3" xfId="0" applyNumberFormat="1" applyFont="1" applyFill="1" applyBorder="1" applyAlignment="1" applyProtection="1">
      <alignment horizontal="left" indent="1"/>
    </xf>
    <xf numFmtId="0" fontId="12" fillId="0" borderId="0" xfId="3"/>
    <xf numFmtId="164" fontId="18" fillId="0" borderId="0" xfId="0" applyNumberFormat="1" applyFont="1" applyProtection="1"/>
    <xf numFmtId="0" fontId="72" fillId="38" borderId="2" xfId="0" applyNumberFormat="1" applyFont="1" applyFill="1" applyBorder="1" applyAlignment="1" applyProtection="1">
      <alignment horizontal="center"/>
    </xf>
  </cellXfs>
  <cellStyles count="277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10" xfId="271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5 2 2" xfId="276"/>
    <cellStyle name="Currency 6" xfId="272"/>
    <cellStyle name="D4_B8B1_005004B79812_.wvu.PrintTitlest" xfId="95"/>
    <cellStyle name="Date" xfId="96"/>
    <cellStyle name="Date 2" xfId="97"/>
    <cellStyle name="dms_1" xfId="265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0 2 2" xfId="274"/>
    <cellStyle name="Normal 11" xfId="264"/>
    <cellStyle name="Normal 11 3" xfId="269"/>
    <cellStyle name="Normal 12" xfId="268"/>
    <cellStyle name="Normal 13" xfId="137"/>
    <cellStyle name="Normal 13 2" xfId="7"/>
    <cellStyle name="Normal 13_29(d) - Gas extensions -tariffs" xfId="138"/>
    <cellStyle name="Normal 14" xfId="266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5 2 2" xfId="275"/>
    <cellStyle name="Percent 6" xfId="270"/>
    <cellStyle name="Percent 7" xfId="179"/>
    <cellStyle name="Percent 8" xfId="273"/>
    <cellStyle name="Percent 9" xfId="267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DBE5F1"/>
      <color rgb="FFDAEEF3"/>
      <color rgb="FF006100"/>
      <color rgb="FFC6EFCE"/>
      <color rgb="FF9C0006"/>
      <color rgb="FFFFFF99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ba.gov.au/publications/smp/2019/may/pdf/statement-on-monetary-policy-2019-05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190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208</v>
      </c>
      <c r="D10" s="7" t="s">
        <v>209</v>
      </c>
    </row>
    <row r="11" spans="1:47">
      <c r="C11" s="19" t="s">
        <v>60</v>
      </c>
      <c r="D11" s="7" t="s">
        <v>51</v>
      </c>
    </row>
    <row r="12" spans="1:47">
      <c r="C12" s="19" t="s">
        <v>211</v>
      </c>
      <c r="D12" s="7" t="s">
        <v>210</v>
      </c>
    </row>
    <row r="13" spans="1:47">
      <c r="C13" s="19" t="s">
        <v>212</v>
      </c>
      <c r="D13" s="7" t="s">
        <v>213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Normal="100" workbookViewId="0">
      <selection activeCell="U1" sqref="U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193</v>
      </c>
      <c r="H7" s="29"/>
      <c r="I7" s="29"/>
      <c r="S7" s="131" t="str">
        <f>IF(COUNTBLANK($G7),"Check","Ok")</f>
        <v>Ok</v>
      </c>
    </row>
    <row r="8" spans="1:47">
      <c r="C8" s="29" t="s">
        <v>138</v>
      </c>
      <c r="D8" s="30" t="s">
        <v>69</v>
      </c>
      <c r="E8" s="29"/>
      <c r="F8" s="29"/>
      <c r="G8" s="52" t="s">
        <v>139</v>
      </c>
      <c r="H8" s="29"/>
      <c r="I8" s="29"/>
      <c r="S8" s="131" t="str">
        <f>IF(COUNTBLANK($G8),"Check","Ok")</f>
        <v>Ok</v>
      </c>
    </row>
    <row r="9" spans="1:47">
      <c r="C9" s="29" t="s">
        <v>122</v>
      </c>
      <c r="D9" s="30" t="s">
        <v>68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153</v>
      </c>
      <c r="D10" s="30" t="s">
        <v>68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154</v>
      </c>
      <c r="D12" s="30" t="s">
        <v>68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C15" s="29" t="s">
        <v>186</v>
      </c>
      <c r="D15" s="30" t="s">
        <v>69</v>
      </c>
      <c r="E15" s="29"/>
      <c r="F15" s="29"/>
      <c r="G15" s="155" t="s">
        <v>189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4" priority="13" operator="equal">
      <formula>"Check"</formula>
    </cfRule>
    <cfRule type="cellIs" dxfId="193" priority="14" operator="equal">
      <formula>"Ok"</formula>
    </cfRule>
  </conditionalFormatting>
  <conditionalFormatting sqref="V1">
    <cfRule type="cellIs" dxfId="192" priority="3" operator="equal">
      <formula>"Check"</formula>
    </cfRule>
    <cfRule type="cellIs" dxfId="191" priority="4" operator="equal">
      <formula>"Ok"</formula>
    </cfRule>
  </conditionalFormatting>
  <conditionalFormatting sqref="S7:S15">
    <cfRule type="cellIs" dxfId="190" priority="5" operator="equal">
      <formula>"Check"</formula>
    </cfRule>
    <cfRule type="cellIs" dxfId="189" priority="6" operator="equal">
      <formula>"Ok"</formula>
    </cfRule>
  </conditionalFormatting>
  <conditionalFormatting sqref="S1">
    <cfRule type="cellIs" dxfId="188" priority="1" operator="equal">
      <formula>"Check"</formula>
    </cfRule>
    <cfRule type="cellIs" dxfId="187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'Lookup|Tables'!$G$80:$G$81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>
      <selection activeCell="V1" sqref="V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7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136</v>
      </c>
      <c r="F6" s="62" t="s">
        <v>97</v>
      </c>
      <c r="G6" s="62" t="s">
        <v>136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8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8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8"/>
      <c r="I55" s="220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8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8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f>AVERAGE(F58,F60)</f>
        <v>115.41985</v>
      </c>
      <c r="G59" s="117">
        <f t="shared" si="1"/>
        <v>1.6914977973568224E-2</v>
      </c>
      <c r="H59" s="188" t="s">
        <v>194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f>F56*1.017</f>
        <v>116.03969999999998</v>
      </c>
      <c r="G60" s="117">
        <f t="shared" si="1"/>
        <v>1.6999999999999904E-2</v>
      </c>
      <c r="H60" s="188" t="s">
        <v>195</v>
      </c>
      <c r="I60" s="29"/>
      <c r="J60" s="29"/>
      <c r="N60" s="220" t="s">
        <v>196</v>
      </c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116.39564999999999</v>
      </c>
      <c r="G61" s="117">
        <f t="shared" si="1"/>
        <v>2.0119631901840407E-2</v>
      </c>
      <c r="H61" s="188" t="s">
        <v>194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F58*1.017</f>
        <v>116.75159999999998</v>
      </c>
      <c r="G62" s="117">
        <f t="shared" si="1"/>
        <v>1.6999999999999904E-2</v>
      </c>
      <c r="H62" s="188" t="s">
        <v>195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117.49802714999998</v>
      </c>
      <c r="G63" s="117">
        <f t="shared" si="1"/>
        <v>1.8005370393394005E-2</v>
      </c>
      <c r="H63" s="188" t="s">
        <v>194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F60*1.019</f>
        <v>118.24445429999997</v>
      </c>
      <c r="G64" s="117">
        <f t="shared" si="1"/>
        <v>1.8999999999999906E-2</v>
      </c>
      <c r="H64" s="188" t="s">
        <v>195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63"/>
      <c r="G65" s="117" t="str">
        <f t="shared" si="1"/>
        <v/>
      </c>
      <c r="H65" s="188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>
      <c r="C66" s="64">
        <v>44377</v>
      </c>
      <c r="D66" s="29"/>
      <c r="E66" s="29"/>
      <c r="F66" s="63"/>
      <c r="G66" s="117" t="str">
        <f t="shared" si="1"/>
        <v/>
      </c>
      <c r="H66" s="188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63"/>
      <c r="G67" s="117" t="str">
        <f t="shared" si="1"/>
        <v/>
      </c>
      <c r="H67" s="188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63"/>
      <c r="G68" s="117" t="str">
        <f t="shared" si="1"/>
        <v/>
      </c>
      <c r="H68" s="188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8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8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8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8"/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8"/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8"/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8"/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8"/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8"/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8"/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8"/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8"/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8"/>
      <c r="I81" s="29"/>
      <c r="J81" s="29"/>
      <c r="T81" s="131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8"/>
      <c r="I82" s="29"/>
      <c r="J82" s="29"/>
      <c r="T82" s="131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8"/>
      <c r="I83" s="29"/>
      <c r="J83" s="29"/>
      <c r="T83" s="131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8"/>
      <c r="I84" s="29"/>
      <c r="J84" s="29"/>
      <c r="T84" s="131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186" priority="11" operator="equal">
      <formula>"Check"</formula>
    </cfRule>
    <cfRule type="cellIs" dxfId="185" priority="12" operator="equal">
      <formula>"Ok"</formula>
    </cfRule>
  </conditionalFormatting>
  <conditionalFormatting sqref="W1">
    <cfRule type="cellIs" dxfId="184" priority="7" operator="equal">
      <formula>"Check"</formula>
    </cfRule>
    <cfRule type="cellIs" dxfId="183" priority="8" operator="equal">
      <formula>"Ok"</formula>
    </cfRule>
  </conditionalFormatting>
  <conditionalFormatting sqref="T1">
    <cfRule type="cellIs" dxfId="182" priority="5" operator="equal">
      <formula>"Check"</formula>
    </cfRule>
    <cfRule type="cellIs" dxfId="181" priority="6" operator="equal">
      <formula>"Ok"</formula>
    </cfRule>
  </conditionalFormatting>
  <conditionalFormatting sqref="X51:X57">
    <cfRule type="cellIs" dxfId="180" priority="3" operator="equal">
      <formula>"Check"</formula>
    </cfRule>
    <cfRule type="cellIs" dxfId="179" priority="4" operator="equal">
      <formula>"Ok"</formula>
    </cfRule>
  </conditionalFormatting>
  <conditionalFormatting sqref="X58:X62 T9:T84">
    <cfRule type="cellIs" dxfId="178" priority="1" operator="equal">
      <formula>"Check"</formula>
    </cfRule>
    <cfRule type="cellIs" dxfId="177" priority="2" operator="equal">
      <formula>"Ok"</formula>
    </cfRule>
  </conditionalFormatting>
  <dataValidations disablePrompts="1" count="3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53 J65:J85">
      <formula1>#REF!</formula1>
    </dataValidation>
    <dataValidation type="list" allowBlank="1" showInputMessage="1" showErrorMessage="1" sqref="J54:J64">
      <formula1>#REF!</formula1>
    </dataValidation>
  </dataValidations>
  <hyperlinks>
    <hyperlink ref="K1" location="Index!A1" display="Back to Index"/>
    <hyperlink ref="V1" location="'Check|List'!A1" display="Overall Check:"/>
    <hyperlink ref="N60" r:id="rId1" display="https://www.rba.gov.au/publications/smp/2019/may/pdf/statement-on-monetary-policy-2019-05.pdf"/>
  </hyperlinks>
  <pageMargins left="0.7" right="0.7" top="0.75" bottom="0.75" header="0.3" footer="0.3"/>
  <pageSetup paperSize="9" orientation="portrait" verticalDpi="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zoomScale="115" zoomScaleNormal="115" workbookViewId="0">
      <selection activeCell="U1" sqref="U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IF(COUNTA($W$29:$W$265)=COUNTIF($W$29:$W$265,"OK"),"OK","Check")</f>
        <v>OK</v>
      </c>
      <c r="T1" s="69"/>
      <c r="U1" s="187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122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54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73</v>
      </c>
      <c r="D13" s="30" t="s">
        <v>69</v>
      </c>
      <c r="E13" s="171" t="s">
        <v>15</v>
      </c>
      <c r="F13" s="171">
        <v>42156</v>
      </c>
      <c r="G13" s="32"/>
      <c r="H13" s="32"/>
      <c r="I13" s="30"/>
      <c r="J13" s="164">
        <v>158.51431942421496</v>
      </c>
      <c r="K13" s="164">
        <v>159.45710590706076</v>
      </c>
      <c r="L13" s="164">
        <v>160.38503677857003</v>
      </c>
      <c r="M13" s="164">
        <v>165.00679150373597</v>
      </c>
      <c r="N13" s="164">
        <v>164.2651730813059</v>
      </c>
      <c r="O13" s="152"/>
      <c r="P13" s="152"/>
      <c r="Q13" s="152"/>
      <c r="R13" s="152"/>
      <c r="S13" s="152"/>
      <c r="T13" s="29" t="s">
        <v>172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73</v>
      </c>
      <c r="D15" s="140" t="str">
        <f>D13</f>
        <v>AER</v>
      </c>
      <c r="E15" s="203" t="str">
        <f>E13</f>
        <v>$millions</v>
      </c>
      <c r="F15" s="203">
        <f>F13</f>
        <v>42156</v>
      </c>
      <c r="G15" s="32"/>
      <c r="H15" s="32"/>
      <c r="I15" s="30"/>
      <c r="J15" s="129">
        <f>J13</f>
        <v>158.51431942421496</v>
      </c>
      <c r="K15" s="129">
        <f t="shared" ref="K15:S15" si="1">K13</f>
        <v>159.45710590706076</v>
      </c>
      <c r="L15" s="129">
        <f t="shared" si="1"/>
        <v>160.38503677857003</v>
      </c>
      <c r="M15" s="129">
        <f t="shared" si="1"/>
        <v>165.00679150373597</v>
      </c>
      <c r="N15" s="129">
        <f t="shared" si="1"/>
        <v>164.2651730813059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163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164">
        <v>1.4695948944647161</v>
      </c>
      <c r="K19" s="164">
        <v>1.503324216307915</v>
      </c>
      <c r="L19" s="164">
        <v>1.5283847677390856</v>
      </c>
      <c r="M19" s="164">
        <v>1.5428877478567389</v>
      </c>
      <c r="N19" s="164">
        <v>1.5417554707035432</v>
      </c>
      <c r="O19" s="152"/>
      <c r="P19" s="152"/>
      <c r="Q19" s="152"/>
      <c r="R19" s="152"/>
      <c r="S19" s="152"/>
      <c r="T19" s="29" t="s">
        <v>179</v>
      </c>
      <c r="U19" s="29"/>
      <c r="V19" s="29"/>
      <c r="W19" s="29"/>
    </row>
    <row r="20" spans="1:23">
      <c r="A20" s="29"/>
      <c r="B20" s="29"/>
      <c r="C20" s="61" t="s">
        <v>198</v>
      </c>
      <c r="D20" s="30" t="s">
        <v>69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>
        <v>3.9754264763358762</v>
      </c>
      <c r="K20" s="164">
        <v>3.9754264763358766</v>
      </c>
      <c r="L20" s="164">
        <v>3.9754264763358766</v>
      </c>
      <c r="M20" s="164">
        <v>3.9754264763358762</v>
      </c>
      <c r="N20" s="164">
        <v>3.9754264763358766</v>
      </c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 t="s">
        <v>197</v>
      </c>
      <c r="D21" s="30" t="s">
        <v>69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>
        <v>15.946759054749808</v>
      </c>
      <c r="K21" s="164">
        <v>16.015464241554149</v>
      </c>
      <c r="L21" s="164">
        <v>16.001670360438972</v>
      </c>
      <c r="M21" s="164">
        <v>15.991528400863945</v>
      </c>
      <c r="N21" s="164">
        <v>16.039422542755357</v>
      </c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 t="s">
        <v>199</v>
      </c>
      <c r="D22" s="30" t="s">
        <v>69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>
        <v>4.2189462423664115E-2</v>
      </c>
      <c r="K22" s="164">
        <v>4.2189462423664115E-2</v>
      </c>
      <c r="L22" s="164">
        <v>4.2189462423664115E-2</v>
      </c>
      <c r="M22" s="164">
        <v>4.2189462423664115E-2</v>
      </c>
      <c r="N22" s="164">
        <v>4.2189462423664115E-2</v>
      </c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69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69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69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69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69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161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21.433969887974065</v>
      </c>
      <c r="K29" s="129">
        <f t="shared" ref="K29:S29" si="4">SUM(K19:K27)</f>
        <v>21.536404396621606</v>
      </c>
      <c r="L29" s="129">
        <f t="shared" si="4"/>
        <v>21.547671066937596</v>
      </c>
      <c r="M29" s="129">
        <f t="shared" si="4"/>
        <v>21.552032087480224</v>
      </c>
      <c r="N29" s="129">
        <f t="shared" si="4"/>
        <v>21.598793952218443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74</v>
      </c>
      <c r="N33" s="164" t="s">
        <v>74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54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73</v>
      </c>
      <c r="D37" s="30" t="s">
        <v>75</v>
      </c>
      <c r="E37" s="215" t="str">
        <f>$E$56</f>
        <v>$millions</v>
      </c>
      <c r="F37" s="216" t="s">
        <v>100</v>
      </c>
      <c r="G37" s="32"/>
      <c r="H37" s="32"/>
      <c r="I37" s="30"/>
      <c r="J37" s="164">
        <v>163.39350554771516</v>
      </c>
      <c r="K37" s="164">
        <v>175.57445041668794</v>
      </c>
      <c r="L37" s="164">
        <v>173.85577091175011</v>
      </c>
      <c r="M37" s="164"/>
      <c r="N37" s="164"/>
      <c r="O37" s="152"/>
      <c r="P37" s="152"/>
      <c r="Q37" s="152"/>
      <c r="R37" s="152"/>
      <c r="S37" s="152"/>
      <c r="T37" s="29" t="s">
        <v>173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185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180</v>
      </c>
      <c r="D41" s="30" t="s">
        <v>75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>
        <v>1.6329849999999999</v>
      </c>
      <c r="K41" s="164">
        <v>5.1256999999999997E-2</v>
      </c>
      <c r="L41" s="164">
        <v>-1.5330705</v>
      </c>
      <c r="M41" s="164"/>
      <c r="N41" s="164"/>
      <c r="O41" s="152"/>
      <c r="P41" s="152"/>
      <c r="Q41" s="152"/>
      <c r="R41" s="152"/>
      <c r="S41" s="152"/>
      <c r="T41" s="29" t="s">
        <v>184</v>
      </c>
      <c r="U41" s="29"/>
      <c r="V41" s="29"/>
      <c r="W41" s="29"/>
    </row>
    <row r="42" spans="1:23">
      <c r="A42" s="29"/>
      <c r="B42" s="29"/>
      <c r="C42" s="61" t="s">
        <v>181</v>
      </c>
      <c r="D42" s="30" t="s">
        <v>75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75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75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75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182</v>
      </c>
      <c r="D47" s="140" t="s">
        <v>30</v>
      </c>
      <c r="E47" s="190" t="str">
        <f>$E$56</f>
        <v>$millions</v>
      </c>
      <c r="F47" s="191" t="str">
        <f>F37</f>
        <v>nominal</v>
      </c>
      <c r="G47" s="32"/>
      <c r="H47" s="32"/>
      <c r="I47" s="30"/>
      <c r="J47" s="129">
        <f>J37-SUM(J41:J45)</f>
        <v>161.76052054771517</v>
      </c>
      <c r="K47" s="129">
        <f t="shared" ref="K47:S47" si="7">K37-SUM(K41:K45)</f>
        <v>175.52319341668795</v>
      </c>
      <c r="L47" s="129">
        <f t="shared" si="7"/>
        <v>175.38884141175012</v>
      </c>
      <c r="M47" s="129">
        <f t="shared" si="7"/>
        <v>0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75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>
        <v>0</v>
      </c>
      <c r="K51" s="164">
        <v>0</v>
      </c>
      <c r="L51" s="164">
        <v>0</v>
      </c>
      <c r="M51" s="164"/>
      <c r="N51" s="164"/>
      <c r="O51" s="152"/>
      <c r="P51" s="152"/>
      <c r="Q51" s="152"/>
      <c r="R51" s="152"/>
      <c r="S51" s="152"/>
      <c r="T51" s="29" t="s">
        <v>179</v>
      </c>
      <c r="U51" s="29"/>
      <c r="V51" s="29"/>
      <c r="W51" s="29"/>
    </row>
    <row r="52" spans="1:23">
      <c r="A52" s="29"/>
      <c r="B52" s="29"/>
      <c r="C52" s="61" t="s">
        <v>200</v>
      </c>
      <c r="D52" s="30" t="s">
        <v>75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>
        <v>21.564195279999996</v>
      </c>
      <c r="K52" s="164">
        <v>20.399644500000004</v>
      </c>
      <c r="L52" s="164">
        <v>21.301402330000005</v>
      </c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 t="s">
        <v>206</v>
      </c>
      <c r="D53" s="30" t="s">
        <v>75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>
        <v>5.5728545700000014</v>
      </c>
      <c r="K53" s="164">
        <v>4.8202977599999981</v>
      </c>
      <c r="L53" s="164">
        <v>4.3946968699999998</v>
      </c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 t="s">
        <v>207</v>
      </c>
      <c r="D54" s="30" t="s">
        <v>75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>
        <v>6.6484000000000001E-2</v>
      </c>
      <c r="K54" s="164">
        <v>8.3071999999999993E-2</v>
      </c>
      <c r="L54" s="164">
        <v>6.6603999999999997E-2</v>
      </c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161</v>
      </c>
      <c r="D56" s="140" t="s">
        <v>30</v>
      </c>
      <c r="E56" s="130" t="s">
        <v>15</v>
      </c>
      <c r="F56" s="162" t="s">
        <v>100</v>
      </c>
      <c r="G56" s="32"/>
      <c r="H56" s="32"/>
      <c r="I56" s="30"/>
      <c r="J56" s="186">
        <f>SUM(J51:J54)</f>
        <v>27.203533849999996</v>
      </c>
      <c r="K56" s="186">
        <f t="shared" ref="K56:S56" si="9">SUM(K51:K54)</f>
        <v>25.303014260000005</v>
      </c>
      <c r="L56" s="186">
        <f t="shared" si="9"/>
        <v>25.762703200000008</v>
      </c>
      <c r="M56" s="186">
        <f t="shared" si="9"/>
        <v>0</v>
      </c>
      <c r="N56" s="186">
        <f t="shared" si="9"/>
        <v>0</v>
      </c>
      <c r="O56" s="186">
        <f t="shared" si="9"/>
        <v>0</v>
      </c>
      <c r="P56" s="186">
        <f t="shared" si="9"/>
        <v>0</v>
      </c>
      <c r="Q56" s="186">
        <f t="shared" si="9"/>
        <v>0</v>
      </c>
      <c r="R56" s="186">
        <f t="shared" si="9"/>
        <v>0</v>
      </c>
      <c r="S56" s="186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112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113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43983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202</v>
      </c>
      <c r="D62" s="30" t="s">
        <v>34</v>
      </c>
      <c r="E62" s="30" t="str">
        <f>$E$56</f>
        <v>$millions</v>
      </c>
      <c r="F62" s="171">
        <v>43983</v>
      </c>
      <c r="G62" s="32"/>
      <c r="H62" s="32"/>
      <c r="I62" s="32"/>
      <c r="J62" s="164"/>
      <c r="K62" s="164"/>
      <c r="L62" s="164"/>
      <c r="M62" s="164"/>
      <c r="N62" s="164">
        <v>16.838116688962334</v>
      </c>
      <c r="O62" s="164"/>
      <c r="P62" s="164"/>
      <c r="Q62" s="164"/>
      <c r="R62" s="164"/>
      <c r="S62" s="164"/>
      <c r="T62" s="29" t="s">
        <v>192</v>
      </c>
      <c r="U62" s="142"/>
      <c r="V62" s="142"/>
      <c r="W62" s="29"/>
    </row>
    <row r="63" spans="1:23">
      <c r="A63" s="29"/>
      <c r="B63" s="29"/>
      <c r="C63" s="61" t="s">
        <v>114</v>
      </c>
      <c r="D63" s="30" t="s">
        <v>34</v>
      </c>
      <c r="E63" s="30" t="str">
        <f t="shared" ref="E63:E68" si="11">$E$56</f>
        <v>$millions</v>
      </c>
      <c r="F63" s="171">
        <v>43983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115</v>
      </c>
      <c r="D64" s="30" t="s">
        <v>34</v>
      </c>
      <c r="E64" s="30" t="str">
        <f t="shared" si="11"/>
        <v>$millions</v>
      </c>
      <c r="F64" s="171">
        <v>43983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116</v>
      </c>
      <c r="D65" s="30" t="s">
        <v>34</v>
      </c>
      <c r="E65" s="30" t="str">
        <f t="shared" si="11"/>
        <v>$millions</v>
      </c>
      <c r="F65" s="171">
        <v>43983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117</v>
      </c>
      <c r="D66" s="30" t="s">
        <v>34</v>
      </c>
      <c r="E66" s="30" t="str">
        <f t="shared" si="11"/>
        <v>$millions</v>
      </c>
      <c r="F66" s="171">
        <v>43983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7"/>
      <c r="B67" s="197"/>
      <c r="C67" s="198"/>
      <c r="D67" s="105"/>
      <c r="E67" s="105"/>
      <c r="F67" s="199"/>
      <c r="G67" s="200"/>
      <c r="H67" s="200"/>
      <c r="I67" s="200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104"/>
      <c r="U67" s="165"/>
      <c r="V67" s="165"/>
      <c r="W67" s="197"/>
    </row>
    <row r="68" spans="1:23">
      <c r="A68" s="29"/>
      <c r="B68" s="29"/>
      <c r="C68" s="61" t="s">
        <v>183</v>
      </c>
      <c r="D68" s="30" t="s">
        <v>34</v>
      </c>
      <c r="E68" s="30" t="str">
        <f t="shared" si="11"/>
        <v>$millions</v>
      </c>
      <c r="F68" s="171">
        <v>43983</v>
      </c>
      <c r="G68" s="32"/>
      <c r="H68" s="32"/>
      <c r="I68" s="32"/>
      <c r="J68" s="164"/>
      <c r="K68" s="164"/>
      <c r="L68" s="164"/>
      <c r="M68" s="164"/>
      <c r="N68" s="164">
        <v>0</v>
      </c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7"/>
      <c r="B69" s="197"/>
      <c r="C69" s="198"/>
      <c r="D69" s="105"/>
      <c r="E69" s="105"/>
      <c r="F69" s="199"/>
      <c r="G69" s="200"/>
      <c r="H69" s="200"/>
      <c r="I69" s="200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104"/>
      <c r="U69" s="165"/>
      <c r="V69" s="165"/>
      <c r="W69" s="197"/>
    </row>
    <row r="70" spans="1:23">
      <c r="A70" s="29"/>
      <c r="B70" s="29"/>
      <c r="C70" s="61" t="s">
        <v>89</v>
      </c>
      <c r="D70" s="30" t="s">
        <v>34</v>
      </c>
      <c r="E70" s="30" t="s">
        <v>31</v>
      </c>
      <c r="F70" s="32"/>
      <c r="G70" s="32"/>
      <c r="H70" s="32"/>
      <c r="I70" s="32"/>
      <c r="J70" s="202"/>
      <c r="K70" s="202"/>
      <c r="L70" s="202"/>
      <c r="M70" s="202"/>
      <c r="N70" s="202">
        <v>0</v>
      </c>
      <c r="O70" s="202"/>
      <c r="P70" s="202"/>
      <c r="Q70" s="202"/>
      <c r="R70" s="202"/>
      <c r="S70" s="202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76" priority="31" operator="equal">
      <formula>"Check"</formula>
    </cfRule>
    <cfRule type="cellIs" dxfId="175" priority="32" operator="equal">
      <formula>"Ok"</formula>
    </cfRule>
  </conditionalFormatting>
  <conditionalFormatting sqref="W56">
    <cfRule type="cellIs" dxfId="174" priority="29" operator="equal">
      <formula>"Check"</formula>
    </cfRule>
    <cfRule type="cellIs" dxfId="173" priority="30" operator="equal">
      <formula>"Ok"</formula>
    </cfRule>
  </conditionalFormatting>
  <conditionalFormatting sqref="W15">
    <cfRule type="cellIs" dxfId="172" priority="27" operator="equal">
      <formula>"Check"</formula>
    </cfRule>
    <cfRule type="cellIs" dxfId="171" priority="28" operator="equal">
      <formula>"Ok"</formula>
    </cfRule>
  </conditionalFormatting>
  <conditionalFormatting sqref="V1">
    <cfRule type="cellIs" dxfId="170" priority="25" operator="equal">
      <formula>"Check"</formula>
    </cfRule>
    <cfRule type="cellIs" dxfId="169" priority="26" operator="equal">
      <formula>"Ok"</formula>
    </cfRule>
  </conditionalFormatting>
  <conditionalFormatting sqref="S1">
    <cfRule type="cellIs" dxfId="168" priority="23" operator="equal">
      <formula>"Check"</formula>
    </cfRule>
    <cfRule type="cellIs" dxfId="167" priority="24" operator="equal">
      <formula>"Ok"</formula>
    </cfRule>
  </conditionalFormatting>
  <conditionalFormatting sqref="J15:S15">
    <cfRule type="cellIs" dxfId="166" priority="22" operator="equal">
      <formula>0</formula>
    </cfRule>
  </conditionalFormatting>
  <conditionalFormatting sqref="J56:S56">
    <cfRule type="cellIs" dxfId="165" priority="21" operator="equal">
      <formula>0</formula>
    </cfRule>
  </conditionalFormatting>
  <conditionalFormatting sqref="W48:W50">
    <cfRule type="cellIs" dxfId="164" priority="19" operator="equal">
      <formula>"Check"</formula>
    </cfRule>
    <cfRule type="cellIs" dxfId="163" priority="20" operator="equal">
      <formula>"Ok"</formula>
    </cfRule>
  </conditionalFormatting>
  <conditionalFormatting sqref="N37:S37 J33:S33 J41:S45 J51:S54">
    <cfRule type="expression" dxfId="162" priority="17">
      <formula>J$34=J$4</formula>
    </cfRule>
  </conditionalFormatting>
  <conditionalFormatting sqref="J13:S13 J19:S27">
    <cfRule type="expression" dxfId="161" priority="16">
      <formula>J$10=J$4</formula>
    </cfRule>
  </conditionalFormatting>
  <conditionalFormatting sqref="J37:N37">
    <cfRule type="expression" dxfId="160" priority="13">
      <formula>J$10=J$4</formula>
    </cfRule>
  </conditionalFormatting>
  <conditionalFormatting sqref="W47">
    <cfRule type="cellIs" dxfId="159" priority="11" operator="equal">
      <formula>"Check"</formula>
    </cfRule>
    <cfRule type="cellIs" dxfId="158" priority="12" operator="equal">
      <formula>"Ok"</formula>
    </cfRule>
  </conditionalFormatting>
  <conditionalFormatting sqref="J47:S47">
    <cfRule type="cellIs" dxfId="157" priority="9" operator="equal">
      <formula>0</formula>
    </cfRule>
  </conditionalFormatting>
  <conditionalFormatting sqref="J62:S66 J68:S68 J70:S70">
    <cfRule type="expression" dxfId="156" priority="8">
      <formula>J$60=J$4</formula>
    </cfRule>
  </conditionalFormatting>
  <conditionalFormatting sqref="W29">
    <cfRule type="cellIs" dxfId="155" priority="4" operator="equal">
      <formula>"Check"</formula>
    </cfRule>
    <cfRule type="cellIs" dxfId="154" priority="5" operator="equal">
      <formula>"Ok"</formula>
    </cfRule>
  </conditionalFormatting>
  <conditionalFormatting sqref="J29:S29">
    <cfRule type="cellIs" dxfId="153" priority="3" operator="equal">
      <formula>0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4"/>
  <sheetViews>
    <sheetView showGridLines="0" workbookViewId="0">
      <selection activeCell="V1" sqref="V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IF(COUNTIF(W5:W107,"Check")=0,"Ok","Check")</f>
        <v>Ok</v>
      </c>
      <c r="V1" s="187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2"/>
      <c r="E3" s="182"/>
      <c r="F3" s="182"/>
      <c r="G3" s="182"/>
      <c r="H3" s="182"/>
      <c r="I3" s="182"/>
      <c r="J3" s="158" t="s">
        <v>122</v>
      </c>
      <c r="K3" s="222"/>
      <c r="L3" s="222"/>
      <c r="M3" s="222"/>
      <c r="N3" s="182"/>
      <c r="O3" s="222"/>
      <c r="P3" s="222"/>
      <c r="Q3" s="222"/>
      <c r="R3" s="222"/>
      <c r="S3" s="222"/>
      <c r="T3" s="222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1.5108593012275628E-2</v>
      </c>
      <c r="K12" s="143">
        <f>IF(K10=K4,LOOKUP(EOMONTH(K4,0),'Input|Inflation'!$C$9:$C$84,'Input|Inflation'!$G$9:$G$84),"")</f>
        <v>1.0232558139534831E-2</v>
      </c>
      <c r="L12" s="143">
        <f>IF(L10=L4,LOOKUP(EOMONTH(L4,0),'Input|Inflation'!$C$9:$C$84,'Input|Inflation'!$G$9:$G$84),"")</f>
        <v>1.9337016574585641E-2</v>
      </c>
      <c r="M12" s="143">
        <f>IF(M10=M4,LOOKUP(EOMONTH(M4,0),'Input|Inflation'!$C$9:$C$84,'Input|Inflation'!$G$9:$G$84),"")</f>
        <v>2.0776874435411097E-2</v>
      </c>
      <c r="N12" s="143">
        <f>IF(N10=N4,LOOKUP(EOMONTH(N4,0),'Input|Inflation'!$C$9:$C$84,'Input|Inflation'!$G$9:$G$84),"")</f>
        <v>1.5929203539823078E-2</v>
      </c>
      <c r="O12" s="143">
        <f>IF(O10=O4,LOOKUP(EOMONTH(O4,0),'Input|Inflation'!$C$9:$C$84,'Input|Inflation'!$G$9:$G$84),"")</f>
        <v>1.6999999999999904E-2</v>
      </c>
      <c r="P12" s="143" t="str">
        <f>IF(P10=P4,LOOKUP(EOMONTH(P4,0),'Input|Inflation'!$C$9:$C$84,'Input|Inflation'!$G$9:$G$84),"")</f>
        <v/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" si="4">IF(AND($C16&gt;O$14,ISNONTEXT($C16)),P16/(1+O$12),IF(AND($C16=O$14,O$14=O$4),1,IF(AND($C16&lt;O$14,O$14=O$4),N16*(1+O$12),0)))</f>
        <v>1.0860613953488372</v>
      </c>
      <c r="P16" s="208"/>
      <c r="Q16" s="208"/>
      <c r="R16" s="208"/>
      <c r="S16" s="208"/>
      <c r="T16" s="208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" si="7">IF(AND($C17&gt;O$14,ISNONTEXT($C17)),P17/(1+O$12),IF(AND($C17=O$14,O$14=O$4),1,IF(AND($C17&lt;O$14,O$14=O$4),N17*(1+O$12),0)))</f>
        <v>1.075060773480663</v>
      </c>
      <c r="P17" s="208"/>
      <c r="Q17" s="208"/>
      <c r="R17" s="208"/>
      <c r="S17" s="208"/>
      <c r="T17" s="208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" si="9">IF(AND($C18&gt;O$14,ISNONTEXT($C18)),P18/(1+O$12),IF(AND($C18=O$14,O$14=O$4),1,IF(AND($C18&lt;O$14,O$14=O$4),N18*(1+O$12),0)))</f>
        <v>1.0546666666666666</v>
      </c>
      <c r="P18" s="208"/>
      <c r="Q18" s="208"/>
      <c r="R18" s="208"/>
      <c r="S18" s="208"/>
      <c r="T18" s="208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" si="11">IF(AND($C19&gt;O$14,ISNONTEXT($C19)),P19/(1+O$12),IF(AND($C19=O$14,O$14=O$4),1,IF(AND($C19&lt;O$14,O$14=O$4),N19*(1+O$12),0)))</f>
        <v>1.0331999999999999</v>
      </c>
      <c r="P19" s="208"/>
      <c r="Q19" s="208"/>
      <c r="R19" s="208"/>
      <c r="S19" s="208"/>
      <c r="T19" s="208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1.0169999999999999</v>
      </c>
      <c r="P20" s="208"/>
      <c r="Q20" s="208"/>
      <c r="R20" s="208"/>
      <c r="S20" s="208"/>
      <c r="T20" s="208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0.92075825941571665</v>
      </c>
      <c r="K21" s="22">
        <f t="shared" ref="K21" si="14">IF(AND($C21&gt;K$14,ISNONTEXT($C21)),L21/(1+L$12),IF(AND($C21=K$14,K$14=K$4),1,IF(AND($C21&lt;K$14,K$14=K$4),J21*(1+K$12),0)))</f>
        <v>0.93017997183764489</v>
      </c>
      <c r="L21" s="22">
        <f t="shared" ref="L21" si="15">IF(AND($C21&gt;L$14,ISNONTEXT($C21)),M21/(1+M$12),IF(AND($C21=L$14,L$14=L$4),1,IF(AND($C21&lt;L$14,L$14=L$4),K21*(1+L$12),0)))</f>
        <v>0.94816687737041705</v>
      </c>
      <c r="M21" s="22">
        <f t="shared" ref="M21" si="16">IF(AND($C21&gt;M$14,ISNONTEXT($C21)),N21/(1+N$12),IF(AND($C21=M$14,M$14=M$4),1,IF(AND($C21&lt;M$14,M$14=M$4),L21*(1+M$12),0)))</f>
        <v>0.96786682152535808</v>
      </c>
      <c r="N21" s="22">
        <f t="shared" ref="N21" si="17">IF(AND($C21&gt;N$14,ISNONTEXT($C21)),O21/(1+O$12),IF(AND($C21=N$14,N$14=N$4),1,IF(AND($C21&lt;N$14,N$14=N$4),M21*(1+N$12),0)))</f>
        <v>0.98328416912487715</v>
      </c>
      <c r="O21" s="22">
        <f t="shared" ref="O21" si="18">IF(AND($C21&gt;O$14,ISNONTEXT($C21)),P21/(1+O$12),IF(AND($C21=O$14,O$14=O$4),1,IF(AND($C21&lt;O$14,O$14=O$4),N21*(1+O$12),0)))</f>
        <v>1</v>
      </c>
      <c r="P21" s="208"/>
      <c r="Q21" s="208"/>
      <c r="R21" s="208"/>
      <c r="S21" s="208"/>
      <c r="T21" s="208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42156</v>
      </c>
      <c r="K23" s="159">
        <f t="shared" si="19"/>
        <v>42522</v>
      </c>
      <c r="L23" s="159">
        <f t="shared" si="19"/>
        <v>42887</v>
      </c>
      <c r="M23" s="159">
        <f t="shared" si="19"/>
        <v>43252</v>
      </c>
      <c r="N23" s="159">
        <f t="shared" si="19"/>
        <v>43617</v>
      </c>
      <c r="O23" s="159">
        <f t="shared" si="19"/>
        <v>43983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21">IF(AND(K$23=K$4,ISNONTEXT($C25)),1/K16*(1+K$12)^0.5,0)</f>
        <v>0.99492265355462162</v>
      </c>
      <c r="L25" s="22">
        <f t="shared" si="21"/>
        <v>0.98043711010575396</v>
      </c>
      <c r="M25" s="22">
        <f t="shared" si="21"/>
        <v>0.96115943194340514</v>
      </c>
      <c r="N25" s="22">
        <f t="shared" si="21"/>
        <v>0.94383982538601641</v>
      </c>
      <c r="O25" s="22">
        <f t="shared" si="21"/>
        <v>0.92855172199025027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1.0178355444762099</v>
      </c>
      <c r="K26" s="22">
        <f t="shared" si="23"/>
        <v>1.0051032574514596</v>
      </c>
      <c r="L26" s="22">
        <f t="shared" si="23"/>
        <v>0.99046948983706851</v>
      </c>
      <c r="M26" s="22">
        <f t="shared" si="23"/>
        <v>0.97099455171212823</v>
      </c>
      <c r="N26" s="22">
        <f t="shared" si="23"/>
        <v>0.95349772127368704</v>
      </c>
      <c r="O26" s="22">
        <f t="shared" si="23"/>
        <v>0.93805318147108052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1.0375174472699489</v>
      </c>
      <c r="K27" s="22">
        <f t="shared" si="24"/>
        <v>1.0245389557999685</v>
      </c>
      <c r="L27" s="22">
        <f t="shared" si="24"/>
        <v>1.0096222147786693</v>
      </c>
      <c r="M27" s="22">
        <f t="shared" si="24"/>
        <v>0.98977068945241797</v>
      </c>
      <c r="N27" s="22">
        <f t="shared" si="24"/>
        <v>0.97193552251378601</v>
      </c>
      <c r="O27" s="22">
        <f t="shared" si="24"/>
        <v>0.95619233138902981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1.0590738169964251</v>
      </c>
      <c r="K28" s="22">
        <f t="shared" si="25"/>
        <v>1.0458256730388116</v>
      </c>
      <c r="L28" s="22">
        <f t="shared" si="25"/>
        <v>1.0305990087623274</v>
      </c>
      <c r="M28" s="22">
        <f t="shared" si="25"/>
        <v>1.0103350307870211</v>
      </c>
      <c r="N28" s="22">
        <f t="shared" si="25"/>
        <v>0.99212930482437067</v>
      </c>
      <c r="O28" s="22">
        <f t="shared" si="25"/>
        <v>0.97605901939440254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1.0759440193910583</v>
      </c>
      <c r="K29" s="22">
        <f t="shared" si="26"/>
        <v>1.0624848430518192</v>
      </c>
      <c r="L29" s="22">
        <f t="shared" si="26"/>
        <v>1.0470156301408424</v>
      </c>
      <c r="M29" s="22">
        <f t="shared" si="26"/>
        <v>1.0264288631358409</v>
      </c>
      <c r="N29" s="22">
        <f t="shared" si="26"/>
        <v>1.0079331344587412</v>
      </c>
      <c r="O29" s="22">
        <f t="shared" si="26"/>
        <v>0.99160686218121608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1.0942350677207062</v>
      </c>
      <c r="K30" s="22">
        <f t="shared" si="27"/>
        <v>1.0805470853837003</v>
      </c>
      <c r="L30" s="22">
        <f t="shared" si="27"/>
        <v>1.0648148958532369</v>
      </c>
      <c r="M30" s="22">
        <f t="shared" si="27"/>
        <v>1.0438781538091504</v>
      </c>
      <c r="N30" s="22">
        <f t="shared" si="27"/>
        <v>1.0250679977445398</v>
      </c>
      <c r="O30" s="22">
        <f t="shared" si="27"/>
        <v>1.0084641788382966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77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80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44348</v>
      </c>
      <c r="Q34" s="163">
        <f t="shared" si="28"/>
        <v>44713</v>
      </c>
      <c r="R34" s="163">
        <f t="shared" si="28"/>
        <v>45078</v>
      </c>
      <c r="S34" s="163">
        <f t="shared" si="28"/>
        <v>45444</v>
      </c>
      <c r="T34" s="163">
        <f t="shared" si="28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121</v>
      </c>
      <c r="D36" s="30" t="s">
        <v>101</v>
      </c>
      <c r="E36" s="30" t="str">
        <f t="shared" ref="E36:E43" si="29">percent</f>
        <v>Per cent</v>
      </c>
      <c r="J36" s="204"/>
      <c r="K36" s="152"/>
      <c r="L36" s="152"/>
      <c r="M36" s="152"/>
      <c r="N36" s="152"/>
      <c r="O36" s="152"/>
      <c r="P36" s="60">
        <v>1.6865746127849857E-3</v>
      </c>
      <c r="Q36" s="60">
        <v>5.4569729799194278E-3</v>
      </c>
      <c r="R36" s="60">
        <v>4.1392880477435501E-3</v>
      </c>
      <c r="S36" s="60">
        <v>4.8414003839252207E-3</v>
      </c>
      <c r="T36" s="60">
        <v>6.6907110341247744E-3</v>
      </c>
    </row>
    <row r="37" spans="3:23" ht="11.25" customHeight="1" outlineLevel="1">
      <c r="C37" s="61"/>
      <c r="D37" s="30" t="s">
        <v>101</v>
      </c>
      <c r="E37" s="30" t="str">
        <f t="shared" si="29"/>
        <v>Per cent</v>
      </c>
      <c r="J37" s="204"/>
      <c r="K37" s="152"/>
      <c r="L37" s="152"/>
      <c r="M37" s="152"/>
      <c r="N37" s="152"/>
      <c r="O37" s="152"/>
      <c r="P37" s="167"/>
      <c r="Q37" s="167"/>
      <c r="R37" s="167"/>
      <c r="S37" s="167"/>
      <c r="T37" s="167"/>
    </row>
    <row r="38" spans="3:23" ht="11.25" customHeight="1" outlineLevel="1">
      <c r="C38" s="61"/>
      <c r="D38" s="30" t="s">
        <v>101</v>
      </c>
      <c r="E38" s="30" t="str">
        <f t="shared" si="29"/>
        <v>Per cent</v>
      </c>
      <c r="J38" s="204"/>
      <c r="K38" s="152"/>
      <c r="L38" s="152"/>
      <c r="M38" s="152"/>
      <c r="N38" s="152"/>
      <c r="O38" s="152"/>
      <c r="P38" s="60"/>
      <c r="Q38" s="60"/>
      <c r="R38" s="60"/>
      <c r="S38" s="60"/>
      <c r="T38" s="60"/>
    </row>
    <row r="39" spans="3:23" ht="11.25" customHeight="1" outlineLevel="1">
      <c r="C39" s="61"/>
      <c r="D39" s="30" t="s">
        <v>101</v>
      </c>
      <c r="E39" s="30" t="str">
        <f t="shared" si="29"/>
        <v>Per cent</v>
      </c>
      <c r="J39" s="204"/>
      <c r="K39" s="152"/>
      <c r="L39" s="152"/>
      <c r="M39" s="152"/>
      <c r="N39" s="152"/>
      <c r="O39" s="152"/>
      <c r="P39" s="60"/>
      <c r="Q39" s="60"/>
      <c r="R39" s="60"/>
      <c r="S39" s="60"/>
      <c r="T39" s="209"/>
      <c r="U39" s="147"/>
    </row>
    <row r="40" spans="3:23" ht="11.25" customHeight="1" outlineLevel="1">
      <c r="C40" s="61"/>
      <c r="D40" s="30" t="s">
        <v>101</v>
      </c>
      <c r="E40" s="30" t="str">
        <f t="shared" si="29"/>
        <v>Per cent</v>
      </c>
      <c r="J40" s="204"/>
      <c r="K40" s="152"/>
      <c r="L40" s="152"/>
      <c r="M40" s="152"/>
      <c r="N40" s="152"/>
      <c r="O40" s="152"/>
      <c r="P40" s="60"/>
      <c r="Q40" s="60"/>
      <c r="R40" s="60"/>
      <c r="S40" s="60"/>
      <c r="T40" s="209"/>
    </row>
    <row r="41" spans="3:23" ht="11.25" customHeight="1" outlineLevel="1">
      <c r="C41" s="61"/>
      <c r="D41" s="30" t="s">
        <v>101</v>
      </c>
      <c r="E41" s="30" t="str">
        <f t="shared" si="29"/>
        <v>Per cent</v>
      </c>
      <c r="J41" s="204"/>
      <c r="K41" s="152"/>
      <c r="L41" s="152"/>
      <c r="M41" s="152"/>
      <c r="N41" s="152"/>
      <c r="O41" s="152"/>
      <c r="P41" s="60"/>
      <c r="Q41" s="60"/>
      <c r="R41" s="60"/>
      <c r="S41" s="60"/>
      <c r="T41" s="209"/>
    </row>
    <row r="42" spans="3:23" ht="11.25" customHeight="1" outlineLevel="1">
      <c r="C42" s="61"/>
      <c r="D42" s="30" t="s">
        <v>101</v>
      </c>
      <c r="E42" s="30" t="str">
        <f t="shared" si="29"/>
        <v>Per cent</v>
      </c>
      <c r="J42" s="204"/>
      <c r="K42" s="152"/>
      <c r="L42" s="152"/>
      <c r="M42" s="152"/>
      <c r="N42" s="152"/>
      <c r="O42" s="152"/>
      <c r="P42" s="60"/>
      <c r="Q42" s="60"/>
      <c r="R42" s="60"/>
      <c r="S42" s="60"/>
      <c r="T42" s="209"/>
    </row>
    <row r="43" spans="3:23" ht="11.25" customHeight="1" outlineLevel="1">
      <c r="C43" s="61" t="s">
        <v>81</v>
      </c>
      <c r="D43" s="30" t="s">
        <v>101</v>
      </c>
      <c r="E43" s="30" t="str">
        <f t="shared" si="29"/>
        <v>Per cent</v>
      </c>
      <c r="J43" s="204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09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98</v>
      </c>
      <c r="E45" s="30" t="s">
        <v>28</v>
      </c>
      <c r="F45" s="30" t="s">
        <v>36</v>
      </c>
      <c r="J45" s="132" t="str">
        <f t="shared" ref="J45:S45" si="30">IF(J34=J4,IF(COUNTA($C36:$C43)=COUNT(J36:J43),"Ok","Check"),"")</f>
        <v/>
      </c>
      <c r="K45" s="132" t="str">
        <f t="shared" si="30"/>
        <v/>
      </c>
      <c r="L45" s="132" t="str">
        <f t="shared" si="30"/>
        <v/>
      </c>
      <c r="M45" s="132" t="str">
        <f t="shared" si="30"/>
        <v/>
      </c>
      <c r="N45" s="132" t="str">
        <f t="shared" si="30"/>
        <v/>
      </c>
      <c r="O45" s="132" t="str">
        <f t="shared" si="30"/>
        <v/>
      </c>
      <c r="P45" s="132" t="str">
        <f t="shared" si="30"/>
        <v>Ok</v>
      </c>
      <c r="Q45" s="132" t="str">
        <f t="shared" si="30"/>
        <v>Ok</v>
      </c>
      <c r="R45" s="132" t="str">
        <f t="shared" si="30"/>
        <v>Ok</v>
      </c>
      <c r="S45" s="132" t="str">
        <f t="shared" si="30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1">IF(YEAR(J$4)&gt;=FPFirstYear,IF(YEAR(J$4)&lt;=FPLastYear,J$4,""),"")</f>
        <v/>
      </c>
      <c r="K47" s="163" t="str">
        <f t="shared" si="31"/>
        <v/>
      </c>
      <c r="L47" s="163" t="str">
        <f t="shared" si="31"/>
        <v/>
      </c>
      <c r="M47" s="163" t="str">
        <f t="shared" si="31"/>
        <v/>
      </c>
      <c r="N47" s="163" t="str">
        <f t="shared" si="31"/>
        <v/>
      </c>
      <c r="O47" s="163" t="str">
        <f t="shared" si="31"/>
        <v/>
      </c>
      <c r="P47" s="163">
        <f t="shared" si="31"/>
        <v>44348</v>
      </c>
      <c r="Q47" s="163">
        <f t="shared" si="31"/>
        <v>44713</v>
      </c>
      <c r="R47" s="163">
        <f t="shared" si="31"/>
        <v>45078</v>
      </c>
      <c r="S47" s="163">
        <f t="shared" si="31"/>
        <v>45444</v>
      </c>
      <c r="T47" s="163">
        <f t="shared" si="31"/>
        <v>45809</v>
      </c>
    </row>
    <row r="48" spans="3:23" ht="11.25" customHeight="1" outlineLevel="1"/>
    <row r="49" spans="1:50" ht="11.25" customHeight="1" outlineLevel="1">
      <c r="C49" s="148" t="str">
        <f t="shared" ref="C49:C56" si="32">C36</f>
        <v>WPI - DAE</v>
      </c>
      <c r="D49" s="30" t="s">
        <v>101</v>
      </c>
      <c r="E49" s="30" t="str">
        <f t="shared" ref="E49:E56" si="33">percent</f>
        <v>Per cent</v>
      </c>
      <c r="J49" s="204"/>
      <c r="K49" s="152"/>
      <c r="L49" s="152"/>
      <c r="M49" s="152"/>
      <c r="N49" s="152"/>
      <c r="O49" s="152"/>
      <c r="P49" s="60">
        <v>0.59699999999999998</v>
      </c>
      <c r="Q49" s="60">
        <v>0.59699999999999998</v>
      </c>
      <c r="R49" s="60">
        <v>0.59699999999999998</v>
      </c>
      <c r="S49" s="60">
        <v>0.59699999999999998</v>
      </c>
      <c r="T49" s="60">
        <v>0.59699999999999998</v>
      </c>
    </row>
    <row r="50" spans="1:50" ht="11.25" customHeight="1" outlineLevel="1">
      <c r="C50" s="148">
        <f t="shared" si="32"/>
        <v>0</v>
      </c>
      <c r="D50" s="30" t="s">
        <v>101</v>
      </c>
      <c r="E50" s="30" t="str">
        <f t="shared" si="33"/>
        <v>Per cent</v>
      </c>
      <c r="J50" s="204"/>
      <c r="K50" s="152"/>
      <c r="L50" s="152"/>
      <c r="M50" s="152"/>
      <c r="N50" s="152"/>
      <c r="O50" s="152"/>
      <c r="P50" s="60"/>
      <c r="Q50" s="60"/>
      <c r="R50" s="60"/>
      <c r="S50" s="60"/>
      <c r="T50" s="60"/>
    </row>
    <row r="51" spans="1:50" ht="11.25" customHeight="1" outlineLevel="1">
      <c r="C51" s="148">
        <f t="shared" si="32"/>
        <v>0</v>
      </c>
      <c r="D51" s="30" t="s">
        <v>101</v>
      </c>
      <c r="E51" s="30" t="str">
        <f t="shared" si="33"/>
        <v>Per cent</v>
      </c>
      <c r="J51" s="204"/>
      <c r="K51" s="152"/>
      <c r="L51" s="152"/>
      <c r="M51" s="152"/>
      <c r="N51" s="152"/>
      <c r="O51" s="152"/>
      <c r="P51" s="60"/>
      <c r="Q51" s="60"/>
      <c r="R51" s="60"/>
      <c r="S51" s="60"/>
      <c r="T51" s="60"/>
    </row>
    <row r="52" spans="1:50" ht="11.25" customHeight="1" outlineLevel="1">
      <c r="C52" s="148">
        <f t="shared" si="32"/>
        <v>0</v>
      </c>
      <c r="D52" s="30" t="s">
        <v>101</v>
      </c>
      <c r="E52" s="30" t="str">
        <f t="shared" si="33"/>
        <v>Per cent</v>
      </c>
      <c r="J52" s="204"/>
      <c r="K52" s="152"/>
      <c r="L52" s="152"/>
      <c r="M52" s="152"/>
      <c r="N52" s="152"/>
      <c r="O52" s="152"/>
      <c r="P52" s="60"/>
      <c r="Q52" s="60"/>
      <c r="R52" s="60"/>
      <c r="S52" s="60"/>
      <c r="T52" s="60"/>
      <c r="U52" s="147"/>
    </row>
    <row r="53" spans="1:50" ht="11.25" customHeight="1" outlineLevel="1">
      <c r="C53" s="148">
        <f t="shared" si="32"/>
        <v>0</v>
      </c>
      <c r="D53" s="30" t="s">
        <v>101</v>
      </c>
      <c r="E53" s="30" t="str">
        <f t="shared" si="33"/>
        <v>Per cent</v>
      </c>
      <c r="J53" s="204"/>
      <c r="K53" s="152"/>
      <c r="L53" s="152"/>
      <c r="M53" s="152"/>
      <c r="N53" s="152"/>
      <c r="O53" s="152"/>
      <c r="P53" s="60"/>
      <c r="Q53" s="60"/>
      <c r="R53" s="60"/>
      <c r="S53" s="60"/>
      <c r="T53" s="60"/>
    </row>
    <row r="54" spans="1:50" ht="11.25" customHeight="1" outlineLevel="1">
      <c r="C54" s="148">
        <f t="shared" si="32"/>
        <v>0</v>
      </c>
      <c r="D54" s="30" t="s">
        <v>101</v>
      </c>
      <c r="E54" s="30" t="str">
        <f t="shared" si="33"/>
        <v>Per cent</v>
      </c>
      <c r="J54" s="204"/>
      <c r="K54" s="152"/>
      <c r="L54" s="152"/>
      <c r="M54" s="152"/>
      <c r="N54" s="152"/>
      <c r="O54" s="152"/>
      <c r="P54" s="60"/>
      <c r="Q54" s="60"/>
      <c r="R54" s="60"/>
      <c r="S54" s="60"/>
      <c r="T54" s="60"/>
    </row>
    <row r="55" spans="1:50" ht="11.25" customHeight="1" outlineLevel="1">
      <c r="C55" s="148">
        <f t="shared" si="32"/>
        <v>0</v>
      </c>
      <c r="D55" s="30" t="s">
        <v>101</v>
      </c>
      <c r="E55" s="30" t="str">
        <f t="shared" si="33"/>
        <v>Per cent</v>
      </c>
      <c r="J55" s="204"/>
      <c r="K55" s="152"/>
      <c r="L55" s="152"/>
      <c r="M55" s="152"/>
      <c r="N55" s="152"/>
      <c r="O55" s="152"/>
      <c r="P55" s="60"/>
      <c r="Q55" s="60"/>
      <c r="R55" s="60"/>
      <c r="S55" s="60"/>
      <c r="T55" s="60"/>
    </row>
    <row r="56" spans="1:50" ht="11.25" customHeight="1" outlineLevel="1">
      <c r="C56" s="148" t="str">
        <f t="shared" si="32"/>
        <v>CPI</v>
      </c>
      <c r="D56" s="30" t="s">
        <v>101</v>
      </c>
      <c r="E56" s="30" t="str">
        <f t="shared" si="33"/>
        <v>Per cent</v>
      </c>
      <c r="J56" s="204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60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98</v>
      </c>
      <c r="E58" s="30" t="s">
        <v>28</v>
      </c>
      <c r="F58" s="30" t="s">
        <v>36</v>
      </c>
      <c r="J58" s="132" t="str">
        <f t="shared" ref="J58:S58" si="34">IF(J47=J$4,IF(SUM(J49:J56)=1,"Ok","Check"),"")</f>
        <v/>
      </c>
      <c r="K58" s="132" t="str">
        <f t="shared" si="34"/>
        <v/>
      </c>
      <c r="L58" s="132" t="str">
        <f t="shared" si="34"/>
        <v/>
      </c>
      <c r="M58" s="132" t="str">
        <f t="shared" si="34"/>
        <v/>
      </c>
      <c r="N58" s="132" t="str">
        <f t="shared" si="34"/>
        <v/>
      </c>
      <c r="O58" s="132" t="str">
        <f t="shared" si="34"/>
        <v/>
      </c>
      <c r="P58" s="132" t="str">
        <f t="shared" si="34"/>
        <v>Ok</v>
      </c>
      <c r="Q58" s="132" t="str">
        <f t="shared" si="34"/>
        <v>Ok</v>
      </c>
      <c r="R58" s="132" t="str">
        <f t="shared" si="34"/>
        <v>Ok</v>
      </c>
      <c r="S58" s="132" t="str">
        <f t="shared" si="34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84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85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5">IF(YEAR(J$4)&gt;=PPLastYear,IF(YEAR(J$4)&lt;=FPLastYear,J$4,""),"")</f>
        <v/>
      </c>
      <c r="K62" s="163" t="str">
        <f t="shared" si="35"/>
        <v/>
      </c>
      <c r="L62" s="163" t="str">
        <f t="shared" si="35"/>
        <v/>
      </c>
      <c r="M62" s="163" t="str">
        <f t="shared" si="35"/>
        <v/>
      </c>
      <c r="N62" s="163" t="str">
        <f t="shared" si="35"/>
        <v/>
      </c>
      <c r="O62" s="163">
        <f t="shared" si="35"/>
        <v>43983</v>
      </c>
      <c r="P62" s="163">
        <f t="shared" si="35"/>
        <v>44348</v>
      </c>
      <c r="Q62" s="163">
        <f t="shared" si="35"/>
        <v>44713</v>
      </c>
      <c r="R62" s="163">
        <f t="shared" si="35"/>
        <v>45078</v>
      </c>
      <c r="S62" s="163">
        <f t="shared" si="35"/>
        <v>45444</v>
      </c>
      <c r="T62" s="163">
        <f t="shared" si="35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174</v>
      </c>
      <c r="D64" s="30" t="s">
        <v>101</v>
      </c>
      <c r="E64" s="30" t="s">
        <v>18</v>
      </c>
      <c r="F64" s="30" t="s">
        <v>36</v>
      </c>
      <c r="G64" s="32"/>
      <c r="H64" s="32"/>
      <c r="J64" s="204"/>
      <c r="K64" s="195"/>
      <c r="L64" s="195"/>
      <c r="M64" s="195"/>
      <c r="N64" s="195"/>
      <c r="O64" s="196">
        <v>1434310.0626321861</v>
      </c>
      <c r="P64" s="196">
        <v>1459775.3024163367</v>
      </c>
      <c r="Q64" s="196">
        <v>1483194.3858077517</v>
      </c>
      <c r="R64" s="196">
        <v>1505991.0191268264</v>
      </c>
      <c r="S64" s="196">
        <v>1529288.9713810161</v>
      </c>
      <c r="T64" s="196">
        <v>1553947.9990093953</v>
      </c>
    </row>
    <row r="65" spans="3:23" outlineLevel="1">
      <c r="C65" s="61" t="s">
        <v>201</v>
      </c>
      <c r="D65" s="30" t="s">
        <v>101</v>
      </c>
      <c r="E65" s="30" t="s">
        <v>18</v>
      </c>
      <c r="F65" s="30" t="s">
        <v>36</v>
      </c>
      <c r="G65" s="32"/>
      <c r="H65" s="32"/>
      <c r="J65" s="204"/>
      <c r="K65" s="195"/>
      <c r="L65" s="195"/>
      <c r="M65" s="195"/>
      <c r="N65" s="195"/>
      <c r="O65" s="196">
        <v>25521.26826594639</v>
      </c>
      <c r="P65" s="196">
        <v>25862.794046337836</v>
      </c>
      <c r="Q65" s="196">
        <v>26180.603223630478</v>
      </c>
      <c r="R65" s="196">
        <v>26487.382590554036</v>
      </c>
      <c r="S65" s="196">
        <v>26799.350940254488</v>
      </c>
      <c r="T65" s="196">
        <v>27122.344364082994</v>
      </c>
    </row>
    <row r="66" spans="3:23" outlineLevel="1">
      <c r="C66" s="61"/>
      <c r="D66" s="30" t="s">
        <v>101</v>
      </c>
      <c r="E66" s="30" t="s">
        <v>18</v>
      </c>
      <c r="F66" s="30" t="s">
        <v>36</v>
      </c>
      <c r="G66" s="32"/>
      <c r="H66" s="32"/>
      <c r="J66" s="204"/>
      <c r="K66" s="195"/>
      <c r="L66" s="195"/>
      <c r="M66" s="195"/>
      <c r="N66" s="195"/>
      <c r="O66" s="196"/>
      <c r="P66" s="196"/>
      <c r="Q66" s="196"/>
      <c r="R66" s="196"/>
      <c r="S66" s="196"/>
      <c r="T66" s="196"/>
    </row>
    <row r="67" spans="3:23" outlineLevel="1">
      <c r="C67" s="61"/>
      <c r="D67" s="30" t="s">
        <v>101</v>
      </c>
      <c r="E67" s="30" t="s">
        <v>18</v>
      </c>
      <c r="F67" s="30" t="s">
        <v>36</v>
      </c>
      <c r="G67" s="32"/>
      <c r="H67" s="32"/>
      <c r="J67" s="204"/>
      <c r="K67" s="195"/>
      <c r="L67" s="195"/>
      <c r="M67" s="195"/>
      <c r="N67" s="195"/>
      <c r="O67" s="196"/>
      <c r="P67" s="196"/>
      <c r="Q67" s="196"/>
      <c r="R67" s="196"/>
      <c r="S67" s="196"/>
      <c r="T67" s="196"/>
    </row>
    <row r="68" spans="3:23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98</v>
      </c>
      <c r="E71" s="30" t="s">
        <v>28</v>
      </c>
      <c r="F71" s="30" t="s">
        <v>36</v>
      </c>
      <c r="J71" s="132" t="str">
        <f t="shared" ref="J71:S71" si="36">IF(J62=J$4,IF(COUNTA($C64:$C69)=COUNT(J64:J69),"Ok","Check"),"")</f>
        <v/>
      </c>
      <c r="K71" s="132" t="str">
        <f t="shared" si="36"/>
        <v/>
      </c>
      <c r="L71" s="132" t="str">
        <f t="shared" si="36"/>
        <v/>
      </c>
      <c r="M71" s="132" t="str">
        <f t="shared" si="36"/>
        <v/>
      </c>
      <c r="N71" s="132" t="str">
        <f t="shared" si="36"/>
        <v/>
      </c>
      <c r="O71" s="132" t="str">
        <f t="shared" si="36"/>
        <v>Ok</v>
      </c>
      <c r="P71" s="132" t="str">
        <f t="shared" si="36"/>
        <v>Ok</v>
      </c>
      <c r="Q71" s="132" t="str">
        <f t="shared" si="36"/>
        <v>Ok</v>
      </c>
      <c r="R71" s="132" t="str">
        <f t="shared" si="36"/>
        <v>Ok</v>
      </c>
      <c r="S71" s="132" t="str">
        <f t="shared" si="36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88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7">IF(YEAR(J$4)&gt;=FPFirstYear,IF(YEAR(J$4)&lt;=FPLastYear,J$4,""),"")</f>
        <v/>
      </c>
      <c r="K73" s="163" t="str">
        <f t="shared" si="37"/>
        <v/>
      </c>
      <c r="L73" s="163" t="str">
        <f t="shared" si="37"/>
        <v/>
      </c>
      <c r="M73" s="163" t="str">
        <f t="shared" si="37"/>
        <v/>
      </c>
      <c r="N73" s="163" t="str">
        <f t="shared" si="37"/>
        <v/>
      </c>
      <c r="O73" s="163" t="str">
        <f t="shared" si="37"/>
        <v/>
      </c>
      <c r="P73" s="163">
        <f t="shared" si="37"/>
        <v>44348</v>
      </c>
      <c r="Q73" s="163">
        <f t="shared" si="37"/>
        <v>44713</v>
      </c>
      <c r="R73" s="163">
        <f t="shared" si="37"/>
        <v>45078</v>
      </c>
      <c r="S73" s="163">
        <f t="shared" si="37"/>
        <v>45444</v>
      </c>
      <c r="T73" s="163">
        <f t="shared" si="37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98</v>
      </c>
      <c r="E75" s="30" t="s">
        <v>18</v>
      </c>
      <c r="F75" s="30" t="s">
        <v>36</v>
      </c>
      <c r="G75" s="32"/>
      <c r="H75" s="32"/>
      <c r="J75" s="117" t="str">
        <f t="shared" ref="J75:M75" si="38">IF(ISBLANK(I64),"",IF(ISBLANK(J64),"",LN(J64)-LN(I64)))</f>
        <v/>
      </c>
      <c r="K75" s="117" t="str">
        <f t="shared" si="38"/>
        <v/>
      </c>
      <c r="L75" s="117" t="str">
        <f t="shared" si="38"/>
        <v/>
      </c>
      <c r="M75" s="117" t="str">
        <f t="shared" si="38"/>
        <v/>
      </c>
      <c r="N75" s="117" t="str">
        <f>IF(ISBLANK(M64),"",IF(ISBLANK(N64),"",LN(N64)-LN(M64)))</f>
        <v/>
      </c>
      <c r="O75" s="117" t="str">
        <f t="shared" ref="O75:T75" si="39">IF(ISBLANK(N64),"",IF(ISBLANK(O64),"",LN(O64)-LN(N64)))</f>
        <v/>
      </c>
      <c r="P75" s="117">
        <f t="shared" si="39"/>
        <v>1.7598580418528798E-2</v>
      </c>
      <c r="Q75" s="117">
        <f t="shared" si="39"/>
        <v>1.5915609211857529E-2</v>
      </c>
      <c r="R75" s="117">
        <f t="shared" si="39"/>
        <v>1.5253035331378229E-2</v>
      </c>
      <c r="S75" s="117">
        <f t="shared" si="39"/>
        <v>1.5351736834114504E-2</v>
      </c>
      <c r="T75" s="117">
        <f t="shared" si="39"/>
        <v>1.5995885915817354E-2</v>
      </c>
    </row>
    <row r="76" spans="3:23" outlineLevel="1">
      <c r="C76" s="148" t="str">
        <f t="shared" ref="C76:C80" si="40">C65</f>
        <v>Mains Length (km)</v>
      </c>
      <c r="D76" s="30" t="s">
        <v>98</v>
      </c>
      <c r="E76" s="30" t="s">
        <v>18</v>
      </c>
      <c r="F76" s="30" t="s">
        <v>36</v>
      </c>
      <c r="G76" s="32"/>
      <c r="H76" s="32"/>
      <c r="J76" s="117" t="str">
        <f t="shared" ref="J76:T76" si="41">IF(ISBLANK(I65),"",IF(ISBLANK(J65),"",LN(J65)-LN(I65)))</f>
        <v/>
      </c>
      <c r="K76" s="117" t="str">
        <f t="shared" si="41"/>
        <v/>
      </c>
      <c r="L76" s="117" t="str">
        <f t="shared" si="41"/>
        <v/>
      </c>
      <c r="M76" s="117" t="str">
        <f t="shared" si="41"/>
        <v/>
      </c>
      <c r="N76" s="117" t="str">
        <f t="shared" si="41"/>
        <v/>
      </c>
      <c r="O76" s="117" t="str">
        <f t="shared" si="41"/>
        <v/>
      </c>
      <c r="P76" s="117">
        <f t="shared" si="41"/>
        <v>1.3293258426054777E-2</v>
      </c>
      <c r="Q76" s="117">
        <f t="shared" si="41"/>
        <v>1.2213388998580044E-2</v>
      </c>
      <c r="R76" s="117">
        <f t="shared" si="41"/>
        <v>1.1649689340751834E-2</v>
      </c>
      <c r="S76" s="117">
        <f t="shared" si="41"/>
        <v>1.1709177627718503E-2</v>
      </c>
      <c r="T76" s="117">
        <f t="shared" si="41"/>
        <v>1.1980234863159467E-2</v>
      </c>
    </row>
    <row r="77" spans="3:23" outlineLevel="1">
      <c r="C77" s="148">
        <f t="shared" si="40"/>
        <v>0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T77" si="42">IF(ISBLANK(I66),"",IF(ISBLANK(J66),"",LN(J66)-LN(I66)))</f>
        <v/>
      </c>
      <c r="K77" s="117" t="str">
        <f t="shared" si="42"/>
        <v/>
      </c>
      <c r="L77" s="117" t="str">
        <f t="shared" si="42"/>
        <v/>
      </c>
      <c r="M77" s="117" t="str">
        <f t="shared" si="42"/>
        <v/>
      </c>
      <c r="N77" s="117" t="str">
        <f t="shared" si="42"/>
        <v/>
      </c>
      <c r="O77" s="117" t="str">
        <f t="shared" si="42"/>
        <v/>
      </c>
      <c r="P77" s="117" t="str">
        <f t="shared" si="42"/>
        <v/>
      </c>
      <c r="Q77" s="117" t="str">
        <f t="shared" si="42"/>
        <v/>
      </c>
      <c r="R77" s="117" t="str">
        <f t="shared" si="42"/>
        <v/>
      </c>
      <c r="S77" s="117" t="str">
        <f t="shared" si="42"/>
        <v/>
      </c>
      <c r="T77" s="117" t="str">
        <f t="shared" si="42"/>
        <v/>
      </c>
    </row>
    <row r="78" spans="3:23" outlineLevel="1">
      <c r="C78" s="148">
        <f t="shared" si="40"/>
        <v>0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T78" si="43">IF(ISBLANK(I67),"",IF(ISBLANK(J67),"",LN(J67)-LN(I67)))</f>
        <v/>
      </c>
      <c r="K78" s="117" t="str">
        <f t="shared" si="43"/>
        <v/>
      </c>
      <c r="L78" s="117" t="str">
        <f t="shared" si="43"/>
        <v/>
      </c>
      <c r="M78" s="117" t="str">
        <f t="shared" si="43"/>
        <v/>
      </c>
      <c r="N78" s="117" t="str">
        <f t="shared" si="43"/>
        <v/>
      </c>
      <c r="O78" s="117" t="str">
        <f t="shared" si="43"/>
        <v/>
      </c>
      <c r="P78" s="117" t="str">
        <f t="shared" si="43"/>
        <v/>
      </c>
      <c r="Q78" s="117" t="str">
        <f t="shared" si="43"/>
        <v/>
      </c>
      <c r="R78" s="117" t="str">
        <f t="shared" si="43"/>
        <v/>
      </c>
      <c r="S78" s="117" t="str">
        <f t="shared" si="43"/>
        <v/>
      </c>
      <c r="T78" s="117" t="str">
        <f t="shared" si="43"/>
        <v/>
      </c>
    </row>
    <row r="79" spans="3:23" outlineLevel="1">
      <c r="C79" s="148">
        <f t="shared" si="40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T79" si="44">IF(ISBLANK(I68),"",IF(ISBLANK(J68),"",LN(J68)-LN(I68)))</f>
        <v/>
      </c>
      <c r="K79" s="117" t="str">
        <f t="shared" si="44"/>
        <v/>
      </c>
      <c r="L79" s="117" t="str">
        <f t="shared" si="44"/>
        <v/>
      </c>
      <c r="M79" s="117" t="str">
        <f t="shared" si="44"/>
        <v/>
      </c>
      <c r="N79" s="117" t="str">
        <f t="shared" si="44"/>
        <v/>
      </c>
      <c r="O79" s="117" t="str">
        <f t="shared" si="44"/>
        <v/>
      </c>
      <c r="P79" s="117" t="str">
        <f t="shared" si="44"/>
        <v/>
      </c>
      <c r="Q79" s="117" t="str">
        <f t="shared" si="44"/>
        <v/>
      </c>
      <c r="R79" s="117" t="str">
        <f t="shared" si="44"/>
        <v/>
      </c>
      <c r="S79" s="117" t="str">
        <f t="shared" si="44"/>
        <v/>
      </c>
      <c r="T79" s="117" t="str">
        <f t="shared" si="44"/>
        <v/>
      </c>
    </row>
    <row r="80" spans="3:23" outlineLevel="1">
      <c r="C80" s="148">
        <f t="shared" si="40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T80" si="45">IF(ISBLANK(I69),"",IF(ISBLANK(J69),"",LN(J69)-LN(I69)))</f>
        <v/>
      </c>
      <c r="K80" s="117" t="str">
        <f t="shared" si="45"/>
        <v/>
      </c>
      <c r="L80" s="117" t="str">
        <f t="shared" si="45"/>
        <v/>
      </c>
      <c r="M80" s="117" t="str">
        <f t="shared" si="45"/>
        <v/>
      </c>
      <c r="N80" s="117" t="str">
        <f t="shared" si="45"/>
        <v/>
      </c>
      <c r="O80" s="117" t="str">
        <f t="shared" si="45"/>
        <v/>
      </c>
      <c r="P80" s="117" t="str">
        <f t="shared" si="45"/>
        <v/>
      </c>
      <c r="Q80" s="117" t="str">
        <f t="shared" si="45"/>
        <v/>
      </c>
      <c r="R80" s="117" t="str">
        <f t="shared" si="45"/>
        <v/>
      </c>
      <c r="S80" s="117" t="str">
        <f t="shared" si="45"/>
        <v/>
      </c>
      <c r="T80" s="117" t="str">
        <f t="shared" si="45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175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1" t="s">
        <v>176</v>
      </c>
      <c r="K82" s="211" t="s">
        <v>177</v>
      </c>
      <c r="L82" s="211"/>
      <c r="M82" s="211"/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101</v>
      </c>
      <c r="E84" s="30" t="s">
        <v>18</v>
      </c>
      <c r="F84" s="30" t="s">
        <v>36</v>
      </c>
      <c r="G84" s="32"/>
      <c r="H84" s="32"/>
      <c r="J84" s="218">
        <v>0.36</v>
      </c>
      <c r="K84" s="218">
        <v>0.62890000000000001</v>
      </c>
      <c r="L84" s="218"/>
      <c r="M84" s="218"/>
      <c r="N84" s="193"/>
      <c r="O84" s="193"/>
      <c r="P84" s="193"/>
      <c r="Q84" s="193"/>
      <c r="R84" s="193"/>
      <c r="S84" s="193"/>
      <c r="T84" s="193"/>
    </row>
    <row r="85" spans="3:23" outlineLevel="1">
      <c r="C85" s="148" t="str">
        <f t="shared" ref="C85:C89" si="46">C65</f>
        <v>Mains Length (km)</v>
      </c>
      <c r="D85" s="30" t="s">
        <v>101</v>
      </c>
      <c r="E85" s="30" t="s">
        <v>18</v>
      </c>
      <c r="F85" s="30" t="s">
        <v>36</v>
      </c>
      <c r="G85" s="32"/>
      <c r="H85" s="32"/>
      <c r="J85" s="218">
        <v>0.64</v>
      </c>
      <c r="K85" s="218">
        <v>0.37109999999999999</v>
      </c>
      <c r="L85" s="218"/>
      <c r="M85" s="218"/>
      <c r="N85" s="193"/>
      <c r="O85" s="193"/>
      <c r="P85" s="193"/>
      <c r="Q85" s="193"/>
      <c r="R85" s="193"/>
      <c r="S85" s="193"/>
      <c r="T85" s="193"/>
    </row>
    <row r="86" spans="3:23" outlineLevel="1">
      <c r="C86" s="148">
        <f t="shared" si="46"/>
        <v>0</v>
      </c>
      <c r="D86" s="30" t="s">
        <v>101</v>
      </c>
      <c r="E86" s="30" t="s">
        <v>18</v>
      </c>
      <c r="F86" s="30" t="s">
        <v>36</v>
      </c>
      <c r="G86" s="32"/>
      <c r="H86" s="32"/>
      <c r="J86" s="218"/>
      <c r="K86" s="218"/>
      <c r="L86" s="218"/>
      <c r="M86" s="218"/>
      <c r="N86" s="193"/>
      <c r="O86" s="193"/>
      <c r="P86" s="193"/>
      <c r="Q86" s="193"/>
      <c r="R86" s="193"/>
      <c r="S86" s="193"/>
      <c r="T86" s="193"/>
    </row>
    <row r="87" spans="3:23" outlineLevel="1">
      <c r="C87" s="148">
        <f t="shared" si="46"/>
        <v>0</v>
      </c>
      <c r="D87" s="30" t="s">
        <v>101</v>
      </c>
      <c r="E87" s="30" t="s">
        <v>18</v>
      </c>
      <c r="F87" s="30" t="s">
        <v>36</v>
      </c>
      <c r="G87" s="32"/>
      <c r="H87" s="32"/>
      <c r="J87" s="219"/>
      <c r="K87" s="219"/>
      <c r="L87" s="219"/>
      <c r="M87" s="218"/>
      <c r="N87" s="193"/>
      <c r="O87" s="193"/>
      <c r="P87" s="193"/>
      <c r="Q87" s="193"/>
      <c r="R87" s="193"/>
      <c r="S87" s="193"/>
      <c r="T87" s="193"/>
    </row>
    <row r="88" spans="3:23" outlineLevel="1">
      <c r="C88" s="148">
        <f t="shared" si="46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3"/>
      <c r="O88" s="193"/>
      <c r="P88" s="193"/>
      <c r="Q88" s="193"/>
      <c r="R88" s="193"/>
      <c r="S88" s="193"/>
      <c r="T88" s="193"/>
    </row>
    <row r="89" spans="3:23" outlineLevel="1">
      <c r="C89" s="148">
        <f t="shared" si="46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3"/>
      <c r="O89" s="193"/>
      <c r="P89" s="193"/>
      <c r="Q89" s="193"/>
      <c r="R89" s="193"/>
      <c r="S89" s="193"/>
      <c r="T89" s="193"/>
    </row>
    <row r="90" spans="3:23" outlineLevel="1">
      <c r="G90" s="32"/>
      <c r="H90" s="32"/>
    </row>
    <row r="91" spans="3:23" outlineLevel="1">
      <c r="C91" s="29" t="s">
        <v>40</v>
      </c>
      <c r="D91" s="30" t="s">
        <v>98</v>
      </c>
      <c r="E91" s="30" t="s">
        <v>28</v>
      </c>
      <c r="F91" s="30" t="s">
        <v>36</v>
      </c>
      <c r="J91" s="132" t="str">
        <f t="array" ref="J91">IF(ISBLANK(J82),IF(ISBLANK(J84:J89),"Ok","Check"),IF(SUM(J84:J89)=1,"Ok","Check"))</f>
        <v>Ok</v>
      </c>
      <c r="K91" s="132" t="str">
        <f t="array" ref="K91">IF(ISBLANK(K82),IF(ISBLANK(K84:K89),"Ok","Check"),IF(SUM(K84:K89)=1,"Ok","Check"))</f>
        <v>Ok</v>
      </c>
      <c r="L91" s="132" t="str">
        <f t="array" ref="L91">IF(ISBLANK(L82),IF(ISBLANK(L84:L89),"Ok","Check"),IF(SUM(L84:L89)=1,"Ok","Check"))</f>
        <v>Ok</v>
      </c>
      <c r="M91" s="132" t="str">
        <f t="array" ref="M91">IF(ISBLANK(M82),IF(ISBLANK(M84:M89),"Ok","Check"),IF(SUM(M84:M89)=1,"Ok","Check"))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178</v>
      </c>
      <c r="D93" s="32" t="s">
        <v>7</v>
      </c>
      <c r="E93" s="32" t="s">
        <v>8</v>
      </c>
      <c r="F93" s="32" t="s">
        <v>22</v>
      </c>
      <c r="J93" s="163" t="str">
        <f t="shared" ref="J93:P93" si="47">IF(YEAR(J$4)&gt;=FPFirstYear,IF(YEAR(J$4)&lt;=FPLastYear,J$4,""),"")</f>
        <v/>
      </c>
      <c r="K93" s="163" t="str">
        <f t="shared" si="47"/>
        <v/>
      </c>
      <c r="L93" s="163" t="str">
        <f t="shared" si="47"/>
        <v/>
      </c>
      <c r="M93" s="163" t="str">
        <f t="shared" si="47"/>
        <v/>
      </c>
      <c r="N93" s="163" t="str">
        <f t="shared" si="47"/>
        <v/>
      </c>
      <c r="O93" s="163" t="str">
        <f t="shared" si="47"/>
        <v/>
      </c>
      <c r="P93" s="163">
        <f t="shared" si="47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98</v>
      </c>
      <c r="E95" s="30" t="s">
        <v>18</v>
      </c>
      <c r="F95" s="30" t="s">
        <v>36</v>
      </c>
      <c r="J95" s="117" t="str">
        <f t="shared" ref="J95:S95" si="48">IF(J$93=J$4,SUMPRODUCT(J$75:J$80,$J$84:$J$89),"")</f>
        <v/>
      </c>
      <c r="K95" s="117" t="str">
        <f t="shared" si="48"/>
        <v/>
      </c>
      <c r="L95" s="117" t="str">
        <f t="shared" si="48"/>
        <v/>
      </c>
      <c r="M95" s="117" t="str">
        <f t="shared" si="48"/>
        <v/>
      </c>
      <c r="N95" s="117" t="str">
        <f t="shared" si="48"/>
        <v/>
      </c>
      <c r="O95" s="117" t="str">
        <f t="shared" si="48"/>
        <v/>
      </c>
      <c r="P95" s="117">
        <f t="shared" si="48"/>
        <v>1.4843174343345426E-2</v>
      </c>
      <c r="Q95" s="117">
        <f t="shared" si="48"/>
        <v>1.3546188275359937E-2</v>
      </c>
      <c r="R95" s="117">
        <f t="shared" si="48"/>
        <v>1.2946893897377337E-2</v>
      </c>
      <c r="S95" s="117">
        <f t="shared" si="48"/>
        <v>1.3020498942021064E-2</v>
      </c>
      <c r="T95" s="117">
        <f>IF(T$93=T$4,SUMPRODUCT(T$75:T$80,$J$84:$J$89),"")</f>
        <v>1.3425869242116306E-2</v>
      </c>
      <c r="U95" s="24"/>
      <c r="W95" s="132"/>
    </row>
    <row r="96" spans="3:23" outlineLevel="1">
      <c r="C96" s="148" t="str">
        <v>LSE CD</v>
      </c>
      <c r="D96" s="30" t="s">
        <v>98</v>
      </c>
      <c r="E96" s="30" t="s">
        <v>18</v>
      </c>
      <c r="F96" s="30" t="s">
        <v>36</v>
      </c>
      <c r="J96" s="117" t="str">
        <f t="shared" ref="J96:S96" si="49">IF(J$93=J$4,SUMPRODUCT(J$75:J$80,$K$84:$K$89),"")</f>
        <v/>
      </c>
      <c r="K96" s="117" t="str">
        <f t="shared" si="49"/>
        <v/>
      </c>
      <c r="L96" s="117" t="str">
        <f t="shared" si="49"/>
        <v/>
      </c>
      <c r="M96" s="117" t="str">
        <f t="shared" si="49"/>
        <v/>
      </c>
      <c r="N96" s="117" t="str">
        <f t="shared" si="49"/>
        <v/>
      </c>
      <c r="O96" s="117" t="str">
        <f t="shared" si="49"/>
        <v/>
      </c>
      <c r="P96" s="117">
        <f t="shared" si="49"/>
        <v>1.600087542712169E-2</v>
      </c>
      <c r="Q96" s="117">
        <f t="shared" si="49"/>
        <v>1.4541715290710253E-2</v>
      </c>
      <c r="R96" s="117">
        <f t="shared" si="49"/>
        <v>1.3915833634256773E-2</v>
      </c>
      <c r="S96" s="117">
        <f t="shared" si="49"/>
        <v>1.3999983112620948E-2</v>
      </c>
      <c r="T96" s="117">
        <f>IF(T$93=T$4,SUMPRODUCT(T$75:T$80,$K$84:$K$89),"")</f>
        <v>1.4505677810176011E-2</v>
      </c>
      <c r="U96" s="24"/>
      <c r="W96" s="132"/>
    </row>
    <row r="97" spans="1:50" outlineLevel="1">
      <c r="C97" s="148">
        <v>0</v>
      </c>
      <c r="D97" s="30" t="s">
        <v>98</v>
      </c>
      <c r="E97" s="30" t="s">
        <v>18</v>
      </c>
      <c r="F97" s="30" t="s">
        <v>36</v>
      </c>
      <c r="J97" s="117" t="str">
        <f t="shared" ref="J97:S97" si="50">IF(J$93=J$4,SUMPRODUCT(J$75:J$80,$L$84:$L$89),"")</f>
        <v/>
      </c>
      <c r="K97" s="117" t="str">
        <f t="shared" si="50"/>
        <v/>
      </c>
      <c r="L97" s="117" t="str">
        <f t="shared" si="50"/>
        <v/>
      </c>
      <c r="M97" s="117" t="str">
        <f t="shared" si="50"/>
        <v/>
      </c>
      <c r="N97" s="117" t="str">
        <f t="shared" si="50"/>
        <v/>
      </c>
      <c r="O97" s="117" t="str">
        <f t="shared" si="50"/>
        <v/>
      </c>
      <c r="P97" s="117">
        <f t="shared" si="50"/>
        <v>0</v>
      </c>
      <c r="Q97" s="117">
        <f t="shared" si="50"/>
        <v>0</v>
      </c>
      <c r="R97" s="117">
        <f t="shared" si="50"/>
        <v>0</v>
      </c>
      <c r="S97" s="117">
        <f t="shared" si="50"/>
        <v>0</v>
      </c>
      <c r="T97" s="117">
        <f>IF(T$93=T$4,SUMPRODUCT(T$75:T$80,$L$84:$L$89),"")</f>
        <v>0</v>
      </c>
      <c r="U97" s="24"/>
      <c r="W97" s="132"/>
    </row>
    <row r="98" spans="1:50" outlineLevel="1">
      <c r="C98" s="148">
        <v>0</v>
      </c>
      <c r="D98" s="30" t="s">
        <v>98</v>
      </c>
      <c r="E98" s="30" t="s">
        <v>18</v>
      </c>
      <c r="F98" s="30" t="s">
        <v>36</v>
      </c>
      <c r="J98" s="117" t="str">
        <f t="shared" ref="J98:S98" si="51">IF(J$93=J$4,SUMPRODUCT(J$75:J$80,$M$84:$M$89),"")</f>
        <v/>
      </c>
      <c r="K98" s="117" t="str">
        <f t="shared" si="51"/>
        <v/>
      </c>
      <c r="L98" s="117" t="str">
        <f t="shared" si="51"/>
        <v/>
      </c>
      <c r="M98" s="117" t="str">
        <f t="shared" si="51"/>
        <v/>
      </c>
      <c r="N98" s="117" t="str">
        <f t="shared" si="51"/>
        <v/>
      </c>
      <c r="O98" s="117" t="str">
        <f t="shared" si="51"/>
        <v/>
      </c>
      <c r="P98" s="117">
        <f t="shared" si="51"/>
        <v>0</v>
      </c>
      <c r="Q98" s="117">
        <f t="shared" si="51"/>
        <v>0</v>
      </c>
      <c r="R98" s="117">
        <f t="shared" si="51"/>
        <v>0</v>
      </c>
      <c r="S98" s="117">
        <f t="shared" si="51"/>
        <v>0</v>
      </c>
      <c r="T98" s="117">
        <f>IF(T$93=T$4,SUMPRODUCT(T$75:T$80,$M$84:$M$89),"")</f>
        <v>0</v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78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2">IF(YEAR(J$4)&gt;=FPFirstYear,IF(YEAR(J$4)&lt;=FPLastYear,J$4,""),"")</f>
        <v/>
      </c>
      <c r="K102" s="163" t="str">
        <f t="shared" si="52"/>
        <v/>
      </c>
      <c r="L102" s="163" t="str">
        <f t="shared" si="52"/>
        <v/>
      </c>
      <c r="M102" s="163" t="str">
        <f t="shared" si="52"/>
        <v/>
      </c>
      <c r="N102" s="163" t="str">
        <f t="shared" si="52"/>
        <v/>
      </c>
      <c r="O102" s="163" t="str">
        <f t="shared" si="52"/>
        <v/>
      </c>
      <c r="P102" s="163">
        <f t="shared" si="52"/>
        <v>44348</v>
      </c>
      <c r="Q102" s="163">
        <f t="shared" si="52"/>
        <v>44713</v>
      </c>
      <c r="R102" s="163">
        <f t="shared" si="52"/>
        <v>45078</v>
      </c>
      <c r="S102" s="163">
        <f t="shared" si="52"/>
        <v>45444</v>
      </c>
      <c r="T102" s="163">
        <f t="shared" si="52"/>
        <v>45809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101</v>
      </c>
      <c r="E104" s="30" t="str">
        <f>percent</f>
        <v>Per cent</v>
      </c>
      <c r="F104" s="30" t="s">
        <v>36</v>
      </c>
      <c r="G104" s="32"/>
      <c r="H104" s="32"/>
      <c r="J104" s="205"/>
      <c r="K104" s="194"/>
      <c r="L104" s="194"/>
      <c r="M104" s="194"/>
      <c r="N104" s="194"/>
      <c r="O104" s="169"/>
      <c r="P104" s="169">
        <v>7.3499999999999998E-3</v>
      </c>
      <c r="Q104" s="169">
        <f>$P104</f>
        <v>7.3499999999999998E-3</v>
      </c>
      <c r="R104" s="169">
        <f t="shared" ref="R104:T104" si="53">$P104</f>
        <v>7.3499999999999998E-3</v>
      </c>
      <c r="S104" s="169">
        <f t="shared" si="53"/>
        <v>7.3499999999999998E-3</v>
      </c>
      <c r="T104" s="169">
        <f t="shared" si="53"/>
        <v>7.3499999999999998E-3</v>
      </c>
    </row>
    <row r="105" spans="1:50" outlineLevel="1">
      <c r="C105" s="111"/>
      <c r="G105" s="32"/>
      <c r="H105" s="32"/>
      <c r="J105" s="168"/>
      <c r="K105" s="23"/>
      <c r="L105" s="23"/>
      <c r="M105" s="23"/>
      <c r="N105" s="23"/>
      <c r="O105" s="23"/>
      <c r="P105" s="192"/>
      <c r="Q105" s="192"/>
      <c r="R105" s="192"/>
      <c r="S105" s="192"/>
      <c r="T105" s="192"/>
    </row>
    <row r="106" spans="1:50" outlineLevel="1">
      <c r="C106" s="29" t="s">
        <v>40</v>
      </c>
      <c r="D106" s="30" t="s">
        <v>98</v>
      </c>
      <c r="E106" s="30" t="s">
        <v>28</v>
      </c>
      <c r="F106" s="30" t="s">
        <v>36</v>
      </c>
      <c r="J106" s="132" t="str">
        <f t="shared" ref="J106:S106" si="54">IF(J102=J$4,IF(ISBLANK(J104),"Check","Ok"),"")</f>
        <v/>
      </c>
      <c r="K106" s="132" t="str">
        <f t="shared" si="54"/>
        <v/>
      </c>
      <c r="L106" s="132" t="str">
        <f t="shared" si="54"/>
        <v/>
      </c>
      <c r="M106" s="132" t="str">
        <f t="shared" si="54"/>
        <v/>
      </c>
      <c r="N106" s="132" t="str">
        <f t="shared" si="54"/>
        <v/>
      </c>
      <c r="O106" s="132" t="str">
        <f t="shared" si="54"/>
        <v/>
      </c>
      <c r="P106" s="132" t="str">
        <f t="shared" si="54"/>
        <v>Ok</v>
      </c>
      <c r="Q106" s="132" t="str">
        <f t="shared" si="54"/>
        <v>Ok</v>
      </c>
      <c r="R106" s="132" t="str">
        <f t="shared" si="54"/>
        <v>Ok</v>
      </c>
      <c r="S106" s="132" t="str">
        <f t="shared" si="54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52" priority="112" operator="equal">
      <formula>"Check"</formula>
    </cfRule>
    <cfRule type="cellIs" dxfId="151" priority="113" operator="equal">
      <formula>"Ok"</formula>
    </cfRule>
  </conditionalFormatting>
  <conditionalFormatting sqref="T1">
    <cfRule type="cellIs" dxfId="150" priority="76" operator="equal">
      <formula>"Check"</formula>
    </cfRule>
    <cfRule type="cellIs" dxfId="149" priority="77" operator="equal">
      <formula>"Ok"</formula>
    </cfRule>
  </conditionalFormatting>
  <conditionalFormatting sqref="W58">
    <cfRule type="cellIs" dxfId="148" priority="64" operator="equal">
      <formula>"Check"</formula>
    </cfRule>
    <cfRule type="cellIs" dxfId="147" priority="65" operator="equal">
      <formula>"Ok"</formula>
    </cfRule>
  </conditionalFormatting>
  <conditionalFormatting sqref="J58:T58">
    <cfRule type="cellIs" dxfId="146" priority="56" operator="equal">
      <formula>"Check"</formula>
    </cfRule>
    <cfRule type="cellIs" dxfId="145" priority="57" operator="equal">
      <formula>"Ok"</formula>
    </cfRule>
  </conditionalFormatting>
  <conditionalFormatting sqref="J34:T34">
    <cfRule type="expression" dxfId="144" priority="47">
      <formula>J$34=J$4</formula>
    </cfRule>
  </conditionalFormatting>
  <conditionalFormatting sqref="J37:T43 J36:O36">
    <cfRule type="expression" dxfId="143" priority="45">
      <formula>J$34=J$4</formula>
    </cfRule>
  </conditionalFormatting>
  <conditionalFormatting sqref="J49:T56">
    <cfRule type="expression" dxfId="142" priority="44">
      <formula>J$47=J$4</formula>
    </cfRule>
  </conditionalFormatting>
  <conditionalFormatting sqref="W106">
    <cfRule type="cellIs" dxfId="141" priority="38" operator="equal">
      <formula>"Check"</formula>
    </cfRule>
    <cfRule type="cellIs" dxfId="140" priority="39" operator="equal">
      <formula>"Ok"</formula>
    </cfRule>
  </conditionalFormatting>
  <conditionalFormatting sqref="J106:T106">
    <cfRule type="cellIs" dxfId="139" priority="36" operator="equal">
      <formula>"Check"</formula>
    </cfRule>
    <cfRule type="cellIs" dxfId="138" priority="37" operator="equal">
      <formula>"Ok"</formula>
    </cfRule>
  </conditionalFormatting>
  <conditionalFormatting sqref="W45">
    <cfRule type="cellIs" dxfId="137" priority="34" operator="equal">
      <formula>"Check"</formula>
    </cfRule>
    <cfRule type="cellIs" dxfId="136" priority="35" operator="equal">
      <formula>"Ok"</formula>
    </cfRule>
  </conditionalFormatting>
  <conditionalFormatting sqref="J45:T45">
    <cfRule type="cellIs" dxfId="135" priority="32" operator="equal">
      <formula>"Check"</formula>
    </cfRule>
    <cfRule type="cellIs" dxfId="134" priority="33" operator="equal">
      <formula>"Ok"</formula>
    </cfRule>
  </conditionalFormatting>
  <conditionalFormatting sqref="W71">
    <cfRule type="cellIs" dxfId="133" priority="30" operator="equal">
      <formula>"Check"</formula>
    </cfRule>
    <cfRule type="cellIs" dxfId="132" priority="31" operator="equal">
      <formula>"Ok"</formula>
    </cfRule>
  </conditionalFormatting>
  <conditionalFormatting sqref="J71:T71">
    <cfRule type="cellIs" dxfId="131" priority="28" operator="equal">
      <formula>"Check"</formula>
    </cfRule>
    <cfRule type="cellIs" dxfId="130" priority="29" operator="equal">
      <formula>"Ok"</formula>
    </cfRule>
  </conditionalFormatting>
  <conditionalFormatting sqref="J62:T62">
    <cfRule type="expression" dxfId="129" priority="22">
      <formula>J$62=J$4</formula>
    </cfRule>
  </conditionalFormatting>
  <conditionalFormatting sqref="J66:T69 J64:N65">
    <cfRule type="expression" dxfId="128" priority="20">
      <formula>J$62=J$4</formula>
    </cfRule>
  </conditionalFormatting>
  <conditionalFormatting sqref="J47:T47">
    <cfRule type="expression" dxfId="127" priority="17">
      <formula>J$34=J$4</formula>
    </cfRule>
  </conditionalFormatting>
  <conditionalFormatting sqref="J73:T73">
    <cfRule type="expression" dxfId="126" priority="16">
      <formula>J$34=J$4</formula>
    </cfRule>
  </conditionalFormatting>
  <conditionalFormatting sqref="J102:T102">
    <cfRule type="expression" dxfId="125" priority="15">
      <formula>J$34=J$4</formula>
    </cfRule>
  </conditionalFormatting>
  <conditionalFormatting sqref="J25:T30">
    <cfRule type="cellIs" dxfId="124" priority="13" operator="equal">
      <formula>0</formula>
    </cfRule>
  </conditionalFormatting>
  <conditionalFormatting sqref="J16:T21">
    <cfRule type="cellIs" dxfId="123" priority="12" operator="equal">
      <formula>0</formula>
    </cfRule>
  </conditionalFormatting>
  <conditionalFormatting sqref="W91:W98">
    <cfRule type="cellIs" dxfId="122" priority="8" operator="equal">
      <formula>"Check"</formula>
    </cfRule>
    <cfRule type="cellIs" dxfId="121" priority="9" operator="equal">
      <formula>"Ok"</formula>
    </cfRule>
  </conditionalFormatting>
  <conditionalFormatting sqref="K88:M89">
    <cfRule type="expression" dxfId="120" priority="7">
      <formula>K$82=K$4</formula>
    </cfRule>
  </conditionalFormatting>
  <conditionalFormatting sqref="J94:T94 J91:T92">
    <cfRule type="cellIs" dxfId="119" priority="5" operator="equal">
      <formula>"Check"</formula>
    </cfRule>
    <cfRule type="cellIs" dxfId="118" priority="6" operator="equal">
      <formula>"Ok"</formula>
    </cfRule>
  </conditionalFormatting>
  <conditionalFormatting sqref="J93:T93">
    <cfRule type="expression" dxfId="117" priority="4">
      <formula>J$93=J$4</formula>
    </cfRule>
  </conditionalFormatting>
  <conditionalFormatting sqref="J104:T104">
    <cfRule type="expression" dxfId="116" priority="117">
      <formula>J$102=J$4</formula>
    </cfRule>
  </conditionalFormatting>
  <conditionalFormatting sqref="K84:M87">
    <cfRule type="expression" dxfId="115" priority="3">
      <formula>K$82=K$4</formula>
    </cfRule>
  </conditionalFormatting>
  <conditionalFormatting sqref="P36:T36">
    <cfRule type="expression" dxfId="114" priority="2">
      <formula>P$34=P$4</formula>
    </cfRule>
  </conditionalFormatting>
  <conditionalFormatting sqref="O64:T65">
    <cfRule type="expression" dxfId="113" priority="1">
      <formula>O$62=O$4</formula>
    </cfRule>
  </conditionalFormatting>
  <dataValidations disablePrompts="1" count="3">
    <dataValidation type="list" allowBlank="1" showInputMessage="1" showErrorMessage="1" sqref="F107 F72 F99">
      <formula1>#REF!</formula1>
    </dataValidation>
    <dataValidation type="list" allowBlank="1" showInputMessage="1" showErrorMessage="1" sqref="F83">
      <formula1>#REF!</formula1>
    </dataValidation>
    <dataValidation type="list" allowBlank="1" showInputMessage="1" showErrorMessage="1" sqref="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>
      <selection activeCell="U1" sqref="U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IF(COUNTA($W$8:$W$235)=COUNTIF($W$8:$W$235,"OK"),"OK","Check")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58" t="s">
        <v>122</v>
      </c>
      <c r="K3" s="172"/>
      <c r="L3" s="172"/>
      <c r="M3" s="182"/>
      <c r="N3" s="222"/>
      <c r="O3" s="222"/>
      <c r="P3" s="222"/>
      <c r="Q3" s="222"/>
      <c r="R3" s="222"/>
      <c r="S3" s="222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61" t="s">
        <v>202</v>
      </c>
      <c r="D12" s="30" t="s">
        <v>69</v>
      </c>
      <c r="E12" s="150" t="s">
        <v>15</v>
      </c>
      <c r="F12" s="171">
        <v>43983</v>
      </c>
      <c r="G12" s="32"/>
      <c r="H12" s="32"/>
      <c r="J12" s="152"/>
      <c r="K12" s="152"/>
      <c r="L12" s="152"/>
      <c r="M12" s="152"/>
      <c r="N12" s="152"/>
      <c r="O12" s="170">
        <v>-8.4190583444811669</v>
      </c>
      <c r="P12" s="170">
        <v>0</v>
      </c>
      <c r="Q12" s="170">
        <v>0</v>
      </c>
      <c r="R12" s="170">
        <v>0</v>
      </c>
      <c r="S12" s="170">
        <v>0</v>
      </c>
      <c r="T12" s="221"/>
    </row>
    <row r="13" spans="1:47" outlineLevel="1">
      <c r="C13" s="61" t="s">
        <v>203</v>
      </c>
      <c r="D13" s="30" t="s">
        <v>69</v>
      </c>
      <c r="E13" s="150" t="s">
        <v>15</v>
      </c>
      <c r="F13" s="171">
        <v>43983</v>
      </c>
      <c r="G13" s="32"/>
      <c r="H13" s="32"/>
      <c r="J13" s="152"/>
      <c r="K13" s="152"/>
      <c r="L13" s="152"/>
      <c r="M13" s="152"/>
      <c r="N13" s="152"/>
      <c r="O13" s="170">
        <v>0</v>
      </c>
      <c r="P13" s="170">
        <v>0</v>
      </c>
      <c r="Q13" s="170">
        <v>3.3185833824886912</v>
      </c>
      <c r="R13" s="170">
        <v>1.2966127926114697</v>
      </c>
      <c r="S13" s="170">
        <v>3.0850658945914109</v>
      </c>
    </row>
    <row r="14" spans="1:47" outlineLevel="1">
      <c r="C14" s="61"/>
      <c r="D14" s="30" t="s">
        <v>69</v>
      </c>
      <c r="E14" s="150" t="s">
        <v>15</v>
      </c>
      <c r="F14" s="171">
        <v>43983</v>
      </c>
      <c r="G14" s="32"/>
      <c r="H14" s="32"/>
      <c r="J14" s="152"/>
      <c r="K14" s="152"/>
      <c r="L14" s="152"/>
      <c r="M14" s="152"/>
      <c r="N14" s="152"/>
      <c r="O14" s="170"/>
      <c r="P14" s="170"/>
      <c r="Q14" s="170"/>
      <c r="R14" s="170"/>
      <c r="S14" s="170"/>
    </row>
    <row r="15" spans="1:47" outlineLevel="1">
      <c r="C15" s="61"/>
      <c r="D15" s="30" t="s">
        <v>69</v>
      </c>
      <c r="E15" s="150" t="s">
        <v>15</v>
      </c>
      <c r="F15" s="171">
        <v>43983</v>
      </c>
      <c r="G15" s="32"/>
      <c r="H15" s="32"/>
      <c r="J15" s="152"/>
      <c r="K15" s="152"/>
      <c r="L15" s="152"/>
      <c r="M15" s="152"/>
      <c r="N15" s="152"/>
      <c r="O15" s="170"/>
      <c r="P15" s="170"/>
      <c r="Q15" s="170"/>
      <c r="R15" s="170"/>
      <c r="S15" s="170"/>
    </row>
    <row r="16" spans="1:47" outlineLevel="1">
      <c r="C16" s="61"/>
      <c r="D16" s="30" t="s">
        <v>69</v>
      </c>
      <c r="E16" s="150" t="s">
        <v>15</v>
      </c>
      <c r="F16" s="171">
        <v>43983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</row>
    <row r="17" spans="1:47" outlineLevel="1">
      <c r="C17" s="61"/>
      <c r="D17" s="30" t="s">
        <v>69</v>
      </c>
      <c r="E17" s="150" t="s">
        <v>15</v>
      </c>
      <c r="F17" s="171">
        <v>43983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</row>
    <row r="18" spans="1:47" outlineLevel="1">
      <c r="C18" s="61"/>
      <c r="D18" s="30" t="s">
        <v>69</v>
      </c>
      <c r="E18" s="150" t="s">
        <v>15</v>
      </c>
      <c r="F18" s="171">
        <v>43983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</row>
    <row r="19" spans="1:47" outlineLevel="1">
      <c r="C19" s="61"/>
      <c r="D19" s="30" t="s">
        <v>69</v>
      </c>
      <c r="E19" s="150" t="s">
        <v>15</v>
      </c>
      <c r="F19" s="171">
        <v>43983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</row>
    <row r="20" spans="1:47" outlineLevel="1">
      <c r="C20" s="61"/>
      <c r="D20" s="30" t="s">
        <v>69</v>
      </c>
      <c r="E20" s="150" t="s">
        <v>15</v>
      </c>
      <c r="F20" s="171">
        <v>43983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118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61" t="s">
        <v>204</v>
      </c>
      <c r="D28" s="30" t="s">
        <v>69</v>
      </c>
      <c r="E28" s="150" t="s">
        <v>15</v>
      </c>
      <c r="F28" s="171">
        <v>43983</v>
      </c>
      <c r="G28" s="32"/>
      <c r="H28" s="32"/>
      <c r="J28" s="152"/>
      <c r="K28" s="152"/>
      <c r="L28" s="152"/>
      <c r="M28" s="152"/>
      <c r="N28" s="170"/>
      <c r="O28" s="170">
        <v>31.201028824622821</v>
      </c>
      <c r="P28" s="170">
        <v>31.630239980120198</v>
      </c>
      <c r="Q28" s="170">
        <v>31.73990860179341</v>
      </c>
      <c r="R28" s="170">
        <v>31.564196426002137</v>
      </c>
      <c r="S28" s="170">
        <v>31.393628150188956</v>
      </c>
    </row>
    <row r="29" spans="1:47" outlineLevel="1">
      <c r="C29" s="61" t="s">
        <v>205</v>
      </c>
      <c r="D29" s="30" t="s">
        <v>69</v>
      </c>
      <c r="E29" s="150" t="s">
        <v>15</v>
      </c>
      <c r="F29" s="171">
        <v>43983</v>
      </c>
      <c r="G29" s="32"/>
      <c r="H29" s="32"/>
      <c r="J29" s="152"/>
      <c r="K29" s="152"/>
      <c r="L29" s="152"/>
      <c r="M29" s="152"/>
      <c r="N29" s="170"/>
      <c r="O29" s="170">
        <v>4.6951952355560111</v>
      </c>
      <c r="P29" s="170">
        <v>4.6951952355560111</v>
      </c>
      <c r="Q29" s="170">
        <v>4.6951952355560111</v>
      </c>
      <c r="R29" s="170">
        <v>4.6951952355560111</v>
      </c>
      <c r="S29" s="170">
        <v>4.6951952355560111</v>
      </c>
    </row>
    <row r="30" spans="1:47" outlineLevel="1">
      <c r="C30" s="61"/>
      <c r="D30" s="30" t="s">
        <v>69</v>
      </c>
      <c r="E30" s="150" t="s">
        <v>15</v>
      </c>
      <c r="F30" s="171">
        <v>43983</v>
      </c>
      <c r="G30" s="32"/>
      <c r="H30" s="32"/>
      <c r="J30" s="152"/>
      <c r="K30" s="152"/>
      <c r="L30" s="152"/>
      <c r="M30" s="152"/>
      <c r="N30" s="170"/>
      <c r="O30" s="170"/>
      <c r="P30" s="170"/>
      <c r="Q30" s="170"/>
      <c r="R30" s="170"/>
      <c r="S30" s="170"/>
    </row>
    <row r="31" spans="1:47" outlineLevel="1">
      <c r="G31" s="32"/>
      <c r="H31" s="32"/>
    </row>
    <row r="32" spans="1:47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72</v>
      </c>
      <c r="E38" s="30" t="s">
        <v>15</v>
      </c>
      <c r="F38" s="210">
        <f>DATE(PPLastYear,MONTH('Input|General'!$G$9),1)</f>
        <v>43983</v>
      </c>
      <c r="G38" s="32"/>
      <c r="H38" s="32"/>
      <c r="J38" s="170"/>
      <c r="K38" s="170"/>
      <c r="L38" s="170"/>
      <c r="M38" s="170"/>
      <c r="N38" s="170"/>
      <c r="O38" s="170">
        <v>1.1111900641579049</v>
      </c>
      <c r="P38" s="170">
        <v>1.122844868171716</v>
      </c>
      <c r="Q38" s="170">
        <v>1.1241100876020624</v>
      </c>
      <c r="R38" s="170">
        <v>1.1198695784291435</v>
      </c>
      <c r="S38" s="170">
        <v>1.1132479495190128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2" priority="26" operator="equal">
      <formula>"Check"</formula>
    </cfRule>
    <cfRule type="cellIs" dxfId="111" priority="27" operator="equal">
      <formula>"Ok"</formula>
    </cfRule>
  </conditionalFormatting>
  <conditionalFormatting sqref="V1">
    <cfRule type="cellIs" dxfId="110" priority="28" operator="equal">
      <formula>"Check"</formula>
    </cfRule>
    <cfRule type="cellIs" dxfId="109" priority="29" operator="equal">
      <formula>"Ok"</formula>
    </cfRule>
  </conditionalFormatting>
  <conditionalFormatting sqref="J10:S10">
    <cfRule type="expression" dxfId="108" priority="24">
      <formula>J$10=J$4</formula>
    </cfRule>
  </conditionalFormatting>
  <conditionalFormatting sqref="J12:S20">
    <cfRule type="expression" dxfId="107" priority="23">
      <formula>J$10=J$4</formula>
    </cfRule>
  </conditionalFormatting>
  <conditionalFormatting sqref="W22">
    <cfRule type="cellIs" dxfId="106" priority="19" operator="equal">
      <formula>"Check"</formula>
    </cfRule>
    <cfRule type="cellIs" dxfId="105" priority="20" operator="equal">
      <formula>"Ok"</formula>
    </cfRule>
  </conditionalFormatting>
  <conditionalFormatting sqref="J22:T22">
    <cfRule type="cellIs" dxfId="104" priority="17" operator="equal">
      <formula>"Check"</formula>
    </cfRule>
    <cfRule type="cellIs" dxfId="103" priority="18" operator="equal">
      <formula>"Ok"</formula>
    </cfRule>
  </conditionalFormatting>
  <conditionalFormatting sqref="W32">
    <cfRule type="cellIs" dxfId="102" priority="15" operator="equal">
      <formula>"Check"</formula>
    </cfRule>
    <cfRule type="cellIs" dxfId="101" priority="16" operator="equal">
      <formula>"Ok"</formula>
    </cfRule>
  </conditionalFormatting>
  <conditionalFormatting sqref="J32:T32">
    <cfRule type="cellIs" dxfId="100" priority="13" operator="equal">
      <formula>"Check"</formula>
    </cfRule>
    <cfRule type="cellIs" dxfId="99" priority="14" operator="equal">
      <formula>"Ok"</formula>
    </cfRule>
  </conditionalFormatting>
  <conditionalFormatting sqref="J28:M30 O29:S30">
    <cfRule type="expression" dxfId="98" priority="12">
      <formula>J$26=J$4</formula>
    </cfRule>
  </conditionalFormatting>
  <conditionalFormatting sqref="W40">
    <cfRule type="cellIs" dxfId="97" priority="10" operator="equal">
      <formula>"Check"</formula>
    </cfRule>
    <cfRule type="cellIs" dxfId="96" priority="11" operator="equal">
      <formula>"Ok"</formula>
    </cfRule>
  </conditionalFormatting>
  <conditionalFormatting sqref="J40:T40">
    <cfRule type="cellIs" dxfId="95" priority="8" operator="equal">
      <formula>"Check"</formula>
    </cfRule>
    <cfRule type="cellIs" dxfId="94" priority="9" operator="equal">
      <formula>"Ok"</formula>
    </cfRule>
  </conditionalFormatting>
  <conditionalFormatting sqref="O28:S28">
    <cfRule type="expression" dxfId="93" priority="7">
      <formula>O$10=O$4</formula>
    </cfRule>
  </conditionalFormatting>
  <conditionalFormatting sqref="N28:N30">
    <cfRule type="expression" dxfId="92" priority="6">
      <formula>N$10=N$4</formula>
    </cfRule>
  </conditionalFormatting>
  <conditionalFormatting sqref="J38:S38">
    <cfRule type="expression" dxfId="91" priority="3">
      <formula>J$36=J$4</formula>
    </cfRule>
  </conditionalFormatting>
  <conditionalFormatting sqref="J26:S26">
    <cfRule type="expression" dxfId="90" priority="2">
      <formula>J$10=J$4</formula>
    </cfRule>
  </conditionalFormatting>
  <conditionalFormatting sqref="J36:S36">
    <cfRule type="expression" dxfId="89" priority="1">
      <formula>J$10=J$4</formula>
    </cfRule>
  </conditionalFormatting>
  <dataValidations disablePrompts="1"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'Lookup|Tables'!$C$67:$C$75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workbookViewId="0">
      <selection activeCell="U1" sqref="U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72" t="s">
        <v>122</v>
      </c>
      <c r="K3" s="172"/>
      <c r="L3" s="172"/>
      <c r="M3" s="182"/>
      <c r="N3" s="222"/>
      <c r="O3" s="222"/>
      <c r="P3" s="222"/>
      <c r="Q3" s="222"/>
      <c r="R3" s="222"/>
      <c r="S3" s="222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86</v>
      </c>
      <c r="C8" s="94"/>
      <c r="D8" s="94"/>
      <c r="E8" s="68" t="s">
        <v>15</v>
      </c>
      <c r="F8" s="206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164</v>
      </c>
      <c r="D12" s="108" t="s">
        <v>92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175.38884141175012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164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183.08457997162358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165</v>
      </c>
      <c r="D14" s="108" t="s">
        <v>92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160.38503677857003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165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174.18799683680831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166</v>
      </c>
      <c r="D16" s="108" t="s">
        <v>92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164.2651730813059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166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178.40206308390134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167</v>
      </c>
      <c r="D19" s="108" t="s">
        <v>92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25.762703200000008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167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26.8931230535491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168</v>
      </c>
      <c r="D21" s="108" t="s">
        <v>92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21.547671066937596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168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23.402093705476013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169</v>
      </c>
      <c r="D23" s="108" t="s">
        <v>92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21.598793952218443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169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23.457616297598388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3:19" outlineLevel="1">
      <c r="C26" s="113" t="s">
        <v>140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183.08457997162358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162</v>
      </c>
      <c r="D28" s="108" t="s">
        <v>92</v>
      </c>
      <c r="E28" s="110" t="str">
        <f>'Input|Reported opex'!E68</f>
        <v>$millions</v>
      </c>
      <c r="F28" s="161">
        <f>'Input|Reported opex'!F68</f>
        <v>43983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160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7">
        <f t="shared" ref="J31:S31" si="2">IF(YEAR(J$4)=PPLastYear,-SUM($J15:$S15)+SUM($J17:$S17),0)</f>
        <v>0</v>
      </c>
      <c r="K31" s="177">
        <f t="shared" si="2"/>
        <v>0</v>
      </c>
      <c r="L31" s="177">
        <f t="shared" si="2"/>
        <v>0</v>
      </c>
      <c r="M31" s="177">
        <f t="shared" si="2"/>
        <v>0</v>
      </c>
      <c r="N31" s="177">
        <f t="shared" si="2"/>
        <v>4.2140662470930295</v>
      </c>
      <c r="O31" s="177">
        <f t="shared" si="2"/>
        <v>0</v>
      </c>
      <c r="P31" s="177">
        <f t="shared" si="2"/>
        <v>0</v>
      </c>
      <c r="Q31" s="177">
        <f t="shared" si="2"/>
        <v>0</v>
      </c>
      <c r="R31" s="177">
        <f t="shared" si="2"/>
        <v>0</v>
      </c>
      <c r="S31" s="177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3:19" outlineLevel="1">
      <c r="C33" s="123" t="s">
        <v>105</v>
      </c>
      <c r="D33" s="110" t="s">
        <v>30</v>
      </c>
      <c r="E33" s="110" t="str">
        <f>$E$8</f>
        <v>$millions</v>
      </c>
      <c r="F33" s="161">
        <f>$F$8</f>
        <v>43983</v>
      </c>
      <c r="J33" s="177">
        <f t="shared" ref="J33:S33" si="3">IF(YEAR(J$4)=PPLastYear,SUM($J26:$S26,$J29:$S29,$J31:$S31),0)</f>
        <v>0</v>
      </c>
      <c r="K33" s="177">
        <f t="shared" si="3"/>
        <v>0</v>
      </c>
      <c r="L33" s="177">
        <f t="shared" si="3"/>
        <v>0</v>
      </c>
      <c r="M33" s="177">
        <f t="shared" si="3"/>
        <v>0</v>
      </c>
      <c r="N33" s="177">
        <f t="shared" si="3"/>
        <v>187.29864621871661</v>
      </c>
      <c r="O33" s="177">
        <f t="shared" si="3"/>
        <v>0</v>
      </c>
      <c r="P33" s="177">
        <f t="shared" si="3"/>
        <v>0</v>
      </c>
      <c r="Q33" s="177">
        <f t="shared" si="3"/>
        <v>0</v>
      </c>
      <c r="R33" s="177">
        <f t="shared" si="3"/>
        <v>0</v>
      </c>
      <c r="S33" s="177">
        <f t="shared" si="3"/>
        <v>0</v>
      </c>
    </row>
    <row r="34" spans="3:19" outlineLevel="1">
      <c r="C34" s="123"/>
      <c r="D34" s="110"/>
      <c r="E34" s="110"/>
      <c r="F34" s="161"/>
      <c r="J34" s="177"/>
      <c r="K34" s="177"/>
      <c r="L34" s="177"/>
      <c r="M34" s="177"/>
      <c r="N34" s="177"/>
      <c r="O34" s="177"/>
      <c r="P34" s="177"/>
      <c r="Q34" s="177"/>
      <c r="R34" s="177"/>
      <c r="S34" s="177"/>
    </row>
    <row r="35" spans="3:19" outlineLevel="1">
      <c r="C35" s="123" t="s">
        <v>170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-26.948645645671476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Expensing of corporate overheads</v>
      </c>
      <c r="D37" s="108" t="s">
        <v>92</v>
      </c>
      <c r="E37" s="110" t="str">
        <f>'Input|Reported opex'!E62</f>
        <v>$millions</v>
      </c>
      <c r="F37" s="161">
        <f>'Input|Reported opex'!F65</f>
        <v>43983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16.838116688962334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Expensing of corporate overheads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16.838116688962334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92</v>
      </c>
      <c r="E40" s="30" t="str">
        <f>'Input|Reported opex'!$E$63</f>
        <v>$millions</v>
      </c>
      <c r="F40" s="161">
        <f>'Input|Reported opex'!$F$63</f>
        <v>43983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92</v>
      </c>
      <c r="E43" s="30" t="str">
        <f>'Input|Reported opex'!$E$64</f>
        <v>$millions</v>
      </c>
      <c r="F43" s="161">
        <f>'Input|Reported opex'!$F$64</f>
        <v>43983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92</v>
      </c>
      <c r="E46" s="30" t="str">
        <f>'Input|Reported opex'!$E$65</f>
        <v>$millions</v>
      </c>
      <c r="F46" s="161">
        <f>'Input|Reported opex'!$F$65</f>
        <v>43983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92</v>
      </c>
      <c r="E49" s="30" t="str">
        <f>'Input|Reported opex'!$E$66</f>
        <v>$millions</v>
      </c>
      <c r="F49" s="161">
        <f>'Input|Reported opex'!$F$66</f>
        <v>43983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89</v>
      </c>
      <c r="D52" s="110" t="s">
        <v>98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8" t="s">
        <v>171</v>
      </c>
      <c r="D54" s="112" t="s">
        <v>98</v>
      </c>
      <c r="E54" s="112" t="str">
        <f>$E$8</f>
        <v>$millions</v>
      </c>
      <c r="F54" s="179">
        <f>$F$8</f>
        <v>43983</v>
      </c>
      <c r="J54" s="177">
        <f>SUM(J33,J35,J38,J41,J44,J47,J50,J52)</f>
        <v>0</v>
      </c>
      <c r="K54" s="177">
        <f t="shared" ref="K54:S54" si="5">SUM(K33,K35,K38,K41,K44,K47,K50,K52)</f>
        <v>0</v>
      </c>
      <c r="L54" s="177">
        <f t="shared" si="5"/>
        <v>0</v>
      </c>
      <c r="M54" s="177">
        <f t="shared" si="5"/>
        <v>0</v>
      </c>
      <c r="N54" s="177">
        <f t="shared" si="5"/>
        <v>177.18811726200747</v>
      </c>
      <c r="O54" s="177">
        <f t="shared" si="5"/>
        <v>0</v>
      </c>
      <c r="P54" s="177">
        <f t="shared" si="5"/>
        <v>0</v>
      </c>
      <c r="Q54" s="177">
        <f t="shared" si="5"/>
        <v>0</v>
      </c>
      <c r="R54" s="177">
        <f t="shared" si="5"/>
        <v>0</v>
      </c>
      <c r="S54" s="177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change'!K95,0,0,COUNTA('Input|Rate of change'!$J$82:$M$82),1)),0)</f>
        <v>0</v>
      </c>
      <c r="K61" s="117">
        <f ca="1">IF(K58=K4,AVERAGE(OFFSET('Input|Rate of change'!L95,0,0,COUNTA('Input|Rate of change'!$J$82:$M$82),1)),0)</f>
        <v>0</v>
      </c>
      <c r="L61" s="117">
        <f ca="1">IF(L58=L4,AVERAGE(OFFSET('Input|Rate of change'!M95,0,0,COUNTA('Input|Rate of change'!$J$82:$M$82),1)),0)</f>
        <v>0</v>
      </c>
      <c r="M61" s="117">
        <f ca="1">IF(M58=M4,AVERAGE(OFFSET('Input|Rate of change'!N95,0,0,COUNTA('Input|Rate of change'!$J$82:$M$82),1)),0)</f>
        <v>0</v>
      </c>
      <c r="N61" s="117">
        <f ca="1">IF(N58=N4,AVERAGE(OFFSET('Input|Rate of change'!O95,0,0,COUNTA('Input|Rate of change'!$J$82:$M$82),1)),0)</f>
        <v>0</v>
      </c>
      <c r="O61" s="117">
        <f ca="1">IF(O58=O4,AVERAGE(OFFSET('Input|Rate of change'!P95,0,0,COUNTA('Input|Rate of change'!$J$82:$M$82),1)),0)</f>
        <v>1.5422024885233558E-2</v>
      </c>
      <c r="P61" s="117">
        <f ca="1">IF(P58=P4,AVERAGE(OFFSET('Input|Rate of change'!Q95,0,0,COUNTA('Input|Rate of change'!$J$82:$M$82),1)),0)</f>
        <v>1.4043951783035094E-2</v>
      </c>
      <c r="Q61" s="117">
        <f ca="1">IF(Q58=Q4,AVERAGE(OFFSET('Input|Rate of change'!R95,0,0,COUNTA('Input|Rate of change'!$J$82:$M$82),1)),0)</f>
        <v>1.3431363765817054E-2</v>
      </c>
      <c r="R61" s="117">
        <f ca="1">IF(R58=R4,AVERAGE(OFFSET('Input|Rate of change'!S95,0,0,COUNTA('Input|Rate of change'!$J$82:$M$82),1)),0)</f>
        <v>1.3510241027321006E-2</v>
      </c>
      <c r="S61" s="117">
        <f ca="1">IF(S58=S4,AVERAGE(OFFSET('Input|Rate of change'!T95,0,0,COUNTA('Input|Rate of change'!$J$82:$M$82),1)),0)</f>
        <v>1.3965773526146159E-2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1.0068850438326364E-3</v>
      </c>
      <c r="P63" s="117">
        <f>SUMPRODUCT('Input|Rate of change'!Q36:Q43,'Input|Rate of change'!Q49:Q56)</f>
        <v>3.2578128690118982E-3</v>
      </c>
      <c r="Q63" s="117">
        <f>SUMPRODUCT('Input|Rate of change'!R36:R43,'Input|Rate of change'!R49:R56)</f>
        <v>2.4711549645028991E-3</v>
      </c>
      <c r="R63" s="117">
        <f>SUMPRODUCT('Input|Rate of change'!S36:S43,'Input|Rate of change'!S49:S56)</f>
        <v>2.8903160292033567E-3</v>
      </c>
      <c r="S63" s="117">
        <f>SUMPRODUCT('Input|Rate of change'!T36:T43,'Input|Rate of change'!T49:T56)</f>
        <v>3.9943544873724899E-3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7.3499999999999998E-3</v>
      </c>
      <c r="P65" s="117">
        <f>'Input|Rate of change'!Q104</f>
        <v>7.3499999999999998E-3</v>
      </c>
      <c r="Q65" s="117">
        <f>'Input|Rate of change'!R104</f>
        <v>7.3499999999999998E-3</v>
      </c>
      <c r="R65" s="117">
        <f>'Input|Rate of change'!S104</f>
        <v>7.3499999999999998E-3</v>
      </c>
      <c r="S65" s="117">
        <f>'Input|Rate of change'!T104</f>
        <v>7.3499999999999998E-3</v>
      </c>
    </row>
    <row r="66" spans="1:47" outlineLevel="1">
      <c r="C66" s="111"/>
      <c r="J66" s="173"/>
      <c r="K66" s="173"/>
      <c r="L66" s="173"/>
      <c r="M66" s="173"/>
      <c r="N66" s="173"/>
      <c r="O66" s="173"/>
      <c r="P66" s="173"/>
      <c r="Q66" s="173"/>
      <c r="R66" s="173"/>
      <c r="S66" s="173"/>
    </row>
    <row r="67" spans="1:47" outlineLevel="1">
      <c r="C67" s="118" t="s">
        <v>141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8.9735715149745765E-3</v>
      </c>
      <c r="P67" s="143">
        <f t="shared" ca="1" si="6"/>
        <v>9.8700129673385817E-3</v>
      </c>
      <c r="Q67" s="143">
        <f t="shared" ca="1" si="6"/>
        <v>8.4685822451897597E-3</v>
      </c>
      <c r="R67" s="143">
        <f t="shared" ca="1" si="6"/>
        <v>8.9687748191917827E-3</v>
      </c>
      <c r="S67" s="143">
        <f t="shared" ca="1" si="6"/>
        <v>1.0533495308534535E-2</v>
      </c>
    </row>
    <row r="68" spans="1:47" outlineLevel="1">
      <c r="C68" s="124" t="s">
        <v>142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8.9735715149745765E-3</v>
      </c>
      <c r="P68" s="117">
        <f t="array" aca="1" ref="P68" ca="1">IF(P$58=P$4,PRODUCT(1+$J67:P67)-1,"")</f>
        <v>1.8932153749529279E-2</v>
      </c>
      <c r="Q68" s="117">
        <f t="array" aca="1" ref="Q68" ca="1">IF(Q$58=Q$4,PRODUCT(1+$J67:Q67)-1,"")</f>
        <v>2.7561064495825516E-2</v>
      </c>
      <c r="R68" s="117">
        <f t="array" aca="1" ref="R68" ca="1">IF(R$58=R$4,PRODUCT(1+$J67:R67)-1,"")</f>
        <v>3.6777028296257619E-2</v>
      </c>
      <c r="S68" s="117">
        <f t="array" aca="1" ref="S68" ca="1">IF(S$58=S$4,PRODUCT(1+$J67:S67)-1,"")</f>
        <v>4.7697914259812624E-2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Expensing of corporate overheads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-8.4190583444811669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 t="str">
        <f>'Input|Step changes'!C13</f>
        <v>Pigging and inspection costs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3.3185833824886912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1.2966127926114697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3.0850658945914109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5"/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4">
        <f t="shared" si="8"/>
        <v>43983</v>
      </c>
      <c r="G84" s="32"/>
      <c r="H84" s="32"/>
      <c r="I84" s="32"/>
      <c r="J84" s="176">
        <f>SUM(J73:J83)</f>
        <v>0</v>
      </c>
      <c r="K84" s="176">
        <f t="shared" ref="K84:S84" si="9">SUM(K73:K83)</f>
        <v>0</v>
      </c>
      <c r="L84" s="176">
        <f t="shared" si="9"/>
        <v>0</v>
      </c>
      <c r="M84" s="176">
        <f t="shared" si="9"/>
        <v>0</v>
      </c>
      <c r="N84" s="176">
        <f t="shared" si="9"/>
        <v>0</v>
      </c>
      <c r="O84" s="176">
        <f t="shared" si="9"/>
        <v>-8.4190583444811669</v>
      </c>
      <c r="P84" s="176">
        <f t="shared" si="9"/>
        <v>0</v>
      </c>
      <c r="Q84" s="176">
        <f t="shared" si="9"/>
        <v>3.3185833824886912</v>
      </c>
      <c r="R84" s="176">
        <f t="shared" si="9"/>
        <v>1.2966127926114697</v>
      </c>
      <c r="S84" s="176">
        <f t="shared" si="9"/>
        <v>3.0850658945914109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119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Total UAG (tariff and demand market)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31.201028824622821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31.630239980120198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31.73990860179341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31.564196426002137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31.393628150188956</v>
      </c>
    </row>
    <row r="91" spans="1:47" outlineLevel="1">
      <c r="C91" s="121" t="str">
        <f>'Input|Step changes'!C29</f>
        <v>Total Government levies (Mains tax and licence fees)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120</v>
      </c>
      <c r="D94" s="122" t="s">
        <v>30</v>
      </c>
      <c r="E94" s="122" t="str">
        <f>$E$8</f>
        <v>$millions</v>
      </c>
      <c r="F94" s="174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35.896224060178831</v>
      </c>
      <c r="P94" s="128">
        <f t="shared" si="12"/>
        <v>36.325435215676208</v>
      </c>
      <c r="Q94" s="128">
        <f t="shared" si="12"/>
        <v>36.435103837349423</v>
      </c>
      <c r="R94" s="128">
        <f t="shared" si="12"/>
        <v>36.259391661558148</v>
      </c>
      <c r="S94" s="128">
        <f t="shared" si="12"/>
        <v>36.088823385744966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91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137</v>
      </c>
      <c r="D100" s="126" t="s">
        <v>30</v>
      </c>
      <c r="E100" s="126" t="str">
        <f>$E$8</f>
        <v>$millions</v>
      </c>
      <c r="F100" s="174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ca="1" si="14"/>
        <v>170.35906915938062</v>
      </c>
      <c r="P100" s="151">
        <f t="shared" ca="1" si="14"/>
        <v>180.54266994060143</v>
      </c>
      <c r="Q100" s="151">
        <f t="shared" ca="1" si="14"/>
        <v>185.39019377224824</v>
      </c>
      <c r="R100" s="151">
        <f t="shared" ca="1" si="14"/>
        <v>185.00118245692443</v>
      </c>
      <c r="S100" s="151">
        <f t="shared" ca="1" si="14"/>
        <v>188.72468678161974</v>
      </c>
    </row>
    <row r="101" spans="1:47" outlineLevel="1">
      <c r="C101" s="123" t="s">
        <v>108</v>
      </c>
      <c r="D101" s="126" t="s">
        <v>30</v>
      </c>
      <c r="E101" s="126" t="str">
        <f>$E$8</f>
        <v>$millions</v>
      </c>
      <c r="F101" s="174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ca="1" si="15"/>
        <v>206.25529321955946</v>
      </c>
      <c r="P101" s="151">
        <f t="shared" ca="1" si="15"/>
        <v>216.86810515627764</v>
      </c>
      <c r="Q101" s="151">
        <f t="shared" ca="1" si="15"/>
        <v>221.82529760959767</v>
      </c>
      <c r="R101" s="151">
        <f t="shared" ca="1" si="15"/>
        <v>221.26057411848257</v>
      </c>
      <c r="S101" s="151">
        <f t="shared" ca="1" si="15"/>
        <v>224.81351016736471</v>
      </c>
    </row>
    <row r="102" spans="1:47" outlineLevel="1">
      <c r="C102" s="123" t="s">
        <v>109</v>
      </c>
      <c r="D102" s="126" t="s">
        <v>30</v>
      </c>
      <c r="E102" s="126" t="str">
        <f>$E$8</f>
        <v>$millions</v>
      </c>
      <c r="F102" s="174">
        <f t="shared" si="13"/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 ca="1">IF(YEAR(O$4)&gt;=FPFirstYear,IF(YEAR(O$4)&lt;=FPLastYear,O101+'Input|Step changes'!O38,""),"")</f>
        <v>207.36648328371737</v>
      </c>
      <c r="P102" s="151">
        <f ca="1">IF(YEAR(P$4)&gt;=FPFirstYear,IF(YEAR(P$4)&lt;=FPLastYear,P101+'Input|Step changes'!P38,""),"")</f>
        <v>217.99095002444935</v>
      </c>
      <c r="Q102" s="151">
        <f ca="1">IF(YEAR(Q$4)&gt;=FPFirstYear,IF(YEAR(Q$4)&lt;=FPLastYear,Q101+'Input|Step changes'!Q38,""),"")</f>
        <v>222.94940769719972</v>
      </c>
      <c r="R102" s="151">
        <f ca="1">IF(YEAR(R$4)&gt;=FPFirstYear,IF(YEAR(R$4)&lt;=FPLastYear,R101+'Input|Step changes'!R38,""),"")</f>
        <v>222.3804436969117</v>
      </c>
      <c r="S102" s="151">
        <f ca="1">IF(YEAR(S$4)&gt;=FPFirstYear,IF(YEAR(S$4)&lt;=FPLastYear,S101+'Input|Step changes'!S38,""),"")</f>
        <v>225.92675811688372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88" priority="99" operator="equal">
      <formula>"Check"</formula>
    </cfRule>
    <cfRule type="cellIs" dxfId="87" priority="100" operator="equal">
      <formula>"Ok"</formula>
    </cfRule>
  </conditionalFormatting>
  <conditionalFormatting sqref="V1">
    <cfRule type="cellIs" dxfId="86" priority="101" operator="equal">
      <formula>"Check"</formula>
    </cfRule>
    <cfRule type="cellIs" dxfId="85" priority="102" operator="equal">
      <formula>"Ok"</formula>
    </cfRule>
  </conditionalFormatting>
  <conditionalFormatting sqref="R39:S39 R42:S42 R45:S45 R48:S48 J12:S18">
    <cfRule type="cellIs" dxfId="84" priority="98" operator="equal">
      <formula>0</formula>
    </cfRule>
  </conditionalFormatting>
  <conditionalFormatting sqref="J13:S13">
    <cfRule type="cellIs" dxfId="83" priority="97" operator="equal">
      <formula>0</formula>
    </cfRule>
  </conditionalFormatting>
  <conditionalFormatting sqref="J14:S14">
    <cfRule type="cellIs" dxfId="82" priority="96" operator="equal">
      <formula>0</formula>
    </cfRule>
  </conditionalFormatting>
  <conditionalFormatting sqref="J15:S15">
    <cfRule type="cellIs" dxfId="81" priority="95" operator="equal">
      <formula>0</formula>
    </cfRule>
  </conditionalFormatting>
  <conditionalFormatting sqref="J16:S16">
    <cfRule type="cellIs" dxfId="80" priority="94" operator="equal">
      <formula>0</formula>
    </cfRule>
  </conditionalFormatting>
  <conditionalFormatting sqref="J17:S18">
    <cfRule type="cellIs" dxfId="79" priority="93" operator="equal">
      <formula>0</formula>
    </cfRule>
  </conditionalFormatting>
  <conditionalFormatting sqref="J61:S65">
    <cfRule type="cellIs" dxfId="78" priority="92" operator="equal">
      <formula>0</formula>
    </cfRule>
  </conditionalFormatting>
  <conditionalFormatting sqref="J74:S82 J90:S92">
    <cfRule type="cellIs" dxfId="77" priority="90" operator="equal">
      <formula>0</formula>
    </cfRule>
  </conditionalFormatting>
  <conditionalFormatting sqref="J36:S36 J33:S34 J51:S54">
    <cfRule type="cellIs" dxfId="76" priority="87" operator="equal">
      <formula>0</formula>
    </cfRule>
  </conditionalFormatting>
  <conditionalFormatting sqref="J101:S102">
    <cfRule type="cellIs" dxfId="75" priority="86" operator="equal">
      <formula>0</formula>
    </cfRule>
  </conditionalFormatting>
  <conditionalFormatting sqref="J101:S102">
    <cfRule type="cellIs" dxfId="74" priority="85" operator="equal">
      <formula>0</formula>
    </cfRule>
  </conditionalFormatting>
  <conditionalFormatting sqref="J46:S46">
    <cfRule type="cellIs" dxfId="73" priority="48" operator="equal">
      <formula>0</formula>
    </cfRule>
  </conditionalFormatting>
  <conditionalFormatting sqref="J39:Q39 J42:Q42 J45:Q45">
    <cfRule type="cellIs" dxfId="72" priority="66" operator="equal">
      <formula>0</formula>
    </cfRule>
  </conditionalFormatting>
  <conditionalFormatting sqref="J39:Q39 J42:Q42 J45:Q45">
    <cfRule type="cellIs" dxfId="71" priority="65" operator="equal">
      <formula>0</formula>
    </cfRule>
  </conditionalFormatting>
  <conditionalFormatting sqref="J37:S37">
    <cfRule type="cellIs" dxfId="70" priority="61" operator="equal">
      <formula>0</formula>
    </cfRule>
  </conditionalFormatting>
  <conditionalFormatting sqref="J37:S37">
    <cfRule type="cellIs" dxfId="69" priority="60" operator="equal">
      <formula>0</formula>
    </cfRule>
  </conditionalFormatting>
  <conditionalFormatting sqref="J48:Q48">
    <cfRule type="cellIs" dxfId="68" priority="51" operator="equal">
      <formula>0</formula>
    </cfRule>
  </conditionalFormatting>
  <conditionalFormatting sqref="J48:Q48">
    <cfRule type="cellIs" dxfId="67" priority="50" operator="equal">
      <formula>0</formula>
    </cfRule>
  </conditionalFormatting>
  <conditionalFormatting sqref="J40:S40">
    <cfRule type="cellIs" dxfId="66" priority="57" operator="equal">
      <formula>0</formula>
    </cfRule>
  </conditionalFormatting>
  <conditionalFormatting sqref="J40:S40">
    <cfRule type="cellIs" dxfId="65" priority="56" operator="equal">
      <formula>0</formula>
    </cfRule>
  </conditionalFormatting>
  <conditionalFormatting sqref="J46:S46">
    <cfRule type="cellIs" dxfId="64" priority="49" operator="equal">
      <formula>0</formula>
    </cfRule>
  </conditionalFormatting>
  <conditionalFormatting sqref="J43:S43">
    <cfRule type="cellIs" dxfId="63" priority="53" operator="equal">
      <formula>0</formula>
    </cfRule>
  </conditionalFormatting>
  <conditionalFormatting sqref="J43:S43">
    <cfRule type="cellIs" dxfId="62" priority="52" operator="equal">
      <formula>0</formula>
    </cfRule>
  </conditionalFormatting>
  <conditionalFormatting sqref="J49:S49">
    <cfRule type="cellIs" dxfId="61" priority="43" operator="equal">
      <formula>0</formula>
    </cfRule>
  </conditionalFormatting>
  <conditionalFormatting sqref="J49:S49">
    <cfRule type="cellIs" dxfId="60" priority="44" operator="equal">
      <formula>0</formula>
    </cfRule>
  </conditionalFormatting>
  <conditionalFormatting sqref="J38:S38">
    <cfRule type="cellIs" dxfId="59" priority="42" operator="equal">
      <formula>0</formula>
    </cfRule>
  </conditionalFormatting>
  <conditionalFormatting sqref="J38:S38">
    <cfRule type="cellIs" dxfId="58" priority="41" operator="equal">
      <formula>0</formula>
    </cfRule>
  </conditionalFormatting>
  <conditionalFormatting sqref="J41:S41">
    <cfRule type="cellIs" dxfId="57" priority="40" operator="equal">
      <formula>0</formula>
    </cfRule>
  </conditionalFormatting>
  <conditionalFormatting sqref="J41:S41">
    <cfRule type="cellIs" dxfId="56" priority="39" operator="equal">
      <formula>0</formula>
    </cfRule>
  </conditionalFormatting>
  <conditionalFormatting sqref="J44:S44">
    <cfRule type="cellIs" dxfId="55" priority="38" operator="equal">
      <formula>0</formula>
    </cfRule>
  </conditionalFormatting>
  <conditionalFormatting sqref="J44:S44">
    <cfRule type="cellIs" dxfId="54" priority="37" operator="equal">
      <formula>0</formula>
    </cfRule>
  </conditionalFormatting>
  <conditionalFormatting sqref="J47:S47">
    <cfRule type="cellIs" dxfId="53" priority="36" operator="equal">
      <formula>0</formula>
    </cfRule>
  </conditionalFormatting>
  <conditionalFormatting sqref="J47:S47">
    <cfRule type="cellIs" dxfId="52" priority="35" operator="equal">
      <formula>0</formula>
    </cfRule>
  </conditionalFormatting>
  <conditionalFormatting sqref="J50:S50">
    <cfRule type="cellIs" dxfId="51" priority="34" operator="equal">
      <formula>0</formula>
    </cfRule>
  </conditionalFormatting>
  <conditionalFormatting sqref="J50:S50">
    <cfRule type="cellIs" dxfId="50" priority="33" operator="equal">
      <formula>0</formula>
    </cfRule>
  </conditionalFormatting>
  <conditionalFormatting sqref="J100:S100">
    <cfRule type="cellIs" dxfId="49" priority="22" operator="equal">
      <formula>0</formula>
    </cfRule>
  </conditionalFormatting>
  <conditionalFormatting sqref="J100:S100">
    <cfRule type="cellIs" dxfId="48" priority="21" operator="equal">
      <formula>0</formula>
    </cfRule>
  </conditionalFormatting>
  <conditionalFormatting sqref="J10:S10">
    <cfRule type="expression" dxfId="47" priority="20">
      <formula>J$10=J$4</formula>
    </cfRule>
  </conditionalFormatting>
  <conditionalFormatting sqref="J25:S25">
    <cfRule type="expression" dxfId="46" priority="19">
      <formula>J$10=J$4</formula>
    </cfRule>
  </conditionalFormatting>
  <conditionalFormatting sqref="J54:S54">
    <cfRule type="expression" dxfId="45" priority="18">
      <formula>J$10=J$4</formula>
    </cfRule>
  </conditionalFormatting>
  <conditionalFormatting sqref="J26:S28 J30:S30">
    <cfRule type="cellIs" dxfId="44" priority="15" operator="equal">
      <formula>0</formula>
    </cfRule>
  </conditionalFormatting>
  <conditionalFormatting sqref="J31:S32">
    <cfRule type="cellIs" dxfId="43" priority="14" operator="equal">
      <formula>0</formula>
    </cfRule>
  </conditionalFormatting>
  <conditionalFormatting sqref="J68:S68">
    <cfRule type="cellIs" dxfId="42" priority="11" operator="equal">
      <formula>0</formula>
    </cfRule>
  </conditionalFormatting>
  <conditionalFormatting sqref="J35:S35">
    <cfRule type="cellIs" dxfId="41" priority="10" operator="equal">
      <formula>0</formula>
    </cfRule>
  </conditionalFormatting>
  <conditionalFormatting sqref="J35:S35">
    <cfRule type="cellIs" dxfId="40" priority="9" operator="equal">
      <formula>0</formula>
    </cfRule>
  </conditionalFormatting>
  <conditionalFormatting sqref="J29:S29">
    <cfRule type="cellIs" dxfId="39" priority="8" operator="equal">
      <formula>0</formula>
    </cfRule>
  </conditionalFormatting>
  <conditionalFormatting sqref="J29:S29">
    <cfRule type="cellIs" dxfId="38" priority="7" operator="equal">
      <formula>0</formula>
    </cfRule>
  </conditionalFormatting>
  <conditionalFormatting sqref="J19:S24">
    <cfRule type="cellIs" dxfId="37" priority="6" operator="equal">
      <formula>0</formula>
    </cfRule>
  </conditionalFormatting>
  <conditionalFormatting sqref="J20:S20">
    <cfRule type="cellIs" dxfId="36" priority="5" operator="equal">
      <formula>0</formula>
    </cfRule>
  </conditionalFormatting>
  <conditionalFormatting sqref="J21:S21">
    <cfRule type="cellIs" dxfId="35" priority="4" operator="equal">
      <formula>0</formula>
    </cfRule>
  </conditionalFormatting>
  <conditionalFormatting sqref="J22:S22">
    <cfRule type="cellIs" dxfId="34" priority="3" operator="equal">
      <formula>0</formula>
    </cfRule>
  </conditionalFormatting>
  <conditionalFormatting sqref="J23:S23">
    <cfRule type="cellIs" dxfId="33" priority="2" operator="equal">
      <formula>0</formula>
    </cfRule>
  </conditionalFormatting>
  <conditionalFormatting sqref="J24:S24">
    <cfRule type="cellIs" dxfId="32" priority="1" operator="equal">
      <formula>0</formula>
    </cfRule>
  </conditionalFormatting>
  <conditionalFormatting sqref="J67:S67">
    <cfRule type="expression" dxfId="31" priority="104">
      <formula>J$58=J$4</formula>
    </cfRule>
    <cfRule type="cellIs" dxfId="30" priority="105" operator="equal">
      <formula>0</formula>
    </cfRule>
  </conditionalFormatting>
  <conditionalFormatting sqref="J94:S94">
    <cfRule type="expression" dxfId="29" priority="106">
      <formula>J$88=J$4</formula>
    </cfRule>
    <cfRule type="cellIs" dxfId="28" priority="107" operator="equal">
      <formula>0</formula>
    </cfRule>
  </conditionalFormatting>
  <conditionalFormatting sqref="J84:S84">
    <cfRule type="expression" dxfId="27" priority="108">
      <formula>J$72=J$4</formula>
    </cfRule>
    <cfRule type="cellIs" dxfId="26" priority="109" operator="equal">
      <formula>0</formula>
    </cfRule>
  </conditionalFormatting>
  <conditionalFormatting sqref="J58:S58 J72:S72 J88:S88">
    <cfRule type="expression" dxfId="25" priority="110">
      <formula>J$58=J$4</formula>
    </cfRule>
  </conditionalFormatting>
  <conditionalFormatting sqref="J98:S98">
    <cfRule type="expression" dxfId="24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>
      <selection activeCell="U1" sqref="U1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7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2"/>
      <c r="E3" s="182"/>
      <c r="F3" s="182"/>
      <c r="G3" s="182"/>
      <c r="H3" s="182"/>
      <c r="I3" s="182"/>
      <c r="J3" s="172" t="s">
        <v>122</v>
      </c>
      <c r="K3" s="172"/>
      <c r="L3" s="172"/>
      <c r="M3" s="182"/>
      <c r="N3" s="222"/>
      <c r="O3" s="222"/>
      <c r="P3" s="222"/>
      <c r="Q3" s="222"/>
      <c r="R3" s="222"/>
      <c r="S3" s="222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55</v>
      </c>
      <c r="C8" s="94"/>
      <c r="D8" s="94"/>
      <c r="E8" s="68" t="s">
        <v>15</v>
      </c>
      <c r="F8" s="206">
        <f>DATE(PPLastYear,MONTH('Input|General'!$G$9),1)</f>
        <v>43983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U11" s="137" t="s">
        <v>54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104</v>
      </c>
      <c r="E13" s="30" t="str">
        <f>$E$8</f>
        <v>$millions</v>
      </c>
      <c r="F13" s="161">
        <f>$F$8</f>
        <v>43983</v>
      </c>
      <c r="H13" s="32"/>
      <c r="I13" s="32"/>
      <c r="J13" s="180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0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0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0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0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0">
        <f ca="1"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170.35906915938062</v>
      </c>
      <c r="P13" s="180">
        <f ca="1"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180.54266994060143</v>
      </c>
      <c r="Q13" s="180">
        <f ca="1"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185.39019377224824</v>
      </c>
      <c r="R13" s="180">
        <f ca="1"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185.00118245692443</v>
      </c>
      <c r="S13" s="180">
        <f ca="1"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188.72468678161974</v>
      </c>
      <c r="T13" s="111"/>
      <c r="U13" s="152"/>
    </row>
    <row r="14" spans="1:26">
      <c r="C14" s="111" t="str">
        <f>'Input|Step changes'!C28</f>
        <v>Total UAG (tariff and demand market)</v>
      </c>
      <c r="D14" s="34" t="s">
        <v>104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80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0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0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0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0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0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31.201028824622821</v>
      </c>
      <c r="P14" s="180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31.630239980120198</v>
      </c>
      <c r="Q14" s="180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31.73990860179341</v>
      </c>
      <c r="R14" s="180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31.564196426002137</v>
      </c>
      <c r="S14" s="180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31.393628150188956</v>
      </c>
      <c r="T14" s="111"/>
      <c r="U14" s="152"/>
    </row>
    <row r="15" spans="1:26">
      <c r="C15" s="111" t="str">
        <f>'Input|Step changes'!C29</f>
        <v>Total Government levies (Mains tax and licence fees)</v>
      </c>
      <c r="D15" s="34" t="s">
        <v>104</v>
      </c>
      <c r="E15" s="30" t="str">
        <f t="shared" si="0"/>
        <v>$millions</v>
      </c>
      <c r="F15" s="161">
        <f t="shared" si="1"/>
        <v>43983</v>
      </c>
      <c r="H15" s="32"/>
      <c r="I15" s="32"/>
      <c r="J15" s="180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0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0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0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0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0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P15" s="180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Q15" s="180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R15" s="180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S15" s="180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T15" s="111"/>
      <c r="U15" s="152"/>
    </row>
    <row r="16" spans="1:26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1">
        <f t="shared" si="1"/>
        <v>43983</v>
      </c>
      <c r="H16" s="32"/>
      <c r="I16" s="32"/>
      <c r="J16" s="180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0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0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0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0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0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0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0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0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0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7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disablePrompts="1"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8"/>
  <sheetViews>
    <sheetView showGridLines="0" workbookViewId="0">
      <selection activeCell="U1" sqref="U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123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124</v>
      </c>
      <c r="D25" s="16" t="s">
        <v>69</v>
      </c>
      <c r="E25" s="16"/>
      <c r="F25" s="16"/>
      <c r="G25" s="154">
        <v>36526</v>
      </c>
      <c r="H25" s="14"/>
    </row>
    <row r="26" spans="1:47">
      <c r="C26" s="15" t="s">
        <v>125</v>
      </c>
      <c r="D26" s="16" t="s">
        <v>69</v>
      </c>
      <c r="E26" s="16"/>
      <c r="F26" s="16"/>
      <c r="G26" s="154">
        <v>36557</v>
      </c>
      <c r="H26" s="14"/>
    </row>
    <row r="27" spans="1:47">
      <c r="C27" s="15" t="s">
        <v>126</v>
      </c>
      <c r="D27" s="16" t="s">
        <v>69</v>
      </c>
      <c r="E27" s="16"/>
      <c r="F27" s="16"/>
      <c r="G27" s="154">
        <v>36586</v>
      </c>
      <c r="H27" s="14"/>
    </row>
    <row r="28" spans="1:47">
      <c r="C28" s="15" t="s">
        <v>127</v>
      </c>
      <c r="D28" s="16" t="s">
        <v>69</v>
      </c>
      <c r="E28" s="16"/>
      <c r="F28" s="16"/>
      <c r="G28" s="154">
        <v>36617</v>
      </c>
    </row>
    <row r="29" spans="1:47">
      <c r="C29" s="15" t="s">
        <v>128</v>
      </c>
      <c r="D29" s="16" t="s">
        <v>69</v>
      </c>
      <c r="E29" s="16"/>
      <c r="F29" s="16"/>
      <c r="G29" s="154">
        <v>36647</v>
      </c>
    </row>
    <row r="30" spans="1:47">
      <c r="C30" s="15" t="s">
        <v>129</v>
      </c>
      <c r="D30" s="16" t="s">
        <v>69</v>
      </c>
      <c r="E30" s="16"/>
      <c r="F30" s="16"/>
      <c r="G30" s="154">
        <v>36678</v>
      </c>
      <c r="T30" s="17"/>
    </row>
    <row r="31" spans="1:47">
      <c r="C31" s="15" t="s">
        <v>130</v>
      </c>
      <c r="D31" s="16" t="s">
        <v>69</v>
      </c>
      <c r="E31" s="16"/>
      <c r="F31" s="16"/>
      <c r="G31" s="154">
        <v>36708</v>
      </c>
      <c r="T31" s="17"/>
    </row>
    <row r="32" spans="1:47">
      <c r="C32" s="15" t="s">
        <v>131</v>
      </c>
      <c r="D32" s="16" t="s">
        <v>69</v>
      </c>
      <c r="E32" s="16"/>
      <c r="F32" s="16"/>
      <c r="G32" s="154">
        <v>36739</v>
      </c>
      <c r="T32" s="17"/>
    </row>
    <row r="33" spans="1:47">
      <c r="C33" s="15" t="s">
        <v>132</v>
      </c>
      <c r="D33" s="16" t="s">
        <v>69</v>
      </c>
      <c r="E33" s="16"/>
      <c r="F33" s="16"/>
      <c r="G33" s="154">
        <v>36770</v>
      </c>
      <c r="T33" s="17"/>
    </row>
    <row r="34" spans="1:47">
      <c r="C34" s="15" t="s">
        <v>133</v>
      </c>
      <c r="D34" s="16" t="s">
        <v>69</v>
      </c>
      <c r="E34" s="16"/>
      <c r="F34" s="16"/>
      <c r="G34" s="154">
        <v>36800</v>
      </c>
      <c r="T34" s="17"/>
    </row>
    <row r="35" spans="1:47">
      <c r="C35" s="15" t="s">
        <v>134</v>
      </c>
      <c r="D35" s="16" t="s">
        <v>69</v>
      </c>
      <c r="E35" s="16"/>
      <c r="F35" s="16"/>
      <c r="G35" s="154">
        <v>36831</v>
      </c>
      <c r="T35" s="17"/>
    </row>
    <row r="36" spans="1:47">
      <c r="C36" s="15" t="s">
        <v>135</v>
      </c>
      <c r="D36" s="16" t="s">
        <v>69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159</v>
      </c>
      <c r="H40" s="14" t="s">
        <v>157</v>
      </c>
      <c r="I40" s="14" t="s">
        <v>158</v>
      </c>
    </row>
    <row r="41" spans="1:47">
      <c r="C41" s="160">
        <v>40695</v>
      </c>
      <c r="D41" s="16" t="s">
        <v>69</v>
      </c>
      <c r="E41" s="16"/>
      <c r="F41" s="16"/>
      <c r="G41" s="155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60">
        <v>41061</v>
      </c>
      <c r="D42" s="16" t="s">
        <v>69</v>
      </c>
      <c r="E42" s="16"/>
      <c r="F42" s="16"/>
      <c r="G42" s="155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60">
        <v>41426</v>
      </c>
      <c r="D43" s="16" t="s">
        <v>69</v>
      </c>
      <c r="E43" s="16"/>
      <c r="F43" s="16"/>
      <c r="G43" s="155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60">
        <v>41791</v>
      </c>
      <c r="D44" s="16" t="s">
        <v>69</v>
      </c>
      <c r="E44" s="16"/>
      <c r="F44" s="16"/>
      <c r="G44" s="155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60">
        <v>42156</v>
      </c>
      <c r="D45" s="16" t="s">
        <v>69</v>
      </c>
      <c r="E45" s="16"/>
      <c r="F45" s="16"/>
      <c r="G45" s="155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60">
        <v>42522</v>
      </c>
      <c r="D46" s="16" t="s">
        <v>69</v>
      </c>
      <c r="E46" s="16"/>
      <c r="F46" s="16"/>
      <c r="G46" s="155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60">
        <v>42887</v>
      </c>
      <c r="D47" s="16" t="s">
        <v>69</v>
      </c>
      <c r="E47" s="16"/>
      <c r="F47" s="16"/>
      <c r="G47" s="155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60">
        <v>43252</v>
      </c>
      <c r="D48" s="16" t="s">
        <v>69</v>
      </c>
      <c r="E48" s="16"/>
      <c r="F48" s="16"/>
      <c r="G48" s="155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60">
        <v>43617</v>
      </c>
      <c r="D49" s="16" t="s">
        <v>69</v>
      </c>
      <c r="E49" s="16"/>
      <c r="F49" s="16"/>
      <c r="G49" s="155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60">
        <v>43983</v>
      </c>
      <c r="D50" s="16" t="s">
        <v>69</v>
      </c>
      <c r="E50" s="16"/>
      <c r="F50" s="16"/>
      <c r="G50" s="155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60">
        <v>44348</v>
      </c>
      <c r="D51" s="16" t="s">
        <v>69</v>
      </c>
      <c r="E51" s="16"/>
      <c r="F51" s="16"/>
      <c r="G51" s="155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60">
        <v>44713</v>
      </c>
      <c r="D52" s="16" t="s">
        <v>69</v>
      </c>
      <c r="E52" s="16"/>
      <c r="F52" s="16"/>
      <c r="G52" s="155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60">
        <v>45078</v>
      </c>
      <c r="D53" s="16" t="s">
        <v>69</v>
      </c>
      <c r="E53" s="16"/>
      <c r="F53" s="16"/>
      <c r="G53" s="155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60">
        <v>45444</v>
      </c>
      <c r="D54" s="16" t="s">
        <v>69</v>
      </c>
      <c r="E54" s="16"/>
      <c r="F54" s="16"/>
      <c r="G54" s="155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60">
        <v>45809</v>
      </c>
      <c r="D55" s="16" t="s">
        <v>69</v>
      </c>
      <c r="E55" s="16"/>
      <c r="F55" s="16"/>
      <c r="G55" s="155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60">
        <v>46174</v>
      </c>
      <c r="D56" s="16" t="s">
        <v>69</v>
      </c>
      <c r="E56" s="16"/>
      <c r="F56" s="16"/>
      <c r="G56" s="155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60">
        <v>46539</v>
      </c>
      <c r="D57" s="16" t="s">
        <v>69</v>
      </c>
      <c r="E57" s="16"/>
      <c r="F57" s="16"/>
      <c r="G57" s="155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60">
        <v>46905</v>
      </c>
      <c r="D58" s="16" t="s">
        <v>69</v>
      </c>
      <c r="E58" s="16"/>
      <c r="F58" s="16"/>
      <c r="G58" s="155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60">
        <v>47270</v>
      </c>
      <c r="D59" s="16" t="s">
        <v>69</v>
      </c>
      <c r="E59" s="16"/>
      <c r="F59" s="16"/>
      <c r="G59" s="155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60">
        <v>47635</v>
      </c>
      <c r="D60" s="16" t="s">
        <v>69</v>
      </c>
      <c r="E60" s="16"/>
      <c r="F60" s="16"/>
      <c r="G60" s="155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2.75">
      <c r="A62" s="43"/>
      <c r="B62" s="51" t="s">
        <v>155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156</v>
      </c>
      <c r="H64" s="14" t="s">
        <v>122</v>
      </c>
    </row>
    <row r="65" spans="1:47">
      <c r="C65" s="15" t="s">
        <v>191</v>
      </c>
      <c r="D65" s="16" t="s">
        <v>98</v>
      </c>
      <c r="E65" s="21"/>
      <c r="F65" s="14"/>
      <c r="G65" s="183" t="str">
        <f>IF(MONTH('Input|General'!$G$9)=12,PPFirstYear-1,PPFirstYear-2&amp;"–"&amp;RIGHT(PPFirstYear-1,2))</f>
        <v>2014–15</v>
      </c>
      <c r="H65" s="185">
        <f>DATE(PPFirstYear-1,MONTH('Input|General'!$G$9),1)</f>
        <v>42156</v>
      </c>
    </row>
    <row r="66" spans="1:47">
      <c r="C66" s="15" t="s">
        <v>143</v>
      </c>
      <c r="D66" s="16" t="s">
        <v>98</v>
      </c>
      <c r="E66" s="16"/>
      <c r="F66" s="16"/>
      <c r="G66" s="183" t="str">
        <f>IF(MONTH('Input|General'!$G$9)=12,PPFirstYear,PPFirstYear-1&amp;"–"&amp;RIGHT(PPFirstYear,2))</f>
        <v>2015–16</v>
      </c>
      <c r="H66" s="185">
        <f>DATE(PPFirstYear,MONTH('Input|General'!$G$9),1)</f>
        <v>42522</v>
      </c>
    </row>
    <row r="67" spans="1:47">
      <c r="C67" s="15" t="s">
        <v>144</v>
      </c>
      <c r="D67" s="16" t="s">
        <v>98</v>
      </c>
      <c r="E67" s="16"/>
      <c r="F67" s="16"/>
      <c r="G67" s="183" t="str">
        <f>IF(MONTH('Input|General'!$G$9)=12,PPFirstYear+1,PPFirstYear&amp;"–"&amp;RIGHT(PPFirstYear+1,2))</f>
        <v>2016–17</v>
      </c>
      <c r="H67" s="185">
        <f>IF(PPLastYear-PPFirstYear&lt;1,"",DATE(PPFirstYear+1,MONTH('Input|General'!$G$9),1))</f>
        <v>42887</v>
      </c>
    </row>
    <row r="68" spans="1:47">
      <c r="C68" s="15" t="s">
        <v>145</v>
      </c>
      <c r="D68" s="16" t="s">
        <v>98</v>
      </c>
      <c r="E68" s="16"/>
      <c r="F68" s="16"/>
      <c r="G68" s="183" t="str">
        <f>IF(MONTH('Input|General'!$G$9)=12,PPFirstYear+2,PPFirstYear+1&amp;"–"&amp;RIGHT(PPFirstYear+2,2))</f>
        <v>2017–18</v>
      </c>
      <c r="H68" s="185">
        <f>IF(PPLastYear-PPFirstYear&lt;2,"",DATE(PPFirstYear+2,MONTH('Input|General'!$G$9),1))</f>
        <v>43252</v>
      </c>
    </row>
    <row r="69" spans="1:47">
      <c r="C69" s="15" t="s">
        <v>146</v>
      </c>
      <c r="D69" s="16" t="s">
        <v>98</v>
      </c>
      <c r="E69" s="16"/>
      <c r="F69" s="16"/>
      <c r="G69" s="183" t="str">
        <f>IF(MONTH('Input|General'!$G$9)=12,PPFirstYear+3,PPFirstYear+2&amp;"–"&amp;RIGHT(PPFirstYear+3,2))</f>
        <v>2018–19</v>
      </c>
      <c r="H69" s="185">
        <f>IF(PPLastYear-PPFirstYear&lt;3,"",DATE(PPFirstYear+3,MONTH('Input|General'!$G$9),1))</f>
        <v>43617</v>
      </c>
    </row>
    <row r="70" spans="1:47">
      <c r="C70" s="15" t="s">
        <v>147</v>
      </c>
      <c r="D70" s="16" t="s">
        <v>98</v>
      </c>
      <c r="E70" s="16"/>
      <c r="F70" s="16"/>
      <c r="G70" s="183" t="str">
        <f>IF(MONTH('Input|General'!$G$9)=12,PPFirstYear+4,PPFirstYear+3&amp;"–"&amp;RIGHT(PPFirstYear+4,2))</f>
        <v>2019–20</v>
      </c>
      <c r="H70" s="185">
        <f>IF(PPLastYear-PPFirstYear&lt;4,"",DATE(PPFirstYear+4,MONTH('Input|General'!$G$9),1))</f>
        <v>43983</v>
      </c>
    </row>
    <row r="71" spans="1:47">
      <c r="C71" s="15" t="s">
        <v>148</v>
      </c>
      <c r="D71" s="16" t="s">
        <v>98</v>
      </c>
      <c r="E71" s="16"/>
      <c r="F71" s="16"/>
      <c r="G71" s="184" t="str">
        <f>IF(MONTH('Input|General'!$G$9)=12,FPFirstYear,FPFirstYear-1&amp;"–"&amp;RIGHT(FPFirstYear,2))</f>
        <v>2020–21</v>
      </c>
      <c r="H71" s="185">
        <f>DATE(FPFirstYear,MONTH('Input|General'!$G$9),1)</f>
        <v>44348</v>
      </c>
      <c r="T71" s="17"/>
    </row>
    <row r="72" spans="1:47">
      <c r="C72" s="15" t="s">
        <v>149</v>
      </c>
      <c r="D72" s="16" t="s">
        <v>98</v>
      </c>
      <c r="E72" s="16"/>
      <c r="F72" s="16"/>
      <c r="G72" s="184" t="str">
        <f>IF(MONTH('Input|General'!$G$9)=12,FPFirstYear+1,FPFirstYear&amp;"–"&amp;RIGHT(FPFirstYear+1,2))</f>
        <v>2021–22</v>
      </c>
      <c r="H72" s="185">
        <f>IF(FPLastYear-FPFirstYear&lt;1,"",DATE(FPFirstYear+1,MONTH('Input|General'!$G$9),1))</f>
        <v>44713</v>
      </c>
      <c r="T72" s="17"/>
    </row>
    <row r="73" spans="1:47">
      <c r="C73" s="15" t="s">
        <v>150</v>
      </c>
      <c r="D73" s="16" t="s">
        <v>98</v>
      </c>
      <c r="E73" s="16"/>
      <c r="F73" s="16"/>
      <c r="G73" s="184" t="str">
        <f>IF(MONTH('Input|General'!$G$9)=12,FPFirstYear+2,FPFirstYear+1&amp;"–"&amp;RIGHT(FPFirstYear+2,2))</f>
        <v>2022–23</v>
      </c>
      <c r="H73" s="185">
        <f>IF(FPLastYear-FPFirstYear&lt;2,"",DATE(FPFirstYear+2,MONTH('Input|General'!$G$9),1))</f>
        <v>45078</v>
      </c>
      <c r="T73" s="17"/>
    </row>
    <row r="74" spans="1:47">
      <c r="C74" s="15" t="s">
        <v>151</v>
      </c>
      <c r="D74" s="16" t="s">
        <v>98</v>
      </c>
      <c r="E74" s="16"/>
      <c r="F74" s="16"/>
      <c r="G74" s="184" t="str">
        <f>IF(MONTH('Input|General'!$G$9)=12,FPFirstYear+3,FPFirstYear+2&amp;"–"&amp;RIGHT(FPFirstYear+3,2))</f>
        <v>2023–24</v>
      </c>
      <c r="H74" s="185">
        <f>IF(FPLastYear-FPFirstYear&lt;3,"",DATE(FPFirstYear+3,MONTH('Input|General'!$G$9),1))</f>
        <v>45444</v>
      </c>
      <c r="T74" s="17"/>
    </row>
    <row r="75" spans="1:47">
      <c r="C75" s="15" t="s">
        <v>152</v>
      </c>
      <c r="D75" s="16" t="s">
        <v>98</v>
      </c>
      <c r="E75" s="16"/>
      <c r="F75" s="16"/>
      <c r="G75" s="184" t="str">
        <f>IF(MONTH('Input|General'!$G$9)=12,FPFirstYear+4,FPFirstYear+3&amp;"–"&amp;RIGHT(FPFirstYear+4,2))</f>
        <v>2024–25</v>
      </c>
      <c r="H75" s="185">
        <f>IF(FPLastYear-FPFirstYear&lt;4,"",DATE(FPFirstYear+4,MONTH('Input|General'!$G$9),1))</f>
        <v>45809</v>
      </c>
      <c r="T75" s="17"/>
    </row>
    <row r="76" spans="1:47">
      <c r="C76" s="15"/>
      <c r="D76" s="16"/>
      <c r="E76" s="16"/>
      <c r="F76" s="16"/>
      <c r="G76" s="212"/>
      <c r="H76" s="213"/>
      <c r="T76" s="17"/>
    </row>
    <row r="77" spans="1:47" customFormat="1" ht="12.75">
      <c r="A77" s="43"/>
      <c r="B77" s="51" t="s">
        <v>42</v>
      </c>
      <c r="C77" s="43"/>
      <c r="D77" s="43"/>
      <c r="E77" s="43"/>
      <c r="F77" s="44"/>
      <c r="G77" s="44"/>
      <c r="H77" s="44"/>
      <c r="I77" s="44"/>
      <c r="J77" s="45"/>
      <c r="K77" s="46"/>
      <c r="L77" s="45"/>
      <c r="M77" s="46"/>
      <c r="N77" s="45"/>
      <c r="O77" s="45"/>
      <c r="P77" s="45"/>
      <c r="Q77" s="45"/>
      <c r="R77" s="45"/>
      <c r="S77" s="45"/>
      <c r="T77" s="45"/>
      <c r="U77" s="45"/>
      <c r="V77" s="46"/>
      <c r="W77" s="46"/>
      <c r="X77" s="47"/>
      <c r="Y77" s="47"/>
      <c r="Z77" s="47"/>
      <c r="AA77" s="47"/>
      <c r="AB77" s="48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1:47"/>
    <row r="79" spans="1:47">
      <c r="C79" s="13" t="str">
        <f>B77</f>
        <v>Rate of change</v>
      </c>
      <c r="D79" s="21" t="s">
        <v>7</v>
      </c>
      <c r="E79" s="21"/>
      <c r="F79" s="14"/>
      <c r="G79" s="14" t="s">
        <v>156</v>
      </c>
      <c r="H79" s="214"/>
    </row>
    <row r="80" spans="1:47">
      <c r="C80" s="15" t="s">
        <v>187</v>
      </c>
      <c r="D80" s="16" t="s">
        <v>69</v>
      </c>
      <c r="E80" s="16"/>
      <c r="F80" s="16"/>
      <c r="G80" s="183" t="s">
        <v>107</v>
      </c>
      <c r="H80" s="213"/>
    </row>
    <row r="81" spans="1:47">
      <c r="C81" s="15" t="s">
        <v>188</v>
      </c>
      <c r="D81" s="16" t="s">
        <v>69</v>
      </c>
      <c r="E81" s="16"/>
      <c r="F81" s="16"/>
      <c r="G81" s="184" t="s">
        <v>189</v>
      </c>
      <c r="H81" s="213"/>
    </row>
    <row r="82" spans="1:47"/>
    <row r="83" spans="1:47" customFormat="1" ht="12.75">
      <c r="A83" s="43"/>
      <c r="B83" s="51" t="s">
        <v>21</v>
      </c>
      <c r="C83" s="43"/>
      <c r="D83" s="43"/>
      <c r="E83" s="43"/>
      <c r="F83" s="44"/>
      <c r="G83" s="44"/>
      <c r="H83" s="44"/>
      <c r="I83" s="44"/>
      <c r="J83" s="45"/>
      <c r="K83" s="46"/>
      <c r="L83" s="45"/>
      <c r="M83" s="46"/>
      <c r="N83" s="45"/>
      <c r="O83" s="45"/>
      <c r="P83" s="45"/>
      <c r="Q83" s="45"/>
      <c r="R83" s="45"/>
      <c r="S83" s="45"/>
      <c r="T83" s="45"/>
      <c r="U83" s="45"/>
      <c r="V83" s="46"/>
      <c r="W83" s="46"/>
      <c r="X83" s="47"/>
      <c r="Y83" s="47"/>
      <c r="Z83" s="47"/>
      <c r="AA83" s="47"/>
      <c r="AB83" s="48"/>
      <c r="AC83" s="49"/>
      <c r="AD83" s="49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2">
    <cfRule type="expression" dxfId="13" priority="53" stopIfTrue="1">
      <formula>#REF!="Actual"</formula>
    </cfRule>
  </conditionalFormatting>
  <conditionalFormatting sqref="Q82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3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 Kelly</cp:lastModifiedBy>
  <dcterms:created xsi:type="dcterms:W3CDTF">2019-11-08T01:02:31Z</dcterms:created>
  <dcterms:modified xsi:type="dcterms:W3CDTF">2019-11-20T04:00:20Z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