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rliu\Work Folders\Downloads\"/>
    </mc:Choice>
  </mc:AlternateContent>
  <xr:revisionPtr revIDLastSave="0" documentId="13_ncr:1_{997D0DF9-1EEA-45FA-BB06-107D104E2A54}" xr6:coauthVersionLast="47" xr6:coauthVersionMax="47" xr10:uidLastSave="{00000000-0000-0000-0000-000000000000}"/>
  <bookViews>
    <workbookView xWindow="1560" yWindow="1560" windowWidth="21600" windowHeight="11385" activeTab="1" xr2:uid="{00000000-000D-0000-FFFF-FFFF00000000}"/>
  </bookViews>
  <sheets>
    <sheet name="Gearing" sheetId="1" r:id="rId1"/>
    <sheet name="Summary" sheetId="2" r:id="rId2"/>
    <sheet name="Comparison" sheetId="6" r:id="rId3"/>
  </sheets>
  <definedNames>
    <definedName name="CIQWBGuid" hidden="1">"d87caadc-929c-4b38-b659-7fb8fb70f66e"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"11/27/2017 02:36:31"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3" i="2" l="1" a="1"/>
  <c r="AI34" i="2" s="1"/>
  <c r="AA33" i="2" a="1"/>
  <c r="AA33" i="2" s="1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J15" i="2"/>
  <c r="AJ7" i="2"/>
  <c r="AB7" i="2"/>
  <c r="E33" i="2" a="1"/>
  <c r="E45" i="2" s="1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E7" i="2" a="1"/>
  <c r="E7" i="2" s="1"/>
  <c r="D33" i="2" a="1"/>
  <c r="D33" i="2" s="1"/>
  <c r="D7" i="2" a="1"/>
  <c r="D8" i="2" s="1"/>
  <c r="C33" i="2" a="1"/>
  <c r="C35" i="2" s="1"/>
  <c r="C7" i="2" a="1"/>
  <c r="C7" i="2" s="1"/>
  <c r="C7" i="6"/>
  <c r="C8" i="6"/>
  <c r="AC22" i="2"/>
  <c r="AC21" i="2"/>
  <c r="AC20" i="2"/>
  <c r="AC19" i="2"/>
  <c r="AC18" i="2"/>
  <c r="AC23" i="2" s="1"/>
  <c r="S397" i="1"/>
  <c r="S394" i="1"/>
  <c r="R376" i="1"/>
  <c r="S376" i="1"/>
  <c r="O393" i="1"/>
  <c r="S386" i="1"/>
  <c r="S300" i="1"/>
  <c r="S304" i="1"/>
  <c r="S33" i="1"/>
  <c r="S58" i="1"/>
  <c r="S75" i="1" s="1"/>
  <c r="S203" i="1"/>
  <c r="S390" i="1"/>
  <c r="S396" i="1"/>
  <c r="S387" i="1"/>
  <c r="AK49" i="2"/>
  <c r="AK23" i="2"/>
  <c r="AC49" i="2"/>
  <c r="AI33" i="2" l="1"/>
  <c r="AI40" i="2"/>
  <c r="AI47" i="2"/>
  <c r="AI39" i="2"/>
  <c r="AI41" i="2"/>
  <c r="AI48" i="2"/>
  <c r="AI46" i="2"/>
  <c r="AI38" i="2"/>
  <c r="AI37" i="2"/>
  <c r="AI44" i="2"/>
  <c r="AI49" i="2" s="1"/>
  <c r="AI36" i="2"/>
  <c r="AI45" i="2"/>
  <c r="AI43" i="2"/>
  <c r="AI35" i="2"/>
  <c r="AI42" i="2"/>
  <c r="AA39" i="2"/>
  <c r="AA40" i="2"/>
  <c r="AA45" i="2"/>
  <c r="AA37" i="2"/>
  <c r="AA47" i="2"/>
  <c r="AA38" i="2"/>
  <c r="AA44" i="2"/>
  <c r="AA49" i="2" s="1"/>
  <c r="AA36" i="2"/>
  <c r="AA43" i="2"/>
  <c r="AA35" i="2"/>
  <c r="AA48" i="2"/>
  <c r="AA46" i="2"/>
  <c r="AA42" i="2"/>
  <c r="AA34" i="2"/>
  <c r="AA41" i="2"/>
  <c r="E41" i="2"/>
  <c r="E38" i="2"/>
  <c r="E46" i="2"/>
  <c r="E39" i="2"/>
  <c r="E47" i="2"/>
  <c r="E33" i="2"/>
  <c r="E40" i="2"/>
  <c r="E48" i="2"/>
  <c r="E34" i="2"/>
  <c r="E42" i="2"/>
  <c r="E35" i="2"/>
  <c r="E43" i="2"/>
  <c r="E36" i="2"/>
  <c r="E44" i="2"/>
  <c r="E37" i="2"/>
  <c r="E22" i="2"/>
  <c r="E13" i="2"/>
  <c r="E19" i="2"/>
  <c r="E11" i="2"/>
  <c r="E16" i="2"/>
  <c r="E8" i="2"/>
  <c r="E14" i="2"/>
  <c r="E21" i="2"/>
  <c r="E20" i="2"/>
  <c r="E12" i="2"/>
  <c r="E18" i="2"/>
  <c r="E10" i="2"/>
  <c r="E17" i="2"/>
  <c r="E9" i="2"/>
  <c r="E15" i="2"/>
  <c r="D47" i="2"/>
  <c r="D39" i="2"/>
  <c r="D40" i="2"/>
  <c r="D46" i="2"/>
  <c r="D35" i="2"/>
  <c r="D48" i="2"/>
  <c r="D38" i="2"/>
  <c r="D45" i="2"/>
  <c r="D37" i="2"/>
  <c r="D44" i="2"/>
  <c r="D36" i="2"/>
  <c r="D43" i="2"/>
  <c r="D42" i="2"/>
  <c r="D34" i="2"/>
  <c r="D41" i="2"/>
  <c r="D13" i="2"/>
  <c r="D11" i="2"/>
  <c r="D15" i="2"/>
  <c r="D22" i="2"/>
  <c r="D21" i="2"/>
  <c r="D20" i="2"/>
  <c r="D10" i="2"/>
  <c r="D17" i="2"/>
  <c r="D9" i="2"/>
  <c r="D7" i="2"/>
  <c r="D14" i="2"/>
  <c r="D12" i="2"/>
  <c r="D19" i="2"/>
  <c r="D18" i="2"/>
  <c r="D16" i="2"/>
  <c r="C34" i="2"/>
  <c r="C47" i="2"/>
  <c r="C39" i="2"/>
  <c r="C41" i="2"/>
  <c r="C48" i="2"/>
  <c r="C40" i="2"/>
  <c r="C46" i="2"/>
  <c r="C38" i="2"/>
  <c r="C42" i="2"/>
  <c r="C37" i="2"/>
  <c r="C33" i="2"/>
  <c r="C44" i="2"/>
  <c r="C36" i="2"/>
  <c r="C45" i="2"/>
  <c r="C43" i="2"/>
  <c r="C13" i="2"/>
  <c r="C22" i="2"/>
  <c r="C20" i="2"/>
  <c r="C19" i="2"/>
  <c r="C18" i="2"/>
  <c r="C10" i="2"/>
  <c r="C21" i="2"/>
  <c r="C11" i="2"/>
  <c r="C9" i="2"/>
  <c r="C16" i="2"/>
  <c r="C8" i="2"/>
  <c r="C14" i="2"/>
  <c r="C12" i="2"/>
  <c r="C17" i="2"/>
  <c r="C15" i="2"/>
  <c r="C23" i="2"/>
  <c r="C49" i="2"/>
  <c r="E49" i="2" l="1"/>
  <c r="E23" i="2"/>
  <c r="M62" i="1" l="1"/>
  <c r="L62" i="1"/>
  <c r="K62" i="1"/>
  <c r="J62" i="1"/>
  <c r="M61" i="1"/>
  <c r="L61" i="1"/>
  <c r="K61" i="1"/>
  <c r="J61" i="1"/>
  <c r="I62" i="1"/>
  <c r="I61" i="1"/>
  <c r="N203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4" i="1"/>
  <c r="D163" i="1"/>
  <c r="J42" i="1" l="1"/>
  <c r="K42" i="1"/>
  <c r="L42" i="1"/>
  <c r="M42" i="1"/>
  <c r="N42" i="1"/>
  <c r="O42" i="1"/>
  <c r="P42" i="1"/>
  <c r="Q42" i="1"/>
  <c r="R42" i="1"/>
  <c r="S42" i="1"/>
  <c r="I42" i="1"/>
  <c r="I60" i="1"/>
  <c r="L249" i="1"/>
  <c r="K249" i="1"/>
  <c r="J249" i="1"/>
  <c r="I249" i="1"/>
  <c r="H249" i="1"/>
  <c r="G249" i="1"/>
  <c r="F249" i="1"/>
  <c r="E249" i="1"/>
  <c r="D249" i="1"/>
  <c r="L248" i="1"/>
  <c r="K248" i="1"/>
  <c r="J248" i="1"/>
  <c r="I248" i="1"/>
  <c r="H248" i="1"/>
  <c r="G248" i="1"/>
  <c r="F248" i="1"/>
  <c r="E248" i="1"/>
  <c r="D248" i="1"/>
  <c r="R390" i="1"/>
  <c r="R392" i="1" s="1"/>
  <c r="Q390" i="1"/>
  <c r="P390" i="1"/>
  <c r="O390" i="1"/>
  <c r="N390" i="1"/>
  <c r="M390" i="1"/>
  <c r="L390" i="1"/>
  <c r="L392" i="1" s="1"/>
  <c r="K390" i="1"/>
  <c r="J390" i="1"/>
  <c r="J392" i="1" s="1"/>
  <c r="I390" i="1"/>
  <c r="I392" i="1" s="1"/>
  <c r="H390" i="1"/>
  <c r="G390" i="1"/>
  <c r="F390" i="1"/>
  <c r="F392" i="1" s="1"/>
  <c r="E390" i="1"/>
  <c r="D390" i="1"/>
  <c r="D392" i="1" s="1"/>
  <c r="D376" i="1"/>
  <c r="E376" i="1"/>
  <c r="F376" i="1"/>
  <c r="G376" i="1"/>
  <c r="H376" i="1"/>
  <c r="I376" i="1"/>
  <c r="J376" i="1"/>
  <c r="K376" i="1"/>
  <c r="L376" i="1"/>
  <c r="M376" i="1"/>
  <c r="N376" i="1"/>
  <c r="N391" i="1" s="1"/>
  <c r="O376" i="1"/>
  <c r="O391" i="1" s="1"/>
  <c r="P376" i="1"/>
  <c r="P391" i="1" s="1"/>
  <c r="Q376" i="1"/>
  <c r="Q391" i="1" s="1"/>
  <c r="R391" i="1"/>
  <c r="S391" i="1"/>
  <c r="E392" i="1" l="1"/>
  <c r="M392" i="1"/>
  <c r="N394" i="1"/>
  <c r="G394" i="1"/>
  <c r="O394" i="1"/>
  <c r="I394" i="1"/>
  <c r="Q394" i="1"/>
  <c r="P394" i="1"/>
  <c r="J394" i="1"/>
  <c r="R394" i="1"/>
  <c r="K394" i="1"/>
  <c r="S392" i="1"/>
  <c r="H394" i="1"/>
  <c r="O392" i="1"/>
  <c r="K393" i="1"/>
  <c r="N392" i="1"/>
  <c r="D393" i="1"/>
  <c r="L393" i="1"/>
  <c r="D394" i="1"/>
  <c r="L394" i="1"/>
  <c r="E393" i="1"/>
  <c r="M393" i="1"/>
  <c r="E394" i="1"/>
  <c r="M394" i="1"/>
  <c r="P392" i="1"/>
  <c r="H392" i="1"/>
  <c r="F393" i="1"/>
  <c r="N393" i="1"/>
  <c r="F394" i="1"/>
  <c r="S393" i="1"/>
  <c r="Q392" i="1"/>
  <c r="G392" i="1"/>
  <c r="G393" i="1"/>
  <c r="H393" i="1"/>
  <c r="P393" i="1"/>
  <c r="K392" i="1"/>
  <c r="I393" i="1"/>
  <c r="Q393" i="1"/>
  <c r="J393" i="1"/>
  <c r="R393" i="1"/>
  <c r="S383" i="1" l="1"/>
  <c r="S405" i="1" s="1"/>
  <c r="S371" i="1"/>
  <c r="S363" i="1"/>
  <c r="S305" i="1"/>
  <c r="S307" i="1"/>
  <c r="S301" i="1"/>
  <c r="S290" i="1"/>
  <c r="S280" i="1"/>
  <c r="S281" i="1" s="1"/>
  <c r="S205" i="1"/>
  <c r="S199" i="1"/>
  <c r="S198" i="1"/>
  <c r="S202" i="1" s="1"/>
  <c r="S196" i="1"/>
  <c r="S65" i="1" s="1"/>
  <c r="S192" i="1"/>
  <c r="S184" i="1"/>
  <c r="R203" i="1"/>
  <c r="R205" i="1"/>
  <c r="R199" i="1"/>
  <c r="R198" i="1"/>
  <c r="R202" i="1" s="1"/>
  <c r="R196" i="1"/>
  <c r="R208" i="1" s="1"/>
  <c r="R192" i="1"/>
  <c r="R184" i="1"/>
  <c r="S159" i="1"/>
  <c r="S160" i="1"/>
  <c r="S55" i="1" s="1"/>
  <c r="S161" i="1"/>
  <c r="S155" i="1"/>
  <c r="S148" i="1"/>
  <c r="S138" i="1"/>
  <c r="S111" i="1"/>
  <c r="S51" i="1" s="1"/>
  <c r="S113" i="1"/>
  <c r="S100" i="1"/>
  <c r="S93" i="1"/>
  <c r="S53" i="1"/>
  <c r="S60" i="1"/>
  <c r="S71" i="1"/>
  <c r="S39" i="1"/>
  <c r="S37" i="1"/>
  <c r="S27" i="1"/>
  <c r="S23" i="1"/>
  <c r="S15" i="1"/>
  <c r="R159" i="1"/>
  <c r="R52" i="1" s="1"/>
  <c r="R160" i="1"/>
  <c r="R55" i="1" s="1"/>
  <c r="R161" i="1"/>
  <c r="R111" i="1"/>
  <c r="R113" i="1"/>
  <c r="R60" i="1"/>
  <c r="R64" i="1"/>
  <c r="R71" i="1"/>
  <c r="R155" i="1"/>
  <c r="R154" i="1"/>
  <c r="R158" i="1" s="1"/>
  <c r="R148" i="1"/>
  <c r="R138" i="1"/>
  <c r="Q113" i="1"/>
  <c r="Q71" i="1"/>
  <c r="R100" i="1"/>
  <c r="R93" i="1"/>
  <c r="R39" i="1"/>
  <c r="R37" i="1"/>
  <c r="R33" i="1"/>
  <c r="R36" i="1" s="1"/>
  <c r="R23" i="1"/>
  <c r="R15" i="1"/>
  <c r="N205" i="1"/>
  <c r="O203" i="1"/>
  <c r="P203" i="1"/>
  <c r="Q203" i="1"/>
  <c r="S412" i="1" l="1"/>
  <c r="S409" i="1"/>
  <c r="S410" i="1"/>
  <c r="S403" i="1"/>
  <c r="S400" i="1"/>
  <c r="S401" i="1"/>
  <c r="S208" i="1"/>
  <c r="S406" i="1"/>
  <c r="S411" i="1" s="1"/>
  <c r="S407" i="1"/>
  <c r="S413" i="1" s="1"/>
  <c r="N209" i="1"/>
  <c r="S398" i="1"/>
  <c r="S404" i="1" s="1"/>
  <c r="S402" i="1"/>
  <c r="S209" i="1"/>
  <c r="S165" i="1"/>
  <c r="R166" i="1"/>
  <c r="S206" i="1"/>
  <c r="R209" i="1"/>
  <c r="R117" i="1"/>
  <c r="S52" i="1"/>
  <c r="S68" i="1" s="1"/>
  <c r="R206" i="1"/>
  <c r="S50" i="1"/>
  <c r="S408" i="1"/>
  <c r="S399" i="1"/>
  <c r="R162" i="1"/>
  <c r="R167" i="1"/>
  <c r="S308" i="1"/>
  <c r="S306" i="1"/>
  <c r="S36" i="1"/>
  <c r="S40" i="1" s="1"/>
  <c r="R53" i="1"/>
  <c r="R207" i="1"/>
  <c r="R211" i="1" s="1"/>
  <c r="S204" i="1"/>
  <c r="R65" i="1"/>
  <c r="S117" i="1"/>
  <c r="S207" i="1"/>
  <c r="S211" i="1" s="1"/>
  <c r="R51" i="1"/>
  <c r="R204" i="1"/>
  <c r="R210" i="1" s="1"/>
  <c r="S166" i="1"/>
  <c r="S64" i="1"/>
  <c r="S154" i="1"/>
  <c r="R165" i="1"/>
  <c r="R38" i="1"/>
  <c r="R40" i="1"/>
  <c r="O199" i="1"/>
  <c r="P199" i="1"/>
  <c r="Q199" i="1"/>
  <c r="N199" i="1"/>
  <c r="O198" i="1"/>
  <c r="P198" i="1"/>
  <c r="Q198" i="1"/>
  <c r="N198" i="1"/>
  <c r="R58" i="1" l="1"/>
  <c r="R75" i="1" s="1"/>
  <c r="R56" i="1"/>
  <c r="S38" i="1"/>
  <c r="S56" i="1"/>
  <c r="S210" i="1"/>
  <c r="S158" i="1"/>
  <c r="S49" i="1"/>
  <c r="N202" i="1"/>
  <c r="D106" i="1"/>
  <c r="E154" i="1"/>
  <c r="Q202" i="1"/>
  <c r="O202" i="1"/>
  <c r="P202" i="1"/>
  <c r="N196" i="1"/>
  <c r="N62" i="1" s="1"/>
  <c r="N192" i="1"/>
  <c r="R68" i="1" l="1"/>
  <c r="S162" i="1"/>
  <c r="S167" i="1"/>
  <c r="N207" i="1"/>
  <c r="N211" i="1" s="1"/>
  <c r="N204" i="1"/>
  <c r="N208" i="1"/>
  <c r="N61" i="1" s="1"/>
  <c r="N206" i="1"/>
  <c r="D60" i="1"/>
  <c r="D61" i="1"/>
  <c r="E63" i="1"/>
  <c r="F63" i="1"/>
  <c r="G63" i="1"/>
  <c r="H63" i="1"/>
  <c r="I63" i="1"/>
  <c r="J63" i="1"/>
  <c r="K63" i="1"/>
  <c r="L63" i="1"/>
  <c r="M63" i="1"/>
  <c r="N63" i="1"/>
  <c r="O63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E65" i="1"/>
  <c r="F65" i="1"/>
  <c r="G65" i="1"/>
  <c r="H65" i="1"/>
  <c r="I65" i="1"/>
  <c r="J65" i="1"/>
  <c r="K65" i="1"/>
  <c r="L65" i="1"/>
  <c r="M65" i="1"/>
  <c r="N65" i="1"/>
  <c r="D65" i="1"/>
  <c r="D64" i="1"/>
  <c r="D63" i="1"/>
  <c r="N210" i="1" l="1"/>
  <c r="Q111" i="1"/>
  <c r="Q51" i="1" s="1"/>
  <c r="E61" i="1" l="1"/>
  <c r="F61" i="1"/>
  <c r="G61" i="1"/>
  <c r="H61" i="1"/>
  <c r="D33" i="1"/>
  <c r="F161" i="1"/>
  <c r="D161" i="1"/>
  <c r="D155" i="1"/>
  <c r="D159" i="1"/>
  <c r="D160" i="1"/>
  <c r="D55" i="1" s="1"/>
  <c r="D62" i="1"/>
  <c r="D112" i="1"/>
  <c r="D111" i="1"/>
  <c r="D51" i="1" s="1"/>
  <c r="D110" i="1"/>
  <c r="D48" i="1"/>
  <c r="D71" i="1"/>
  <c r="D73" i="1" l="1"/>
  <c r="D72" i="1"/>
  <c r="D165" i="1"/>
  <c r="D166" i="1"/>
  <c r="D52" i="1"/>
  <c r="Q60" i="1"/>
  <c r="D386" i="1" l="1"/>
  <c r="F4" i="6" l="1"/>
  <c r="D341" i="1"/>
  <c r="D340" i="1"/>
  <c r="D344" i="1" s="1"/>
  <c r="R281" i="1"/>
  <c r="R290" i="1"/>
  <c r="R300" i="1"/>
  <c r="R304" i="1" s="1"/>
  <c r="R301" i="1"/>
  <c r="R305" i="1"/>
  <c r="R307" i="1"/>
  <c r="R363" i="1"/>
  <c r="R371" i="1"/>
  <c r="R386" i="1"/>
  <c r="R387" i="1"/>
  <c r="R396" i="1"/>
  <c r="R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Q387" i="1"/>
  <c r="E386" i="1"/>
  <c r="F386" i="1"/>
  <c r="G386" i="1"/>
  <c r="H386" i="1"/>
  <c r="H408" i="1" s="1"/>
  <c r="I386" i="1"/>
  <c r="J386" i="1"/>
  <c r="K386" i="1"/>
  <c r="L386" i="1"/>
  <c r="M386" i="1"/>
  <c r="N386" i="1"/>
  <c r="O386" i="1"/>
  <c r="Q386" i="1"/>
  <c r="F371" i="1"/>
  <c r="G371" i="1"/>
  <c r="H371" i="1"/>
  <c r="I371" i="1"/>
  <c r="J371" i="1"/>
  <c r="K371" i="1"/>
  <c r="L371" i="1"/>
  <c r="O371" i="1"/>
  <c r="P371" i="1"/>
  <c r="Q371" i="1"/>
  <c r="M365" i="1"/>
  <c r="M371" i="1" s="1"/>
  <c r="N365" i="1"/>
  <c r="N371" i="1" s="1"/>
  <c r="D363" i="1"/>
  <c r="E363" i="1"/>
  <c r="O363" i="1"/>
  <c r="Q363" i="1"/>
  <c r="P386" i="1"/>
  <c r="F357" i="1"/>
  <c r="F363" i="1" s="1"/>
  <c r="G357" i="1"/>
  <c r="G363" i="1" s="1"/>
  <c r="H357" i="1"/>
  <c r="H363" i="1" s="1"/>
  <c r="I357" i="1"/>
  <c r="I363" i="1" s="1"/>
  <c r="J357" i="1"/>
  <c r="J363" i="1" s="1"/>
  <c r="K357" i="1"/>
  <c r="K363" i="1" s="1"/>
  <c r="L357" i="1"/>
  <c r="L363" i="1" s="1"/>
  <c r="M357" i="1"/>
  <c r="M363" i="1" s="1"/>
  <c r="N357" i="1"/>
  <c r="N363" i="1" s="1"/>
  <c r="D347" i="1"/>
  <c r="E347" i="1"/>
  <c r="F347" i="1"/>
  <c r="G347" i="1"/>
  <c r="H347" i="1"/>
  <c r="I347" i="1"/>
  <c r="J347" i="1"/>
  <c r="K347" i="1"/>
  <c r="L347" i="1"/>
  <c r="M347" i="1"/>
  <c r="N347" i="1"/>
  <c r="D345" i="1"/>
  <c r="E345" i="1"/>
  <c r="F345" i="1"/>
  <c r="G345" i="1"/>
  <c r="H345" i="1"/>
  <c r="I345" i="1"/>
  <c r="J345" i="1"/>
  <c r="K345" i="1"/>
  <c r="L345" i="1"/>
  <c r="M345" i="1"/>
  <c r="N345" i="1"/>
  <c r="E341" i="1"/>
  <c r="F341" i="1"/>
  <c r="G341" i="1"/>
  <c r="H341" i="1"/>
  <c r="I341" i="1"/>
  <c r="J341" i="1"/>
  <c r="K341" i="1"/>
  <c r="L341" i="1"/>
  <c r="M341" i="1"/>
  <c r="N341" i="1"/>
  <c r="E340" i="1"/>
  <c r="E344" i="1" s="1"/>
  <c r="F340" i="1"/>
  <c r="F344" i="1" s="1"/>
  <c r="G340" i="1"/>
  <c r="G344" i="1" s="1"/>
  <c r="H340" i="1"/>
  <c r="H344" i="1" s="1"/>
  <c r="I340" i="1"/>
  <c r="I344" i="1" s="1"/>
  <c r="J340" i="1"/>
  <c r="J344" i="1" s="1"/>
  <c r="K340" i="1"/>
  <c r="K344" i="1" s="1"/>
  <c r="L340" i="1"/>
  <c r="L344" i="1" s="1"/>
  <c r="M340" i="1"/>
  <c r="M344" i="1" s="1"/>
  <c r="N340" i="1"/>
  <c r="N344" i="1" s="1"/>
  <c r="D307" i="1"/>
  <c r="P307" i="1"/>
  <c r="Q307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D301" i="1"/>
  <c r="E301" i="1"/>
  <c r="F301" i="1"/>
  <c r="G301" i="1"/>
  <c r="H301" i="1"/>
  <c r="I301" i="1"/>
  <c r="J301" i="1"/>
  <c r="K301" i="1"/>
  <c r="L301" i="1"/>
  <c r="M301" i="1"/>
  <c r="P301" i="1"/>
  <c r="Q301" i="1"/>
  <c r="D300" i="1"/>
  <c r="D304" i="1" s="1"/>
  <c r="E300" i="1"/>
  <c r="E304" i="1" s="1"/>
  <c r="F300" i="1"/>
  <c r="F304" i="1" s="1"/>
  <c r="G300" i="1"/>
  <c r="G304" i="1" s="1"/>
  <c r="H300" i="1"/>
  <c r="H304" i="1" s="1"/>
  <c r="I300" i="1"/>
  <c r="I304" i="1" s="1"/>
  <c r="J300" i="1"/>
  <c r="J304" i="1" s="1"/>
  <c r="K300" i="1"/>
  <c r="K304" i="1" s="1"/>
  <c r="L300" i="1"/>
  <c r="L304" i="1" s="1"/>
  <c r="M300" i="1"/>
  <c r="M304" i="1" s="1"/>
  <c r="P300" i="1"/>
  <c r="P304" i="1" s="1"/>
  <c r="P306" i="1" s="1"/>
  <c r="Q300" i="1"/>
  <c r="Q304" i="1" s="1"/>
  <c r="E297" i="1"/>
  <c r="E307" i="1" s="1"/>
  <c r="F297" i="1"/>
  <c r="F307" i="1" s="1"/>
  <c r="G297" i="1"/>
  <c r="G307" i="1" s="1"/>
  <c r="H297" i="1"/>
  <c r="H307" i="1" s="1"/>
  <c r="I297" i="1"/>
  <c r="I307" i="1" s="1"/>
  <c r="J297" i="1"/>
  <c r="J307" i="1" s="1"/>
  <c r="K297" i="1"/>
  <c r="K307" i="1" s="1"/>
  <c r="L297" i="1"/>
  <c r="L307" i="1" s="1"/>
  <c r="M297" i="1"/>
  <c r="M307" i="1" s="1"/>
  <c r="N297" i="1"/>
  <c r="N307" i="1" s="1"/>
  <c r="O297" i="1"/>
  <c r="O307" i="1" s="1"/>
  <c r="D290" i="1"/>
  <c r="E290" i="1"/>
  <c r="F290" i="1"/>
  <c r="G290" i="1"/>
  <c r="H290" i="1"/>
  <c r="I290" i="1"/>
  <c r="J290" i="1"/>
  <c r="K290" i="1"/>
  <c r="L290" i="1"/>
  <c r="M290" i="1"/>
  <c r="P290" i="1"/>
  <c r="Q290" i="1"/>
  <c r="O289" i="1"/>
  <c r="O287" i="1"/>
  <c r="O286" i="1"/>
  <c r="N285" i="1"/>
  <c r="O285" i="1"/>
  <c r="N284" i="1"/>
  <c r="O284" i="1"/>
  <c r="N283" i="1"/>
  <c r="O283" i="1"/>
  <c r="D281" i="1"/>
  <c r="E281" i="1"/>
  <c r="F281" i="1"/>
  <c r="G281" i="1"/>
  <c r="H281" i="1"/>
  <c r="I281" i="1"/>
  <c r="J281" i="1"/>
  <c r="K281" i="1"/>
  <c r="L281" i="1"/>
  <c r="M281" i="1"/>
  <c r="P281" i="1"/>
  <c r="Q281" i="1"/>
  <c r="N279" i="1"/>
  <c r="O279" i="1"/>
  <c r="N277" i="1"/>
  <c r="O277" i="1"/>
  <c r="N276" i="1"/>
  <c r="O276" i="1"/>
  <c r="N275" i="1"/>
  <c r="O275" i="1"/>
  <c r="N274" i="1"/>
  <c r="O274" i="1"/>
  <c r="D257" i="1"/>
  <c r="E257" i="1"/>
  <c r="F257" i="1"/>
  <c r="F259" i="1" s="1"/>
  <c r="G257" i="1"/>
  <c r="G258" i="1" s="1"/>
  <c r="H257" i="1"/>
  <c r="H259" i="1" s="1"/>
  <c r="I257" i="1"/>
  <c r="J257" i="1"/>
  <c r="J258" i="1" s="1"/>
  <c r="K257" i="1"/>
  <c r="K259" i="1" s="1"/>
  <c r="L257" i="1"/>
  <c r="L259" i="1" s="1"/>
  <c r="D252" i="1"/>
  <c r="E252" i="1"/>
  <c r="F252" i="1"/>
  <c r="G252" i="1"/>
  <c r="H252" i="1"/>
  <c r="I252" i="1"/>
  <c r="J252" i="1"/>
  <c r="K252" i="1"/>
  <c r="L252" i="1"/>
  <c r="D251" i="1"/>
  <c r="E251" i="1"/>
  <c r="F251" i="1"/>
  <c r="G251" i="1"/>
  <c r="H251" i="1"/>
  <c r="I251" i="1"/>
  <c r="J251" i="1"/>
  <c r="K251" i="1"/>
  <c r="L251" i="1"/>
  <c r="D250" i="1"/>
  <c r="E250" i="1"/>
  <c r="F250" i="1"/>
  <c r="G250" i="1"/>
  <c r="H250" i="1"/>
  <c r="I250" i="1"/>
  <c r="J250" i="1"/>
  <c r="K250" i="1"/>
  <c r="L250" i="1"/>
  <c r="E254" i="1"/>
  <c r="I254" i="1"/>
  <c r="D244" i="1"/>
  <c r="E244" i="1"/>
  <c r="F244" i="1"/>
  <c r="G244" i="1"/>
  <c r="H244" i="1"/>
  <c r="I244" i="1"/>
  <c r="J244" i="1"/>
  <c r="K244" i="1"/>
  <c r="L244" i="1"/>
  <c r="D243" i="1"/>
  <c r="D247" i="1" s="1"/>
  <c r="E243" i="1"/>
  <c r="E247" i="1" s="1"/>
  <c r="F243" i="1"/>
  <c r="F247" i="1" s="1"/>
  <c r="G243" i="1"/>
  <c r="G247" i="1" s="1"/>
  <c r="H243" i="1"/>
  <c r="H247" i="1" s="1"/>
  <c r="I243" i="1"/>
  <c r="I247" i="1" s="1"/>
  <c r="J243" i="1"/>
  <c r="J247" i="1" s="1"/>
  <c r="K243" i="1"/>
  <c r="K247" i="1" s="1"/>
  <c r="L243" i="1"/>
  <c r="L247" i="1" s="1"/>
  <c r="D233" i="1"/>
  <c r="E233" i="1"/>
  <c r="F233" i="1"/>
  <c r="G233" i="1"/>
  <c r="H233" i="1"/>
  <c r="I233" i="1"/>
  <c r="J233" i="1"/>
  <c r="K233" i="1"/>
  <c r="L233" i="1"/>
  <c r="D225" i="1"/>
  <c r="E225" i="1"/>
  <c r="F225" i="1"/>
  <c r="G225" i="1"/>
  <c r="H225" i="1"/>
  <c r="I225" i="1"/>
  <c r="J225" i="1"/>
  <c r="K225" i="1"/>
  <c r="L225" i="1"/>
  <c r="O205" i="1"/>
  <c r="P205" i="1"/>
  <c r="Q205" i="1"/>
  <c r="Q209" i="1" s="1"/>
  <c r="N53" i="1"/>
  <c r="O53" i="1"/>
  <c r="P53" i="1"/>
  <c r="Q53" i="1"/>
  <c r="M198" i="1"/>
  <c r="M50" i="1" s="1"/>
  <c r="O196" i="1"/>
  <c r="O62" i="1" s="1"/>
  <c r="P196" i="1"/>
  <c r="Q196" i="1"/>
  <c r="O192" i="1"/>
  <c r="P192" i="1"/>
  <c r="Q192" i="1"/>
  <c r="N184" i="1"/>
  <c r="O184" i="1"/>
  <c r="P184" i="1"/>
  <c r="Q184" i="1"/>
  <c r="E62" i="1"/>
  <c r="F62" i="1"/>
  <c r="G62" i="1"/>
  <c r="H62" i="1"/>
  <c r="E161" i="1"/>
  <c r="G161" i="1"/>
  <c r="H161" i="1"/>
  <c r="I161" i="1"/>
  <c r="J161" i="1"/>
  <c r="K161" i="1"/>
  <c r="L161" i="1"/>
  <c r="M161" i="1"/>
  <c r="N161" i="1"/>
  <c r="O161" i="1"/>
  <c r="P161" i="1"/>
  <c r="Q161" i="1"/>
  <c r="E160" i="1"/>
  <c r="E55" i="1" s="1"/>
  <c r="F160" i="1"/>
  <c r="F55" i="1" s="1"/>
  <c r="G160" i="1"/>
  <c r="G55" i="1" s="1"/>
  <c r="H160" i="1"/>
  <c r="H55" i="1" s="1"/>
  <c r="I160" i="1"/>
  <c r="J160" i="1"/>
  <c r="K160" i="1"/>
  <c r="K55" i="1" s="1"/>
  <c r="L160" i="1"/>
  <c r="L55" i="1" s="1"/>
  <c r="M160" i="1"/>
  <c r="M55" i="1" s="1"/>
  <c r="N160" i="1"/>
  <c r="O160" i="1"/>
  <c r="P160" i="1"/>
  <c r="Q160" i="1"/>
  <c r="E159" i="1"/>
  <c r="E52" i="1" s="1"/>
  <c r="F159" i="1"/>
  <c r="F52" i="1" s="1"/>
  <c r="G159" i="1"/>
  <c r="G52" i="1" s="1"/>
  <c r="H159" i="1"/>
  <c r="I159" i="1"/>
  <c r="I52" i="1" s="1"/>
  <c r="J159" i="1"/>
  <c r="K159" i="1"/>
  <c r="K52" i="1" s="1"/>
  <c r="L159" i="1"/>
  <c r="L52" i="1" s="1"/>
  <c r="M159" i="1"/>
  <c r="M52" i="1" s="1"/>
  <c r="N159" i="1"/>
  <c r="N52" i="1" s="1"/>
  <c r="O159" i="1"/>
  <c r="O52" i="1" s="1"/>
  <c r="P159" i="1"/>
  <c r="P52" i="1" s="1"/>
  <c r="Q159" i="1"/>
  <c r="Q52" i="1" s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D154" i="1"/>
  <c r="E158" i="1"/>
  <c r="F154" i="1"/>
  <c r="F158" i="1" s="1"/>
  <c r="G154" i="1"/>
  <c r="G49" i="1" s="1"/>
  <c r="H154" i="1"/>
  <c r="H49" i="1" s="1"/>
  <c r="I154" i="1"/>
  <c r="I158" i="1" s="1"/>
  <c r="J154" i="1"/>
  <c r="J158" i="1" s="1"/>
  <c r="K154" i="1"/>
  <c r="K158" i="1" s="1"/>
  <c r="L154" i="1"/>
  <c r="L158" i="1" s="1"/>
  <c r="M154" i="1"/>
  <c r="M158" i="1" s="1"/>
  <c r="N154" i="1"/>
  <c r="N158" i="1" s="1"/>
  <c r="O154" i="1"/>
  <c r="O49" i="1" s="1"/>
  <c r="P154" i="1"/>
  <c r="P49" i="1" s="1"/>
  <c r="Q154" i="1"/>
  <c r="Q158" i="1" s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7" i="1"/>
  <c r="Q148" i="1" s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6" i="1"/>
  <c r="Q138" i="1" s="1"/>
  <c r="D116" i="1"/>
  <c r="E116" i="1"/>
  <c r="F116" i="1"/>
  <c r="G116" i="1"/>
  <c r="H116" i="1"/>
  <c r="I116" i="1"/>
  <c r="J116" i="1"/>
  <c r="K116" i="1"/>
  <c r="L116" i="1"/>
  <c r="M116" i="1"/>
  <c r="N116" i="1"/>
  <c r="O116" i="1"/>
  <c r="D115" i="1"/>
  <c r="D119" i="1" s="1"/>
  <c r="E115" i="1"/>
  <c r="F115" i="1"/>
  <c r="G115" i="1"/>
  <c r="H115" i="1"/>
  <c r="I115" i="1"/>
  <c r="J115" i="1"/>
  <c r="K115" i="1"/>
  <c r="L115" i="1"/>
  <c r="M115" i="1"/>
  <c r="N115" i="1"/>
  <c r="O115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E112" i="1"/>
  <c r="E54" i="1" s="1"/>
  <c r="F112" i="1"/>
  <c r="F54" i="1" s="1"/>
  <c r="G112" i="1"/>
  <c r="H112" i="1"/>
  <c r="I112" i="1"/>
  <c r="I54" i="1" s="1"/>
  <c r="J112" i="1"/>
  <c r="J54" i="1" s="1"/>
  <c r="K112" i="1"/>
  <c r="K54" i="1" s="1"/>
  <c r="L112" i="1"/>
  <c r="M112" i="1"/>
  <c r="N112" i="1"/>
  <c r="N54" i="1" s="1"/>
  <c r="O112" i="1"/>
  <c r="E111" i="1"/>
  <c r="F111" i="1"/>
  <c r="F51" i="1" s="1"/>
  <c r="G111" i="1"/>
  <c r="G51" i="1" s="1"/>
  <c r="H111" i="1"/>
  <c r="I111" i="1"/>
  <c r="J111" i="1"/>
  <c r="K111" i="1"/>
  <c r="K51" i="1" s="1"/>
  <c r="L111" i="1"/>
  <c r="M111" i="1"/>
  <c r="M51" i="1" s="1"/>
  <c r="N111" i="1"/>
  <c r="N51" i="1" s="1"/>
  <c r="O111" i="1"/>
  <c r="O51" i="1" s="1"/>
  <c r="P111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E106" i="1"/>
  <c r="E110" i="1" s="1"/>
  <c r="F106" i="1"/>
  <c r="F110" i="1" s="1"/>
  <c r="G106" i="1"/>
  <c r="G110" i="1" s="1"/>
  <c r="H106" i="1"/>
  <c r="H110" i="1" s="1"/>
  <c r="I106" i="1"/>
  <c r="I110" i="1" s="1"/>
  <c r="J106" i="1"/>
  <c r="J48" i="1" s="1"/>
  <c r="K106" i="1"/>
  <c r="K110" i="1" s="1"/>
  <c r="L106" i="1"/>
  <c r="L110" i="1" s="1"/>
  <c r="M106" i="1"/>
  <c r="M110" i="1" s="1"/>
  <c r="N106" i="1"/>
  <c r="N110" i="1" s="1"/>
  <c r="O106" i="1"/>
  <c r="O110" i="1" s="1"/>
  <c r="P104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E71" i="1"/>
  <c r="F71" i="1"/>
  <c r="G71" i="1"/>
  <c r="H71" i="1"/>
  <c r="I71" i="1"/>
  <c r="J71" i="1"/>
  <c r="K71" i="1"/>
  <c r="L71" i="1"/>
  <c r="M71" i="1"/>
  <c r="N71" i="1"/>
  <c r="O71" i="1"/>
  <c r="P71" i="1"/>
  <c r="E60" i="1"/>
  <c r="F60" i="1"/>
  <c r="G60" i="1"/>
  <c r="H60" i="1"/>
  <c r="J60" i="1"/>
  <c r="K60" i="1"/>
  <c r="L60" i="1"/>
  <c r="M60" i="1"/>
  <c r="N60" i="1"/>
  <c r="O60" i="1"/>
  <c r="P60" i="1"/>
  <c r="D56" i="1"/>
  <c r="E56" i="1"/>
  <c r="F56" i="1"/>
  <c r="G56" i="1"/>
  <c r="H56" i="1"/>
  <c r="I56" i="1"/>
  <c r="J56" i="1"/>
  <c r="K56" i="1"/>
  <c r="L56" i="1"/>
  <c r="M56" i="1"/>
  <c r="D53" i="1"/>
  <c r="D58" i="1" s="1"/>
  <c r="D75" i="1" s="1"/>
  <c r="E53" i="1"/>
  <c r="F53" i="1"/>
  <c r="G53" i="1"/>
  <c r="H53" i="1"/>
  <c r="I53" i="1"/>
  <c r="J53" i="1"/>
  <c r="K53" i="1"/>
  <c r="L53" i="1"/>
  <c r="M53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E33" i="1"/>
  <c r="F33" i="1"/>
  <c r="G33" i="1"/>
  <c r="H33" i="1"/>
  <c r="I33" i="1"/>
  <c r="J33" i="1"/>
  <c r="K33" i="1"/>
  <c r="L33" i="1"/>
  <c r="M33" i="1"/>
  <c r="N33" i="1"/>
  <c r="N36" i="1" s="1"/>
  <c r="O33" i="1"/>
  <c r="O36" i="1" s="1"/>
  <c r="P33" i="1"/>
  <c r="Q33" i="1"/>
  <c r="D27" i="1"/>
  <c r="E27" i="1"/>
  <c r="F27" i="1"/>
  <c r="G27" i="1"/>
  <c r="H27" i="1"/>
  <c r="I27" i="1"/>
  <c r="J27" i="1"/>
  <c r="K27" i="1"/>
  <c r="L27" i="1"/>
  <c r="M27" i="1"/>
  <c r="N27" i="1"/>
  <c r="D23" i="1"/>
  <c r="E23" i="1"/>
  <c r="F23" i="1"/>
  <c r="G23" i="1"/>
  <c r="H23" i="1"/>
  <c r="I23" i="1"/>
  <c r="J23" i="1"/>
  <c r="K23" i="1"/>
  <c r="N23" i="1"/>
  <c r="O23" i="1"/>
  <c r="P23" i="1"/>
  <c r="Q23" i="1"/>
  <c r="L18" i="1"/>
  <c r="L23" i="1" s="1"/>
  <c r="M18" i="1"/>
  <c r="M23" i="1" s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D258" i="1" l="1"/>
  <c r="D262" i="1" s="1"/>
  <c r="P73" i="1"/>
  <c r="P72" i="1"/>
  <c r="H73" i="1"/>
  <c r="H72" i="1"/>
  <c r="I73" i="1"/>
  <c r="I72" i="1"/>
  <c r="P62" i="1"/>
  <c r="O72" i="1"/>
  <c r="O73" i="1"/>
  <c r="N73" i="1"/>
  <c r="N72" i="1"/>
  <c r="F73" i="1"/>
  <c r="F72" i="1"/>
  <c r="E73" i="1"/>
  <c r="E72" i="1"/>
  <c r="G72" i="1"/>
  <c r="G73" i="1"/>
  <c r="L73" i="1"/>
  <c r="L72" i="1"/>
  <c r="K73" i="1"/>
  <c r="K72" i="1"/>
  <c r="M73" i="1"/>
  <c r="M72" i="1"/>
  <c r="J73" i="1"/>
  <c r="J72" i="1"/>
  <c r="Q412" i="1"/>
  <c r="Q409" i="1"/>
  <c r="Q410" i="1"/>
  <c r="I409" i="1"/>
  <c r="I412" i="1"/>
  <c r="I410" i="1"/>
  <c r="P412" i="1"/>
  <c r="P410" i="1"/>
  <c r="P409" i="1"/>
  <c r="H412" i="1"/>
  <c r="H409" i="1"/>
  <c r="H410" i="1"/>
  <c r="O412" i="1"/>
  <c r="O410" i="1"/>
  <c r="O409" i="1"/>
  <c r="G412" i="1"/>
  <c r="G409" i="1"/>
  <c r="G410" i="1"/>
  <c r="J409" i="1"/>
  <c r="J412" i="1"/>
  <c r="J410" i="1"/>
  <c r="N412" i="1"/>
  <c r="N409" i="1"/>
  <c r="N410" i="1"/>
  <c r="F409" i="1"/>
  <c r="F412" i="1"/>
  <c r="F410" i="1"/>
  <c r="M412" i="1"/>
  <c r="M409" i="1"/>
  <c r="M410" i="1"/>
  <c r="E412" i="1"/>
  <c r="E410" i="1"/>
  <c r="E409" i="1"/>
  <c r="L412" i="1"/>
  <c r="L409" i="1"/>
  <c r="L410" i="1"/>
  <c r="D409" i="1"/>
  <c r="N7" i="2" s="1" a="1"/>
  <c r="D412" i="1"/>
  <c r="D410" i="1"/>
  <c r="K412" i="1"/>
  <c r="K410" i="1"/>
  <c r="K409" i="1"/>
  <c r="R409" i="1"/>
  <c r="R412" i="1"/>
  <c r="R410" i="1"/>
  <c r="L400" i="1"/>
  <c r="L403" i="1"/>
  <c r="L401" i="1"/>
  <c r="D400" i="1"/>
  <c r="D403" i="1"/>
  <c r="D401" i="1"/>
  <c r="J407" i="1"/>
  <c r="J413" i="1" s="1"/>
  <c r="J406" i="1"/>
  <c r="J411" i="1" s="1"/>
  <c r="R403" i="1"/>
  <c r="R400" i="1"/>
  <c r="R401" i="1"/>
  <c r="K403" i="1"/>
  <c r="K400" i="1"/>
  <c r="K401" i="1"/>
  <c r="Q406" i="1"/>
  <c r="Q411" i="1" s="1"/>
  <c r="Q407" i="1"/>
  <c r="Q413" i="1" s="1"/>
  <c r="I407" i="1"/>
  <c r="I413" i="1" s="1"/>
  <c r="I406" i="1"/>
  <c r="I411" i="1" s="1"/>
  <c r="J400" i="1"/>
  <c r="J403" i="1"/>
  <c r="J401" i="1"/>
  <c r="P406" i="1"/>
  <c r="P411" i="1" s="1"/>
  <c r="P407" i="1"/>
  <c r="P413" i="1" s="1"/>
  <c r="H407" i="1"/>
  <c r="H413" i="1" s="1"/>
  <c r="H406" i="1"/>
  <c r="H411" i="1" s="1"/>
  <c r="Q403" i="1"/>
  <c r="Q400" i="1"/>
  <c r="Q401" i="1"/>
  <c r="I400" i="1"/>
  <c r="I403" i="1"/>
  <c r="I401" i="1"/>
  <c r="O406" i="1"/>
  <c r="O411" i="1" s="1"/>
  <c r="O407" i="1"/>
  <c r="O413" i="1" s="1"/>
  <c r="G406" i="1"/>
  <c r="G411" i="1" s="1"/>
  <c r="G407" i="1"/>
  <c r="G413" i="1" s="1"/>
  <c r="P403" i="1"/>
  <c r="P400" i="1"/>
  <c r="P401" i="1"/>
  <c r="H403" i="1"/>
  <c r="H400" i="1"/>
  <c r="H401" i="1"/>
  <c r="N406" i="1"/>
  <c r="N411" i="1" s="1"/>
  <c r="N407" i="1"/>
  <c r="N413" i="1" s="1"/>
  <c r="F406" i="1"/>
  <c r="F411" i="1" s="1"/>
  <c r="F407" i="1"/>
  <c r="F413" i="1" s="1"/>
  <c r="O403" i="1"/>
  <c r="O400" i="1"/>
  <c r="O401" i="1"/>
  <c r="G403" i="1"/>
  <c r="G400" i="1"/>
  <c r="G401" i="1"/>
  <c r="M406" i="1"/>
  <c r="M411" i="1" s="1"/>
  <c r="M407" i="1"/>
  <c r="M413" i="1" s="1"/>
  <c r="E406" i="1"/>
  <c r="E411" i="1" s="1"/>
  <c r="E407" i="1"/>
  <c r="E413" i="1" s="1"/>
  <c r="N403" i="1"/>
  <c r="N401" i="1"/>
  <c r="N400" i="1"/>
  <c r="F403" i="1"/>
  <c r="F400" i="1"/>
  <c r="F401" i="1"/>
  <c r="L407" i="1"/>
  <c r="L413" i="1" s="1"/>
  <c r="L406" i="1"/>
  <c r="L411" i="1" s="1"/>
  <c r="D407" i="1"/>
  <c r="D413" i="1" s="1"/>
  <c r="D406" i="1"/>
  <c r="D411" i="1" s="1"/>
  <c r="M400" i="1"/>
  <c r="M403" i="1"/>
  <c r="M401" i="1"/>
  <c r="E400" i="1"/>
  <c r="E403" i="1"/>
  <c r="E401" i="1"/>
  <c r="K407" i="1"/>
  <c r="K413" i="1" s="1"/>
  <c r="K406" i="1"/>
  <c r="K411" i="1" s="1"/>
  <c r="R406" i="1"/>
  <c r="R411" i="1" s="1"/>
  <c r="R407" i="1"/>
  <c r="R413" i="1" s="1"/>
  <c r="L398" i="1"/>
  <c r="L404" i="1" s="1"/>
  <c r="L397" i="1"/>
  <c r="L402" i="1" s="1"/>
  <c r="D398" i="1"/>
  <c r="D404" i="1" s="1"/>
  <c r="D397" i="1"/>
  <c r="D402" i="1" s="1"/>
  <c r="R398" i="1"/>
  <c r="R404" i="1" s="1"/>
  <c r="R397" i="1"/>
  <c r="R402" i="1" s="1"/>
  <c r="K397" i="1"/>
  <c r="K402" i="1" s="1"/>
  <c r="K398" i="1"/>
  <c r="K404" i="1" s="1"/>
  <c r="J398" i="1"/>
  <c r="J404" i="1" s="1"/>
  <c r="J397" i="1"/>
  <c r="J402" i="1" s="1"/>
  <c r="Q398" i="1"/>
  <c r="Q404" i="1" s="1"/>
  <c r="Q397" i="1"/>
  <c r="Q402" i="1" s="1"/>
  <c r="I398" i="1"/>
  <c r="I404" i="1" s="1"/>
  <c r="I397" i="1"/>
  <c r="I402" i="1" s="1"/>
  <c r="P398" i="1"/>
  <c r="P404" i="1" s="1"/>
  <c r="P397" i="1"/>
  <c r="P402" i="1" s="1"/>
  <c r="H398" i="1"/>
  <c r="H404" i="1" s="1"/>
  <c r="H397" i="1"/>
  <c r="H402" i="1" s="1"/>
  <c r="O398" i="1"/>
  <c r="O404" i="1" s="1"/>
  <c r="O397" i="1"/>
  <c r="O402" i="1" s="1"/>
  <c r="G398" i="1"/>
  <c r="G404" i="1" s="1"/>
  <c r="G397" i="1"/>
  <c r="G402" i="1" s="1"/>
  <c r="N398" i="1"/>
  <c r="N404" i="1" s="1"/>
  <c r="N397" i="1"/>
  <c r="N402" i="1" s="1"/>
  <c r="F398" i="1"/>
  <c r="F404" i="1" s="1"/>
  <c r="F397" i="1"/>
  <c r="F402" i="1" s="1"/>
  <c r="M398" i="1"/>
  <c r="M404" i="1" s="1"/>
  <c r="M397" i="1"/>
  <c r="M402" i="1" s="1"/>
  <c r="E398" i="1"/>
  <c r="E404" i="1" s="1"/>
  <c r="E397" i="1"/>
  <c r="E402" i="1" s="1"/>
  <c r="J49" i="1"/>
  <c r="J57" i="1" s="1"/>
  <c r="J77" i="1" s="1"/>
  <c r="E59" i="1"/>
  <c r="I49" i="1"/>
  <c r="I348" i="1"/>
  <c r="F255" i="1"/>
  <c r="J306" i="1"/>
  <c r="Q166" i="1"/>
  <c r="I166" i="1"/>
  <c r="R408" i="1"/>
  <c r="M119" i="1"/>
  <c r="E162" i="1"/>
  <c r="O399" i="1"/>
  <c r="F59" i="1"/>
  <c r="K119" i="1"/>
  <c r="L167" i="1"/>
  <c r="Q58" i="1"/>
  <c r="Q68" i="1" s="1"/>
  <c r="D49" i="1"/>
  <c r="D158" i="1"/>
  <c r="K36" i="1"/>
  <c r="K40" i="1" s="1"/>
  <c r="K59" i="1"/>
  <c r="P107" i="1"/>
  <c r="P63" i="1"/>
  <c r="Q207" i="1"/>
  <c r="Q204" i="1"/>
  <c r="Q65" i="1"/>
  <c r="E119" i="1"/>
  <c r="P204" i="1"/>
  <c r="P65" i="1"/>
  <c r="D68" i="1"/>
  <c r="O204" i="1"/>
  <c r="O56" i="1" s="1"/>
  <c r="O65" i="1"/>
  <c r="D408" i="1"/>
  <c r="M118" i="1"/>
  <c r="I48" i="1"/>
  <c r="J261" i="1"/>
  <c r="E49" i="1"/>
  <c r="H306" i="1"/>
  <c r="F49" i="1"/>
  <c r="O300" i="1"/>
  <c r="O304" i="1" s="1"/>
  <c r="O308" i="1" s="1"/>
  <c r="R399" i="1"/>
  <c r="R308" i="1"/>
  <c r="R306" i="1"/>
  <c r="O40" i="1"/>
  <c r="J166" i="1"/>
  <c r="H260" i="1"/>
  <c r="G408" i="1"/>
  <c r="N38" i="1"/>
  <c r="M54" i="1"/>
  <c r="F256" i="1"/>
  <c r="H261" i="1"/>
  <c r="E117" i="1"/>
  <c r="J165" i="1"/>
  <c r="E256" i="1"/>
  <c r="F346" i="1"/>
  <c r="H165" i="1"/>
  <c r="L118" i="1"/>
  <c r="H346" i="1"/>
  <c r="L117" i="1"/>
  <c r="H48" i="1"/>
  <c r="P166" i="1"/>
  <c r="I114" i="1"/>
  <c r="E48" i="1"/>
  <c r="Q49" i="1"/>
  <c r="Q117" i="1"/>
  <c r="I117" i="1"/>
  <c r="K167" i="1"/>
  <c r="O118" i="1"/>
  <c r="G118" i="1"/>
  <c r="E51" i="1"/>
  <c r="E58" i="1" s="1"/>
  <c r="L261" i="1"/>
  <c r="D261" i="1"/>
  <c r="I253" i="1"/>
  <c r="K48" i="1"/>
  <c r="O117" i="1"/>
  <c r="G117" i="1"/>
  <c r="D118" i="1"/>
  <c r="K255" i="1"/>
  <c r="P117" i="1"/>
  <c r="H117" i="1"/>
  <c r="L51" i="1"/>
  <c r="L58" i="1" s="1"/>
  <c r="D117" i="1"/>
  <c r="I255" i="1"/>
  <c r="J118" i="1"/>
  <c r="P209" i="1"/>
  <c r="J308" i="1"/>
  <c r="L255" i="1"/>
  <c r="D255" i="1"/>
  <c r="K261" i="1"/>
  <c r="F166" i="1"/>
  <c r="Q165" i="1"/>
  <c r="I165" i="1"/>
  <c r="O166" i="1"/>
  <c r="N301" i="1"/>
  <c r="N300" i="1"/>
  <c r="N304" i="1" s="1"/>
  <c r="N306" i="1" s="1"/>
  <c r="G58" i="1"/>
  <c r="G75" i="1" s="1"/>
  <c r="P51" i="1"/>
  <c r="P58" i="1" s="1"/>
  <c r="J52" i="1"/>
  <c r="K118" i="1"/>
  <c r="E118" i="1"/>
  <c r="N166" i="1"/>
  <c r="K162" i="1"/>
  <c r="H258" i="1"/>
  <c r="H262" i="1" s="1"/>
  <c r="N290" i="1"/>
  <c r="M48" i="1"/>
  <c r="N58" i="1"/>
  <c r="N68" i="1" s="1"/>
  <c r="N281" i="1"/>
  <c r="L48" i="1"/>
  <c r="M49" i="1"/>
  <c r="H52" i="1"/>
  <c r="J262" i="1"/>
  <c r="I260" i="1"/>
  <c r="I259" i="1"/>
  <c r="I263" i="1" s="1"/>
  <c r="N49" i="1"/>
  <c r="F58" i="1"/>
  <c r="F68" i="1" s="1"/>
  <c r="M166" i="1"/>
  <c r="K49" i="1"/>
  <c r="H114" i="1"/>
  <c r="H118" i="1"/>
  <c r="N117" i="1"/>
  <c r="F117" i="1"/>
  <c r="P165" i="1"/>
  <c r="O209" i="1"/>
  <c r="L260" i="1"/>
  <c r="I261" i="1"/>
  <c r="O58" i="1"/>
  <c r="O68" i="1" s="1"/>
  <c r="K117" i="1"/>
  <c r="M117" i="1"/>
  <c r="K254" i="1"/>
  <c r="G166" i="1"/>
  <c r="J259" i="1"/>
  <c r="J263" i="1" s="1"/>
  <c r="H51" i="1"/>
  <c r="J117" i="1"/>
  <c r="J254" i="1"/>
  <c r="I346" i="1"/>
  <c r="N56" i="1"/>
  <c r="F36" i="1"/>
  <c r="F40" i="1" s="1"/>
  <c r="F48" i="1"/>
  <c r="L49" i="1"/>
  <c r="J51" i="1"/>
  <c r="L54" i="1"/>
  <c r="L59" i="1" s="1"/>
  <c r="D54" i="1"/>
  <c r="D59" i="1" s="1"/>
  <c r="D76" i="1" s="1"/>
  <c r="P106" i="1"/>
  <c r="N118" i="1"/>
  <c r="F118" i="1"/>
  <c r="P116" i="1"/>
  <c r="P158" i="1"/>
  <c r="P167" i="1" s="1"/>
  <c r="E166" i="1"/>
  <c r="H254" i="1"/>
  <c r="L258" i="1"/>
  <c r="L262" i="1" s="1"/>
  <c r="P363" i="1"/>
  <c r="E36" i="1"/>
  <c r="E38" i="1" s="1"/>
  <c r="N48" i="1"/>
  <c r="I51" i="1"/>
  <c r="I58" i="1" s="1"/>
  <c r="O55" i="1"/>
  <c r="O158" i="1"/>
  <c r="O167" i="1" s="1"/>
  <c r="I258" i="1"/>
  <c r="I262" i="1" s="1"/>
  <c r="D259" i="1"/>
  <c r="D263" i="1" s="1"/>
  <c r="L399" i="1"/>
  <c r="D399" i="1"/>
  <c r="K399" i="1"/>
  <c r="N55" i="1"/>
  <c r="L119" i="1"/>
  <c r="L162" i="1"/>
  <c r="O281" i="1"/>
  <c r="K58" i="1"/>
  <c r="K75" i="1" s="1"/>
  <c r="H158" i="1"/>
  <c r="H167" i="1" s="1"/>
  <c r="F258" i="1"/>
  <c r="F262" i="1" s="1"/>
  <c r="Q306" i="1"/>
  <c r="I306" i="1"/>
  <c r="L408" i="1"/>
  <c r="G36" i="1"/>
  <c r="G40" i="1" s="1"/>
  <c r="H54" i="1"/>
  <c r="H59" i="1" s="1"/>
  <c r="J110" i="1"/>
  <c r="J114" i="1" s="1"/>
  <c r="J167" i="1"/>
  <c r="G158" i="1"/>
  <c r="G167" i="1" s="1"/>
  <c r="L165" i="1"/>
  <c r="N165" i="1"/>
  <c r="F165" i="1"/>
  <c r="O301" i="1"/>
  <c r="K408" i="1"/>
  <c r="P115" i="1"/>
  <c r="K166" i="1"/>
  <c r="P207" i="1"/>
  <c r="M36" i="1"/>
  <c r="M38" i="1" s="1"/>
  <c r="O54" i="1"/>
  <c r="G54" i="1"/>
  <c r="G59" i="1" s="1"/>
  <c r="Q104" i="1"/>
  <c r="I118" i="1"/>
  <c r="Q167" i="1"/>
  <c r="I167" i="1"/>
  <c r="K165" i="1"/>
  <c r="L254" i="1"/>
  <c r="F263" i="1"/>
  <c r="K306" i="1"/>
  <c r="H348" i="1"/>
  <c r="P112" i="1"/>
  <c r="M162" i="1"/>
  <c r="M167" i="1"/>
  <c r="D260" i="1"/>
  <c r="D256" i="1"/>
  <c r="D253" i="1"/>
  <c r="K256" i="1"/>
  <c r="K260" i="1"/>
  <c r="K263" i="1"/>
  <c r="K253" i="1"/>
  <c r="K114" i="1"/>
  <c r="F167" i="1"/>
  <c r="F162" i="1"/>
  <c r="Q162" i="1"/>
  <c r="J256" i="1"/>
  <c r="L36" i="1"/>
  <c r="D36" i="1"/>
  <c r="M58" i="1"/>
  <c r="E114" i="1"/>
  <c r="I119" i="1"/>
  <c r="H166" i="1"/>
  <c r="E167" i="1"/>
  <c r="I256" i="1"/>
  <c r="J255" i="1"/>
  <c r="E255" i="1"/>
  <c r="K308" i="1"/>
  <c r="M306" i="1"/>
  <c r="M308" i="1"/>
  <c r="Q308" i="1"/>
  <c r="D346" i="1"/>
  <c r="D348" i="1"/>
  <c r="K346" i="1"/>
  <c r="K348" i="1"/>
  <c r="P408" i="1"/>
  <c r="P399" i="1"/>
  <c r="O38" i="1"/>
  <c r="J55" i="1"/>
  <c r="J59" i="1" s="1"/>
  <c r="D114" i="1"/>
  <c r="H119" i="1"/>
  <c r="Q208" i="1"/>
  <c r="H256" i="1"/>
  <c r="L306" i="1"/>
  <c r="L308" i="1"/>
  <c r="P308" i="1"/>
  <c r="N40" i="1"/>
  <c r="E259" i="1"/>
  <c r="E263" i="1" s="1"/>
  <c r="E258" i="1"/>
  <c r="E262" i="1" s="1"/>
  <c r="J36" i="1"/>
  <c r="Q55" i="1"/>
  <c r="I55" i="1"/>
  <c r="I59" i="1" s="1"/>
  <c r="N167" i="1"/>
  <c r="N162" i="1"/>
  <c r="O165" i="1"/>
  <c r="G165" i="1"/>
  <c r="L166" i="1"/>
  <c r="J162" i="1"/>
  <c r="P208" i="1"/>
  <c r="P61" i="1" s="1"/>
  <c r="G253" i="1"/>
  <c r="G260" i="1"/>
  <c r="F253" i="1"/>
  <c r="F260" i="1"/>
  <c r="G254" i="1"/>
  <c r="G261" i="1"/>
  <c r="H255" i="1"/>
  <c r="L253" i="1"/>
  <c r="L256" i="1"/>
  <c r="G259" i="1"/>
  <c r="G263" i="1" s="1"/>
  <c r="L263" i="1"/>
  <c r="I308" i="1"/>
  <c r="J346" i="1"/>
  <c r="J348" i="1"/>
  <c r="L346" i="1"/>
  <c r="L348" i="1"/>
  <c r="Q36" i="1"/>
  <c r="I36" i="1"/>
  <c r="O48" i="1"/>
  <c r="G48" i="1"/>
  <c r="P55" i="1"/>
  <c r="I162" i="1"/>
  <c r="O207" i="1"/>
  <c r="O208" i="1"/>
  <c r="O61" i="1" s="1"/>
  <c r="E253" i="1"/>
  <c r="E260" i="1"/>
  <c r="F254" i="1"/>
  <c r="F261" i="1"/>
  <c r="G255" i="1"/>
  <c r="G262" i="1"/>
  <c r="G256" i="1"/>
  <c r="E306" i="1"/>
  <c r="E308" i="1"/>
  <c r="H308" i="1"/>
  <c r="G346" i="1"/>
  <c r="G348" i="1"/>
  <c r="P36" i="1"/>
  <c r="H36" i="1"/>
  <c r="O114" i="1"/>
  <c r="O119" i="1"/>
  <c r="G114" i="1"/>
  <c r="G119" i="1"/>
  <c r="M114" i="1"/>
  <c r="M165" i="1"/>
  <c r="E165" i="1"/>
  <c r="E261" i="1"/>
  <c r="J253" i="1"/>
  <c r="D254" i="1"/>
  <c r="O290" i="1"/>
  <c r="G306" i="1"/>
  <c r="G308" i="1"/>
  <c r="D306" i="1"/>
  <c r="D308" i="1"/>
  <c r="N346" i="1"/>
  <c r="N348" i="1"/>
  <c r="N408" i="1"/>
  <c r="N399" i="1"/>
  <c r="F408" i="1"/>
  <c r="F399" i="1"/>
  <c r="N114" i="1"/>
  <c r="N119" i="1"/>
  <c r="F114" i="1"/>
  <c r="F119" i="1"/>
  <c r="L114" i="1"/>
  <c r="J260" i="1"/>
  <c r="F306" i="1"/>
  <c r="F308" i="1"/>
  <c r="M348" i="1"/>
  <c r="M346" i="1"/>
  <c r="M408" i="1"/>
  <c r="M399" i="1"/>
  <c r="E408" i="1"/>
  <c r="E399" i="1"/>
  <c r="Q399" i="1"/>
  <c r="Q408" i="1"/>
  <c r="H253" i="1"/>
  <c r="I399" i="1"/>
  <c r="I408" i="1"/>
  <c r="K258" i="1"/>
  <c r="K262" i="1" s="1"/>
  <c r="H263" i="1"/>
  <c r="J399" i="1"/>
  <c r="J408" i="1"/>
  <c r="H399" i="1"/>
  <c r="G399" i="1"/>
  <c r="E346" i="1"/>
  <c r="E348" i="1"/>
  <c r="F348" i="1"/>
  <c r="O408" i="1"/>
  <c r="P387" i="1"/>
  <c r="K7" i="2" l="1" a="1"/>
  <c r="K18" i="2" s="1"/>
  <c r="N15" i="2"/>
  <c r="N8" i="2"/>
  <c r="N22" i="2"/>
  <c r="N7" i="2"/>
  <c r="N16" i="2"/>
  <c r="N10" i="2"/>
  <c r="N9" i="2"/>
  <c r="N18" i="2"/>
  <c r="N17" i="2"/>
  <c r="N11" i="2"/>
  <c r="N13" i="2"/>
  <c r="N19" i="2"/>
  <c r="N21" i="2"/>
  <c r="N12" i="2"/>
  <c r="N14" i="2"/>
  <c r="N20" i="2"/>
  <c r="N33" i="2" a="1"/>
  <c r="M7" i="2" a="1"/>
  <c r="M33" i="2" a="1"/>
  <c r="K33" i="2" a="1"/>
  <c r="H57" i="1"/>
  <c r="H77" i="1" s="1"/>
  <c r="G57" i="1"/>
  <c r="G80" i="1" s="1"/>
  <c r="D57" i="1"/>
  <c r="D77" i="1" s="1"/>
  <c r="I79" i="1"/>
  <c r="I76" i="1"/>
  <c r="H79" i="1"/>
  <c r="H76" i="1"/>
  <c r="R104" i="1"/>
  <c r="R106" i="1" s="1"/>
  <c r="Q62" i="1"/>
  <c r="Q61" i="1"/>
  <c r="Q73" i="1"/>
  <c r="Q72" i="1"/>
  <c r="L79" i="1"/>
  <c r="L76" i="1"/>
  <c r="F79" i="1"/>
  <c r="F76" i="1"/>
  <c r="K79" i="1"/>
  <c r="K76" i="1"/>
  <c r="G79" i="1"/>
  <c r="G76" i="1"/>
  <c r="G77" i="1"/>
  <c r="J79" i="1"/>
  <c r="J76" i="1"/>
  <c r="E76" i="1"/>
  <c r="Q75" i="1"/>
  <c r="O306" i="1"/>
  <c r="I57" i="1"/>
  <c r="I77" i="1" s="1"/>
  <c r="K38" i="1"/>
  <c r="AA7" i="2" a="1"/>
  <c r="AA15" i="2" s="1"/>
  <c r="AI7" i="2" a="1"/>
  <c r="AI12" i="2" s="1"/>
  <c r="S33" i="2" a="1"/>
  <c r="S7" i="2" a="1"/>
  <c r="S9" i="2" s="1"/>
  <c r="E79" i="1"/>
  <c r="N308" i="1"/>
  <c r="L7" i="2" s="1" a="1"/>
  <c r="H58" i="1"/>
  <c r="H68" i="1" s="1"/>
  <c r="D69" i="1"/>
  <c r="D79" i="1"/>
  <c r="O59" i="1"/>
  <c r="N59" i="1"/>
  <c r="J58" i="1"/>
  <c r="J75" i="1" s="1"/>
  <c r="Q63" i="1"/>
  <c r="Q116" i="1"/>
  <c r="Q112" i="1"/>
  <c r="Q106" i="1"/>
  <c r="Q115" i="1"/>
  <c r="H69" i="1"/>
  <c r="J74" i="1"/>
  <c r="J80" i="1"/>
  <c r="D167" i="1"/>
  <c r="D162" i="1"/>
  <c r="D67" i="1"/>
  <c r="D80" i="1"/>
  <c r="M59" i="1"/>
  <c r="F57" i="1"/>
  <c r="E57" i="1"/>
  <c r="G38" i="1"/>
  <c r="K57" i="1"/>
  <c r="K77" i="1" s="1"/>
  <c r="F75" i="1"/>
  <c r="G69" i="1"/>
  <c r="F69" i="1"/>
  <c r="P162" i="1"/>
  <c r="N75" i="1"/>
  <c r="N50" i="1"/>
  <c r="N57" i="1" s="1"/>
  <c r="L69" i="1"/>
  <c r="L57" i="1"/>
  <c r="L77" i="1" s="1"/>
  <c r="K69" i="1"/>
  <c r="I75" i="1"/>
  <c r="I68" i="1"/>
  <c r="J70" i="1"/>
  <c r="H162" i="1"/>
  <c r="M57" i="1"/>
  <c r="M77" i="1" s="1"/>
  <c r="O162" i="1"/>
  <c r="K68" i="1"/>
  <c r="G162" i="1"/>
  <c r="P75" i="1"/>
  <c r="P68" i="1"/>
  <c r="O75" i="1"/>
  <c r="G68" i="1"/>
  <c r="J119" i="1"/>
  <c r="J67" i="1"/>
  <c r="E69" i="1"/>
  <c r="O210" i="1"/>
  <c r="P110" i="1"/>
  <c r="P48" i="1"/>
  <c r="P118" i="1"/>
  <c r="P54" i="1"/>
  <c r="F38" i="1"/>
  <c r="E40" i="1"/>
  <c r="M40" i="1"/>
  <c r="Q107" i="1"/>
  <c r="G67" i="1"/>
  <c r="G74" i="1"/>
  <c r="G70" i="1"/>
  <c r="I69" i="1"/>
  <c r="J40" i="1"/>
  <c r="J38" i="1"/>
  <c r="L75" i="1"/>
  <c r="L68" i="1"/>
  <c r="I40" i="1"/>
  <c r="I38" i="1"/>
  <c r="P50" i="1"/>
  <c r="J69" i="1"/>
  <c r="Q50" i="1"/>
  <c r="H40" i="1"/>
  <c r="H38" i="1"/>
  <c r="Q40" i="1"/>
  <c r="Q38" i="1"/>
  <c r="P210" i="1"/>
  <c r="P56" i="1"/>
  <c r="P40" i="1"/>
  <c r="P38" i="1"/>
  <c r="O50" i="1"/>
  <c r="O57" i="1" s="1"/>
  <c r="H67" i="1"/>
  <c r="H74" i="1"/>
  <c r="H70" i="1"/>
  <c r="E68" i="1"/>
  <c r="E75" i="1"/>
  <c r="Q210" i="1"/>
  <c r="Q56" i="1"/>
  <c r="L38" i="1"/>
  <c r="L40" i="1"/>
  <c r="M68" i="1"/>
  <c r="M75" i="1"/>
  <c r="D38" i="1"/>
  <c r="D40" i="1"/>
  <c r="K7" i="2" l="1"/>
  <c r="K22" i="2"/>
  <c r="K12" i="2"/>
  <c r="K13" i="2"/>
  <c r="D74" i="1"/>
  <c r="K16" i="2"/>
  <c r="K19" i="2"/>
  <c r="D70" i="1"/>
  <c r="K10" i="2"/>
  <c r="K8" i="2"/>
  <c r="K14" i="2"/>
  <c r="K11" i="2"/>
  <c r="D66" i="1"/>
  <c r="K20" i="2"/>
  <c r="K15" i="2"/>
  <c r="K9" i="2"/>
  <c r="K17" i="2"/>
  <c r="K21" i="2"/>
  <c r="L17" i="2"/>
  <c r="T17" i="2" s="1"/>
  <c r="L15" i="2"/>
  <c r="T15" i="2" s="1"/>
  <c r="L7" i="2"/>
  <c r="L21" i="2"/>
  <c r="T21" i="2" s="1"/>
  <c r="L16" i="2"/>
  <c r="T16" i="2" s="1"/>
  <c r="L14" i="2"/>
  <c r="T14" i="2" s="1"/>
  <c r="L13" i="2"/>
  <c r="L22" i="2"/>
  <c r="T22" i="2" s="1"/>
  <c r="L8" i="2"/>
  <c r="T8" i="2" s="1"/>
  <c r="L10" i="2"/>
  <c r="T10" i="2" s="1"/>
  <c r="L18" i="2"/>
  <c r="L12" i="2"/>
  <c r="T12" i="2" s="1"/>
  <c r="L19" i="2"/>
  <c r="T19" i="2" s="1"/>
  <c r="L11" i="2"/>
  <c r="T11" i="2" s="1"/>
  <c r="L20" i="2"/>
  <c r="T20" i="2" s="1"/>
  <c r="L9" i="2"/>
  <c r="T9" i="2" s="1"/>
  <c r="K48" i="2"/>
  <c r="K42" i="2"/>
  <c r="K36" i="2"/>
  <c r="K37" i="2"/>
  <c r="K34" i="2"/>
  <c r="K44" i="2"/>
  <c r="K45" i="2"/>
  <c r="K35" i="2"/>
  <c r="K38" i="2"/>
  <c r="K43" i="2"/>
  <c r="K46" i="2"/>
  <c r="K33" i="2"/>
  <c r="K39" i="2"/>
  <c r="K40" i="2"/>
  <c r="K41" i="2"/>
  <c r="K47" i="2"/>
  <c r="M48" i="2"/>
  <c r="M41" i="2"/>
  <c r="U41" i="2" s="1"/>
  <c r="M44" i="2"/>
  <c r="M36" i="2"/>
  <c r="U36" i="2" s="1"/>
  <c r="M37" i="2"/>
  <c r="U37" i="2" s="1"/>
  <c r="M39" i="2"/>
  <c r="M45" i="2"/>
  <c r="U45" i="2" s="1"/>
  <c r="M38" i="2"/>
  <c r="U38" i="2" s="1"/>
  <c r="M47" i="2"/>
  <c r="U47" i="2" s="1"/>
  <c r="M46" i="2"/>
  <c r="M33" i="2"/>
  <c r="U33" i="2" s="1"/>
  <c r="M34" i="2"/>
  <c r="M35" i="2"/>
  <c r="U35" i="2" s="1"/>
  <c r="M42" i="2"/>
  <c r="M43" i="2"/>
  <c r="U43" i="2" s="1"/>
  <c r="M40" i="2"/>
  <c r="N25" i="2"/>
  <c r="N24" i="2"/>
  <c r="M16" i="2"/>
  <c r="U16" i="2" s="1"/>
  <c r="M10" i="2"/>
  <c r="U10" i="2" s="1"/>
  <c r="M19" i="2"/>
  <c r="U19" i="2" s="1"/>
  <c r="M11" i="2"/>
  <c r="U11" i="2" s="1"/>
  <c r="M18" i="2"/>
  <c r="M12" i="2"/>
  <c r="M14" i="2"/>
  <c r="U14" i="2" s="1"/>
  <c r="M7" i="2"/>
  <c r="M20" i="2"/>
  <c r="M22" i="2"/>
  <c r="U22" i="2" s="1"/>
  <c r="M17" i="2"/>
  <c r="U17" i="2" s="1"/>
  <c r="M8" i="2"/>
  <c r="U8" i="2" s="1"/>
  <c r="M13" i="2"/>
  <c r="M21" i="2"/>
  <c r="U21" i="2" s="1"/>
  <c r="M15" i="2"/>
  <c r="M9" i="2"/>
  <c r="U9" i="2" s="1"/>
  <c r="N48" i="2"/>
  <c r="N41" i="2"/>
  <c r="N42" i="2"/>
  <c r="N39" i="2"/>
  <c r="N35" i="2"/>
  <c r="N47" i="2"/>
  <c r="N43" i="2"/>
  <c r="N36" i="2"/>
  <c r="N38" i="2"/>
  <c r="N34" i="2"/>
  <c r="N44" i="2"/>
  <c r="N37" i="2"/>
  <c r="N46" i="2"/>
  <c r="N40" i="2"/>
  <c r="N45" i="2"/>
  <c r="N33" i="2"/>
  <c r="H80" i="1"/>
  <c r="N23" i="2"/>
  <c r="L33" i="2" a="1"/>
  <c r="S104" i="1"/>
  <c r="S62" i="1" s="1"/>
  <c r="H75" i="1"/>
  <c r="W7" i="2" s="1" a="1"/>
  <c r="W14" i="2" s="1"/>
  <c r="R107" i="1"/>
  <c r="I70" i="1"/>
  <c r="R112" i="1"/>
  <c r="R54" i="1" s="1"/>
  <c r="R59" i="1" s="1"/>
  <c r="I67" i="1"/>
  <c r="R116" i="1"/>
  <c r="R63" i="1"/>
  <c r="I80" i="1"/>
  <c r="R115" i="1"/>
  <c r="I74" i="1"/>
  <c r="O80" i="1"/>
  <c r="O77" i="1"/>
  <c r="E80" i="1"/>
  <c r="E77" i="1"/>
  <c r="N80" i="1"/>
  <c r="N77" i="1"/>
  <c r="F80" i="1"/>
  <c r="F77" i="1"/>
  <c r="N79" i="1"/>
  <c r="N76" i="1"/>
  <c r="M79" i="1"/>
  <c r="M76" i="1"/>
  <c r="O79" i="1"/>
  <c r="O76" i="1"/>
  <c r="R61" i="1"/>
  <c r="R62" i="1"/>
  <c r="R73" i="1"/>
  <c r="R72" i="1"/>
  <c r="AA12" i="2"/>
  <c r="AA13" i="2"/>
  <c r="AA9" i="2"/>
  <c r="AA8" i="2"/>
  <c r="AA21" i="2"/>
  <c r="AA22" i="2"/>
  <c r="AA19" i="2"/>
  <c r="AA11" i="2"/>
  <c r="AA10" i="2"/>
  <c r="AA7" i="2"/>
  <c r="AA18" i="2"/>
  <c r="AA17" i="2"/>
  <c r="AI22" i="2"/>
  <c r="AI10" i="2"/>
  <c r="AI9" i="2"/>
  <c r="AI14" i="2"/>
  <c r="AI17" i="2"/>
  <c r="AI13" i="2"/>
  <c r="AI15" i="2"/>
  <c r="AI18" i="2"/>
  <c r="AI20" i="2"/>
  <c r="AA14" i="2"/>
  <c r="AA20" i="2"/>
  <c r="AI16" i="2"/>
  <c r="U40" i="2"/>
  <c r="U48" i="2"/>
  <c r="U46" i="2"/>
  <c r="U42" i="2"/>
  <c r="AI19" i="2"/>
  <c r="AI7" i="2"/>
  <c r="U15" i="2"/>
  <c r="U12" i="2"/>
  <c r="U20" i="2"/>
  <c r="S33" i="2"/>
  <c r="S38" i="2"/>
  <c r="S34" i="2"/>
  <c r="S46" i="2"/>
  <c r="S45" i="2"/>
  <c r="S41" i="2"/>
  <c r="S37" i="2"/>
  <c r="S42" i="2"/>
  <c r="S48" i="2"/>
  <c r="S44" i="2"/>
  <c r="S40" i="2"/>
  <c r="S36" i="2"/>
  <c r="S47" i="2"/>
  <c r="S43" i="2"/>
  <c r="S39" i="2"/>
  <c r="S35" i="2"/>
  <c r="AI21" i="2"/>
  <c r="AI8" i="2"/>
  <c r="AI11" i="2"/>
  <c r="AA16" i="2"/>
  <c r="S11" i="2"/>
  <c r="S19" i="2"/>
  <c r="S15" i="2"/>
  <c r="S17" i="2"/>
  <c r="S21" i="2"/>
  <c r="S14" i="2"/>
  <c r="S7" i="2"/>
  <c r="S20" i="2"/>
  <c r="S12" i="2"/>
  <c r="S10" i="2"/>
  <c r="S22" i="2"/>
  <c r="S18" i="2"/>
  <c r="S8" i="2"/>
  <c r="S13" i="2"/>
  <c r="S16" i="2"/>
  <c r="J68" i="1"/>
  <c r="W33" i="2" s="1" a="1"/>
  <c r="W47" i="2" s="1"/>
  <c r="AD7" i="2" a="1"/>
  <c r="AD8" i="2" s="1"/>
  <c r="V33" i="2" a="1"/>
  <c r="V47" i="2" s="1"/>
  <c r="F33" i="2" a="1"/>
  <c r="AL33" i="2" a="1"/>
  <c r="R48" i="1"/>
  <c r="R110" i="1"/>
  <c r="S106" i="1"/>
  <c r="AL7" i="2" a="1"/>
  <c r="AD33" i="2" a="1"/>
  <c r="V7" i="2" a="1"/>
  <c r="F7" i="2" a="1"/>
  <c r="P59" i="1"/>
  <c r="E74" i="1"/>
  <c r="E70" i="1"/>
  <c r="M69" i="1"/>
  <c r="E67" i="1"/>
  <c r="K80" i="1"/>
  <c r="F74" i="1"/>
  <c r="L80" i="1"/>
  <c r="F67" i="1"/>
  <c r="M74" i="1"/>
  <c r="M80" i="1"/>
  <c r="F70" i="1"/>
  <c r="O69" i="1"/>
  <c r="K74" i="1"/>
  <c r="K67" i="1"/>
  <c r="K70" i="1"/>
  <c r="L74" i="1"/>
  <c r="L67" i="1"/>
  <c r="N74" i="1"/>
  <c r="N70" i="1"/>
  <c r="N67" i="1"/>
  <c r="L70" i="1"/>
  <c r="P57" i="1"/>
  <c r="P77" i="1" s="1"/>
  <c r="M70" i="1"/>
  <c r="N69" i="1"/>
  <c r="M67" i="1"/>
  <c r="Q118" i="1"/>
  <c r="Q54" i="1"/>
  <c r="Q59" i="1" s="1"/>
  <c r="Q76" i="1" s="1"/>
  <c r="Q110" i="1"/>
  <c r="Q114" i="1" s="1"/>
  <c r="Q48" i="1"/>
  <c r="P114" i="1"/>
  <c r="P119" i="1"/>
  <c r="O211" i="1"/>
  <c r="O206" i="1"/>
  <c r="P206" i="1"/>
  <c r="P211" i="1"/>
  <c r="O67" i="1"/>
  <c r="O74" i="1"/>
  <c r="O70" i="1"/>
  <c r="Q206" i="1"/>
  <c r="Q211" i="1"/>
  <c r="K25" i="2" l="1"/>
  <c r="K23" i="2"/>
  <c r="K24" i="2"/>
  <c r="S61" i="1"/>
  <c r="C24" i="2"/>
  <c r="M24" i="2"/>
  <c r="M23" i="2"/>
  <c r="M51" i="2"/>
  <c r="M49" i="2"/>
  <c r="AI23" i="2"/>
  <c r="S23" i="2"/>
  <c r="AA23" i="2"/>
  <c r="N50" i="2"/>
  <c r="M25" i="2"/>
  <c r="M50" i="2"/>
  <c r="S50" i="2"/>
  <c r="AA25" i="2"/>
  <c r="AA24" i="2"/>
  <c r="L48" i="2"/>
  <c r="T48" i="2" s="1"/>
  <c r="L46" i="2"/>
  <c r="T46" i="2" s="1"/>
  <c r="AB46" i="2" s="1"/>
  <c r="AJ46" i="2" s="1"/>
  <c r="L39" i="2"/>
  <c r="L40" i="2"/>
  <c r="T40" i="2" s="1"/>
  <c r="AB40" i="2" s="1"/>
  <c r="AJ40" i="2" s="1"/>
  <c r="L33" i="2"/>
  <c r="L47" i="2"/>
  <c r="T47" i="2" s="1"/>
  <c r="AB47" i="2" s="1"/>
  <c r="L41" i="2"/>
  <c r="T41" i="2" s="1"/>
  <c r="AB41" i="2" s="1"/>
  <c r="L38" i="2"/>
  <c r="T38" i="2" s="1"/>
  <c r="AB38" i="2" s="1"/>
  <c r="AJ38" i="2" s="1"/>
  <c r="L35" i="2"/>
  <c r="T35" i="2" s="1"/>
  <c r="AB35" i="2" s="1"/>
  <c r="L36" i="2"/>
  <c r="T36" i="2" s="1"/>
  <c r="AB36" i="2" s="1"/>
  <c r="AJ36" i="2" s="1"/>
  <c r="L43" i="2"/>
  <c r="T43" i="2" s="1"/>
  <c r="AB43" i="2" s="1"/>
  <c r="L44" i="2"/>
  <c r="L34" i="2"/>
  <c r="T34" i="2" s="1"/>
  <c r="L37" i="2"/>
  <c r="T37" i="2" s="1"/>
  <c r="AB37" i="2" s="1"/>
  <c r="AJ37" i="2" s="1"/>
  <c r="L42" i="2"/>
  <c r="T42" i="2" s="1"/>
  <c r="AB42" i="2" s="1"/>
  <c r="L45" i="2"/>
  <c r="T45" i="2" s="1"/>
  <c r="AB45" i="2" s="1"/>
  <c r="N49" i="2"/>
  <c r="T13" i="2"/>
  <c r="L24" i="2"/>
  <c r="AI50" i="2"/>
  <c r="AA51" i="2"/>
  <c r="AI24" i="2"/>
  <c r="K49" i="2"/>
  <c r="AA50" i="2"/>
  <c r="K50" i="2"/>
  <c r="N51" i="2"/>
  <c r="K51" i="2"/>
  <c r="AI51" i="2"/>
  <c r="S25" i="2"/>
  <c r="AI25" i="2"/>
  <c r="T18" i="2"/>
  <c r="T23" i="2" s="1"/>
  <c r="L23" i="2"/>
  <c r="L25" i="2"/>
  <c r="T7" i="2"/>
  <c r="C51" i="2"/>
  <c r="S24" i="2"/>
  <c r="S49" i="2"/>
  <c r="C50" i="2"/>
  <c r="C25" i="2"/>
  <c r="S51" i="2"/>
  <c r="S112" i="1"/>
  <c r="S54" i="1" s="1"/>
  <c r="S59" i="1" s="1"/>
  <c r="S107" i="1"/>
  <c r="S73" i="1"/>
  <c r="S116" i="1"/>
  <c r="S115" i="1"/>
  <c r="S72" i="1"/>
  <c r="S63" i="1"/>
  <c r="R57" i="1"/>
  <c r="R70" i="1" s="1"/>
  <c r="Q57" i="1"/>
  <c r="Q77" i="1" s="1"/>
  <c r="R118" i="1"/>
  <c r="AJ11" i="2"/>
  <c r="R76" i="1"/>
  <c r="P79" i="1"/>
  <c r="P76" i="1"/>
  <c r="AJ16" i="2"/>
  <c r="AJ17" i="2"/>
  <c r="AJ14" i="2"/>
  <c r="AJ19" i="2"/>
  <c r="AJ10" i="2"/>
  <c r="W16" i="2"/>
  <c r="U34" i="2"/>
  <c r="U39" i="2"/>
  <c r="U18" i="2"/>
  <c r="U23" i="2" s="1"/>
  <c r="U13" i="2"/>
  <c r="U7" i="2"/>
  <c r="AJ20" i="2"/>
  <c r="AB34" i="2"/>
  <c r="AJ9" i="2"/>
  <c r="AJ21" i="2"/>
  <c r="P69" i="1"/>
  <c r="U44" i="2"/>
  <c r="U49" i="2" s="1"/>
  <c r="AJ22" i="2"/>
  <c r="W21" i="2"/>
  <c r="W10" i="2"/>
  <c r="W11" i="2"/>
  <c r="W13" i="2"/>
  <c r="W19" i="2"/>
  <c r="W17" i="2"/>
  <c r="W15" i="2"/>
  <c r="W7" i="2"/>
  <c r="W48" i="2"/>
  <c r="V35" i="2"/>
  <c r="W20" i="2"/>
  <c r="W22" i="2"/>
  <c r="V41" i="2"/>
  <c r="V33" i="2"/>
  <c r="V48" i="2"/>
  <c r="V42" i="2"/>
  <c r="V43" i="2"/>
  <c r="V38" i="2"/>
  <c r="V44" i="2"/>
  <c r="AD22" i="2"/>
  <c r="V40" i="2"/>
  <c r="V37" i="2"/>
  <c r="V39" i="2"/>
  <c r="V34" i="2"/>
  <c r="V46" i="2"/>
  <c r="V36" i="2"/>
  <c r="W9" i="2"/>
  <c r="W8" i="2"/>
  <c r="W45" i="2"/>
  <c r="W12" i="2"/>
  <c r="W42" i="2"/>
  <c r="V45" i="2"/>
  <c r="W41" i="2"/>
  <c r="W18" i="2"/>
  <c r="AD9" i="2"/>
  <c r="AD18" i="2"/>
  <c r="AD10" i="2"/>
  <c r="AD13" i="2"/>
  <c r="AD21" i="2"/>
  <c r="AD15" i="2"/>
  <c r="AD20" i="2"/>
  <c r="AD12" i="2"/>
  <c r="AD16" i="2"/>
  <c r="AD11" i="2"/>
  <c r="AD19" i="2"/>
  <c r="AD7" i="2"/>
  <c r="AD17" i="2"/>
  <c r="AD14" i="2"/>
  <c r="W36" i="2"/>
  <c r="W34" i="2"/>
  <c r="W40" i="2"/>
  <c r="W35" i="2"/>
  <c r="W46" i="2"/>
  <c r="W33" i="2"/>
  <c r="W43" i="2"/>
  <c r="W38" i="2"/>
  <c r="W37" i="2"/>
  <c r="W39" i="2"/>
  <c r="W44" i="2"/>
  <c r="F9" i="2"/>
  <c r="F22" i="2"/>
  <c r="F21" i="2"/>
  <c r="F8" i="2"/>
  <c r="F19" i="2"/>
  <c r="F13" i="2"/>
  <c r="F15" i="2"/>
  <c r="F12" i="2"/>
  <c r="F16" i="2"/>
  <c r="F18" i="2"/>
  <c r="F10" i="2"/>
  <c r="F20" i="2"/>
  <c r="F17" i="2"/>
  <c r="F7" i="2"/>
  <c r="F14" i="2"/>
  <c r="F11" i="2"/>
  <c r="R79" i="1"/>
  <c r="R69" i="1"/>
  <c r="V7" i="2"/>
  <c r="V22" i="2"/>
  <c r="V14" i="2"/>
  <c r="X14" i="2" s="1"/>
  <c r="V18" i="2"/>
  <c r="V10" i="2"/>
  <c r="X10" i="2" s="1"/>
  <c r="V21" i="2"/>
  <c r="V17" i="2"/>
  <c r="V13" i="2"/>
  <c r="V9" i="2"/>
  <c r="V12" i="2"/>
  <c r="V20" i="2"/>
  <c r="V16" i="2"/>
  <c r="V19" i="2"/>
  <c r="V15" i="2"/>
  <c r="V8" i="2"/>
  <c r="V11" i="2"/>
  <c r="F33" i="2"/>
  <c r="F40" i="2"/>
  <c r="F47" i="2"/>
  <c r="F43" i="2"/>
  <c r="F39" i="2"/>
  <c r="F35" i="2"/>
  <c r="F46" i="2"/>
  <c r="F42" i="2"/>
  <c r="F38" i="2"/>
  <c r="F34" i="2"/>
  <c r="F37" i="2"/>
  <c r="F45" i="2"/>
  <c r="F41" i="2"/>
  <c r="F44" i="2"/>
  <c r="F48" i="2"/>
  <c r="F36" i="2"/>
  <c r="AL7" i="2"/>
  <c r="AL13" i="2"/>
  <c r="AL22" i="2"/>
  <c r="AL20" i="2"/>
  <c r="AL17" i="2"/>
  <c r="AL15" i="2"/>
  <c r="AL12" i="2"/>
  <c r="AL9" i="2"/>
  <c r="AL14" i="2"/>
  <c r="AL16" i="2"/>
  <c r="AL19" i="2"/>
  <c r="AL8" i="2"/>
  <c r="AL18" i="2"/>
  <c r="AL11" i="2"/>
  <c r="AL21" i="2"/>
  <c r="AL10" i="2"/>
  <c r="R114" i="1"/>
  <c r="R119" i="1"/>
  <c r="S48" i="1"/>
  <c r="S57" i="1" s="1"/>
  <c r="S77" i="1" s="1"/>
  <c r="S110" i="1"/>
  <c r="AD34" i="2"/>
  <c r="AD44" i="2"/>
  <c r="AD47" i="2"/>
  <c r="AD42" i="2"/>
  <c r="AD40" i="2"/>
  <c r="AD39" i="2"/>
  <c r="AD37" i="2"/>
  <c r="AD35" i="2"/>
  <c r="AD46" i="2"/>
  <c r="AD33" i="2"/>
  <c r="AD38" i="2"/>
  <c r="AD48" i="2"/>
  <c r="AD45" i="2"/>
  <c r="AD41" i="2"/>
  <c r="AD36" i="2"/>
  <c r="AD43" i="2"/>
  <c r="AL33" i="2"/>
  <c r="AL48" i="2"/>
  <c r="AL36" i="2"/>
  <c r="AL39" i="2"/>
  <c r="AL47" i="2"/>
  <c r="AL34" i="2"/>
  <c r="AL46" i="2"/>
  <c r="AL43" i="2"/>
  <c r="AL38" i="2"/>
  <c r="AL35" i="2"/>
  <c r="AL37" i="2"/>
  <c r="AL45" i="2"/>
  <c r="AL42" i="2"/>
  <c r="AL40" i="2"/>
  <c r="AL41" i="2"/>
  <c r="AL44" i="2"/>
  <c r="AB48" i="2"/>
  <c r="X47" i="2"/>
  <c r="Q79" i="1"/>
  <c r="AC43" i="2"/>
  <c r="AC17" i="2"/>
  <c r="AC37" i="2"/>
  <c r="AK37" i="2" s="1"/>
  <c r="AC33" i="2"/>
  <c r="AC8" i="2"/>
  <c r="AJ45" i="2"/>
  <c r="AC38" i="2"/>
  <c r="AC10" i="2"/>
  <c r="AJ41" i="2"/>
  <c r="AC41" i="2"/>
  <c r="AK41" i="2" s="1"/>
  <c r="AC12" i="2"/>
  <c r="AJ42" i="2"/>
  <c r="AC14" i="2"/>
  <c r="AJ35" i="2"/>
  <c r="AC40" i="2"/>
  <c r="AK40" i="2" s="1"/>
  <c r="AC15" i="2"/>
  <c r="AC42" i="2"/>
  <c r="AK42" i="2" s="1"/>
  <c r="AC11" i="2"/>
  <c r="AC36" i="2"/>
  <c r="AK36" i="2" s="1"/>
  <c r="AC35" i="2"/>
  <c r="AK35" i="2" s="1"/>
  <c r="AC9" i="2"/>
  <c r="AC16" i="2"/>
  <c r="P67" i="1"/>
  <c r="P80" i="1"/>
  <c r="P70" i="1"/>
  <c r="P74" i="1"/>
  <c r="Q70" i="1"/>
  <c r="Q119" i="1"/>
  <c r="Q69" i="1"/>
  <c r="AJ47" i="2" l="1"/>
  <c r="X9" i="2"/>
  <c r="X11" i="2"/>
  <c r="X8" i="2"/>
  <c r="X20" i="2"/>
  <c r="X12" i="2"/>
  <c r="X16" i="2"/>
  <c r="X22" i="2"/>
  <c r="V50" i="2"/>
  <c r="AJ43" i="2"/>
  <c r="X17" i="2"/>
  <c r="U51" i="2"/>
  <c r="V24" i="2"/>
  <c r="X15" i="2"/>
  <c r="X21" i="2"/>
  <c r="AL49" i="2"/>
  <c r="X19" i="2"/>
  <c r="AD51" i="2"/>
  <c r="AD49" i="2"/>
  <c r="AL24" i="2"/>
  <c r="F25" i="2"/>
  <c r="F24" i="2"/>
  <c r="U25" i="2"/>
  <c r="AL51" i="2"/>
  <c r="AL25" i="2"/>
  <c r="F51" i="2"/>
  <c r="V25" i="2"/>
  <c r="W25" i="2"/>
  <c r="E24" i="2"/>
  <c r="U24" i="2"/>
  <c r="X7" i="2"/>
  <c r="X13" i="2"/>
  <c r="W51" i="2"/>
  <c r="AD25" i="2"/>
  <c r="AD24" i="2"/>
  <c r="V51" i="2"/>
  <c r="AC39" i="2"/>
  <c r="AC50" i="2" s="1"/>
  <c r="U50" i="2"/>
  <c r="X24" i="2"/>
  <c r="L51" i="2"/>
  <c r="T33" i="2"/>
  <c r="X33" i="2" s="1"/>
  <c r="AD50" i="2"/>
  <c r="F49" i="2"/>
  <c r="S118" i="1"/>
  <c r="F23" i="2"/>
  <c r="T24" i="2"/>
  <c r="L49" i="2"/>
  <c r="T44" i="2"/>
  <c r="Q74" i="1"/>
  <c r="AL23" i="2"/>
  <c r="F50" i="2"/>
  <c r="AD23" i="2"/>
  <c r="W24" i="2"/>
  <c r="L50" i="2"/>
  <c r="T39" i="2"/>
  <c r="X39" i="2" s="1"/>
  <c r="X18" i="2"/>
  <c r="Q80" i="1"/>
  <c r="AL50" i="2"/>
  <c r="Q67" i="1"/>
  <c r="V23" i="2"/>
  <c r="W49" i="2"/>
  <c r="V49" i="2"/>
  <c r="X23" i="2"/>
  <c r="W50" i="2"/>
  <c r="W23" i="2"/>
  <c r="T25" i="2"/>
  <c r="X25" i="2"/>
  <c r="AJ8" i="2"/>
  <c r="AB23" i="2"/>
  <c r="R80" i="1"/>
  <c r="R67" i="1"/>
  <c r="R74" i="1"/>
  <c r="S76" i="1"/>
  <c r="AE7" i="2" s="1" a="1"/>
  <c r="R77" i="1"/>
  <c r="AM7" i="2" s="1" a="1"/>
  <c r="AC13" i="2"/>
  <c r="AC24" i="2" s="1"/>
  <c r="AK24" i="2"/>
  <c r="E50" i="2"/>
  <c r="AJ34" i="2"/>
  <c r="AC7" i="2"/>
  <c r="AK33" i="2"/>
  <c r="AC34" i="2"/>
  <c r="AK34" i="2" s="1"/>
  <c r="X48" i="2"/>
  <c r="X36" i="2"/>
  <c r="X37" i="2"/>
  <c r="S67" i="1"/>
  <c r="S80" i="1"/>
  <c r="S70" i="1"/>
  <c r="AM33" i="2" s="1" a="1"/>
  <c r="S74" i="1"/>
  <c r="AJ48" i="2"/>
  <c r="S119" i="1"/>
  <c r="S114" i="1"/>
  <c r="AJ18" i="2"/>
  <c r="S79" i="1"/>
  <c r="S69" i="1"/>
  <c r="AE33" i="2" s="1" a="1"/>
  <c r="X45" i="2"/>
  <c r="X40" i="2"/>
  <c r="X38" i="2"/>
  <c r="X42" i="2"/>
  <c r="X46" i="2"/>
  <c r="X35" i="2"/>
  <c r="X34" i="2"/>
  <c r="X41" i="2"/>
  <c r="X43" i="2"/>
  <c r="AK38" i="2"/>
  <c r="AK43" i="2"/>
  <c r="AJ12" i="2"/>
  <c r="O7" i="2" l="1" a="1"/>
  <c r="O19" i="2" s="1"/>
  <c r="P19" i="2" s="1"/>
  <c r="AK39" i="2"/>
  <c r="AK51" i="2" s="1"/>
  <c r="O33" i="2" a="1"/>
  <c r="O48" i="2" s="1"/>
  <c r="P48" i="2" s="1"/>
  <c r="E25" i="2"/>
  <c r="E51" i="2"/>
  <c r="T49" i="2"/>
  <c r="AB44" i="2"/>
  <c r="X49" i="2"/>
  <c r="X44" i="2"/>
  <c r="AK50" i="2"/>
  <c r="AC51" i="2"/>
  <c r="AK25" i="2"/>
  <c r="AB39" i="2"/>
  <c r="T50" i="2"/>
  <c r="X50" i="2"/>
  <c r="D12" i="6" s="1"/>
  <c r="AC25" i="2"/>
  <c r="AB33" i="2"/>
  <c r="T51" i="2"/>
  <c r="X51" i="2"/>
  <c r="D13" i="6" s="1"/>
  <c r="AJ23" i="2"/>
  <c r="AB24" i="2"/>
  <c r="AB25" i="2"/>
  <c r="AJ13" i="2"/>
  <c r="D8" i="6"/>
  <c r="D7" i="6"/>
  <c r="G33" i="2" a="1"/>
  <c r="G43" i="2" s="1"/>
  <c r="AE35" i="2"/>
  <c r="AF35" i="2" s="1"/>
  <c r="AE41" i="2"/>
  <c r="AF41" i="2" s="1"/>
  <c r="AE42" i="2"/>
  <c r="AF42" i="2" s="1"/>
  <c r="AE44" i="2"/>
  <c r="AE33" i="2"/>
  <c r="AE46" i="2"/>
  <c r="AF46" i="2" s="1"/>
  <c r="AE34" i="2"/>
  <c r="AF34" i="2" s="1"/>
  <c r="AE48" i="2"/>
  <c r="AF48" i="2" s="1"/>
  <c r="AE38" i="2"/>
  <c r="AF38" i="2" s="1"/>
  <c r="AE36" i="2"/>
  <c r="AF36" i="2" s="1"/>
  <c r="AE40" i="2"/>
  <c r="AF40" i="2" s="1"/>
  <c r="AE47" i="2"/>
  <c r="AF47" i="2" s="1"/>
  <c r="AE39" i="2"/>
  <c r="AE45" i="2"/>
  <c r="AF45" i="2" s="1"/>
  <c r="AE37" i="2"/>
  <c r="AF37" i="2" s="1"/>
  <c r="AE43" i="2"/>
  <c r="AF43" i="2" s="1"/>
  <c r="AE7" i="2"/>
  <c r="AE19" i="2"/>
  <c r="AF19" i="2" s="1"/>
  <c r="AE11" i="2"/>
  <c r="AF11" i="2" s="1"/>
  <c r="AE12" i="2"/>
  <c r="AF12" i="2" s="1"/>
  <c r="AE14" i="2"/>
  <c r="AF14" i="2" s="1"/>
  <c r="AE20" i="2"/>
  <c r="AF20" i="2" s="1"/>
  <c r="AE22" i="2"/>
  <c r="AF22" i="2" s="1"/>
  <c r="AE9" i="2"/>
  <c r="AF9" i="2" s="1"/>
  <c r="AE16" i="2"/>
  <c r="AE8" i="2"/>
  <c r="AF8" i="2" s="1"/>
  <c r="AE21" i="2"/>
  <c r="AF21" i="2" s="1"/>
  <c r="AE18" i="2"/>
  <c r="AE13" i="2"/>
  <c r="AE10" i="2"/>
  <c r="AF10" i="2" s="1"/>
  <c r="AE17" i="2"/>
  <c r="AF17" i="2" s="1"/>
  <c r="AE15" i="2"/>
  <c r="AF15" i="2" s="1"/>
  <c r="AM42" i="2"/>
  <c r="AN42" i="2" s="1"/>
  <c r="AM40" i="2"/>
  <c r="AN40" i="2" s="1"/>
  <c r="AM39" i="2"/>
  <c r="AM48" i="2"/>
  <c r="AN48" i="2" s="1"/>
  <c r="AM38" i="2"/>
  <c r="AN38" i="2" s="1"/>
  <c r="AM45" i="2"/>
  <c r="AN45" i="2" s="1"/>
  <c r="AM47" i="2"/>
  <c r="AN47" i="2" s="1"/>
  <c r="AM37" i="2"/>
  <c r="AN37" i="2" s="1"/>
  <c r="AM35" i="2"/>
  <c r="AN35" i="2" s="1"/>
  <c r="AM46" i="2"/>
  <c r="AN46" i="2" s="1"/>
  <c r="AM36" i="2"/>
  <c r="AN36" i="2" s="1"/>
  <c r="AM44" i="2"/>
  <c r="AM43" i="2"/>
  <c r="AN43" i="2" s="1"/>
  <c r="AM33" i="2"/>
  <c r="AM41" i="2"/>
  <c r="AN41" i="2" s="1"/>
  <c r="AM34" i="2"/>
  <c r="AN34" i="2" s="1"/>
  <c r="G7" i="2" a="1"/>
  <c r="AM22" i="2"/>
  <c r="AN22" i="2" s="1"/>
  <c r="AM21" i="2"/>
  <c r="AN21" i="2" s="1"/>
  <c r="AM12" i="2"/>
  <c r="AN12" i="2" s="1"/>
  <c r="AM20" i="2"/>
  <c r="AN20" i="2" s="1"/>
  <c r="AM16" i="2"/>
  <c r="AN16" i="2" s="1"/>
  <c r="AM13" i="2"/>
  <c r="AM8" i="2"/>
  <c r="AN8" i="2" s="1"/>
  <c r="AM17" i="2"/>
  <c r="AN17" i="2" s="1"/>
  <c r="AM18" i="2"/>
  <c r="AM15" i="2"/>
  <c r="AN15" i="2" s="1"/>
  <c r="AM11" i="2"/>
  <c r="AN11" i="2" s="1"/>
  <c r="AM19" i="2"/>
  <c r="AM14" i="2"/>
  <c r="AN14" i="2" s="1"/>
  <c r="AM7" i="2"/>
  <c r="AM10" i="2"/>
  <c r="AN10" i="2" s="1"/>
  <c r="AM9" i="2"/>
  <c r="AN9" i="2" s="1"/>
  <c r="D6" i="6"/>
  <c r="O8" i="2" l="1"/>
  <c r="P8" i="2" s="1"/>
  <c r="O9" i="2"/>
  <c r="P9" i="2" s="1"/>
  <c r="O7" i="2"/>
  <c r="O20" i="2"/>
  <c r="P20" i="2" s="1"/>
  <c r="O13" i="2"/>
  <c r="P13" i="2" s="1"/>
  <c r="O12" i="2"/>
  <c r="P12" i="2" s="1"/>
  <c r="O22" i="2"/>
  <c r="P22" i="2" s="1"/>
  <c r="O10" i="2"/>
  <c r="P10" i="2" s="1"/>
  <c r="O14" i="2"/>
  <c r="P14" i="2" s="1"/>
  <c r="O16" i="2"/>
  <c r="P16" i="2" s="1"/>
  <c r="O17" i="2"/>
  <c r="P17" i="2" s="1"/>
  <c r="O21" i="2"/>
  <c r="P21" i="2" s="1"/>
  <c r="O11" i="2"/>
  <c r="P11" i="2" s="1"/>
  <c r="O47" i="2"/>
  <c r="P47" i="2" s="1"/>
  <c r="O18" i="2"/>
  <c r="O23" i="2" s="1"/>
  <c r="O15" i="2"/>
  <c r="P15" i="2" s="1"/>
  <c r="O45" i="2"/>
  <c r="P45" i="2" s="1"/>
  <c r="O36" i="2"/>
  <c r="P36" i="2" s="1"/>
  <c r="O38" i="2"/>
  <c r="P38" i="2" s="1"/>
  <c r="O35" i="2"/>
  <c r="P35" i="2" s="1"/>
  <c r="O46" i="2"/>
  <c r="P46" i="2" s="1"/>
  <c r="O34" i="2"/>
  <c r="P34" i="2" s="1"/>
  <c r="O43" i="2"/>
  <c r="P43" i="2" s="1"/>
  <c r="O41" i="2"/>
  <c r="P41" i="2" s="1"/>
  <c r="O39" i="2"/>
  <c r="O44" i="2"/>
  <c r="O37" i="2"/>
  <c r="P37" i="2" s="1"/>
  <c r="O33" i="2"/>
  <c r="O40" i="2"/>
  <c r="P40" i="2" s="1"/>
  <c r="AM24" i="2"/>
  <c r="AM25" i="2"/>
  <c r="O42" i="2"/>
  <c r="P42" i="2" s="1"/>
  <c r="AJ25" i="2"/>
  <c r="AB51" i="2"/>
  <c r="AF51" i="2"/>
  <c r="AJ33" i="2"/>
  <c r="P18" i="2"/>
  <c r="AM51" i="2"/>
  <c r="AF25" i="2"/>
  <c r="P7" i="2"/>
  <c r="AF13" i="2"/>
  <c r="AE24" i="2"/>
  <c r="AE50" i="2"/>
  <c r="AE51" i="2"/>
  <c r="AF49" i="2"/>
  <c r="AB49" i="2"/>
  <c r="AJ44" i="2"/>
  <c r="AN44" i="2" s="1"/>
  <c r="AE49" i="2"/>
  <c r="AF24" i="2"/>
  <c r="AM49" i="2"/>
  <c r="AN18" i="2"/>
  <c r="AM23" i="2"/>
  <c r="AM50" i="2"/>
  <c r="AN23" i="2"/>
  <c r="AB50" i="2"/>
  <c r="AF50" i="2"/>
  <c r="AJ39" i="2"/>
  <c r="AN39" i="2" s="1"/>
  <c r="AN25" i="2"/>
  <c r="P33" i="2"/>
  <c r="AE23" i="2"/>
  <c r="AF23" i="2"/>
  <c r="AE25" i="2"/>
  <c r="AJ24" i="2"/>
  <c r="AN24" i="2"/>
  <c r="D23" i="2"/>
  <c r="AF39" i="2"/>
  <c r="AF33" i="2"/>
  <c r="AF44" i="2"/>
  <c r="AF7" i="2"/>
  <c r="AN33" i="2"/>
  <c r="AN7" i="2"/>
  <c r="G35" i="2"/>
  <c r="H35" i="2" s="1"/>
  <c r="G37" i="2"/>
  <c r="H37" i="2" s="1"/>
  <c r="G45" i="2"/>
  <c r="H45" i="2" s="1"/>
  <c r="G44" i="2"/>
  <c r="G38" i="2"/>
  <c r="H38" i="2" s="1"/>
  <c r="G46" i="2"/>
  <c r="H46" i="2" s="1"/>
  <c r="G47" i="2"/>
  <c r="H47" i="2" s="1"/>
  <c r="G41" i="2"/>
  <c r="H41" i="2" s="1"/>
  <c r="G42" i="2"/>
  <c r="H42" i="2" s="1"/>
  <c r="G48" i="2"/>
  <c r="H48" i="2" s="1"/>
  <c r="G36" i="2"/>
  <c r="H36" i="2" s="1"/>
  <c r="G34" i="2"/>
  <c r="H34" i="2" s="1"/>
  <c r="G40" i="2"/>
  <c r="H40" i="2" s="1"/>
  <c r="G39" i="2"/>
  <c r="G33" i="2"/>
  <c r="G22" i="2"/>
  <c r="H22" i="2" s="1"/>
  <c r="G8" i="2"/>
  <c r="H8" i="2" s="1"/>
  <c r="G12" i="2"/>
  <c r="H12" i="2" s="1"/>
  <c r="G16" i="2"/>
  <c r="H16" i="2" s="1"/>
  <c r="G20" i="2"/>
  <c r="H20" i="2" s="1"/>
  <c r="G17" i="2"/>
  <c r="H17" i="2" s="1"/>
  <c r="G13" i="2"/>
  <c r="G9" i="2"/>
  <c r="H9" i="2" s="1"/>
  <c r="G21" i="2"/>
  <c r="H21" i="2" s="1"/>
  <c r="G18" i="2"/>
  <c r="G10" i="2"/>
  <c r="H10" i="2" s="1"/>
  <c r="G7" i="2"/>
  <c r="G11" i="2"/>
  <c r="H11" i="2" s="1"/>
  <c r="G14" i="2"/>
  <c r="H14" i="2" s="1"/>
  <c r="G15" i="2"/>
  <c r="H15" i="2" s="1"/>
  <c r="G19" i="2"/>
  <c r="H19" i="2" s="1"/>
  <c r="AF18" i="2"/>
  <c r="AN13" i="2"/>
  <c r="AF16" i="2"/>
  <c r="D11" i="6"/>
  <c r="AN19" i="2"/>
  <c r="H43" i="2"/>
  <c r="P24" i="2" l="1"/>
  <c r="P23" i="2"/>
  <c r="O25" i="2"/>
  <c r="O24" i="2"/>
  <c r="P25" i="2"/>
  <c r="O49" i="2"/>
  <c r="O50" i="2"/>
  <c r="O51" i="2"/>
  <c r="P49" i="2"/>
  <c r="P51" i="2"/>
  <c r="P44" i="2"/>
  <c r="P39" i="2"/>
  <c r="P50" i="2"/>
  <c r="G25" i="2"/>
  <c r="G23" i="2"/>
  <c r="D50" i="2"/>
  <c r="H50" i="2"/>
  <c r="AJ50" i="2"/>
  <c r="AN50" i="2"/>
  <c r="E12" i="6" s="1"/>
  <c r="D49" i="2"/>
  <c r="H49" i="2"/>
  <c r="D51" i="2"/>
  <c r="H51" i="2"/>
  <c r="G24" i="2"/>
  <c r="G50" i="2"/>
  <c r="H23" i="2"/>
  <c r="AN49" i="2"/>
  <c r="E11" i="6" s="1"/>
  <c r="AJ49" i="2"/>
  <c r="AJ51" i="2"/>
  <c r="AN51" i="2"/>
  <c r="E13" i="6" s="1"/>
  <c r="G51" i="2"/>
  <c r="G49" i="2"/>
  <c r="H24" i="2"/>
  <c r="D24" i="2"/>
  <c r="D25" i="2"/>
  <c r="H25" i="2"/>
  <c r="F6" i="6"/>
  <c r="F12" i="6"/>
  <c r="F11" i="6"/>
  <c r="E8" i="6"/>
  <c r="F13" i="6"/>
  <c r="H7" i="2"/>
  <c r="F8" i="6"/>
  <c r="H44" i="2"/>
  <c r="C6" i="6"/>
  <c r="H33" i="2"/>
  <c r="H39" i="2"/>
  <c r="E6" i="6"/>
  <c r="E7" i="6"/>
  <c r="H18" i="2"/>
  <c r="F7" i="6"/>
  <c r="H13" i="2"/>
  <c r="C13" i="6" l="1"/>
  <c r="G8" i="6"/>
  <c r="G12" i="6"/>
  <c r="G13" i="6"/>
  <c r="G11" i="6"/>
  <c r="G6" i="6"/>
  <c r="C12" i="6" l="1"/>
  <c r="C11" i="6"/>
  <c r="G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Dempster, Paul</author>
    <author>Machado, Antony</author>
    <author>Jonathan Seymour</author>
    <author>Ho, Karen</author>
  </authors>
  <commentList>
    <comment ref="O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Dempster, Paul:</t>
        </r>
        <r>
          <rPr>
            <sz val="9"/>
            <color indexed="81"/>
            <rFont val="Tahoma"/>
            <family val="2"/>
          </rPr>
          <t xml:space="preserve">
Was 2068
</t>
        </r>
      </text>
    </comment>
    <comment ref="Q19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Machado, Antony:</t>
        </r>
        <r>
          <rPr>
            <sz val="9"/>
            <color indexed="81"/>
            <rFont val="Tahoma"/>
            <family val="2"/>
          </rPr>
          <t xml:space="preserve">
Rounding error</t>
        </r>
      </text>
    </comment>
    <comment ref="S196" authorId="2" shapeId="0" xr:uid="{A7343AD0-3DC3-4875-8BA7-758E36DD037E}">
      <text>
        <r>
          <rPr>
            <b/>
            <sz val="9"/>
            <color indexed="81"/>
            <rFont val="Tahoma"/>
            <charset val="1"/>
          </rPr>
          <t>Jonathan Seymour:</t>
        </r>
        <r>
          <rPr>
            <sz val="9"/>
            <color indexed="81"/>
            <rFont val="Tahoma"/>
            <charset val="1"/>
          </rPr>
          <t xml:space="preserve">
From HY 21 investor presentation:
In July 2021, TransGrid issued $295 million subordinated notes to Clean
Energy Finance Corporation (CEFC) to fund the construction of PEC.
The subordinated notes have a term of 60 years</t>
        </r>
      </text>
    </comment>
    <comment ref="D237" authorId="2" shapeId="0" xr:uid="{98B56E64-75EB-4DD8-A45F-05D22AACC11B}">
      <text>
        <r>
          <rPr>
            <b/>
            <sz val="9"/>
            <color indexed="81"/>
            <rFont val="Tahoma"/>
            <family val="2"/>
          </rPr>
          <t>Jonathan Seymour:</t>
        </r>
        <r>
          <rPr>
            <sz val="9"/>
            <color indexed="81"/>
            <rFont val="Tahoma"/>
            <family val="2"/>
          </rPr>
          <t xml:space="preserve">
From annual report:
"The loan notes are classified in the balance sheets as current and non-current liabilities because they are principally debt instruments. However, as loan notes cannot be traded separately, the balance sheets also disclose the combined amount of equity and loan notes."</t>
        </r>
      </text>
    </comment>
    <comment ref="B376" authorId="2" shapeId="0" xr:uid="{6BA5FD9D-89B1-4CB6-8BF2-A75759596451}">
      <text>
        <r>
          <rPr>
            <b/>
            <sz val="9"/>
            <color indexed="81"/>
            <rFont val="Tahoma"/>
            <family val="2"/>
          </rPr>
          <t>Jonathan Seymour:</t>
        </r>
        <r>
          <rPr>
            <sz val="9"/>
            <color indexed="81"/>
            <rFont val="Tahoma"/>
            <family val="2"/>
          </rPr>
          <t xml:space="preserve">
Included as non-curent borrowings</t>
        </r>
      </text>
    </comment>
    <comment ref="R391" authorId="3" shapeId="0" xr:uid="{00000000-0006-0000-0000-000003000000}">
      <text>
        <r>
          <rPr>
            <sz val="9"/>
            <color indexed="81"/>
            <rFont val="Tahoma"/>
            <family val="2"/>
          </rPr>
          <t xml:space="preserve">https://www.ausnetservices.com.au/-/media/Files/AusNet/Investor-Centre/AR-for-web-2020.ashx?la=en
p. 116
</t>
        </r>
        <r>
          <rPr>
            <b/>
            <sz val="9"/>
            <color indexed="81"/>
            <rFont val="Tahoma"/>
            <family val="2"/>
          </rPr>
          <t>Ji, Wei:</t>
        </r>
        <r>
          <rPr>
            <sz val="9"/>
            <color indexed="81"/>
            <rFont val="Tahoma"/>
            <family val="2"/>
          </rPr>
          <t xml:space="preserve">
AusNet reported a principle at face value of $705.4M which capture exercising in September 2021. (p. 116)
p. 105 captured face (no-exercising) of $705.3M.
p. 105 also reports carrying value of $853.4M for these
</t>
        </r>
      </text>
    </comment>
    <comment ref="S391" authorId="2" shapeId="0" xr:uid="{640447D0-2ECC-4BE2-9D93-8F7C04559815}">
      <text>
        <r>
          <rPr>
            <b/>
            <sz val="9"/>
            <color indexed="81"/>
            <rFont val="Tahoma"/>
            <charset val="1"/>
          </rPr>
          <t>Jonathan Seymour:</t>
        </r>
        <r>
          <rPr>
            <sz val="9"/>
            <color indexed="81"/>
            <rFont val="Tahoma"/>
            <charset val="1"/>
          </rPr>
          <t xml:space="preserve">
https://www.ausnetservices.com.au/-/media/annual-report.ashx?la=en
p. 114
FV of 650 and 1081.9 for new hybrid securities</t>
        </r>
      </text>
    </comment>
  </commentList>
</comments>
</file>

<file path=xl/sharedStrings.xml><?xml version="1.0" encoding="utf-8"?>
<sst xmlns="http://schemas.openxmlformats.org/spreadsheetml/2006/main" count="598" uniqueCount="160">
  <si>
    <t>All data sourced from annual reports and financial statements, unless stated otherwise</t>
  </si>
  <si>
    <t>($ AUD, millions, nominal)</t>
  </si>
  <si>
    <t>Spark Infrastructure</t>
  </si>
  <si>
    <t>Statement of financial position</t>
  </si>
  <si>
    <t>Assets</t>
  </si>
  <si>
    <t>Cash &amp; cash equivalents</t>
  </si>
  <si>
    <t>Liabilities</t>
  </si>
  <si>
    <t>Current Liabilities</t>
  </si>
  <si>
    <t>Payables</t>
  </si>
  <si>
    <t>Loan note interest payable to securityholders</t>
  </si>
  <si>
    <t>Interest bearing liabilities</t>
  </si>
  <si>
    <t>Other financial liabilities</t>
  </si>
  <si>
    <t>Total current liabilities</t>
  </si>
  <si>
    <t>Non Current Liabilities</t>
  </si>
  <si>
    <t>Deferred tax liabilities</t>
  </si>
  <si>
    <t>Total non-curent liabilities</t>
  </si>
  <si>
    <t>Equity</t>
  </si>
  <si>
    <t>Total equity</t>
  </si>
  <si>
    <t>Loan notes</t>
  </si>
  <si>
    <t>Share information</t>
  </si>
  <si>
    <t>Shares outstanding</t>
  </si>
  <si>
    <t>Share price</t>
  </si>
  <si>
    <t>Borrowings</t>
  </si>
  <si>
    <t>Gearing estimates</t>
  </si>
  <si>
    <t>Book value of debt</t>
  </si>
  <si>
    <t>Book value of equity</t>
  </si>
  <si>
    <t>Book gearing</t>
  </si>
  <si>
    <t>Market value of equity</t>
  </si>
  <si>
    <t>Market gearing</t>
  </si>
  <si>
    <t>'See-through' gearing estimates</t>
  </si>
  <si>
    <t>Ownership stake in SA Power Networks</t>
  </si>
  <si>
    <t>Ownership stake in Victorian Power Networks</t>
  </si>
  <si>
    <t>Ownership stake in Transgrid</t>
  </si>
  <si>
    <t>SA Power Networks' borrowings less loan notes - attributable to SKI</t>
  </si>
  <si>
    <t>Victorian Power Networks' borrowings less loan notes - attributable to SKI</t>
  </si>
  <si>
    <t>Transgrid's borrowings less loans notes - attributable to SKI</t>
  </si>
  <si>
    <t>SA Power Networks' borrowings (including hybrids 100% as debt) - attributable to SKI</t>
  </si>
  <si>
    <t>Victorian Power Networks' borrowings (including hybrids 100% as debt) - attributable to SKI</t>
  </si>
  <si>
    <t>Transgrid's borrowings (including hybrids 100% as debt) - attributable to SKI</t>
  </si>
  <si>
    <t>SA Power Networks' borrowings (including 50% hybrids as debt) - attributable to SKI</t>
  </si>
  <si>
    <t>Victorian Power Networks' borrowings (including 50% hybrids as debt) - attributable to SKI</t>
  </si>
  <si>
    <t>Transgrid's borrowings (including 50% hybrids as debt) - attributable to SKI</t>
  </si>
  <si>
    <t>Book value of debt (including hybrids 100% as debt)</t>
  </si>
  <si>
    <t>Book value of debt (including 50% hybrids as debt)</t>
  </si>
  <si>
    <t>Book value of equity (50% hybrid equity debt split)</t>
  </si>
  <si>
    <t>Book value of equity (100% hybrid as equity)</t>
  </si>
  <si>
    <t>Book gearing (including hybrids as 100% debt)</t>
  </si>
  <si>
    <t>Book gearing (including 50% hybrids as equity)</t>
  </si>
  <si>
    <t>Book gearing (included 100% hybrids as equity)</t>
  </si>
  <si>
    <t>Market gearing (including hybrids as 100% debt)</t>
  </si>
  <si>
    <t>Market gearing (including 50% hybrids as debt, equity share valued at book value)</t>
  </si>
  <si>
    <t>Market gearing (including 100% hybrids as equity, equity share valued at book value)</t>
  </si>
  <si>
    <t>SA Power Networks</t>
  </si>
  <si>
    <t>Trade and other payables</t>
  </si>
  <si>
    <t>Provisions</t>
  </si>
  <si>
    <t>Subordinated loans from related parties</t>
  </si>
  <si>
    <t>Borrowings less loan notes (gross debt)</t>
  </si>
  <si>
    <t>Borrowings less loan notes and cash (net debt)</t>
  </si>
  <si>
    <t>Book value of debt (100% hybrids as debt)</t>
  </si>
  <si>
    <t>Book value of equity (50% hybrid)</t>
  </si>
  <si>
    <t>Book gearing (including 50% hybrids)</t>
  </si>
  <si>
    <t>Book gearing (including 100% hybrids as equity)</t>
  </si>
  <si>
    <t>Victoria Power Networks</t>
  </si>
  <si>
    <t>Derivative financial instruments</t>
  </si>
  <si>
    <t>Current tax liabilities</t>
  </si>
  <si>
    <t>Lease Liability</t>
  </si>
  <si>
    <t>Deferred income</t>
  </si>
  <si>
    <t>-</t>
  </si>
  <si>
    <t>Book value of debt (including hybrids as 100% debt)</t>
  </si>
  <si>
    <t>Book value of equity (100% hybrids as equity)</t>
  </si>
  <si>
    <t>Book value of equity (50% hybrids as equity)</t>
  </si>
  <si>
    <t>Transgrid</t>
  </si>
  <si>
    <t>Shareholder loans</t>
  </si>
  <si>
    <t>Accrued trust distributable income</t>
  </si>
  <si>
    <t>Other current liabilities</t>
  </si>
  <si>
    <t>Other</t>
  </si>
  <si>
    <t>Book value of debt (including 50% hybrids)</t>
  </si>
  <si>
    <t>Book gearing (including 50% hybrids as debt)</t>
  </si>
  <si>
    <t>Envestra</t>
  </si>
  <si>
    <t>Other liabilities</t>
  </si>
  <si>
    <t>Book value of debt (hybrids as 100% debt)</t>
  </si>
  <si>
    <t>Book value of debt (hybrids as 50% debt)</t>
  </si>
  <si>
    <t>Book value of equity (hybrids as 100% equity)</t>
  </si>
  <si>
    <t>Book value of equity (hybrids as 50% equity)</t>
  </si>
  <si>
    <t>Book gearing (hybrids as 100% debt)</t>
  </si>
  <si>
    <t>Book gearing (hybrids as 50% debt)</t>
  </si>
  <si>
    <t>Book gearing (hybrids as 100% equity)</t>
  </si>
  <si>
    <t>Market value of equity (50% hybrids as equity)</t>
  </si>
  <si>
    <t>Market value of equity (100% hybrids as equity)</t>
  </si>
  <si>
    <t>Market gearing (100% hybrids as debt)</t>
  </si>
  <si>
    <t>Market gearing (50% hybrids as debt)</t>
  </si>
  <si>
    <t>Market gearing (100% hybrids as equity)</t>
  </si>
  <si>
    <t>APA</t>
  </si>
  <si>
    <t>Lease Liabilities</t>
  </si>
  <si>
    <t>DUET Group</t>
  </si>
  <si>
    <t>AusNet Services</t>
  </si>
  <si>
    <t>Payables and other liabilities</t>
  </si>
  <si>
    <t>Current tax payable</t>
  </si>
  <si>
    <t>Book value of equity (100% of hybrids as debt)</t>
  </si>
  <si>
    <t>Book value of gearing (including 50% hybrids as equity)</t>
  </si>
  <si>
    <t>Book value of gearing (100% hybrids as debt)</t>
  </si>
  <si>
    <t>Book value of gearing (100% hybrids as equity)</t>
  </si>
  <si>
    <t>Market value of equity (50% of hybrids as equity)</t>
  </si>
  <si>
    <t>Market value of equity (100% of hybrids as equity)</t>
  </si>
  <si>
    <t xml:space="preserve">    Market gearing (excluding hybrids)</t>
  </si>
  <si>
    <t xml:space="preserve">    Market gearing (including 50% hybrids as debt)</t>
  </si>
  <si>
    <t>Gearing estimates based on market values</t>
  </si>
  <si>
    <t>ENV</t>
  </si>
  <si>
    <t>DUE</t>
  </si>
  <si>
    <t>AST</t>
  </si>
  <si>
    <t>SKI</t>
  </si>
  <si>
    <t>AVE</t>
  </si>
  <si>
    <t>10 year average</t>
  </si>
  <si>
    <t>Source: Annual reports, AER analysis</t>
  </si>
  <si>
    <t>Gearing estimates based on book values</t>
  </si>
  <si>
    <t>Market value</t>
  </si>
  <si>
    <t>Book value</t>
  </si>
  <si>
    <t>5-year industry average estimates</t>
  </si>
  <si>
    <t>10-year industry average estimates</t>
  </si>
  <si>
    <t>Spark share of SAPN's hybrids</t>
  </si>
  <si>
    <t>Spark share of VPN's hybrids</t>
  </si>
  <si>
    <t>Spark share of Transgrid hybrids</t>
  </si>
  <si>
    <t xml:space="preserve">Derivative financial instruments-interest rate swaps </t>
  </si>
  <si>
    <t>Derivative liabilities</t>
  </si>
  <si>
    <t>Laibilities directly associated with assets classified as held for sale</t>
  </si>
  <si>
    <t>Hybrid securities</t>
  </si>
  <si>
    <t>USD hybrid securities (2076)</t>
  </si>
  <si>
    <t>SGD hybrid securities (2076)</t>
  </si>
  <si>
    <t>AUD hybrid securities (2080)</t>
  </si>
  <si>
    <t>EUR hybrid securities (2076)</t>
  </si>
  <si>
    <t>Hybrid securities (carrying value)</t>
  </si>
  <si>
    <t>Book value of debt (2018 instruments included)</t>
  </si>
  <si>
    <t>Book value of debt (excluding all hybrids)</t>
  </si>
  <si>
    <t>Book value of debt (hybrids as debt)</t>
  </si>
  <si>
    <t>Book gearing (hybrids as debt)</t>
  </si>
  <si>
    <t>Book value of gearing (excluding all hybrids)</t>
  </si>
  <si>
    <t>Market gearing (hybrids as debt)</t>
  </si>
  <si>
    <t>Book value of gearing (2018 instruments included)</t>
  </si>
  <si>
    <t xml:space="preserve">    Market gearing (2018 instruments included)</t>
  </si>
  <si>
    <t>Average since 2006</t>
  </si>
  <si>
    <t>5 year average</t>
  </si>
  <si>
    <t>n/a</t>
  </si>
  <si>
    <t>2018 approach</t>
  </si>
  <si>
    <t>Loan notes (Included as borrowings in balance sheet)</t>
  </si>
  <si>
    <t>Book value of debt (excluding loan notes)</t>
  </si>
  <si>
    <t>Book gearing (excluding loan notes)</t>
  </si>
  <si>
    <t>Market gearing (excluding loan notes)</t>
  </si>
  <si>
    <t>Market value of equity (+50% hybrids as equity)</t>
  </si>
  <si>
    <t>Market value of equity (+100% hybrids as equity</t>
  </si>
  <si>
    <t>Book value of NSP equity ownership.</t>
  </si>
  <si>
    <t>Hybrids as debt</t>
  </si>
  <si>
    <t>Hybrids as equity</t>
  </si>
  <si>
    <t>Gearing estimation approach comparison</t>
  </si>
  <si>
    <t>*In 2018, we did not remove hybrids from AusNet's debt</t>
  </si>
  <si>
    <t>2022 Draft Instrument approach - 100% hybrids excluded from debt and equity</t>
  </si>
  <si>
    <t>2018 Instrument approach</t>
  </si>
  <si>
    <t>100% hybrid as debt approach</t>
  </si>
  <si>
    <t>50% hybrids as debt / 50% as equity approach</t>
  </si>
  <si>
    <t>100% hybrids as equity approach</t>
  </si>
  <si>
    <t>Hybrids excluded - 2022 draft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</si>
</sst>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-* #,##0.0_-;\-* #,##0.0_-;_-* &quot;-&quot;??_-;_-@_-"/>
    <numFmt numFmtId="168" formatCode="_-* #,##0_-;\-* #,##0_-;_-* &quot;-&quot;??_-;_-@_-"/>
    <numFmt numFmtId="169" formatCode="_(* #,##0_);_(* \(#,##0\);_(* &quot;-&quot;??_);_(@_)"/>
    <numFmt numFmtId="170" formatCode="_(* #,##0.0_);_(* \(#,##0.0\);_(* &quot;-&quot;??_);_(@_)"/>
    <numFmt numFmtId="171" formatCode="0.0"/>
  </numFmts>
  <fonts count="25" x14ac:knownFonts="1">
    <font>
      <sz val="10"/>
      <name val="Arial"/>
      <family val="2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  <font>
      <sz val="11"/>
      <color rgb="FF0000FF"/>
      <name val="Arial Narrow"/>
      <family val="2"/>
    </font>
    <font>
      <sz val="11"/>
      <color theme="1"/>
      <name val="Arial Narrow"/>
      <family val="2"/>
    </font>
    <font>
      <b/>
      <sz val="11"/>
      <color rgb="FF0000FF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i/>
      <sz val="11"/>
      <color rgb="FF0000FF"/>
      <name val="Arial Narrow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167" fontId="5" fillId="0" borderId="0" xfId="1" applyNumberFormat="1" applyFont="1" applyAlignment="1"/>
    <xf numFmtId="167" fontId="5" fillId="0" borderId="0" xfId="1" applyNumberFormat="1" applyFont="1" applyFill="1" applyBorder="1"/>
    <xf numFmtId="167" fontId="4" fillId="0" borderId="0" xfId="0" applyNumberFormat="1" applyFont="1" applyAlignment="1">
      <alignment horizontal="left" indent="1"/>
    </xf>
    <xf numFmtId="167" fontId="5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2"/>
    </xf>
    <xf numFmtId="167" fontId="4" fillId="0" borderId="0" xfId="0" applyNumberFormat="1" applyFont="1" applyAlignment="1">
      <alignment horizontal="left" indent="2"/>
    </xf>
    <xf numFmtId="167" fontId="5" fillId="0" borderId="0" xfId="0" applyNumberFormat="1" applyFont="1"/>
    <xf numFmtId="0" fontId="2" fillId="0" borderId="0" xfId="0" applyFont="1" applyAlignment="1">
      <alignment horizontal="left" indent="3"/>
    </xf>
    <xf numFmtId="0" fontId="2" fillId="0" borderId="0" xfId="0" applyFont="1" applyFill="1" applyAlignment="1">
      <alignment horizontal="left" indent="3"/>
    </xf>
    <xf numFmtId="167" fontId="5" fillId="0" borderId="0" xfId="1" applyNumberFormat="1" applyFont="1" applyFill="1" applyAlignment="1"/>
    <xf numFmtId="0" fontId="2" fillId="0" borderId="0" xfId="0" applyFont="1" applyFill="1"/>
    <xf numFmtId="0" fontId="6" fillId="0" borderId="0" xfId="0" applyFont="1" applyFill="1" applyAlignment="1">
      <alignment horizontal="left" indent="3"/>
    </xf>
    <xf numFmtId="167" fontId="5" fillId="0" borderId="0" xfId="1" applyNumberFormat="1" applyFont="1" applyFill="1" applyAlignment="1">
      <alignment horizontal="left" indent="3"/>
    </xf>
    <xf numFmtId="0" fontId="6" fillId="0" borderId="0" xfId="0" applyFont="1" applyAlignment="1">
      <alignment horizontal="left" indent="3"/>
    </xf>
    <xf numFmtId="167" fontId="5" fillId="0" borderId="0" xfId="1" applyNumberFormat="1" applyFont="1" applyAlignment="1">
      <alignment horizontal="left" indent="3"/>
    </xf>
    <xf numFmtId="0" fontId="3" fillId="0" borderId="1" xfId="0" applyFont="1" applyBorder="1" applyAlignment="1">
      <alignment horizontal="left" indent="2"/>
    </xf>
    <xf numFmtId="167" fontId="3" fillId="0" borderId="1" xfId="1" applyNumberFormat="1" applyFont="1" applyFill="1" applyBorder="1" applyAlignment="1">
      <alignment horizontal="right"/>
    </xf>
    <xf numFmtId="168" fontId="2" fillId="0" borderId="0" xfId="1" applyNumberFormat="1" applyFont="1"/>
    <xf numFmtId="167" fontId="5" fillId="0" borderId="0" xfId="0" applyNumberFormat="1" applyFont="1" applyAlignment="1">
      <alignment horizontal="left" indent="3"/>
    </xf>
    <xf numFmtId="0" fontId="3" fillId="0" borderId="0" xfId="0" applyFont="1" applyAlignment="1">
      <alignment horizontal="left" indent="2"/>
    </xf>
    <xf numFmtId="168" fontId="7" fillId="0" borderId="0" xfId="1" applyNumberFormat="1" applyFont="1" applyFill="1" applyBorder="1" applyAlignment="1">
      <alignment horizontal="right"/>
    </xf>
    <xf numFmtId="168" fontId="5" fillId="0" borderId="0" xfId="1" applyNumberFormat="1" applyFont="1" applyFill="1" applyBorder="1"/>
    <xf numFmtId="0" fontId="2" fillId="0" borderId="0" xfId="0" applyFont="1" applyAlignment="1">
      <alignment horizontal="left" indent="1"/>
    </xf>
    <xf numFmtId="167" fontId="5" fillId="0" borderId="0" xfId="1" applyNumberFormat="1" applyFont="1" applyFill="1" applyBorder="1" applyAlignment="1">
      <alignment horizontal="right"/>
    </xf>
    <xf numFmtId="167" fontId="5" fillId="0" borderId="0" xfId="0" applyNumberFormat="1" applyFont="1" applyAlignment="1">
      <alignment horizontal="right"/>
    </xf>
    <xf numFmtId="0" fontId="3" fillId="0" borderId="0" xfId="0" applyFont="1" applyAlignment="1"/>
    <xf numFmtId="168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6" fontId="2" fillId="0" borderId="0" xfId="2" applyNumberFormat="1" applyFont="1" applyAlignment="1">
      <alignment horizontal="right"/>
    </xf>
    <xf numFmtId="168" fontId="2" fillId="0" borderId="0" xfId="1" applyNumberFormat="1" applyFont="1" applyFill="1" applyBorder="1"/>
    <xf numFmtId="0" fontId="2" fillId="0" borderId="0" xfId="0" quotePrefix="1" applyFont="1" applyAlignment="1"/>
    <xf numFmtId="165" fontId="2" fillId="0" borderId="0" xfId="0" applyNumberFormat="1" applyFont="1" applyAlignment="1">
      <alignment horizontal="center"/>
    </xf>
    <xf numFmtId="168" fontId="2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 indent="1"/>
    </xf>
    <xf numFmtId="168" fontId="8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left" indent="1"/>
    </xf>
    <xf numFmtId="168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3" fillId="0" borderId="0" xfId="0" applyFont="1" applyAlignment="1">
      <alignment horizontal="left" indent="1"/>
    </xf>
    <xf numFmtId="166" fontId="3" fillId="0" borderId="0" xfId="2" applyNumberFormat="1" applyFont="1" applyAlignment="1">
      <alignment horizontal="right"/>
    </xf>
    <xf numFmtId="0" fontId="9" fillId="0" borderId="0" xfId="0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7" fontId="10" fillId="0" borderId="0" xfId="0" applyNumberFormat="1" applyFont="1" applyAlignment="1">
      <alignment horizontal="left" indent="1"/>
    </xf>
    <xf numFmtId="167" fontId="10" fillId="0" borderId="0" xfId="0" applyNumberFormat="1" applyFont="1" applyFill="1" applyAlignment="1">
      <alignment horizontal="left" indent="1"/>
    </xf>
    <xf numFmtId="167" fontId="5" fillId="0" borderId="0" xfId="0" applyNumberFormat="1" applyFont="1" applyFill="1" applyAlignment="1">
      <alignment horizontal="center"/>
    </xf>
    <xf numFmtId="167" fontId="10" fillId="0" borderId="0" xfId="0" applyNumberFormat="1" applyFont="1" applyAlignment="1">
      <alignment horizontal="left" indent="2"/>
    </xf>
    <xf numFmtId="167" fontId="10" fillId="0" borderId="0" xfId="0" applyNumberFormat="1" applyFont="1" applyFill="1" applyAlignment="1">
      <alignment horizontal="left" indent="2"/>
    </xf>
    <xf numFmtId="167" fontId="5" fillId="0" borderId="0" xfId="0" applyNumberFormat="1" applyFont="1" applyFill="1"/>
    <xf numFmtId="167" fontId="11" fillId="0" borderId="0" xfId="0" applyNumberFormat="1" applyFont="1" applyFill="1"/>
    <xf numFmtId="167" fontId="5" fillId="0" borderId="0" xfId="1" applyNumberFormat="1" applyFont="1" applyFill="1" applyAlignment="1">
      <alignment horizontal="center"/>
    </xf>
    <xf numFmtId="167" fontId="11" fillId="0" borderId="0" xfId="0" applyNumberFormat="1" applyFont="1" applyFill="1" applyAlignment="1">
      <alignment horizontal="right"/>
    </xf>
    <xf numFmtId="167" fontId="4" fillId="0" borderId="0" xfId="0" applyNumberFormat="1" applyFont="1" applyFill="1" applyAlignment="1">
      <alignment horizontal="left" indent="2"/>
    </xf>
    <xf numFmtId="167" fontId="2" fillId="0" borderId="0" xfId="0" applyNumberFormat="1" applyFont="1" applyFill="1" applyAlignment="1">
      <alignment horizontal="center"/>
    </xf>
    <xf numFmtId="167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left" indent="3"/>
    </xf>
    <xf numFmtId="167" fontId="2" fillId="0" borderId="0" xfId="0" applyNumberFormat="1" applyFont="1" applyFill="1" applyAlignment="1">
      <alignment horizontal="left" indent="3"/>
    </xf>
    <xf numFmtId="167" fontId="2" fillId="0" borderId="0" xfId="1" applyNumberFormat="1" applyFont="1" applyFill="1" applyBorder="1"/>
    <xf numFmtId="167" fontId="5" fillId="0" borderId="0" xfId="0" applyNumberFormat="1" applyFont="1" applyFill="1" applyAlignment="1">
      <alignment horizontal="left" indent="3"/>
    </xf>
    <xf numFmtId="167" fontId="3" fillId="0" borderId="1" xfId="0" applyNumberFormat="1" applyFont="1" applyBorder="1" applyAlignment="1">
      <alignment horizontal="left" indent="2"/>
    </xf>
    <xf numFmtId="167" fontId="4" fillId="0" borderId="0" xfId="0" applyNumberFormat="1" applyFont="1" applyFill="1" applyAlignment="1">
      <alignment horizontal="left" indent="1"/>
    </xf>
    <xf numFmtId="167" fontId="7" fillId="0" borderId="0" xfId="0" applyNumberFormat="1" applyFont="1" applyAlignment="1">
      <alignment horizontal="left" indent="2"/>
    </xf>
    <xf numFmtId="167" fontId="7" fillId="0" borderId="0" xfId="1" applyNumberFormat="1" applyFont="1" applyFill="1" applyAlignment="1">
      <alignment horizontal="center"/>
    </xf>
    <xf numFmtId="167" fontId="7" fillId="0" borderId="0" xfId="1" applyNumberFormat="1" applyFont="1" applyFill="1" applyBorder="1" applyAlignment="1">
      <alignment horizontal="right"/>
    </xf>
    <xf numFmtId="167" fontId="2" fillId="0" borderId="0" xfId="0" applyNumberFormat="1" applyFont="1" applyAlignment="1"/>
    <xf numFmtId="167" fontId="2" fillId="0" borderId="0" xfId="0" applyNumberFormat="1" applyFont="1" applyFill="1"/>
    <xf numFmtId="167" fontId="2" fillId="0" borderId="0" xfId="0" applyNumberFormat="1" applyFont="1"/>
    <xf numFmtId="168" fontId="2" fillId="0" borderId="0" xfId="0" applyNumberFormat="1" applyFont="1"/>
    <xf numFmtId="168" fontId="8" fillId="0" borderId="0" xfId="0" applyNumberFormat="1" applyFont="1"/>
    <xf numFmtId="165" fontId="8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 indent="1"/>
    </xf>
    <xf numFmtId="10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67" fontId="5" fillId="0" borderId="0" xfId="1" applyNumberFormat="1" applyFont="1" applyFill="1" applyAlignment="1">
      <alignment horizontal="right"/>
    </xf>
    <xf numFmtId="167" fontId="5" fillId="0" borderId="0" xfId="0" applyNumberFormat="1" applyFont="1" applyFill="1" applyAlignment="1">
      <alignment horizontal="right"/>
    </xf>
    <xf numFmtId="167" fontId="5" fillId="0" borderId="0" xfId="1" applyNumberFormat="1" applyFont="1" applyAlignment="1">
      <alignment horizontal="center"/>
    </xf>
    <xf numFmtId="167" fontId="10" fillId="0" borderId="0" xfId="1" applyNumberFormat="1" applyFont="1" applyAlignment="1">
      <alignment horizontal="left" indent="1"/>
    </xf>
    <xf numFmtId="167" fontId="10" fillId="0" borderId="0" xfId="1" applyNumberFormat="1" applyFont="1" applyAlignment="1">
      <alignment horizontal="left" indent="2"/>
    </xf>
    <xf numFmtId="167" fontId="11" fillId="0" borderId="0" xfId="1" applyNumberFormat="1" applyFont="1" applyFill="1"/>
    <xf numFmtId="167" fontId="2" fillId="0" borderId="1" xfId="1" applyNumberFormat="1" applyFont="1" applyBorder="1" applyAlignment="1">
      <alignment horizontal="center"/>
    </xf>
    <xf numFmtId="167" fontId="2" fillId="0" borderId="0" xfId="1" applyNumberFormat="1" applyFont="1" applyFill="1" applyBorder="1" applyAlignment="1">
      <alignment horizontal="right"/>
    </xf>
    <xf numFmtId="167" fontId="2" fillId="0" borderId="0" xfId="1" applyNumberFormat="1" applyFont="1" applyAlignment="1">
      <alignment horizontal="center"/>
    </xf>
    <xf numFmtId="167" fontId="11" fillId="0" borderId="0" xfId="0" applyNumberFormat="1" applyFont="1"/>
    <xf numFmtId="167" fontId="12" fillId="0" borderId="0" xfId="1" applyNumberFormat="1" applyFont="1" applyFill="1"/>
    <xf numFmtId="167" fontId="12" fillId="0" borderId="0" xfId="0" applyNumberFormat="1" applyFont="1"/>
    <xf numFmtId="167" fontId="8" fillId="0" borderId="0" xfId="0" applyNumberFormat="1" applyFont="1" applyAlignment="1">
      <alignment horizontal="center"/>
    </xf>
    <xf numFmtId="168" fontId="2" fillId="0" borderId="0" xfId="1" applyNumberFormat="1" applyFont="1" applyAlignment="1">
      <alignment horizontal="center"/>
    </xf>
    <xf numFmtId="10" fontId="8" fillId="0" borderId="0" xfId="0" applyNumberFormat="1" applyFont="1" applyAlignment="1"/>
    <xf numFmtId="167" fontId="1" fillId="0" borderId="0" xfId="1" applyNumberFormat="1" applyFont="1" applyFill="1"/>
    <xf numFmtId="168" fontId="2" fillId="0" borderId="0" xfId="1" applyNumberFormat="1" applyFont="1" applyFill="1" applyBorder="1" applyAlignment="1">
      <alignment horizontal="right"/>
    </xf>
    <xf numFmtId="167" fontId="1" fillId="0" borderId="0" xfId="0" applyNumberFormat="1" applyFont="1" applyFill="1"/>
    <xf numFmtId="167" fontId="0" fillId="0" borderId="0" xfId="0" applyNumberFormat="1" applyFill="1"/>
    <xf numFmtId="167" fontId="3" fillId="0" borderId="1" xfId="0" applyNumberFormat="1" applyFont="1" applyFill="1" applyBorder="1" applyAlignment="1">
      <alignment horizontal="left" indent="2"/>
    </xf>
    <xf numFmtId="167" fontId="3" fillId="0" borderId="1" xfId="0" applyNumberFormat="1" applyFont="1" applyFill="1" applyBorder="1" applyAlignment="1">
      <alignment horizontal="center"/>
    </xf>
    <xf numFmtId="167" fontId="3" fillId="0" borderId="1" xfId="0" applyNumberFormat="1" applyFont="1" applyFill="1" applyBorder="1"/>
    <xf numFmtId="167" fontId="3" fillId="0" borderId="0" xfId="0" applyNumberFormat="1" applyFont="1" applyFill="1"/>
    <xf numFmtId="168" fontId="3" fillId="0" borderId="0" xfId="1" applyNumberFormat="1" applyFont="1" applyFill="1" applyBorder="1" applyAlignment="1">
      <alignment horizontal="right"/>
    </xf>
    <xf numFmtId="167" fontId="2" fillId="0" borderId="0" xfId="0" applyNumberFormat="1" applyFont="1" applyAlignment="1">
      <alignment horizontal="left" indent="1"/>
    </xf>
    <xf numFmtId="167" fontId="8" fillId="0" borderId="0" xfId="0" applyNumberFormat="1" applyFont="1" applyAlignment="1">
      <alignment horizontal="left" indent="1"/>
    </xf>
    <xf numFmtId="167" fontId="5" fillId="0" borderId="0" xfId="0" applyNumberFormat="1" applyFont="1" applyAlignment="1">
      <alignment horizontal="left" indent="2"/>
    </xf>
    <xf numFmtId="167" fontId="5" fillId="0" borderId="0" xfId="0" applyNumberFormat="1" applyFont="1" applyAlignment="1"/>
    <xf numFmtId="167" fontId="5" fillId="0" borderId="0" xfId="1" applyNumberFormat="1" applyFont="1" applyFill="1"/>
    <xf numFmtId="167" fontId="5" fillId="0" borderId="0" xfId="0" applyNumberFormat="1" applyFont="1" applyAlignment="1">
      <alignment horizontal="left" indent="1"/>
    </xf>
    <xf numFmtId="167" fontId="2" fillId="0" borderId="0" xfId="1" applyNumberFormat="1" applyFont="1"/>
    <xf numFmtId="166" fontId="8" fillId="0" borderId="0" xfId="2" applyNumberFormat="1" applyFont="1" applyAlignment="1">
      <alignment horizontal="right"/>
    </xf>
    <xf numFmtId="167" fontId="5" fillId="0" borderId="0" xfId="0" applyNumberFormat="1" applyFont="1" applyFill="1" applyBorder="1"/>
    <xf numFmtId="168" fontId="3" fillId="0" borderId="1" xfId="1" applyNumberFormat="1" applyFont="1" applyFill="1" applyBorder="1" applyAlignment="1">
      <alignment horizontal="right"/>
    </xf>
    <xf numFmtId="168" fontId="7" fillId="0" borderId="0" xfId="0" applyNumberFormat="1" applyFont="1" applyAlignment="1">
      <alignment horizontal="left" indent="2"/>
    </xf>
    <xf numFmtId="167" fontId="5" fillId="0" borderId="0" xfId="1" applyNumberFormat="1" applyFont="1" applyFill="1" applyBorder="1" applyAlignment="1">
      <alignment horizontal="center"/>
    </xf>
    <xf numFmtId="167" fontId="5" fillId="2" borderId="0" xfId="1" applyNumberFormat="1" applyFont="1" applyFill="1" applyBorder="1" applyAlignment="1">
      <alignment horizontal="center"/>
    </xf>
    <xf numFmtId="3" fontId="2" fillId="0" borderId="0" xfId="0" applyNumberFormat="1" applyFont="1" applyFill="1" applyBorder="1"/>
    <xf numFmtId="165" fontId="2" fillId="0" borderId="0" xfId="1" applyFont="1" applyFill="1" applyBorder="1" applyAlignment="1">
      <alignment horizontal="center"/>
    </xf>
    <xf numFmtId="167" fontId="5" fillId="0" borderId="0" xfId="1" applyNumberFormat="1" applyFont="1"/>
    <xf numFmtId="0" fontId="2" fillId="0" borderId="0" xfId="0" applyFont="1" applyFill="1" applyBorder="1" applyAlignment="1">
      <alignment horizontal="center"/>
    </xf>
    <xf numFmtId="167" fontId="7" fillId="0" borderId="0" xfId="1" applyNumberFormat="1" applyFont="1" applyFill="1" applyBorder="1"/>
    <xf numFmtId="165" fontId="2" fillId="0" borderId="0" xfId="0" applyNumberFormat="1" applyFont="1" applyFill="1"/>
    <xf numFmtId="168" fontId="2" fillId="0" borderId="0" xfId="1" applyNumberFormat="1" applyFont="1" applyFill="1"/>
    <xf numFmtId="0" fontId="8" fillId="0" borderId="0" xfId="0" applyFont="1" applyAlignment="1"/>
    <xf numFmtId="166" fontId="8" fillId="0" borderId="0" xfId="0" applyNumberFormat="1" applyFont="1" applyAlignment="1"/>
    <xf numFmtId="0" fontId="8" fillId="0" borderId="0" xfId="0" applyFont="1" applyAlignment="1">
      <alignment horizontal="left" vertical="top"/>
    </xf>
    <xf numFmtId="0" fontId="16" fillId="0" borderId="0" xfId="0" applyFont="1"/>
    <xf numFmtId="0" fontId="17" fillId="3" borderId="0" xfId="0" applyFont="1" applyFill="1"/>
    <xf numFmtId="0" fontId="18" fillId="3" borderId="0" xfId="0" applyFont="1" applyFill="1" applyAlignment="1">
      <alignment horizontal="center" vertical="center"/>
    </xf>
    <xf numFmtId="9" fontId="18" fillId="3" borderId="0" xfId="0" applyNumberFormat="1" applyFont="1" applyFill="1" applyAlignment="1">
      <alignment horizontal="center" vertical="center"/>
    </xf>
    <xf numFmtId="10" fontId="18" fillId="3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4" borderId="0" xfId="0" applyFont="1" applyFill="1" applyAlignment="1">
      <alignment vertical="center"/>
    </xf>
    <xf numFmtId="9" fontId="19" fillId="4" borderId="0" xfId="0" applyNumberFormat="1" applyFont="1" applyFill="1" applyAlignment="1">
      <alignment horizontal="right" vertical="center"/>
    </xf>
    <xf numFmtId="9" fontId="19" fillId="4" borderId="0" xfId="2" applyNumberFormat="1" applyFont="1" applyFill="1" applyAlignment="1">
      <alignment horizontal="right" vertical="center"/>
    </xf>
    <xf numFmtId="0" fontId="19" fillId="4" borderId="0" xfId="0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9" fontId="0" fillId="0" borderId="0" xfId="2" applyFont="1"/>
    <xf numFmtId="0" fontId="20" fillId="0" borderId="0" xfId="0" applyFont="1"/>
    <xf numFmtId="10" fontId="8" fillId="0" borderId="0" xfId="2" applyNumberFormat="1" applyFont="1"/>
    <xf numFmtId="166" fontId="2" fillId="0" borderId="0" xfId="2" applyNumberFormat="1" applyFont="1"/>
    <xf numFmtId="9" fontId="2" fillId="0" borderId="0" xfId="2" applyFont="1" applyAlignment="1">
      <alignment horizontal="center"/>
    </xf>
    <xf numFmtId="2" fontId="5" fillId="0" borderId="0" xfId="0" applyNumberFormat="1" applyFont="1"/>
    <xf numFmtId="2" fontId="10" fillId="0" borderId="0" xfId="0" applyNumberFormat="1" applyFont="1"/>
    <xf numFmtId="165" fontId="5" fillId="0" borderId="0" xfId="0" applyNumberFormat="1" applyFont="1"/>
    <xf numFmtId="169" fontId="7" fillId="0" borderId="0" xfId="0" applyNumberFormat="1" applyFont="1" applyAlignment="1">
      <alignment horizontal="left" indent="2"/>
    </xf>
    <xf numFmtId="169" fontId="5" fillId="0" borderId="0" xfId="0" applyNumberFormat="1" applyFont="1"/>
    <xf numFmtId="170" fontId="5" fillId="0" borderId="0" xfId="0" applyNumberFormat="1" applyFont="1" applyAlignment="1">
      <alignment horizontal="left" indent="1"/>
    </xf>
    <xf numFmtId="171" fontId="5" fillId="0" borderId="0" xfId="0" applyNumberFormat="1" applyFont="1" applyAlignment="1">
      <alignment horizontal="left" indent="5"/>
    </xf>
    <xf numFmtId="0" fontId="3" fillId="0" borderId="1" xfId="0" applyFont="1" applyBorder="1"/>
    <xf numFmtId="0" fontId="2" fillId="0" borderId="0" xfId="0" quotePrefix="1" applyFont="1"/>
    <xf numFmtId="170" fontId="5" fillId="0" borderId="0" xfId="0" applyNumberFormat="1" applyFont="1" applyAlignment="1">
      <alignment horizontal="left" indent="2"/>
    </xf>
    <xf numFmtId="170" fontId="10" fillId="0" borderId="0" xfId="0" applyNumberFormat="1" applyFont="1" applyAlignment="1">
      <alignment horizontal="left" indent="1"/>
    </xf>
    <xf numFmtId="170" fontId="10" fillId="0" borderId="0" xfId="0" applyNumberFormat="1" applyFont="1" applyAlignment="1">
      <alignment horizontal="left" indent="2"/>
    </xf>
    <xf numFmtId="170" fontId="5" fillId="0" borderId="0" xfId="0" applyNumberFormat="1" applyFont="1" applyAlignment="1">
      <alignment horizontal="left" indent="3"/>
    </xf>
    <xf numFmtId="170" fontId="7" fillId="0" borderId="0" xfId="0" applyNumberFormat="1" applyFont="1" applyAlignment="1">
      <alignment horizontal="left" indent="2"/>
    </xf>
    <xf numFmtId="170" fontId="7" fillId="0" borderId="0" xfId="0" applyNumberFormat="1" applyFont="1"/>
    <xf numFmtId="0" fontId="5" fillId="0" borderId="0" xfId="3" applyNumberFormat="1" applyFont="1" applyAlignment="1">
      <alignment horizontal="left" indent="5"/>
    </xf>
    <xf numFmtId="167" fontId="8" fillId="0" borderId="0" xfId="0" applyNumberFormat="1" applyFont="1"/>
    <xf numFmtId="167" fontId="3" fillId="0" borderId="1" xfId="0" applyNumberFormat="1" applyFont="1" applyBorder="1"/>
    <xf numFmtId="170" fontId="3" fillId="0" borderId="0" xfId="0" applyNumberFormat="1" applyFont="1" applyAlignment="1">
      <alignment horizontal="left" indent="2"/>
    </xf>
    <xf numFmtId="171" fontId="5" fillId="0" borderId="0" xfId="0" applyNumberFormat="1" applyFont="1" applyAlignment="1">
      <alignment horizontal="right"/>
    </xf>
    <xf numFmtId="171" fontId="10" fillId="0" borderId="0" xfId="0" applyNumberFormat="1" applyFont="1" applyAlignment="1">
      <alignment horizontal="right" indent="1"/>
    </xf>
    <xf numFmtId="171" fontId="10" fillId="0" borderId="0" xfId="0" applyNumberFormat="1" applyFont="1" applyAlignment="1">
      <alignment horizontal="right" indent="2"/>
    </xf>
    <xf numFmtId="171" fontId="5" fillId="0" borderId="0" xfId="0" applyNumberFormat="1" applyFont="1"/>
    <xf numFmtId="170" fontId="5" fillId="0" borderId="0" xfId="0" applyNumberFormat="1" applyFont="1"/>
    <xf numFmtId="1" fontId="7" fillId="0" borderId="0" xfId="0" applyNumberFormat="1" applyFont="1" applyAlignment="1">
      <alignment horizontal="right"/>
    </xf>
    <xf numFmtId="0" fontId="5" fillId="0" borderId="0" xfId="0" applyFont="1"/>
    <xf numFmtId="0" fontId="10" fillId="0" borderId="0" xfId="0" applyFont="1"/>
    <xf numFmtId="169" fontId="3" fillId="0" borderId="0" xfId="0" applyNumberFormat="1" applyFont="1"/>
    <xf numFmtId="165" fontId="2" fillId="0" borderId="0" xfId="0" applyNumberFormat="1" applyFont="1"/>
    <xf numFmtId="0" fontId="2" fillId="0" borderId="0" xfId="0" applyFont="1" applyFill="1" applyAlignment="1">
      <alignment horizontal="left" indent="2"/>
    </xf>
    <xf numFmtId="167" fontId="8" fillId="2" borderId="0" xfId="0" applyNumberFormat="1" applyFont="1" applyFill="1" applyAlignment="1">
      <alignment horizontal="center"/>
    </xf>
    <xf numFmtId="0" fontId="23" fillId="0" borderId="0" xfId="0" applyFont="1" applyAlignment="1">
      <alignment horizontal="right" vertical="center"/>
    </xf>
    <xf numFmtId="9" fontId="23" fillId="0" borderId="0" xfId="2" applyNumberFormat="1" applyFont="1" applyAlignment="1">
      <alignment vertical="center"/>
    </xf>
    <xf numFmtId="0" fontId="23" fillId="4" borderId="0" xfId="0" applyFont="1" applyFill="1" applyAlignment="1">
      <alignment horizontal="right" vertical="center"/>
    </xf>
    <xf numFmtId="9" fontId="23" fillId="4" borderId="0" xfId="2" applyNumberFormat="1" applyFont="1" applyFill="1" applyAlignment="1">
      <alignment horizontal="right" vertical="center"/>
    </xf>
    <xf numFmtId="9" fontId="23" fillId="4" borderId="0" xfId="2" applyNumberFormat="1" applyFont="1" applyFill="1" applyAlignment="1">
      <alignment vertical="center"/>
    </xf>
    <xf numFmtId="0" fontId="8" fillId="0" borderId="0" xfId="0" applyFont="1" applyAlignment="1">
      <alignment horizontal="left" vertical="top" indent="1"/>
    </xf>
    <xf numFmtId="9" fontId="19" fillId="0" borderId="0" xfId="2" applyNumberFormat="1" applyFont="1" applyAlignment="1">
      <alignment horizontal="right" vertical="center"/>
    </xf>
    <xf numFmtId="9" fontId="19" fillId="4" borderId="0" xfId="1" applyNumberFormat="1" applyFont="1" applyFill="1" applyAlignment="1">
      <alignment horizontal="right" vertical="center"/>
    </xf>
    <xf numFmtId="9" fontId="23" fillId="0" borderId="0" xfId="2" applyNumberFormat="1" applyFont="1" applyAlignment="1">
      <alignment horizontal="right" vertical="center"/>
    </xf>
    <xf numFmtId="0" fontId="17" fillId="3" borderId="0" xfId="0" applyFont="1" applyFill="1" applyAlignment="1">
      <alignment horizontal="right"/>
    </xf>
    <xf numFmtId="0" fontId="18" fillId="3" borderId="0" xfId="0" applyFont="1" applyFill="1" applyAlignment="1">
      <alignment horizontal="right" vertical="center"/>
    </xf>
    <xf numFmtId="9" fontId="18" fillId="3" borderId="0" xfId="0" applyNumberFormat="1" applyFont="1" applyFill="1" applyAlignment="1">
      <alignment horizontal="right" vertical="center"/>
    </xf>
    <xf numFmtId="10" fontId="18" fillId="3" borderId="0" xfId="0" applyNumberFormat="1" applyFont="1" applyFill="1" applyAlignment="1">
      <alignment horizontal="right" vertical="center"/>
    </xf>
    <xf numFmtId="9" fontId="19" fillId="0" borderId="0" xfId="0" applyNumberFormat="1" applyFont="1" applyAlignment="1">
      <alignment horizontal="right" vertical="center"/>
    </xf>
    <xf numFmtId="9" fontId="19" fillId="4" borderId="0" xfId="2" applyFont="1" applyFill="1" applyAlignment="1">
      <alignment horizontal="right" vertical="center"/>
    </xf>
    <xf numFmtId="167" fontId="8" fillId="0" borderId="0" xfId="0" applyNumberFormat="1" applyFont="1" applyFill="1" applyAlignment="1">
      <alignment horizontal="center"/>
    </xf>
    <xf numFmtId="171" fontId="2" fillId="0" borderId="0" xfId="0" applyNumberFormat="1" applyFont="1" applyAlignment="1">
      <alignment horizontal="right"/>
    </xf>
    <xf numFmtId="9" fontId="0" fillId="0" borderId="0" xfId="0" applyNumberFormat="1"/>
    <xf numFmtId="0" fontId="0" fillId="2" borderId="0" xfId="0" applyFill="1"/>
    <xf numFmtId="0" fontId="15" fillId="2" borderId="0" xfId="0" applyFont="1" applyFill="1"/>
    <xf numFmtId="0" fontId="0" fillId="2" borderId="2" xfId="0" applyFill="1" applyBorder="1"/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0" fillId="2" borderId="2" xfId="0" applyFill="1" applyBorder="1" applyAlignment="1">
      <alignment vertical="top" wrapText="1"/>
    </xf>
    <xf numFmtId="9" fontId="0" fillId="2" borderId="2" xfId="0" applyNumberFormat="1" applyFill="1" applyBorder="1"/>
    <xf numFmtId="0" fontId="0" fillId="2" borderId="0" xfId="0" applyFill="1" applyBorder="1" applyAlignment="1">
      <alignment vertical="top" wrapText="1"/>
    </xf>
    <xf numFmtId="9" fontId="0" fillId="2" borderId="0" xfId="0" applyNumberFormat="1" applyFill="1" applyBorder="1"/>
    <xf numFmtId="0" fontId="0" fillId="2" borderId="0" xfId="0" applyFill="1" applyBorder="1"/>
    <xf numFmtId="0" fontId="1" fillId="2" borderId="0" xfId="0" quotePrefix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left" indent="1"/>
    </xf>
    <xf numFmtId="168" fontId="2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6" fontId="3" fillId="2" borderId="0" xfId="2" applyNumberFormat="1" applyFont="1" applyFill="1" applyAlignment="1">
      <alignment horizontal="right"/>
    </xf>
    <xf numFmtId="166" fontId="9" fillId="2" borderId="0" xfId="2" applyNumberFormat="1" applyFont="1" applyFill="1" applyAlignment="1">
      <alignment horizontal="right"/>
    </xf>
    <xf numFmtId="9" fontId="9" fillId="2" borderId="0" xfId="0" applyNumberFormat="1" applyFont="1" applyFill="1" applyBorder="1" applyAlignment="1">
      <alignment horizontal="right" indent="1"/>
    </xf>
    <xf numFmtId="166" fontId="2" fillId="2" borderId="0" xfId="2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166" fontId="2" fillId="2" borderId="0" xfId="2" applyNumberFormat="1" applyFont="1" applyFill="1"/>
    <xf numFmtId="165" fontId="8" fillId="2" borderId="0" xfId="2" applyNumberFormat="1" applyFont="1" applyFill="1" applyAlignment="1">
      <alignment horizontal="right"/>
    </xf>
    <xf numFmtId="170" fontId="5" fillId="2" borderId="0" xfId="0" applyNumberFormat="1" applyFont="1" applyFill="1" applyAlignment="1">
      <alignment horizontal="left" indent="3"/>
    </xf>
    <xf numFmtId="167" fontId="5" fillId="2" borderId="0" xfId="1" applyNumberFormat="1" applyFont="1" applyFill="1" applyBorder="1"/>
    <xf numFmtId="168" fontId="7" fillId="2" borderId="0" xfId="1" applyNumberFormat="1" applyFont="1" applyFill="1" applyBorder="1" applyAlignment="1">
      <alignment horizontal="right"/>
    </xf>
    <xf numFmtId="168" fontId="5" fillId="2" borderId="0" xfId="1" applyNumberFormat="1" applyFont="1" applyFill="1" applyBorder="1"/>
    <xf numFmtId="167" fontId="5" fillId="2" borderId="0" xfId="1" applyNumberFormat="1" applyFont="1" applyFill="1" applyBorder="1" applyAlignment="1">
      <alignment horizontal="right"/>
    </xf>
    <xf numFmtId="168" fontId="2" fillId="2" borderId="0" xfId="1" applyNumberFormat="1" applyFont="1" applyFill="1" applyBorder="1"/>
    <xf numFmtId="167" fontId="2" fillId="2" borderId="0" xfId="1" applyNumberFormat="1" applyFont="1" applyFill="1" applyBorder="1"/>
    <xf numFmtId="167" fontId="7" fillId="2" borderId="0" xfId="1" applyNumberFormat="1" applyFont="1" applyFill="1" applyBorder="1" applyAlignment="1">
      <alignment horizontal="right"/>
    </xf>
    <xf numFmtId="167" fontId="2" fillId="2" borderId="0" xfId="1" applyNumberFormat="1" applyFont="1" applyFill="1" applyBorder="1" applyAlignment="1">
      <alignment horizontal="right"/>
    </xf>
    <xf numFmtId="168" fontId="2" fillId="2" borderId="0" xfId="1" applyNumberFormat="1" applyFont="1" applyFill="1" applyBorder="1" applyAlignment="1">
      <alignment horizontal="right"/>
    </xf>
    <xf numFmtId="168" fontId="3" fillId="2" borderId="0" xfId="1" applyNumberFormat="1" applyFont="1" applyFill="1" applyBorder="1" applyAlignment="1">
      <alignment horizontal="right"/>
    </xf>
    <xf numFmtId="165" fontId="2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right"/>
    </xf>
    <xf numFmtId="167" fontId="5" fillId="2" borderId="0" xfId="0" applyNumberFormat="1" applyFont="1" applyFill="1" applyBorder="1" applyAlignment="1">
      <alignment horizontal="center"/>
    </xf>
    <xf numFmtId="167" fontId="5" fillId="2" borderId="0" xfId="0" applyNumberFormat="1" applyFont="1" applyFill="1" applyBorder="1"/>
    <xf numFmtId="167" fontId="3" fillId="2" borderId="0" xfId="1" applyNumberFormat="1" applyFont="1" applyFill="1" applyBorder="1" applyAlignment="1">
      <alignment horizontal="right"/>
    </xf>
    <xf numFmtId="0" fontId="2" fillId="2" borderId="0" xfId="0" applyFont="1" applyFill="1" applyBorder="1"/>
    <xf numFmtId="167" fontId="5" fillId="2" borderId="0" xfId="0" applyNumberFormat="1" applyFont="1" applyFill="1" applyBorder="1" applyAlignment="1">
      <alignment horizontal="right"/>
    </xf>
    <xf numFmtId="168" fontId="3" fillId="2" borderId="0" xfId="0" applyNumberFormat="1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center"/>
    </xf>
    <xf numFmtId="166" fontId="2" fillId="2" borderId="0" xfId="2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center"/>
    </xf>
    <xf numFmtId="168" fontId="8" fillId="2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166" fontId="3" fillId="2" borderId="0" xfId="2" applyNumberFormat="1" applyFont="1" applyFill="1" applyBorder="1" applyAlignment="1">
      <alignment horizontal="right"/>
    </xf>
    <xf numFmtId="166" fontId="9" fillId="2" borderId="0" xfId="2" applyNumberFormat="1" applyFont="1" applyFill="1" applyBorder="1" applyAlignment="1">
      <alignment horizontal="right"/>
    </xf>
    <xf numFmtId="167" fontId="2" fillId="2" borderId="0" xfId="0" applyNumberFormat="1" applyFont="1" applyFill="1" applyBorder="1" applyAlignment="1">
      <alignment horizontal="center"/>
    </xf>
    <xf numFmtId="167" fontId="5" fillId="2" borderId="0" xfId="0" applyNumberFormat="1" applyFont="1" applyFill="1" applyBorder="1" applyAlignment="1">
      <alignment horizontal="left" indent="3"/>
    </xf>
    <xf numFmtId="168" fontId="2" fillId="2" borderId="0" xfId="0" applyNumberFormat="1" applyFont="1" applyFill="1" applyBorder="1"/>
    <xf numFmtId="168" fontId="8" fillId="2" borderId="0" xfId="0" applyNumberFormat="1" applyFont="1" applyFill="1" applyBorder="1"/>
    <xf numFmtId="165" fontId="8" fillId="2" borderId="0" xfId="2" applyNumberFormat="1" applyFont="1" applyFill="1" applyBorder="1" applyAlignment="1">
      <alignment horizontal="right"/>
    </xf>
    <xf numFmtId="10" fontId="8" fillId="2" borderId="0" xfId="0" applyNumberFormat="1" applyFont="1" applyFill="1" applyBorder="1" applyAlignment="1">
      <alignment horizontal="right" indent="1"/>
    </xf>
    <xf numFmtId="10" fontId="8" fillId="2" borderId="0" xfId="0" applyNumberFormat="1" applyFont="1" applyFill="1" applyBorder="1" applyAlignment="1">
      <alignment horizontal="right"/>
    </xf>
    <xf numFmtId="167" fontId="8" fillId="2" borderId="0" xfId="0" applyNumberFormat="1" applyFont="1" applyFill="1" applyBorder="1" applyAlignment="1">
      <alignment horizontal="center"/>
    </xf>
    <xf numFmtId="10" fontId="8" fillId="2" borderId="0" xfId="0" applyNumberFormat="1" applyFont="1" applyFill="1" applyBorder="1" applyAlignment="1"/>
    <xf numFmtId="167" fontId="2" fillId="2" borderId="0" xfId="1" applyNumberFormat="1" applyFont="1" applyFill="1" applyBorder="1" applyAlignment="1">
      <alignment horizontal="center"/>
    </xf>
    <xf numFmtId="167" fontId="2" fillId="2" borderId="0" xfId="0" applyNumberFormat="1" applyFont="1" applyFill="1" applyBorder="1"/>
    <xf numFmtId="14" fontId="2" fillId="2" borderId="0" xfId="0" applyNumberFormat="1" applyFont="1" applyFill="1" applyBorder="1" applyAlignment="1">
      <alignment horizontal="center"/>
    </xf>
    <xf numFmtId="0" fontId="24" fillId="0" borderId="0" xfId="0" applyFont="1"/>
    <xf numFmtId="0" fontId="3" fillId="5" borderId="0" xfId="0" applyFont="1" applyFill="1" applyAlignment="1"/>
    <xf numFmtId="14" fontId="2" fillId="5" borderId="0" xfId="0" applyNumberFormat="1" applyFont="1" applyFill="1"/>
    <xf numFmtId="14" fontId="2" fillId="5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righ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15"/>
  <sheetViews>
    <sheetView showGridLines="0" zoomScale="55" zoomScaleNormal="55" workbookViewId="0">
      <pane xSplit="2" topLeftCell="C1" activePane="topRight" state="frozen"/>
      <selection pane="topRight" activeCell="B19" sqref="B19"/>
    </sheetView>
  </sheetViews>
  <sheetFormatPr defaultColWidth="9.140625" defaultRowHeight="16.5" x14ac:dyDescent="0.3"/>
  <cols>
    <col min="1" max="1" width="14.42578125" style="3" customWidth="1"/>
    <col min="2" max="2" width="63.5703125" style="1" bestFit="1" customWidth="1"/>
    <col min="3" max="3" width="15.5703125" style="1" customWidth="1"/>
    <col min="4" max="15" width="12.5703125" style="2" customWidth="1"/>
    <col min="16" max="16" width="12.5703125" style="1" customWidth="1"/>
    <col min="17" max="17" width="13.42578125" style="1" bestFit="1" customWidth="1"/>
    <col min="18" max="18" width="14.140625" style="1" customWidth="1"/>
    <col min="19" max="19" width="14.42578125" style="2" customWidth="1"/>
    <col min="20" max="21" width="12.5703125" style="229" customWidth="1"/>
    <col min="37" max="39" width="11.42578125" style="3" customWidth="1"/>
    <col min="40" max="40" width="13.5703125" style="3" bestFit="1" customWidth="1"/>
    <col min="41" max="43" width="9.85546875" style="3" bestFit="1" customWidth="1"/>
    <col min="44" max="16384" width="9.140625" style="3"/>
  </cols>
  <sheetData>
    <row r="1" spans="2:40" x14ac:dyDescent="0.3">
      <c r="B1" s="1" t="s">
        <v>0</v>
      </c>
    </row>
    <row r="2" spans="2:40" x14ac:dyDescent="0.3">
      <c r="B2" s="1" t="s">
        <v>1</v>
      </c>
    </row>
    <row r="4" spans="2:40" x14ac:dyDescent="0.3">
      <c r="B4" s="257" t="s">
        <v>2</v>
      </c>
      <c r="C4" s="257"/>
      <c r="D4" s="260">
        <v>39082</v>
      </c>
      <c r="E4" s="260">
        <v>39447</v>
      </c>
      <c r="F4" s="260">
        <v>39813</v>
      </c>
      <c r="G4" s="260">
        <v>40178</v>
      </c>
      <c r="H4" s="260">
        <v>40543</v>
      </c>
      <c r="I4" s="260">
        <v>40908</v>
      </c>
      <c r="J4" s="260">
        <v>41274</v>
      </c>
      <c r="K4" s="260">
        <v>41639</v>
      </c>
      <c r="L4" s="260">
        <v>42004</v>
      </c>
      <c r="M4" s="260">
        <v>42369</v>
      </c>
      <c r="N4" s="260">
        <v>42735</v>
      </c>
      <c r="O4" s="260">
        <v>43100</v>
      </c>
      <c r="P4" s="260">
        <v>43465</v>
      </c>
      <c r="Q4" s="260">
        <v>43829</v>
      </c>
      <c r="R4" s="258">
        <v>44195</v>
      </c>
      <c r="S4" s="258">
        <v>44377</v>
      </c>
      <c r="T4" s="230"/>
      <c r="U4" s="230"/>
    </row>
    <row r="5" spans="2:40" x14ac:dyDescent="0.3">
      <c r="R5" s="3"/>
      <c r="S5" s="3"/>
    </row>
    <row r="6" spans="2:40" x14ac:dyDescent="0.3">
      <c r="B6" s="1" t="s">
        <v>3</v>
      </c>
      <c r="R6" s="3"/>
      <c r="S6" s="3"/>
    </row>
    <row r="7" spans="2:40" x14ac:dyDescent="0.3">
      <c r="B7" s="4" t="s">
        <v>4</v>
      </c>
      <c r="C7" s="4"/>
      <c r="P7" s="4"/>
      <c r="Q7" s="4"/>
      <c r="R7" s="4"/>
      <c r="S7" s="4"/>
    </row>
    <row r="8" spans="2:40" x14ac:dyDescent="0.3">
      <c r="B8" s="5" t="s">
        <v>5</v>
      </c>
      <c r="C8" s="5"/>
      <c r="D8" s="7">
        <v>49.271000000000001</v>
      </c>
      <c r="E8" s="7">
        <v>61.853000000000002</v>
      </c>
      <c r="F8" s="7">
        <v>53.343000000000004</v>
      </c>
      <c r="G8" s="7">
        <v>114.349</v>
      </c>
      <c r="H8" s="7">
        <v>89.275000000000006</v>
      </c>
      <c r="I8" s="7">
        <v>32.901000000000003</v>
      </c>
      <c r="J8" s="7">
        <v>41.966000000000001</v>
      </c>
      <c r="K8" s="7">
        <v>33.034999999999997</v>
      </c>
      <c r="L8" s="7">
        <v>124.435</v>
      </c>
      <c r="M8" s="7">
        <v>18.283999999999999</v>
      </c>
      <c r="N8" s="7">
        <v>100.985</v>
      </c>
      <c r="O8" s="7">
        <v>117.289</v>
      </c>
      <c r="P8" s="6">
        <v>134.34399999999999</v>
      </c>
      <c r="Q8" s="6">
        <v>31.4</v>
      </c>
      <c r="R8" s="146">
        <v>36.898000000000003</v>
      </c>
      <c r="S8" s="146">
        <v>52.613</v>
      </c>
      <c r="T8" s="218"/>
      <c r="U8" s="218"/>
    </row>
    <row r="9" spans="2:40" x14ac:dyDescent="0.3">
      <c r="B9" s="4" t="s">
        <v>6</v>
      </c>
      <c r="C9" s="4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6"/>
      <c r="Q9" s="8"/>
      <c r="R9" s="147"/>
      <c r="S9" s="147"/>
      <c r="T9" s="231"/>
      <c r="U9" s="231"/>
    </row>
    <row r="10" spans="2:40" x14ac:dyDescent="0.3">
      <c r="B10" s="10" t="s">
        <v>7</v>
      </c>
      <c r="C10" s="10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9"/>
      <c r="P10" s="6"/>
      <c r="Q10" s="11"/>
      <c r="R10" s="147"/>
      <c r="S10" s="147"/>
      <c r="T10" s="232"/>
      <c r="U10" s="232"/>
    </row>
    <row r="11" spans="2:40" x14ac:dyDescent="0.3">
      <c r="B11" s="13" t="s">
        <v>8</v>
      </c>
      <c r="C11" s="13"/>
      <c r="D11" s="7">
        <v>4.66</v>
      </c>
      <c r="E11" s="7">
        <v>5.415</v>
      </c>
      <c r="F11" s="7">
        <v>4.1479999999999997</v>
      </c>
      <c r="G11" s="7">
        <v>4.3209999999999997</v>
      </c>
      <c r="H11" s="7">
        <v>8.61</v>
      </c>
      <c r="I11" s="7">
        <v>3.702</v>
      </c>
      <c r="J11" s="7">
        <v>1.8640000000000001</v>
      </c>
      <c r="K11" s="7">
        <v>2.3780000000000001</v>
      </c>
      <c r="L11" s="7">
        <v>3.363</v>
      </c>
      <c r="M11" s="7">
        <v>6.8220000000000001</v>
      </c>
      <c r="N11" s="7">
        <v>3.448</v>
      </c>
      <c r="O11" s="7">
        <v>3.5089999999999999</v>
      </c>
      <c r="P11" s="6">
        <v>2.145</v>
      </c>
      <c r="Q11" s="6">
        <v>7.7670000000000003</v>
      </c>
      <c r="R11" s="146">
        <v>5.6970000000000001</v>
      </c>
      <c r="S11" s="146">
        <v>5.6589999999999998</v>
      </c>
      <c r="T11" s="218"/>
      <c r="U11" s="218"/>
    </row>
    <row r="12" spans="2:40" s="16" customFormat="1" x14ac:dyDescent="0.3">
      <c r="B12" s="14" t="s">
        <v>9</v>
      </c>
      <c r="C12" s="14"/>
      <c r="D12" s="7">
        <v>69.025000000000006</v>
      </c>
      <c r="E12" s="7">
        <v>68.962999999999994</v>
      </c>
      <c r="F12" s="7">
        <v>68.974999999999994</v>
      </c>
      <c r="G12" s="7">
        <v>70.465000000000003</v>
      </c>
      <c r="H12" s="7">
        <v>90.647000000000006</v>
      </c>
      <c r="I12" s="7">
        <v>47.098999999999997</v>
      </c>
      <c r="J12" s="7">
        <v>47.098999999999997</v>
      </c>
      <c r="K12" s="7">
        <v>47.098999999999997</v>
      </c>
      <c r="L12" s="7">
        <v>52.055999999999997</v>
      </c>
      <c r="M12" s="7">
        <v>59.710999999999999</v>
      </c>
      <c r="N12" s="7">
        <v>59.710999999999999</v>
      </c>
      <c r="O12" s="7">
        <v>59.710999999999999</v>
      </c>
      <c r="P12" s="15">
        <v>59.710999999999999</v>
      </c>
      <c r="Q12" s="15">
        <v>60.308999999999997</v>
      </c>
      <c r="R12" s="146">
        <v>61.701000000000001</v>
      </c>
      <c r="S12" s="146">
        <v>61.423000000000002</v>
      </c>
      <c r="T12" s="218"/>
      <c r="U12" s="218"/>
    </row>
    <row r="13" spans="2:40" x14ac:dyDescent="0.3">
      <c r="B13" s="17" t="s">
        <v>10</v>
      </c>
      <c r="C13" s="17"/>
      <c r="D13" s="7"/>
      <c r="E13" s="7">
        <v>199.78899999999999</v>
      </c>
      <c r="F13" s="7"/>
      <c r="G13" s="7">
        <v>225</v>
      </c>
      <c r="H13" s="7"/>
      <c r="I13" s="7"/>
      <c r="J13" s="7"/>
      <c r="K13" s="7"/>
      <c r="L13" s="7"/>
      <c r="M13" s="7"/>
      <c r="N13" s="7"/>
      <c r="O13" s="7"/>
      <c r="P13" s="18"/>
      <c r="Q13" s="15">
        <v>39.567</v>
      </c>
      <c r="R13" s="146">
        <v>38.991</v>
      </c>
      <c r="S13" s="146">
        <v>0</v>
      </c>
      <c r="T13" s="218"/>
      <c r="U13" s="218"/>
    </row>
    <row r="14" spans="2:40" x14ac:dyDescent="0.3">
      <c r="B14" s="19" t="s">
        <v>11</v>
      </c>
      <c r="C14" s="19"/>
      <c r="D14" s="7"/>
      <c r="E14" s="7"/>
      <c r="F14" s="7"/>
      <c r="G14" s="7">
        <v>2.9060000000000001</v>
      </c>
      <c r="H14" s="7">
        <v>7.9000000000000001E-2</v>
      </c>
      <c r="I14" s="7"/>
      <c r="J14" s="7">
        <v>1.6259999999999999</v>
      </c>
      <c r="K14" s="7"/>
      <c r="L14" s="7">
        <v>26.747</v>
      </c>
      <c r="M14" s="7"/>
      <c r="N14" s="7"/>
      <c r="O14" s="7"/>
      <c r="P14" s="20"/>
      <c r="Q14" s="6">
        <v>68.83</v>
      </c>
      <c r="R14" s="146">
        <v>39.384</v>
      </c>
      <c r="S14" s="146">
        <v>4.8449999999999998</v>
      </c>
      <c r="T14" s="218"/>
      <c r="U14" s="218"/>
    </row>
    <row r="15" spans="2:40" x14ac:dyDescent="0.3">
      <c r="B15" s="21" t="s">
        <v>12</v>
      </c>
      <c r="C15" s="21"/>
      <c r="D15" s="22">
        <f t="shared" ref="D15:P15" si="0">SUM(D11:D14)</f>
        <v>73.685000000000002</v>
      </c>
      <c r="E15" s="22">
        <f t="shared" si="0"/>
        <v>274.16699999999997</v>
      </c>
      <c r="F15" s="22">
        <f t="shared" si="0"/>
        <v>73.12299999999999</v>
      </c>
      <c r="G15" s="22">
        <f t="shared" si="0"/>
        <v>302.69200000000001</v>
      </c>
      <c r="H15" s="22">
        <f t="shared" si="0"/>
        <v>99.335999999999999</v>
      </c>
      <c r="I15" s="22">
        <f t="shared" si="0"/>
        <v>50.800999999999995</v>
      </c>
      <c r="J15" s="22">
        <f t="shared" si="0"/>
        <v>50.588999999999992</v>
      </c>
      <c r="K15" s="22">
        <f t="shared" si="0"/>
        <v>49.476999999999997</v>
      </c>
      <c r="L15" s="22">
        <f t="shared" si="0"/>
        <v>82.165999999999997</v>
      </c>
      <c r="M15" s="22">
        <f t="shared" si="0"/>
        <v>66.533000000000001</v>
      </c>
      <c r="N15" s="22">
        <f t="shared" si="0"/>
        <v>63.158999999999999</v>
      </c>
      <c r="O15" s="22">
        <f t="shared" si="0"/>
        <v>63.22</v>
      </c>
      <c r="P15" s="22">
        <f t="shared" si="0"/>
        <v>61.856000000000002</v>
      </c>
      <c r="Q15" s="22">
        <f>SUM(Q11:Q14)</f>
        <v>176.47300000000001</v>
      </c>
      <c r="R15" s="22">
        <f>SUM(R11:R14)</f>
        <v>145.773</v>
      </c>
      <c r="S15" s="22">
        <f>SUM(S11:S14)</f>
        <v>71.927000000000007</v>
      </c>
      <c r="T15" s="233"/>
      <c r="U15" s="233"/>
    </row>
    <row r="16" spans="2:40" x14ac:dyDescent="0.3">
      <c r="B16" s="10" t="s">
        <v>13</v>
      </c>
      <c r="C16" s="10"/>
      <c r="P16" s="10"/>
      <c r="Q16" s="10"/>
      <c r="R16" s="10"/>
      <c r="S16" s="10"/>
      <c r="AN16" s="23"/>
    </row>
    <row r="17" spans="2:21" x14ac:dyDescent="0.3">
      <c r="B17" s="13" t="s">
        <v>8</v>
      </c>
      <c r="C17" s="13"/>
      <c r="D17" s="7"/>
      <c r="E17" s="7"/>
      <c r="F17" s="7"/>
      <c r="G17" s="7"/>
      <c r="H17" s="7"/>
      <c r="I17" s="7">
        <v>0.184</v>
      </c>
      <c r="J17" s="7">
        <v>0.77400000000000002</v>
      </c>
      <c r="K17" s="7">
        <v>0.45200000000000001</v>
      </c>
      <c r="L17" s="7">
        <v>2.2949999999999999</v>
      </c>
      <c r="M17" s="7">
        <v>1.907</v>
      </c>
      <c r="N17" s="7">
        <v>1.226</v>
      </c>
      <c r="O17" s="7">
        <v>0.23200000000000001</v>
      </c>
      <c r="P17" s="6">
        <v>0.115</v>
      </c>
      <c r="Q17" s="6">
        <v>1.31</v>
      </c>
      <c r="R17" s="148">
        <v>0.64800000000000002</v>
      </c>
      <c r="S17" s="148">
        <v>0.113</v>
      </c>
      <c r="T17" s="218"/>
      <c r="U17" s="218"/>
    </row>
    <row r="18" spans="2:21" x14ac:dyDescent="0.3">
      <c r="B18" s="13" t="s">
        <v>9</v>
      </c>
      <c r="C18" s="13"/>
      <c r="D18" s="7">
        <v>1231.5150000000001</v>
      </c>
      <c r="E18" s="7">
        <v>1231.5150000000001</v>
      </c>
      <c r="F18" s="7">
        <v>1231.5150000000001</v>
      </c>
      <c r="G18" s="7">
        <v>1256.7919999999999</v>
      </c>
      <c r="H18" s="7">
        <v>836.76599999999996</v>
      </c>
      <c r="I18" s="7">
        <v>836.78599999999994</v>
      </c>
      <c r="J18" s="7">
        <v>836.80700000000002</v>
      </c>
      <c r="K18" s="7">
        <v>836.827</v>
      </c>
      <c r="L18" s="7">
        <f>(925841)/1000</f>
        <v>925.84100000000001</v>
      </c>
      <c r="M18" s="7">
        <f>(1061704)/1000</f>
        <v>1061.704</v>
      </c>
      <c r="N18" s="7">
        <v>1061.7239999999999</v>
      </c>
      <c r="O18" s="7">
        <v>1061.7439999999999</v>
      </c>
      <c r="P18" s="6">
        <v>1061.7639999999999</v>
      </c>
      <c r="Q18" s="6">
        <v>1072.674</v>
      </c>
      <c r="R18" s="148">
        <v>1097.9559999999999</v>
      </c>
      <c r="S18" s="148">
        <v>1111.28</v>
      </c>
      <c r="T18" s="218"/>
      <c r="U18" s="218"/>
    </row>
    <row r="19" spans="2:21" x14ac:dyDescent="0.3">
      <c r="B19" s="17" t="s">
        <v>10</v>
      </c>
      <c r="C19" s="17"/>
      <c r="D19" s="7">
        <v>423.55200000000002</v>
      </c>
      <c r="E19" s="7">
        <v>224.221</v>
      </c>
      <c r="F19" s="7">
        <v>423.62299999999999</v>
      </c>
      <c r="G19" s="7">
        <v>200</v>
      </c>
      <c r="H19" s="7">
        <v>121.815</v>
      </c>
      <c r="I19" s="7">
        <v>82.867000000000004</v>
      </c>
      <c r="J19" s="7">
        <v>54.048000000000002</v>
      </c>
      <c r="K19" s="7"/>
      <c r="L19" s="7">
        <v>-0.64</v>
      </c>
      <c r="M19" s="7">
        <v>203.422</v>
      </c>
      <c r="N19" s="7"/>
      <c r="O19" s="7"/>
      <c r="P19" s="15"/>
      <c r="Q19" s="15"/>
      <c r="R19" s="3"/>
      <c r="S19" s="148">
        <v>99.224999999999994</v>
      </c>
      <c r="T19" s="218"/>
      <c r="U19" s="218"/>
    </row>
    <row r="20" spans="2:21" x14ac:dyDescent="0.3">
      <c r="B20" s="13" t="s">
        <v>14</v>
      </c>
      <c r="C20" s="13"/>
      <c r="D20" s="7">
        <v>10.443</v>
      </c>
      <c r="E20" s="7">
        <v>23.215</v>
      </c>
      <c r="F20" s="7"/>
      <c r="G20" s="7">
        <v>6.5880000000000001</v>
      </c>
      <c r="H20" s="7">
        <v>20.082000000000001</v>
      </c>
      <c r="I20" s="7">
        <v>5.9950000000000001</v>
      </c>
      <c r="J20" s="7">
        <v>20.234000000000002</v>
      </c>
      <c r="K20" s="7">
        <v>127.081</v>
      </c>
      <c r="L20" s="7">
        <v>163.98</v>
      </c>
      <c r="M20" s="7">
        <v>234.31700000000001</v>
      </c>
      <c r="N20" s="7">
        <v>261.16699999999997</v>
      </c>
      <c r="O20" s="7">
        <v>313.73899999999998</v>
      </c>
      <c r="P20" s="6">
        <v>282.74700000000001</v>
      </c>
      <c r="Q20" s="6">
        <v>194.154</v>
      </c>
      <c r="R20" s="148">
        <v>206.90600000000001</v>
      </c>
      <c r="S20" s="148">
        <v>245.06</v>
      </c>
      <c r="T20" s="218"/>
      <c r="U20" s="218"/>
    </row>
    <row r="21" spans="2:21" x14ac:dyDescent="0.3">
      <c r="B21" s="13" t="s">
        <v>11</v>
      </c>
      <c r="C21" s="13"/>
      <c r="D21" s="7"/>
      <c r="E21" s="7"/>
      <c r="F21" s="7">
        <v>17.596</v>
      </c>
      <c r="G21" s="7">
        <v>1.052</v>
      </c>
      <c r="H21" s="7">
        <v>0.40100000000000002</v>
      </c>
      <c r="I21" s="7">
        <v>5.665</v>
      </c>
      <c r="J21" s="7">
        <v>2.7330000000000001</v>
      </c>
      <c r="K21" s="7"/>
      <c r="L21" s="7"/>
      <c r="M21" s="7"/>
      <c r="N21" s="7"/>
      <c r="O21" s="7"/>
      <c r="P21" s="24"/>
      <c r="Q21" s="6"/>
      <c r="R21" s="13"/>
      <c r="S21" s="13"/>
      <c r="T21" s="218"/>
      <c r="U21" s="218"/>
    </row>
    <row r="22" spans="2:21" x14ac:dyDescent="0.3">
      <c r="B22" s="13" t="s">
        <v>122</v>
      </c>
      <c r="C22" s="1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24"/>
      <c r="Q22" s="6"/>
      <c r="R22" s="148">
        <v>4.1959999999999997</v>
      </c>
      <c r="S22" s="148">
        <v>1.379</v>
      </c>
      <c r="T22" s="218"/>
      <c r="U22" s="218"/>
    </row>
    <row r="23" spans="2:21" x14ac:dyDescent="0.3">
      <c r="B23" s="21" t="s">
        <v>15</v>
      </c>
      <c r="C23" s="21"/>
      <c r="D23" s="22">
        <f t="shared" ref="D23:Q23" si="1">SUM(D17:D21)</f>
        <v>1665.51</v>
      </c>
      <c r="E23" s="22">
        <f t="shared" si="1"/>
        <v>1478.951</v>
      </c>
      <c r="F23" s="22">
        <f t="shared" si="1"/>
        <v>1672.7340000000002</v>
      </c>
      <c r="G23" s="22">
        <f t="shared" si="1"/>
        <v>1464.4319999999998</v>
      </c>
      <c r="H23" s="22">
        <f t="shared" si="1"/>
        <v>979.06399999999985</v>
      </c>
      <c r="I23" s="22">
        <f t="shared" si="1"/>
        <v>931.49699999999984</v>
      </c>
      <c r="J23" s="22">
        <f t="shared" si="1"/>
        <v>914.596</v>
      </c>
      <c r="K23" s="22">
        <f t="shared" si="1"/>
        <v>964.36</v>
      </c>
      <c r="L23" s="22">
        <f t="shared" si="1"/>
        <v>1091.4759999999999</v>
      </c>
      <c r="M23" s="22">
        <f t="shared" si="1"/>
        <v>1501.35</v>
      </c>
      <c r="N23" s="22">
        <f t="shared" si="1"/>
        <v>1324.117</v>
      </c>
      <c r="O23" s="22">
        <f t="shared" si="1"/>
        <v>1375.7149999999999</v>
      </c>
      <c r="P23" s="22">
        <f t="shared" si="1"/>
        <v>1344.626</v>
      </c>
      <c r="Q23" s="22">
        <f t="shared" si="1"/>
        <v>1268.1379999999999</v>
      </c>
      <c r="R23" s="22">
        <f>SUM(R17:R22)</f>
        <v>1309.7059999999997</v>
      </c>
      <c r="S23" s="22">
        <f>SUM(S17:S22)</f>
        <v>1457.0569999999998</v>
      </c>
      <c r="T23" s="233"/>
      <c r="U23" s="233"/>
    </row>
    <row r="24" spans="2:21" x14ac:dyDescent="0.3">
      <c r="B24" s="4" t="s">
        <v>16</v>
      </c>
      <c r="C24" s="4"/>
      <c r="P24" s="4"/>
      <c r="Q24" s="4"/>
      <c r="R24" s="4"/>
      <c r="S24" s="4"/>
    </row>
    <row r="25" spans="2:21" x14ac:dyDescent="0.3">
      <c r="B25" s="25" t="s">
        <v>17</v>
      </c>
      <c r="C25" s="25"/>
      <c r="D25" s="26">
        <v>607.88699999999994</v>
      </c>
      <c r="E25" s="26">
        <v>663.46299999999997</v>
      </c>
      <c r="F25" s="26">
        <v>390.66899999999998</v>
      </c>
      <c r="G25" s="26">
        <v>576.21</v>
      </c>
      <c r="H25" s="26">
        <v>1398.307</v>
      </c>
      <c r="I25" s="26">
        <v>1333.82</v>
      </c>
      <c r="J25" s="26">
        <v>1473.4559999999999</v>
      </c>
      <c r="K25" s="26">
        <v>1632.9190000000001</v>
      </c>
      <c r="L25" s="26">
        <v>1845.568</v>
      </c>
      <c r="M25" s="26">
        <v>2156.355</v>
      </c>
      <c r="N25" s="26">
        <v>2137.2840000000001</v>
      </c>
      <c r="O25" s="26">
        <v>2076.7640000000001</v>
      </c>
      <c r="P25" s="26">
        <v>1805.827</v>
      </c>
      <c r="Q25" s="26">
        <v>1638.4079999999999</v>
      </c>
      <c r="R25" s="149">
        <v>1596.0309999999999</v>
      </c>
      <c r="S25" s="149">
        <v>1720.402</v>
      </c>
      <c r="T25" s="219"/>
      <c r="U25" s="219"/>
    </row>
    <row r="26" spans="2:21" x14ac:dyDescent="0.3">
      <c r="R26" s="3"/>
      <c r="S26" s="3"/>
    </row>
    <row r="27" spans="2:21" s="16" customFormat="1" x14ac:dyDescent="0.3">
      <c r="B27" s="16" t="s">
        <v>18</v>
      </c>
      <c r="D27" s="27">
        <f>1231.515</f>
        <v>1231.5150000000001</v>
      </c>
      <c r="E27" s="27">
        <f>1231.515</f>
        <v>1231.5150000000001</v>
      </c>
      <c r="F27" s="27">
        <f>1231.515</f>
        <v>1231.5150000000001</v>
      </c>
      <c r="G27" s="27">
        <f>1256.792</f>
        <v>1256.7919999999999</v>
      </c>
      <c r="H27" s="27">
        <f>836.766</f>
        <v>836.76599999999996</v>
      </c>
      <c r="I27" s="27">
        <f>836.786</f>
        <v>836.78599999999994</v>
      </c>
      <c r="J27" s="27">
        <f>836.807</f>
        <v>836.80700000000002</v>
      </c>
      <c r="K27" s="27">
        <f>836.827</f>
        <v>836.827</v>
      </c>
      <c r="L27" s="27">
        <f>925.841</f>
        <v>925.84100000000001</v>
      </c>
      <c r="M27" s="27">
        <f>1061.704</f>
        <v>1061.704</v>
      </c>
      <c r="N27" s="27">
        <f>1061.724</f>
        <v>1061.7239999999999</v>
      </c>
      <c r="O27" s="27">
        <v>1061.7439999999999</v>
      </c>
      <c r="P27" s="27">
        <v>1061.7639999999999</v>
      </c>
      <c r="Q27" s="27">
        <v>1072.674</v>
      </c>
      <c r="R27" s="150">
        <v>1097.9559999999999</v>
      </c>
      <c r="S27" s="150">
        <f>S18</f>
        <v>1111.28</v>
      </c>
      <c r="T27" s="220"/>
      <c r="U27" s="220"/>
    </row>
    <row r="28" spans="2:21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P28" s="3"/>
      <c r="Q28" s="3"/>
      <c r="R28" s="3"/>
      <c r="S28" s="3"/>
      <c r="T28" s="234"/>
      <c r="U28" s="234"/>
    </row>
    <row r="29" spans="2:21" x14ac:dyDescent="0.3">
      <c r="B29" s="3" t="s">
        <v>19</v>
      </c>
      <c r="C29" s="3"/>
      <c r="P29" s="3"/>
      <c r="Q29" s="3"/>
      <c r="R29" s="3"/>
      <c r="S29" s="3"/>
    </row>
    <row r="30" spans="2:21" x14ac:dyDescent="0.3">
      <c r="B30" s="28" t="s">
        <v>20</v>
      </c>
      <c r="C30" s="28"/>
      <c r="D30" s="29">
        <v>1008.651</v>
      </c>
      <c r="E30" s="29">
        <v>1008.651</v>
      </c>
      <c r="F30" s="29">
        <v>1008.651</v>
      </c>
      <c r="G30" s="29">
        <v>1031.9110000000001</v>
      </c>
      <c r="H30" s="29">
        <v>1326.7339999999999</v>
      </c>
      <c r="I30" s="29">
        <v>1326.7339999999999</v>
      </c>
      <c r="J30" s="29">
        <v>1326.7339999999999</v>
      </c>
      <c r="K30" s="29">
        <v>1326.7339999999999</v>
      </c>
      <c r="L30" s="29">
        <v>1466.36</v>
      </c>
      <c r="M30" s="29">
        <v>1682.011</v>
      </c>
      <c r="N30" s="29">
        <v>1682.011</v>
      </c>
      <c r="O30" s="29">
        <v>1682.011</v>
      </c>
      <c r="P30" s="29">
        <v>1682.011</v>
      </c>
      <c r="Q30" s="29">
        <v>1698.8489999999999</v>
      </c>
      <c r="R30" s="151">
        <v>1738.0450000000001</v>
      </c>
      <c r="S30" s="151">
        <v>1754.954</v>
      </c>
      <c r="T30" s="221"/>
      <c r="U30" s="221"/>
    </row>
    <row r="31" spans="2:21" x14ac:dyDescent="0.3">
      <c r="B31" s="28" t="s">
        <v>21</v>
      </c>
      <c r="C31" s="28"/>
      <c r="D31" s="30">
        <v>1.73</v>
      </c>
      <c r="E31" s="30">
        <v>1.98</v>
      </c>
      <c r="F31" s="30">
        <v>1.3</v>
      </c>
      <c r="G31" s="30">
        <v>1.38</v>
      </c>
      <c r="H31" s="30">
        <v>1.1299999999999999</v>
      </c>
      <c r="I31" s="30">
        <v>1.38</v>
      </c>
      <c r="J31" s="30">
        <v>1.67</v>
      </c>
      <c r="K31" s="30">
        <v>1.62</v>
      </c>
      <c r="L31" s="30">
        <v>2.13</v>
      </c>
      <c r="M31" s="30">
        <v>1.92</v>
      </c>
      <c r="N31" s="30">
        <v>2.38</v>
      </c>
      <c r="O31" s="30">
        <v>2.5099999999999998</v>
      </c>
      <c r="P31" s="30">
        <v>2.21</v>
      </c>
      <c r="Q31" s="30">
        <v>2.09</v>
      </c>
      <c r="R31" s="161">
        <v>2.11</v>
      </c>
      <c r="S31" s="152">
        <v>2.25</v>
      </c>
      <c r="T31" s="235"/>
      <c r="U31" s="235"/>
    </row>
    <row r="32" spans="2:21" x14ac:dyDescent="0.3">
      <c r="R32" s="3"/>
      <c r="S32" s="3"/>
    </row>
    <row r="33" spans="2:21" s="33" customFormat="1" x14ac:dyDescent="0.3">
      <c r="B33" s="31" t="s">
        <v>22</v>
      </c>
      <c r="C33" s="31"/>
      <c r="D33" s="32">
        <f>D13+D19</f>
        <v>423.55200000000002</v>
      </c>
      <c r="E33" s="32">
        <f>E13+E19</f>
        <v>424.01</v>
      </c>
      <c r="F33" s="32">
        <f t="shared" ref="F33:Q33" si="2">F12+F13+F19</f>
        <v>492.59799999999996</v>
      </c>
      <c r="G33" s="32">
        <f t="shared" si="2"/>
        <v>495.46500000000003</v>
      </c>
      <c r="H33" s="32">
        <f t="shared" si="2"/>
        <v>212.46199999999999</v>
      </c>
      <c r="I33" s="32">
        <f t="shared" si="2"/>
        <v>129.96600000000001</v>
      </c>
      <c r="J33" s="32">
        <f t="shared" si="2"/>
        <v>101.14699999999999</v>
      </c>
      <c r="K33" s="32">
        <f t="shared" si="2"/>
        <v>47.098999999999997</v>
      </c>
      <c r="L33" s="32">
        <f t="shared" si="2"/>
        <v>51.415999999999997</v>
      </c>
      <c r="M33" s="32">
        <f t="shared" si="2"/>
        <v>263.13299999999998</v>
      </c>
      <c r="N33" s="32">
        <f t="shared" si="2"/>
        <v>59.710999999999999</v>
      </c>
      <c r="O33" s="32">
        <f t="shared" si="2"/>
        <v>59.710999999999999</v>
      </c>
      <c r="P33" s="32">
        <f t="shared" si="2"/>
        <v>59.710999999999999</v>
      </c>
      <c r="Q33" s="32">
        <f t="shared" si="2"/>
        <v>99.876000000000005</v>
      </c>
      <c r="R33" s="32">
        <f>R12+R13+R22</f>
        <v>104.88800000000001</v>
      </c>
      <c r="S33" s="32">
        <f>S12+S13+S22</f>
        <v>62.802</v>
      </c>
      <c r="T33" s="236"/>
      <c r="U33" s="236"/>
    </row>
    <row r="34" spans="2:21" x14ac:dyDescent="0.3">
      <c r="B34" s="3"/>
      <c r="C34" s="3"/>
      <c r="P34" s="3"/>
      <c r="Q34" s="3"/>
      <c r="R34" s="3"/>
      <c r="S34" s="3"/>
    </row>
    <row r="35" spans="2:21" x14ac:dyDescent="0.3">
      <c r="B35" s="34" t="s">
        <v>23</v>
      </c>
      <c r="C35" s="3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5"/>
      <c r="Q35" s="35"/>
      <c r="R35" s="153"/>
      <c r="S35" s="153"/>
    </row>
    <row r="36" spans="2:21" x14ac:dyDescent="0.3">
      <c r="B36" s="28" t="s">
        <v>24</v>
      </c>
      <c r="C36" s="28"/>
      <c r="D36" s="37">
        <f t="shared" ref="D36:P36" si="3">D33</f>
        <v>423.55200000000002</v>
      </c>
      <c r="E36" s="37">
        <f t="shared" si="3"/>
        <v>424.01</v>
      </c>
      <c r="F36" s="37">
        <f t="shared" si="3"/>
        <v>492.59799999999996</v>
      </c>
      <c r="G36" s="37">
        <f t="shared" si="3"/>
        <v>495.46500000000003</v>
      </c>
      <c r="H36" s="37">
        <f t="shared" si="3"/>
        <v>212.46199999999999</v>
      </c>
      <c r="I36" s="37">
        <f t="shared" si="3"/>
        <v>129.96600000000001</v>
      </c>
      <c r="J36" s="37">
        <f t="shared" si="3"/>
        <v>101.14699999999999</v>
      </c>
      <c r="K36" s="37">
        <f t="shared" si="3"/>
        <v>47.098999999999997</v>
      </c>
      <c r="L36" s="37">
        <f t="shared" si="3"/>
        <v>51.415999999999997</v>
      </c>
      <c r="M36" s="37">
        <f t="shared" si="3"/>
        <v>263.13299999999998</v>
      </c>
      <c r="N36" s="37">
        <f t="shared" si="3"/>
        <v>59.710999999999999</v>
      </c>
      <c r="O36" s="37">
        <f t="shared" si="3"/>
        <v>59.710999999999999</v>
      </c>
      <c r="P36" s="37">
        <f t="shared" si="3"/>
        <v>59.710999999999999</v>
      </c>
      <c r="Q36" s="37">
        <f>Q33</f>
        <v>99.876000000000005</v>
      </c>
      <c r="R36" s="37">
        <f>R33</f>
        <v>104.88800000000001</v>
      </c>
      <c r="S36" s="37">
        <f>S33</f>
        <v>62.802</v>
      </c>
      <c r="T36" s="237"/>
      <c r="U36" s="237"/>
    </row>
    <row r="37" spans="2:21" x14ac:dyDescent="0.3">
      <c r="B37" s="28" t="s">
        <v>25</v>
      </c>
      <c r="C37" s="28"/>
      <c r="D37" s="37">
        <f t="shared" ref="D37:P37" si="4">D25</f>
        <v>607.88699999999994</v>
      </c>
      <c r="E37" s="37">
        <f t="shared" si="4"/>
        <v>663.46299999999997</v>
      </c>
      <c r="F37" s="37">
        <f t="shared" si="4"/>
        <v>390.66899999999998</v>
      </c>
      <c r="G37" s="37">
        <f t="shared" si="4"/>
        <v>576.21</v>
      </c>
      <c r="H37" s="37">
        <f t="shared" si="4"/>
        <v>1398.307</v>
      </c>
      <c r="I37" s="37">
        <f t="shared" si="4"/>
        <v>1333.82</v>
      </c>
      <c r="J37" s="37">
        <f t="shared" si="4"/>
        <v>1473.4559999999999</v>
      </c>
      <c r="K37" s="37">
        <f t="shared" si="4"/>
        <v>1632.9190000000001</v>
      </c>
      <c r="L37" s="37">
        <f t="shared" si="4"/>
        <v>1845.568</v>
      </c>
      <c r="M37" s="37">
        <f t="shared" si="4"/>
        <v>2156.355</v>
      </c>
      <c r="N37" s="37">
        <f t="shared" si="4"/>
        <v>2137.2840000000001</v>
      </c>
      <c r="O37" s="37">
        <f t="shared" si="4"/>
        <v>2076.7640000000001</v>
      </c>
      <c r="P37" s="37">
        <f t="shared" si="4"/>
        <v>1805.827</v>
      </c>
      <c r="Q37" s="37">
        <f>Q25</f>
        <v>1638.4079999999999</v>
      </c>
      <c r="R37" s="37">
        <f>R25</f>
        <v>1596.0309999999999</v>
      </c>
      <c r="S37" s="37">
        <f>S25</f>
        <v>1720.402</v>
      </c>
      <c r="T37" s="237"/>
      <c r="U37" s="237"/>
    </row>
    <row r="38" spans="2:21" x14ac:dyDescent="0.3">
      <c r="B38" s="28" t="s">
        <v>26</v>
      </c>
      <c r="C38" s="28"/>
      <c r="D38" s="38">
        <f t="shared" ref="D38:L38" si="5">D36/(D36+D37)</f>
        <v>0.41064183146070693</v>
      </c>
      <c r="E38" s="38">
        <f t="shared" si="5"/>
        <v>0.38990393324707834</v>
      </c>
      <c r="F38" s="38">
        <f t="shared" si="5"/>
        <v>0.55769999332025311</v>
      </c>
      <c r="G38" s="38">
        <f t="shared" si="5"/>
        <v>0.46232766463713343</v>
      </c>
      <c r="H38" s="38">
        <f t="shared" si="5"/>
        <v>0.13190097400682529</v>
      </c>
      <c r="I38" s="38">
        <f t="shared" si="5"/>
        <v>8.8787568674655995E-2</v>
      </c>
      <c r="J38" s="38">
        <f t="shared" si="5"/>
        <v>6.4236509139129039E-2</v>
      </c>
      <c r="K38" s="38">
        <f t="shared" si="5"/>
        <v>2.8034818674561819E-2</v>
      </c>
      <c r="L38" s="38">
        <f t="shared" si="5"/>
        <v>2.710407678715266E-2</v>
      </c>
      <c r="M38" s="38">
        <f t="shared" ref="M38:S38" si="6">M36/(M36+M37)</f>
        <v>0.10875565408879895</v>
      </c>
      <c r="N38" s="38">
        <f t="shared" si="6"/>
        <v>2.7178486978805143E-2</v>
      </c>
      <c r="O38" s="38">
        <f t="shared" si="6"/>
        <v>2.7948372903965644E-2</v>
      </c>
      <c r="P38" s="38">
        <f t="shared" si="6"/>
        <v>3.2007388753271172E-2</v>
      </c>
      <c r="Q38" s="38">
        <f t="shared" si="6"/>
        <v>5.7456664158445921E-2</v>
      </c>
      <c r="R38" s="38">
        <f t="shared" si="6"/>
        <v>6.1665487892133615E-2</v>
      </c>
      <c r="S38" s="38">
        <f t="shared" si="6"/>
        <v>3.521862893981844E-2</v>
      </c>
      <c r="T38" s="238"/>
      <c r="U38" s="238"/>
    </row>
    <row r="39" spans="2:21" x14ac:dyDescent="0.3">
      <c r="B39" s="28" t="s">
        <v>27</v>
      </c>
      <c r="C39" s="28"/>
      <c r="D39" s="39">
        <f t="shared" ref="D39:P39" si="7">D30*D31</f>
        <v>1744.96623</v>
      </c>
      <c r="E39" s="39">
        <f t="shared" si="7"/>
        <v>1997.12898</v>
      </c>
      <c r="F39" s="39">
        <f t="shared" si="7"/>
        <v>1311.2463</v>
      </c>
      <c r="G39" s="39">
        <f t="shared" si="7"/>
        <v>1424.03718</v>
      </c>
      <c r="H39" s="39">
        <f t="shared" si="7"/>
        <v>1499.2094199999997</v>
      </c>
      <c r="I39" s="39">
        <f t="shared" si="7"/>
        <v>1830.8929199999998</v>
      </c>
      <c r="J39" s="39">
        <f t="shared" si="7"/>
        <v>2215.6457799999998</v>
      </c>
      <c r="K39" s="39">
        <f t="shared" si="7"/>
        <v>2149.30908</v>
      </c>
      <c r="L39" s="39">
        <f t="shared" si="7"/>
        <v>3123.3467999999998</v>
      </c>
      <c r="M39" s="39">
        <f t="shared" si="7"/>
        <v>3229.4611199999999</v>
      </c>
      <c r="N39" s="39">
        <f t="shared" si="7"/>
        <v>4003.1861799999997</v>
      </c>
      <c r="O39" s="39">
        <f t="shared" si="7"/>
        <v>4221.8476099999998</v>
      </c>
      <c r="P39" s="39">
        <f t="shared" si="7"/>
        <v>3717.24431</v>
      </c>
      <c r="Q39" s="39">
        <f>Q30*Q31</f>
        <v>3550.5944099999997</v>
      </c>
      <c r="R39" s="39">
        <f>R30*R31</f>
        <v>3667.27495</v>
      </c>
      <c r="S39" s="39">
        <f>S30*S31</f>
        <v>3948.6464999999998</v>
      </c>
      <c r="T39" s="222"/>
      <c r="U39" s="222"/>
    </row>
    <row r="40" spans="2:21" x14ac:dyDescent="0.3">
      <c r="B40" s="28" t="s">
        <v>28</v>
      </c>
      <c r="C40" s="28"/>
      <c r="D40" s="38">
        <f t="shared" ref="D40:L40" si="8">D36/(D36+D39)</f>
        <v>0.19531862547450202</v>
      </c>
      <c r="E40" s="38">
        <f t="shared" si="8"/>
        <v>0.17512831915167465</v>
      </c>
      <c r="F40" s="38">
        <f t="shared" si="8"/>
        <v>0.27308232756008927</v>
      </c>
      <c r="G40" s="38">
        <f t="shared" si="8"/>
        <v>0.25812161359462488</v>
      </c>
      <c r="H40" s="38">
        <f t="shared" si="8"/>
        <v>0.12412545861167679</v>
      </c>
      <c r="I40" s="38">
        <f t="shared" si="8"/>
        <v>6.6280138093769661E-2</v>
      </c>
      <c r="J40" s="38">
        <f t="shared" si="8"/>
        <v>4.3658198900291809E-2</v>
      </c>
      <c r="K40" s="38">
        <f t="shared" si="8"/>
        <v>2.1443647211496324E-2</v>
      </c>
      <c r="L40" s="38">
        <f t="shared" si="8"/>
        <v>1.6195225671662778E-2</v>
      </c>
      <c r="M40" s="38">
        <f t="shared" ref="M40:S40" si="9">M36/(M36+M39)</f>
        <v>7.5340274580774941E-2</v>
      </c>
      <c r="N40" s="38">
        <f t="shared" si="9"/>
        <v>1.4696655454125965E-2</v>
      </c>
      <c r="O40" s="38">
        <f t="shared" si="9"/>
        <v>1.3946089599366713E-2</v>
      </c>
      <c r="P40" s="38">
        <f t="shared" si="9"/>
        <v>1.5809294815299257E-2</v>
      </c>
      <c r="Q40" s="38">
        <f t="shared" si="9"/>
        <v>2.7359761560154655E-2</v>
      </c>
      <c r="R40" s="38">
        <f t="shared" si="9"/>
        <v>2.7805797732041244E-2</v>
      </c>
      <c r="S40" s="38">
        <f t="shared" si="9"/>
        <v>1.5655691454096943E-2</v>
      </c>
      <c r="T40" s="238"/>
      <c r="U40" s="238"/>
    </row>
    <row r="41" spans="2:21" x14ac:dyDescent="0.3">
      <c r="B41" s="28"/>
      <c r="C41" s="28"/>
      <c r="P41" s="28"/>
      <c r="Q41" s="28"/>
      <c r="R41" s="28"/>
      <c r="S41" s="28"/>
    </row>
    <row r="42" spans="2:21" x14ac:dyDescent="0.3">
      <c r="B42" s="1" t="s">
        <v>149</v>
      </c>
      <c r="I42" s="193">
        <f>SUM(I45*I102,I46*I150,I47*I194)</f>
        <v>1063.9869799999999</v>
      </c>
      <c r="J42" s="193">
        <f>SUM(J45*J102,J46*J150,J47*J194)</f>
        <v>1183.0608999999999</v>
      </c>
      <c r="K42" s="193">
        <f>SUM(K45*K102,K46*K150,K47*K194)</f>
        <v>1405.4224100000001</v>
      </c>
      <c r="L42" s="193">
        <f>SUM(L45*L102,L46*L150,L47*L194)</f>
        <v>1517.37663</v>
      </c>
      <c r="M42" s="193">
        <f>SUM(M45*M102,M46*M150,M47*M194)</f>
        <v>1692.4222699999998</v>
      </c>
      <c r="N42" s="193">
        <f>SUM(N45*N102,N46*N150,N47*N194)</f>
        <v>2275.4240500000001</v>
      </c>
      <c r="O42" s="193">
        <f>SUM(O45*O102,O46*O150,O47*O194)</f>
        <v>2334.70516</v>
      </c>
      <c r="P42" s="193">
        <f>SUM(P45*P102,P46*P150,P47*P194)</f>
        <v>2380.7233499999998</v>
      </c>
      <c r="Q42" s="193">
        <f>SUM(Q45*Q102,Q46*Q150,Q47*Q194)</f>
        <v>2194.84962</v>
      </c>
      <c r="R42" s="193">
        <f>SUM(R45*R102,R46*R150,R47*R194)</f>
        <v>2076.33574</v>
      </c>
      <c r="S42" s="193">
        <f>SUM(S45*S102,S46*S150,S47*S194)</f>
        <v>2219.8077399999997</v>
      </c>
    </row>
    <row r="43" spans="2:21" x14ac:dyDescent="0.3">
      <c r="P43" s="2"/>
      <c r="Q43" s="2"/>
      <c r="R43" s="2"/>
    </row>
    <row r="44" spans="2:21" x14ac:dyDescent="0.3">
      <c r="B44" s="40" t="s">
        <v>29</v>
      </c>
      <c r="C44" s="40"/>
      <c r="P44" s="40"/>
      <c r="Q44" s="40"/>
      <c r="R44" s="154"/>
      <c r="S44" s="154"/>
    </row>
    <row r="45" spans="2:21" x14ac:dyDescent="0.3">
      <c r="B45" s="28" t="s">
        <v>30</v>
      </c>
      <c r="C45" s="28"/>
      <c r="D45" s="41">
        <v>0.49</v>
      </c>
      <c r="E45" s="41">
        <v>0.49</v>
      </c>
      <c r="F45" s="41">
        <v>0.49</v>
      </c>
      <c r="G45" s="41">
        <v>0.49</v>
      </c>
      <c r="H45" s="41">
        <v>0.49</v>
      </c>
      <c r="I45" s="41">
        <v>0.49</v>
      </c>
      <c r="J45" s="41">
        <v>0.49</v>
      </c>
      <c r="K45" s="41">
        <v>0.49</v>
      </c>
      <c r="L45" s="41">
        <v>0.49</v>
      </c>
      <c r="M45" s="41">
        <v>0.49</v>
      </c>
      <c r="N45" s="41">
        <v>0.49</v>
      </c>
      <c r="O45" s="41">
        <v>0.49</v>
      </c>
      <c r="P45" s="41">
        <v>0.49</v>
      </c>
      <c r="Q45" s="41">
        <v>0.49</v>
      </c>
      <c r="R45" s="3">
        <v>0.49</v>
      </c>
      <c r="S45" s="3">
        <v>0.49</v>
      </c>
      <c r="T45" s="239"/>
      <c r="U45" s="239"/>
    </row>
    <row r="46" spans="2:21" x14ac:dyDescent="0.3">
      <c r="B46" s="28" t="s">
        <v>31</v>
      </c>
      <c r="C46" s="28"/>
      <c r="D46" s="41">
        <v>0.49</v>
      </c>
      <c r="E46" s="41">
        <v>0.49</v>
      </c>
      <c r="F46" s="41">
        <v>0.49</v>
      </c>
      <c r="G46" s="41">
        <v>0.49</v>
      </c>
      <c r="H46" s="41">
        <v>0.49</v>
      </c>
      <c r="I46" s="41">
        <v>0.49</v>
      </c>
      <c r="J46" s="41">
        <v>0.49</v>
      </c>
      <c r="K46" s="41">
        <v>0.49</v>
      </c>
      <c r="L46" s="41">
        <v>0.49</v>
      </c>
      <c r="M46" s="41">
        <v>0.49</v>
      </c>
      <c r="N46" s="41">
        <v>0.49</v>
      </c>
      <c r="O46" s="41">
        <v>0.49</v>
      </c>
      <c r="P46" s="41">
        <v>0.49</v>
      </c>
      <c r="Q46" s="41">
        <v>0.49</v>
      </c>
      <c r="R46" s="3">
        <v>0.49</v>
      </c>
      <c r="S46" s="3">
        <v>0.49</v>
      </c>
      <c r="T46" s="239"/>
      <c r="U46" s="239"/>
    </row>
    <row r="47" spans="2:21" x14ac:dyDescent="0.3">
      <c r="B47" s="28" t="s">
        <v>32</v>
      </c>
      <c r="C47" s="28"/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0.15010000000000001</v>
      </c>
      <c r="N47" s="41">
        <v>0.15010000000000001</v>
      </c>
      <c r="O47" s="41">
        <v>0.15010000000000001</v>
      </c>
      <c r="P47" s="41">
        <v>0.15010000000000001</v>
      </c>
      <c r="Q47" s="41">
        <v>0.15010000000000001</v>
      </c>
      <c r="R47" s="3">
        <v>0.15010000000000001</v>
      </c>
      <c r="S47" s="3">
        <v>0.15010000000000001</v>
      </c>
      <c r="T47" s="239"/>
      <c r="U47" s="239"/>
    </row>
    <row r="48" spans="2:21" x14ac:dyDescent="0.3">
      <c r="B48" s="28" t="s">
        <v>33</v>
      </c>
      <c r="C48" s="28"/>
      <c r="D48" s="37">
        <f>D45*D106</f>
        <v>1088.4017200000001</v>
      </c>
      <c r="E48" s="37">
        <f>E45*E106</f>
        <v>1105.3498399999999</v>
      </c>
      <c r="F48" s="37">
        <f>F45*F106</f>
        <v>1164.19443</v>
      </c>
      <c r="G48" s="37">
        <f>G45*G106</f>
        <v>1314.8733499999998</v>
      </c>
      <c r="H48" s="37">
        <f>H45*H106</f>
        <v>1054.88033</v>
      </c>
      <c r="I48" s="37">
        <f>I45*I106</f>
        <v>1155.1627499999997</v>
      </c>
      <c r="J48" s="37">
        <f>J45*J106</f>
        <v>1278.9142100000001</v>
      </c>
      <c r="K48" s="37">
        <f>K45*K106</f>
        <v>1340.0480800000003</v>
      </c>
      <c r="L48" s="37">
        <f>L45*L106</f>
        <v>1530.06224</v>
      </c>
      <c r="M48" s="37">
        <f>M45*M106</f>
        <v>1608.3044599999998</v>
      </c>
      <c r="N48" s="37">
        <f>N45*N106</f>
        <v>1569.7375399999996</v>
      </c>
      <c r="O48" s="37">
        <f>O45*O106</f>
        <v>1554.4186700000002</v>
      </c>
      <c r="P48" s="37">
        <f>P45*P106</f>
        <v>1630.6709999999998</v>
      </c>
      <c r="Q48" s="37">
        <f>Q45*Q106</f>
        <v>1729.2590000000002</v>
      </c>
      <c r="R48" s="37">
        <f>R45*R106</f>
        <v>1739.0590000000002</v>
      </c>
      <c r="S48" s="37">
        <f>S45*S106</f>
        <v>1725.9270000000001</v>
      </c>
      <c r="T48" s="237"/>
      <c r="U48" s="237"/>
    </row>
    <row r="49" spans="2:21" x14ac:dyDescent="0.3">
      <c r="B49" s="28" t="s">
        <v>34</v>
      </c>
      <c r="C49" s="28"/>
      <c r="D49" s="37">
        <f>D46*D154</f>
        <v>1080.5979799999998</v>
      </c>
      <c r="E49" s="37">
        <f>E46*E154</f>
        <v>1150.29411</v>
      </c>
      <c r="F49" s="37">
        <f>F46*F154</f>
        <v>1357.8272399999998</v>
      </c>
      <c r="G49" s="37">
        <f>G46*G154</f>
        <v>1479.41094</v>
      </c>
      <c r="H49" s="37">
        <f>H46*H154</f>
        <v>1489.3108999999999</v>
      </c>
      <c r="I49" s="37">
        <f>I46*I154</f>
        <v>1691.58339</v>
      </c>
      <c r="J49" s="37">
        <f>J46*J154</f>
        <v>1818.9804499999998</v>
      </c>
      <c r="K49" s="37">
        <f>K46*K154</f>
        <v>2047.6619800000001</v>
      </c>
      <c r="L49" s="37">
        <f>L46*L154</f>
        <v>2245.7797599999999</v>
      </c>
      <c r="M49" s="37">
        <f>M46*M154</f>
        <v>2285.58736</v>
      </c>
      <c r="N49" s="37">
        <f>N46*N154</f>
        <v>2250.8948699999996</v>
      </c>
      <c r="O49" s="37">
        <f>O46*O154</f>
        <v>2210.7721999999999</v>
      </c>
      <c r="P49" s="37">
        <f>P46*P154</f>
        <v>2306.6784300000004</v>
      </c>
      <c r="Q49" s="37">
        <f>Q46*Q154</f>
        <v>2409.134</v>
      </c>
      <c r="R49" s="37">
        <v>2521.8339999999998</v>
      </c>
      <c r="S49" s="37">
        <f>S46*S154</f>
        <v>2605.183</v>
      </c>
      <c r="T49" s="237"/>
      <c r="U49" s="237"/>
    </row>
    <row r="50" spans="2:21" x14ac:dyDescent="0.3">
      <c r="B50" s="28" t="s">
        <v>35</v>
      </c>
      <c r="C50" s="28"/>
      <c r="M50" s="42">
        <f>M47*M198</f>
        <v>0</v>
      </c>
      <c r="N50" s="42">
        <f>N47*N198</f>
        <v>824.51431000000014</v>
      </c>
      <c r="O50" s="42">
        <f>O47*O198</f>
        <v>819.47095000000002</v>
      </c>
      <c r="P50" s="42">
        <f>P47*P198</f>
        <v>845.78348000000005</v>
      </c>
      <c r="Q50" s="42">
        <f>Q47*Q198</f>
        <v>902.74643000000015</v>
      </c>
      <c r="R50" s="37">
        <v>946.56062000000009</v>
      </c>
      <c r="S50" s="37">
        <f>S47*S198</f>
        <v>966.32879000000003</v>
      </c>
      <c r="T50" s="237"/>
      <c r="U50" s="237"/>
    </row>
    <row r="51" spans="2:21" x14ac:dyDescent="0.3">
      <c r="B51" s="43" t="s">
        <v>36</v>
      </c>
      <c r="C51" s="43"/>
      <c r="D51" s="44">
        <f>D111*D45</f>
        <v>1405.7747200000001</v>
      </c>
      <c r="E51" s="44">
        <f>E111*E45</f>
        <v>1422.7228399999999</v>
      </c>
      <c r="F51" s="44">
        <f>F111*F45</f>
        <v>1481.5674300000001</v>
      </c>
      <c r="G51" s="44">
        <f>G111*G45</f>
        <v>1632.2463499999999</v>
      </c>
      <c r="H51" s="44">
        <f>H111*H45</f>
        <v>1372.25333</v>
      </c>
      <c r="I51" s="44">
        <f>I111*I45</f>
        <v>1472.5357499999998</v>
      </c>
      <c r="J51" s="44">
        <f>J111*J45</f>
        <v>1596.2872100000002</v>
      </c>
      <c r="K51" s="44">
        <f>K111*K45</f>
        <v>1657.4210800000001</v>
      </c>
      <c r="L51" s="44">
        <f>L111*L45</f>
        <v>1847.4352399999998</v>
      </c>
      <c r="M51" s="44">
        <f>M111*M45</f>
        <v>1925.6774600000001</v>
      </c>
      <c r="N51" s="44">
        <f>N111*N45</f>
        <v>1887.1105399999999</v>
      </c>
      <c r="O51" s="44">
        <f>O111*O45</f>
        <v>1871.7916700000001</v>
      </c>
      <c r="P51" s="44">
        <f>P111*P45</f>
        <v>1948.0439999999999</v>
      </c>
      <c r="Q51" s="44">
        <f>Q111*Q45</f>
        <v>2046.6320000000001</v>
      </c>
      <c r="R51" s="44">
        <f>R111*R45</f>
        <v>2056.4320000000002</v>
      </c>
      <c r="S51" s="44">
        <f>S111*S45</f>
        <v>2043.3</v>
      </c>
      <c r="T51" s="240"/>
      <c r="U51" s="240"/>
    </row>
    <row r="52" spans="2:21" x14ac:dyDescent="0.3">
      <c r="B52" s="43" t="s">
        <v>37</v>
      </c>
      <c r="C52" s="43"/>
      <c r="D52" s="44">
        <f>D159*D46</f>
        <v>1962.0947499999997</v>
      </c>
      <c r="E52" s="44">
        <f>E159*E46</f>
        <v>1993.28864</v>
      </c>
      <c r="F52" s="44">
        <f>F159*F46</f>
        <v>2150.5413999999996</v>
      </c>
      <c r="G52" s="44">
        <f>G159*G46</f>
        <v>2225.3546000000001</v>
      </c>
      <c r="H52" s="44">
        <f>H159*H46</f>
        <v>2234.9287099999997</v>
      </c>
      <c r="I52" s="44">
        <f>I159*I46</f>
        <v>2437.2012</v>
      </c>
      <c r="J52" s="44">
        <f>J159*J46</f>
        <v>2564.6016899999995</v>
      </c>
      <c r="K52" s="44">
        <f>K159*K46</f>
        <v>2793.2832200000003</v>
      </c>
      <c r="L52" s="44">
        <f>L159*L46</f>
        <v>2991.4010000000003</v>
      </c>
      <c r="M52" s="44">
        <f>M159*M46</f>
        <v>3031.1890000000003</v>
      </c>
      <c r="N52" s="44">
        <f>N159*N46</f>
        <v>2931.5229999999997</v>
      </c>
      <c r="O52" s="44">
        <f>O159*O46</f>
        <v>2809.6109999999999</v>
      </c>
      <c r="P52" s="44">
        <f>P159*P46</f>
        <v>2810.0520000000001</v>
      </c>
      <c r="Q52" s="44">
        <f>Q159*Q46</f>
        <v>2869.7339999999999</v>
      </c>
      <c r="R52" s="44">
        <f>R159*R46</f>
        <v>2982.4340000000002</v>
      </c>
      <c r="S52" s="44">
        <f>S159*S46</f>
        <v>3065.7829999999999</v>
      </c>
      <c r="T52" s="240"/>
      <c r="U52" s="240"/>
    </row>
    <row r="53" spans="2:21" x14ac:dyDescent="0.3">
      <c r="B53" s="43" t="s">
        <v>38</v>
      </c>
      <c r="C53" s="43"/>
      <c r="D53" s="44">
        <f>D203*D47</f>
        <v>0</v>
      </c>
      <c r="E53" s="44">
        <f>E203*E47</f>
        <v>0</v>
      </c>
      <c r="F53" s="44">
        <f>F203*F47</f>
        <v>0</v>
      </c>
      <c r="G53" s="44">
        <f>G203*G47</f>
        <v>0</v>
      </c>
      <c r="H53" s="44">
        <f>H203*H47</f>
        <v>0</v>
      </c>
      <c r="I53" s="44">
        <f>I203*I47</f>
        <v>0</v>
      </c>
      <c r="J53" s="44">
        <f>J203*J47</f>
        <v>0</v>
      </c>
      <c r="K53" s="44">
        <f>K203*K47</f>
        <v>0</v>
      </c>
      <c r="L53" s="44">
        <f>L203*L47</f>
        <v>0</v>
      </c>
      <c r="M53" s="44">
        <f>M203*M47</f>
        <v>0</v>
      </c>
      <c r="N53" s="44">
        <f>N203*N47</f>
        <v>1061.9575</v>
      </c>
      <c r="O53" s="44">
        <f>O203*O47</f>
        <v>1056.9141400000001</v>
      </c>
      <c r="P53" s="44">
        <f>P203*P47</f>
        <v>1083.2266700000002</v>
      </c>
      <c r="Q53" s="44">
        <f>Q203*Q47</f>
        <v>1140.1896200000001</v>
      </c>
      <c r="R53" s="44">
        <f>R203*R47</f>
        <v>1140.9401200000002</v>
      </c>
      <c r="S53" s="44">
        <f>S203*S47</f>
        <v>1108.45848</v>
      </c>
      <c r="T53" s="240"/>
      <c r="U53" s="240"/>
    </row>
    <row r="54" spans="2:21" x14ac:dyDescent="0.3">
      <c r="B54" s="43" t="s">
        <v>39</v>
      </c>
      <c r="C54" s="43"/>
      <c r="D54" s="44">
        <f>D112*D45</f>
        <v>1247.0882200000001</v>
      </c>
      <c r="E54" s="44">
        <f>E112*E45</f>
        <v>1264.0363400000001</v>
      </c>
      <c r="F54" s="44">
        <f>F112*F45</f>
        <v>1322.88093</v>
      </c>
      <c r="G54" s="44">
        <f>G112*G45</f>
        <v>1473.5598499999999</v>
      </c>
      <c r="H54" s="44">
        <f>H112*H45</f>
        <v>1213.5668300000002</v>
      </c>
      <c r="I54" s="44">
        <f>I112*I45</f>
        <v>1313.84925</v>
      </c>
      <c r="J54" s="44">
        <f>J112*J45</f>
        <v>1437.6007100000002</v>
      </c>
      <c r="K54" s="44">
        <f>K112*K45</f>
        <v>1498.7345800000001</v>
      </c>
      <c r="L54" s="44">
        <f>L112*L45</f>
        <v>1688.74874</v>
      </c>
      <c r="M54" s="44">
        <f>M112*M45</f>
        <v>1766.9909600000001</v>
      </c>
      <c r="N54" s="44">
        <f>N112*N45</f>
        <v>1728.4240399999999</v>
      </c>
      <c r="O54" s="44">
        <f>O112*O45</f>
        <v>1713.10517</v>
      </c>
      <c r="P54" s="44">
        <f>P112*P45</f>
        <v>1789.3575000000001</v>
      </c>
      <c r="Q54" s="44">
        <f>Q112*Q45</f>
        <v>1887.9455</v>
      </c>
      <c r="R54" s="44">
        <f>R112*R45</f>
        <v>1897.7455</v>
      </c>
      <c r="S54" s="44">
        <f>S112*S45</f>
        <v>1884.6134999999999</v>
      </c>
      <c r="T54" s="240"/>
      <c r="U54" s="240"/>
    </row>
    <row r="55" spans="2:21" x14ac:dyDescent="0.3">
      <c r="B55" s="43" t="s">
        <v>40</v>
      </c>
      <c r="C55" s="43"/>
      <c r="D55" s="44">
        <f>D160*D46</f>
        <v>1521.3463649999999</v>
      </c>
      <c r="E55" s="44">
        <f>E160*E46</f>
        <v>1571.791375</v>
      </c>
      <c r="F55" s="44">
        <f>F160*F46</f>
        <v>1754.1843199999998</v>
      </c>
      <c r="G55" s="44">
        <f>G160*G46</f>
        <v>1852.3827699999999</v>
      </c>
      <c r="H55" s="44">
        <f>H160*H46</f>
        <v>1862.1198049999998</v>
      </c>
      <c r="I55" s="44">
        <f>I160*I46</f>
        <v>2064.3922950000001</v>
      </c>
      <c r="J55" s="44">
        <f>J160*J46</f>
        <v>2191.7910699999998</v>
      </c>
      <c r="K55" s="44">
        <f>K160*K46</f>
        <v>2420.4726000000005</v>
      </c>
      <c r="L55" s="44">
        <f>L160*L46</f>
        <v>2618.5903800000006</v>
      </c>
      <c r="M55" s="44">
        <f>M160*M46</f>
        <v>2658.3881799999999</v>
      </c>
      <c r="N55" s="44">
        <f>N160*N46</f>
        <v>2591.2089349999997</v>
      </c>
      <c r="O55" s="44">
        <f>O160*O46</f>
        <v>2510.1916000000001</v>
      </c>
      <c r="P55" s="44">
        <f>P160*P46</f>
        <v>2558.3652150000003</v>
      </c>
      <c r="Q55" s="44">
        <f>Q160*Q46</f>
        <v>2639.4340000000002</v>
      </c>
      <c r="R55" s="44">
        <f>R160*R46</f>
        <v>2752.134</v>
      </c>
      <c r="S55" s="44">
        <f>S160*S46</f>
        <v>2835.4829999999997</v>
      </c>
      <c r="T55" s="240"/>
      <c r="U55" s="240"/>
    </row>
    <row r="56" spans="2:21" x14ac:dyDescent="0.3">
      <c r="B56" s="43" t="s">
        <v>41</v>
      </c>
      <c r="C56" s="43"/>
      <c r="D56" s="44">
        <f>D204*D47</f>
        <v>0</v>
      </c>
      <c r="E56" s="44">
        <f>E204*E47</f>
        <v>0</v>
      </c>
      <c r="F56" s="44">
        <f>F204*F47</f>
        <v>0</v>
      </c>
      <c r="G56" s="44">
        <f>G204*G47</f>
        <v>0</v>
      </c>
      <c r="H56" s="44">
        <f>H204*H47</f>
        <v>0</v>
      </c>
      <c r="I56" s="44">
        <f>I204*I47</f>
        <v>0</v>
      </c>
      <c r="J56" s="44">
        <f>J204*J47</f>
        <v>0</v>
      </c>
      <c r="K56" s="44">
        <f>K204*K47</f>
        <v>0</v>
      </c>
      <c r="L56" s="44">
        <f>L204*L47</f>
        <v>0</v>
      </c>
      <c r="M56" s="44">
        <f>M204*M47</f>
        <v>0</v>
      </c>
      <c r="N56" s="44">
        <f>N204*N47</f>
        <v>943.23590500000012</v>
      </c>
      <c r="O56" s="44">
        <f>O204*O47</f>
        <v>938.192545</v>
      </c>
      <c r="P56" s="44">
        <f>P204*P47</f>
        <v>964.50507500000003</v>
      </c>
      <c r="Q56" s="44">
        <f>Q204*Q47</f>
        <v>1021.4680250000001</v>
      </c>
      <c r="R56" s="44">
        <f>R204*R47</f>
        <v>1022.2185250000001</v>
      </c>
      <c r="S56" s="44">
        <f>S204*S47</f>
        <v>989.73688500000003</v>
      </c>
      <c r="T56" s="240"/>
      <c r="U56" s="240"/>
    </row>
    <row r="57" spans="2:21" x14ac:dyDescent="0.3">
      <c r="B57" s="45" t="s">
        <v>24</v>
      </c>
      <c r="C57" s="45"/>
      <c r="D57" s="37">
        <f>D33+D48+D49+D50</f>
        <v>2592.5517</v>
      </c>
      <c r="E57" s="37">
        <f t="shared" ref="E57:O57" si="10">E33+E48+E49+E50</f>
        <v>2679.6539499999999</v>
      </c>
      <c r="F57" s="37">
        <f t="shared" si="10"/>
        <v>3014.61967</v>
      </c>
      <c r="G57" s="37">
        <f t="shared" si="10"/>
        <v>3289.7492899999997</v>
      </c>
      <c r="H57" s="37">
        <f t="shared" si="10"/>
        <v>2756.6532299999999</v>
      </c>
      <c r="I57" s="37">
        <f t="shared" si="10"/>
        <v>2976.7121399999996</v>
      </c>
      <c r="J57" s="37">
        <f t="shared" si="10"/>
        <v>3199.0416599999999</v>
      </c>
      <c r="K57" s="37">
        <f t="shared" si="10"/>
        <v>3434.8090600000005</v>
      </c>
      <c r="L57" s="37">
        <f t="shared" si="10"/>
        <v>3827.2579999999998</v>
      </c>
      <c r="M57" s="37">
        <f t="shared" si="10"/>
        <v>4157.0248199999996</v>
      </c>
      <c r="N57" s="37">
        <f t="shared" si="10"/>
        <v>4704.85772</v>
      </c>
      <c r="O57" s="37">
        <f t="shared" si="10"/>
        <v>4644.3728200000005</v>
      </c>
      <c r="P57" s="37">
        <f>P33+P48+P49+P50</f>
        <v>4842.8439100000005</v>
      </c>
      <c r="Q57" s="37">
        <f>Q33+Q48+Q49+Q50</f>
        <v>5141.0154300000004</v>
      </c>
      <c r="R57" s="37">
        <f>R33+R48+R49+R50</f>
        <v>5312.3416200000001</v>
      </c>
      <c r="S57" s="37">
        <f>S33+S48+S49+S50</f>
        <v>5360.2407899999998</v>
      </c>
      <c r="T57" s="237"/>
      <c r="U57" s="237"/>
    </row>
    <row r="58" spans="2:21" x14ac:dyDescent="0.3">
      <c r="B58" s="46" t="s">
        <v>42</v>
      </c>
      <c r="C58" s="46"/>
      <c r="D58" s="47">
        <f>SUM(D33,D51:D53)</f>
        <v>3791.4214699999998</v>
      </c>
      <c r="E58" s="47">
        <f t="shared" ref="E58:O58" si="11">SUM(E33,E51:E53)</f>
        <v>3840.0214799999999</v>
      </c>
      <c r="F58" s="47">
        <f t="shared" si="11"/>
        <v>4124.7068299999992</v>
      </c>
      <c r="G58" s="47">
        <f t="shared" si="11"/>
        <v>4353.0659500000002</v>
      </c>
      <c r="H58" s="47">
        <f t="shared" si="11"/>
        <v>3819.6440399999997</v>
      </c>
      <c r="I58" s="47">
        <f t="shared" si="11"/>
        <v>4039.7029499999999</v>
      </c>
      <c r="J58" s="47">
        <f t="shared" si="11"/>
        <v>4262.0358999999999</v>
      </c>
      <c r="K58" s="47">
        <f t="shared" si="11"/>
        <v>4497.8033000000005</v>
      </c>
      <c r="L58" s="47">
        <f t="shared" si="11"/>
        <v>4890.2522399999998</v>
      </c>
      <c r="M58" s="47">
        <f t="shared" si="11"/>
        <v>5219.9994600000009</v>
      </c>
      <c r="N58" s="47">
        <f t="shared" si="11"/>
        <v>5940.3020400000005</v>
      </c>
      <c r="O58" s="47">
        <f t="shared" si="11"/>
        <v>5798.0278099999996</v>
      </c>
      <c r="P58" s="47">
        <f>SUM(P33,P51:P53)</f>
        <v>5901.0336699999998</v>
      </c>
      <c r="Q58" s="47">
        <f>SUM(Q33,Q51:Q53)</f>
        <v>6156.4316200000003</v>
      </c>
      <c r="R58" s="47">
        <f>SUM(R33,R51:R53)</f>
        <v>6284.694120000001</v>
      </c>
      <c r="S58" s="47">
        <f>SUM(S33,S51:S53)</f>
        <v>6280.3434800000005</v>
      </c>
      <c r="T58" s="240"/>
      <c r="U58" s="240"/>
    </row>
    <row r="59" spans="2:21" x14ac:dyDescent="0.3">
      <c r="B59" s="46" t="s">
        <v>43</v>
      </c>
      <c r="C59" s="46"/>
      <c r="D59" s="47">
        <f>SUM(D33,D54:D56)</f>
        <v>3191.9865850000001</v>
      </c>
      <c r="E59" s="47">
        <f t="shared" ref="E59:Q59" si="12">SUM(E33,E54:E56)</f>
        <v>3259.8377150000001</v>
      </c>
      <c r="F59" s="47">
        <f t="shared" si="12"/>
        <v>3569.6632499999996</v>
      </c>
      <c r="G59" s="47">
        <f t="shared" si="12"/>
        <v>3821.40762</v>
      </c>
      <c r="H59" s="47">
        <f t="shared" si="12"/>
        <v>3288.148635</v>
      </c>
      <c r="I59" s="47">
        <f t="shared" si="12"/>
        <v>3508.2075450000002</v>
      </c>
      <c r="J59" s="47">
        <f t="shared" si="12"/>
        <v>3730.5387799999999</v>
      </c>
      <c r="K59" s="47">
        <f t="shared" si="12"/>
        <v>3966.3061800000005</v>
      </c>
      <c r="L59" s="47">
        <f t="shared" si="12"/>
        <v>4358.7551200000007</v>
      </c>
      <c r="M59" s="47">
        <f t="shared" si="12"/>
        <v>4688.5121399999998</v>
      </c>
      <c r="N59" s="47">
        <f t="shared" si="12"/>
        <v>5322.5798800000002</v>
      </c>
      <c r="O59" s="47">
        <f t="shared" si="12"/>
        <v>5221.200315</v>
      </c>
      <c r="P59" s="47">
        <f t="shared" si="12"/>
        <v>5371.9387900000002</v>
      </c>
      <c r="Q59" s="47">
        <f t="shared" si="12"/>
        <v>5648.7235250000003</v>
      </c>
      <c r="R59" s="47">
        <f>SUM(R33,R54:R56)</f>
        <v>5776.9860250000002</v>
      </c>
      <c r="S59" s="47">
        <f>SUM(S33,S54:S56)</f>
        <v>5772.6353849999996</v>
      </c>
      <c r="T59" s="240"/>
      <c r="U59" s="240"/>
    </row>
    <row r="60" spans="2:21" x14ac:dyDescent="0.3">
      <c r="B60" s="28" t="s">
        <v>25</v>
      </c>
      <c r="C60" s="28"/>
      <c r="D60" s="37">
        <f>D25</f>
        <v>607.88699999999994</v>
      </c>
      <c r="E60" s="37">
        <f t="shared" ref="E60:P60" si="13">E25</f>
        <v>663.46299999999997</v>
      </c>
      <c r="F60" s="37">
        <f t="shared" si="13"/>
        <v>390.66899999999998</v>
      </c>
      <c r="G60" s="208">
        <f t="shared" si="13"/>
        <v>576.21</v>
      </c>
      <c r="H60" s="208">
        <f t="shared" si="13"/>
        <v>1398.307</v>
      </c>
      <c r="I60" s="208">
        <f>I25</f>
        <v>1333.82</v>
      </c>
      <c r="J60" s="208">
        <f t="shared" si="13"/>
        <v>1473.4559999999999</v>
      </c>
      <c r="K60" s="208">
        <f t="shared" si="13"/>
        <v>1632.9190000000001</v>
      </c>
      <c r="L60" s="208">
        <f t="shared" si="13"/>
        <v>1845.568</v>
      </c>
      <c r="M60" s="208">
        <f t="shared" si="13"/>
        <v>2156.355</v>
      </c>
      <c r="N60" s="208">
        <f t="shared" si="13"/>
        <v>2137.2840000000001</v>
      </c>
      <c r="O60" s="208">
        <f t="shared" si="13"/>
        <v>2076.7640000000001</v>
      </c>
      <c r="P60" s="208">
        <f t="shared" si="13"/>
        <v>1805.827</v>
      </c>
      <c r="Q60" s="208">
        <f>Q25</f>
        <v>1638.4079999999999</v>
      </c>
      <c r="R60" s="208">
        <f>R25</f>
        <v>1596.0309999999999</v>
      </c>
      <c r="S60" s="208">
        <f>S25</f>
        <v>1720.402</v>
      </c>
      <c r="T60" s="237"/>
      <c r="U60" s="237"/>
    </row>
    <row r="61" spans="2:21" x14ac:dyDescent="0.3">
      <c r="B61" s="43" t="s">
        <v>44</v>
      </c>
      <c r="C61" s="43"/>
      <c r="D61" s="48">
        <f>D25+0.5*(D45*D104+D46*D152+D47*D208)</f>
        <v>1207.3218849999998</v>
      </c>
      <c r="E61" s="48">
        <f>E25+E45*E104+E46*E152+E47*E208</f>
        <v>1823.83053</v>
      </c>
      <c r="F61" s="48">
        <f>F25+F45*F104+F46*F152+F47*F208</f>
        <v>1500.7561599999999</v>
      </c>
      <c r="G61" s="209">
        <f>G25+G45*G104+G46*G152+G47*G208</f>
        <v>1639.52666</v>
      </c>
      <c r="H61" s="209">
        <f>H25+H45*H104+H46*H152+H47*H208</f>
        <v>2461.29781</v>
      </c>
      <c r="I61" s="209">
        <f>I25+0.5*(I45*I104+I46*I152+I47*I208)</f>
        <v>1865.3154049999998</v>
      </c>
      <c r="J61" s="209">
        <f>J25+0.5*(J45*J104+J46*J152+J47*J208)</f>
        <v>2004.9531199999999</v>
      </c>
      <c r="K61" s="209">
        <f>K25+0.5*(K45*K104+K46*K152+K47*K208)</f>
        <v>2164.4161199999999</v>
      </c>
      <c r="L61" s="209">
        <f>L25+0.5*(L45*L104+L46*L152+L47*L208)</f>
        <v>2377.0651200000002</v>
      </c>
      <c r="M61" s="209">
        <f>M25+0.5*(M45*M104+M46*M152+M47*M208)</f>
        <v>2687.8423199999997</v>
      </c>
      <c r="N61" s="209">
        <f>N25+0.5*(N45*N104+N46*N152+N47*N208)</f>
        <v>2928.9683075000003</v>
      </c>
      <c r="O61" s="209">
        <f>O25+0.5*(O45*O104+O46*O152+O47*O208)</f>
        <v>2824.3490075</v>
      </c>
      <c r="P61" s="209">
        <f>P25+0.5*(P45*P104+P46*P152+P47*P208)</f>
        <v>2493.4687574999998</v>
      </c>
      <c r="Q61" s="209">
        <f>Q25+0.5*(Q45*Q104+Q46*Q152+Q47*Q208)</f>
        <v>2281.6001074999999</v>
      </c>
      <c r="R61" s="209">
        <f>R25+0.5*(R45*R104+R46*R152+R47*R208)</f>
        <v>2231.8081674999999</v>
      </c>
      <c r="S61" s="209">
        <f>S25+0.5*(S45*S104+S46*S152+S47*S208)</f>
        <v>2356.1791674999999</v>
      </c>
      <c r="T61" s="241"/>
      <c r="U61" s="241"/>
    </row>
    <row r="62" spans="2:21" x14ac:dyDescent="0.3">
      <c r="B62" s="43" t="s">
        <v>45</v>
      </c>
      <c r="C62" s="43"/>
      <c r="D62" s="48">
        <f>D25+D45*D104+D46*D163+D47*D207</f>
        <v>1806.75677</v>
      </c>
      <c r="E62" s="48">
        <f>E25+E45*E104+E46*E163+E47*E207</f>
        <v>2182.8853799999997</v>
      </c>
      <c r="F62" s="48">
        <f>F25+F45*F104+F46*F163+F47*F207</f>
        <v>1794.6620799999998</v>
      </c>
      <c r="G62" s="209">
        <f>G25+G45*G104+G46*G163+G47*G207</f>
        <v>1999.3890300000003</v>
      </c>
      <c r="H62" s="209">
        <f>H25+H45*H104+H46*H163+H47*H207</f>
        <v>2896.12626</v>
      </c>
      <c r="I62" s="209">
        <f>I25+I45*I104+I46*I152+I47*I196</f>
        <v>2396.8108099999999</v>
      </c>
      <c r="J62" s="209">
        <f>J25+J45*J104+J46*J152+J47*J196</f>
        <v>2536.4502400000001</v>
      </c>
      <c r="K62" s="209">
        <f>K25+K45*K104+K46*K152+K47*K196</f>
        <v>2695.9132399999999</v>
      </c>
      <c r="L62" s="209">
        <f>L25+L45*L104+L46*L152+L47*L196</f>
        <v>2908.5622399999997</v>
      </c>
      <c r="M62" s="209">
        <f>M25+M45*M104+M46*M152+M47*M196</f>
        <v>3219.3296399999999</v>
      </c>
      <c r="N62" s="209">
        <f>N25+N45*N104+N46*N152+N47*N196</f>
        <v>3372.7283200000002</v>
      </c>
      <c r="O62" s="209">
        <f>O25+O45*O104+O46*O152+O47*O196</f>
        <v>3230.4189900000001</v>
      </c>
      <c r="P62" s="209">
        <f>P25+P45*P104+P46*P152+P47*P196</f>
        <v>2864.0167599999995</v>
      </c>
      <c r="Q62" s="209">
        <f>Q25+Q45*Q104+Q46*Q152+Q47*Q196</f>
        <v>2653.8241899999998</v>
      </c>
      <c r="R62" s="209">
        <f>R25+R45*R104+R46*R152+R47*R196</f>
        <v>2611.4471899999999</v>
      </c>
      <c r="S62" s="209">
        <f>S25+S45*S104+S46*S152+S47*S196</f>
        <v>2735.81819</v>
      </c>
      <c r="T62" s="241"/>
      <c r="U62" s="241"/>
    </row>
    <row r="63" spans="2:21" x14ac:dyDescent="0.3">
      <c r="B63" s="43" t="s">
        <v>119</v>
      </c>
      <c r="C63" s="43"/>
      <c r="D63" s="48">
        <f>D104*D45</f>
        <v>317.37299999999999</v>
      </c>
      <c r="E63" s="48">
        <f>E104*E45</f>
        <v>317.37299999999999</v>
      </c>
      <c r="F63" s="48">
        <f>F104*F45</f>
        <v>317.37299999999999</v>
      </c>
      <c r="G63" s="209">
        <f>G104*G45</f>
        <v>317.37299999999999</v>
      </c>
      <c r="H63" s="209">
        <f>H104*H45</f>
        <v>317.37299999999999</v>
      </c>
      <c r="I63" s="209">
        <f>I104*I45</f>
        <v>317.37299999999999</v>
      </c>
      <c r="J63" s="209">
        <f>J104*J45</f>
        <v>317.37299999999999</v>
      </c>
      <c r="K63" s="209">
        <f>K104*K45</f>
        <v>317.37299999999999</v>
      </c>
      <c r="L63" s="209">
        <f>L104*L45</f>
        <v>317.37299999999999</v>
      </c>
      <c r="M63" s="209">
        <f>M104*M45</f>
        <v>317.37299999999999</v>
      </c>
      <c r="N63" s="209">
        <f>N104*N45</f>
        <v>317.37299999999999</v>
      </c>
      <c r="O63" s="209">
        <f>O104*O45</f>
        <v>317.37299999999999</v>
      </c>
      <c r="P63" s="209">
        <f>P104*P45</f>
        <v>317.37299999999999</v>
      </c>
      <c r="Q63" s="209">
        <f>Q104*Q45</f>
        <v>317.37299999999999</v>
      </c>
      <c r="R63" s="209">
        <f>R104*R45</f>
        <v>317.37299999999999</v>
      </c>
      <c r="S63" s="209">
        <f>S104*S45</f>
        <v>317.37299999999999</v>
      </c>
      <c r="T63" s="241"/>
      <c r="U63" s="241"/>
    </row>
    <row r="64" spans="2:21" x14ac:dyDescent="0.3">
      <c r="B64" s="43" t="s">
        <v>120</v>
      </c>
      <c r="C64" s="43"/>
      <c r="D64" s="48">
        <f>D152*D46</f>
        <v>881.49676999999997</v>
      </c>
      <c r="E64" s="48">
        <f>E152*E46</f>
        <v>842.99452999999994</v>
      </c>
      <c r="F64" s="48">
        <f>F152*F46</f>
        <v>792.71415999999999</v>
      </c>
      <c r="G64" s="48">
        <f>G152*G46</f>
        <v>745.94366000000002</v>
      </c>
      <c r="H64" s="48">
        <f>H152*H46</f>
        <v>745.61781000000008</v>
      </c>
      <c r="I64" s="48">
        <f>I152*I46</f>
        <v>745.61781000000008</v>
      </c>
      <c r="J64" s="48">
        <f>J152*J46</f>
        <v>745.62123999999994</v>
      </c>
      <c r="K64" s="48">
        <f>K152*K46</f>
        <v>745.62123999999994</v>
      </c>
      <c r="L64" s="48">
        <f>L152*L46</f>
        <v>745.62123999999994</v>
      </c>
      <c r="M64" s="48">
        <f>M152*M46</f>
        <v>745.60163999999997</v>
      </c>
      <c r="N64" s="48">
        <f>N152*N46</f>
        <v>680.62813000000006</v>
      </c>
      <c r="O64" s="48">
        <f>O152*O46</f>
        <v>598.83879999999999</v>
      </c>
      <c r="P64" s="48">
        <f>P152*P46</f>
        <v>503.37356999999992</v>
      </c>
      <c r="Q64" s="48">
        <f>Q152*Q46</f>
        <v>460.59999999999997</v>
      </c>
      <c r="R64" s="48">
        <f>R152*R46</f>
        <v>460.59999999999997</v>
      </c>
      <c r="S64" s="48">
        <f>S152*S46</f>
        <v>460.59999999999997</v>
      </c>
      <c r="T64" s="241"/>
      <c r="U64" s="241"/>
    </row>
    <row r="65" spans="1:21" x14ac:dyDescent="0.3">
      <c r="B65" s="43" t="s">
        <v>121</v>
      </c>
      <c r="C65" s="43"/>
      <c r="D65" s="48">
        <f>D196*D47</f>
        <v>0</v>
      </c>
      <c r="E65" s="48">
        <f>E196*E47</f>
        <v>0</v>
      </c>
      <c r="F65" s="48">
        <f>F196*F47</f>
        <v>0</v>
      </c>
      <c r="G65" s="48">
        <f>G196*G47</f>
        <v>0</v>
      </c>
      <c r="H65" s="48">
        <f>H196*H47</f>
        <v>0</v>
      </c>
      <c r="I65" s="48">
        <f>I196*I47</f>
        <v>0</v>
      </c>
      <c r="J65" s="48">
        <f>J196*J47</f>
        <v>0</v>
      </c>
      <c r="K65" s="48">
        <f>K196*K47</f>
        <v>0</v>
      </c>
      <c r="L65" s="48">
        <f>L196*L47</f>
        <v>0</v>
      </c>
      <c r="M65" s="48">
        <f>M196*M47</f>
        <v>0</v>
      </c>
      <c r="N65" s="48">
        <f>N196*N47</f>
        <v>237.44319000000004</v>
      </c>
      <c r="O65" s="48">
        <f>O196*O47</f>
        <v>237.44319000000004</v>
      </c>
      <c r="P65" s="48">
        <f>P196*P47</f>
        <v>237.44319000000004</v>
      </c>
      <c r="Q65" s="48">
        <f>Q196*Q47</f>
        <v>237.44319000000004</v>
      </c>
      <c r="R65" s="48">
        <f>R196*R47</f>
        <v>237.44319000000004</v>
      </c>
      <c r="S65" s="48">
        <f>S196*S47</f>
        <v>237.44319000000004</v>
      </c>
      <c r="T65" s="241"/>
      <c r="U65" s="241"/>
    </row>
    <row r="66" spans="1:21" x14ac:dyDescent="0.3">
      <c r="B66" s="28"/>
      <c r="C66" s="28"/>
      <c r="D66" s="145">
        <f>D57/(D57+D60+D63+D64+D65)</f>
        <v>0.58930891472586377</v>
      </c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237"/>
      <c r="U66" s="237"/>
    </row>
    <row r="67" spans="1:21" x14ac:dyDescent="0.3">
      <c r="B67" s="49" t="s">
        <v>26</v>
      </c>
      <c r="C67" s="49"/>
      <c r="D67" s="50">
        <f>D57/(D57+D60)</f>
        <v>0.81006135190153783</v>
      </c>
      <c r="E67" s="50">
        <f t="shared" ref="E67:P67" si="14">E57/(E57+E60)</f>
        <v>0.80154358644258616</v>
      </c>
      <c r="F67" s="50">
        <f t="shared" si="14"/>
        <v>0.88527580541358342</v>
      </c>
      <c r="G67" s="50">
        <f t="shared" si="14"/>
        <v>0.85095290540423663</v>
      </c>
      <c r="H67" s="50">
        <f t="shared" si="14"/>
        <v>0.66346079803512348</v>
      </c>
      <c r="I67" s="50">
        <f t="shared" si="14"/>
        <v>0.6905672068599864</v>
      </c>
      <c r="J67" s="50">
        <f t="shared" si="14"/>
        <v>0.68465345363062202</v>
      </c>
      <c r="K67" s="50">
        <f t="shared" si="14"/>
        <v>0.67778085551023037</v>
      </c>
      <c r="L67" s="50">
        <f t="shared" si="14"/>
        <v>0.67466514925717791</v>
      </c>
      <c r="M67" s="50">
        <f t="shared" si="14"/>
        <v>0.65844681272478855</v>
      </c>
      <c r="N67" s="50">
        <f t="shared" si="14"/>
        <v>0.68762938748366065</v>
      </c>
      <c r="O67" s="50">
        <f t="shared" si="14"/>
        <v>0.69101000982152305</v>
      </c>
      <c r="P67" s="50">
        <f t="shared" si="14"/>
        <v>0.72839278339315483</v>
      </c>
      <c r="Q67" s="50">
        <f>Q57/(Q57+Q60)</f>
        <v>0.7583263507705108</v>
      </c>
      <c r="R67" s="50">
        <f>R57/(R57+R60)</f>
        <v>0.76897149476572391</v>
      </c>
      <c r="S67" s="50">
        <f>S57/(S57+S60)</f>
        <v>0.75702742660175915</v>
      </c>
      <c r="T67" s="242"/>
      <c r="U67" s="242"/>
    </row>
    <row r="68" spans="1:21" x14ac:dyDescent="0.3">
      <c r="B68" s="51" t="s">
        <v>46</v>
      </c>
      <c r="C68" s="51"/>
      <c r="D68" s="52">
        <f t="shared" ref="D68:Q68" si="15">D58/(D58+D60)</f>
        <v>0.86182214678844737</v>
      </c>
      <c r="E68" s="52">
        <f t="shared" si="15"/>
        <v>0.85267785357173032</v>
      </c>
      <c r="F68" s="52">
        <f t="shared" si="15"/>
        <v>0.91348029162834932</v>
      </c>
      <c r="G68" s="52">
        <f t="shared" si="15"/>
        <v>0.88310453587001958</v>
      </c>
      <c r="H68" s="52">
        <f t="shared" si="15"/>
        <v>0.73201990795222172</v>
      </c>
      <c r="I68" s="52">
        <f t="shared" si="15"/>
        <v>0.75177923079308706</v>
      </c>
      <c r="J68" s="52">
        <f t="shared" si="15"/>
        <v>0.74309858235524662</v>
      </c>
      <c r="K68" s="52">
        <f t="shared" si="15"/>
        <v>0.73364981806466756</v>
      </c>
      <c r="L68" s="52">
        <f t="shared" si="15"/>
        <v>0.72600693987641207</v>
      </c>
      <c r="M68" s="52">
        <f t="shared" si="15"/>
        <v>0.70766657002543243</v>
      </c>
      <c r="N68" s="52">
        <f t="shared" si="15"/>
        <v>0.73540560392470922</v>
      </c>
      <c r="O68" s="52">
        <f t="shared" si="15"/>
        <v>0.7362769645080941</v>
      </c>
      <c r="P68" s="52">
        <f t="shared" si="15"/>
        <v>0.76568578603873994</v>
      </c>
      <c r="Q68" s="52">
        <f t="shared" si="15"/>
        <v>0.78980863239364507</v>
      </c>
      <c r="R68" s="52">
        <f>R58/(R58+R60)</f>
        <v>0.79747663118593837</v>
      </c>
      <c r="S68" s="52">
        <f>S58/(S58+S60)</f>
        <v>0.78496978759034342</v>
      </c>
      <c r="T68" s="243"/>
      <c r="U68" s="243"/>
    </row>
    <row r="69" spans="1:21" x14ac:dyDescent="0.3">
      <c r="B69" s="51" t="s">
        <v>47</v>
      </c>
      <c r="C69" s="51"/>
      <c r="D69" s="52">
        <f t="shared" ref="D69:Q69" si="16">D59/(D59+D61)</f>
        <v>0.72556553075715557</v>
      </c>
      <c r="E69" s="52">
        <f t="shared" si="16"/>
        <v>0.64123730304513615</v>
      </c>
      <c r="F69" s="52">
        <f t="shared" si="16"/>
        <v>0.70401735267891774</v>
      </c>
      <c r="G69" s="52">
        <f t="shared" si="16"/>
        <v>0.69977176506141736</v>
      </c>
      <c r="H69" s="52">
        <f t="shared" si="16"/>
        <v>0.57190699425673153</v>
      </c>
      <c r="I69" s="52">
        <f t="shared" si="16"/>
        <v>0.65286918426578966</v>
      </c>
      <c r="J69" s="52">
        <f t="shared" si="16"/>
        <v>0.65043048530850511</v>
      </c>
      <c r="K69" s="52">
        <f t="shared" si="16"/>
        <v>0.646955772242367</v>
      </c>
      <c r="L69" s="52">
        <f t="shared" si="16"/>
        <v>0.64710086740675854</v>
      </c>
      <c r="M69" s="52">
        <f t="shared" si="16"/>
        <v>0.6356137256451746</v>
      </c>
      <c r="N69" s="52">
        <f t="shared" si="16"/>
        <v>0.64504014992762226</v>
      </c>
      <c r="O69" s="52">
        <f t="shared" si="16"/>
        <v>0.64895510619747365</v>
      </c>
      <c r="P69" s="52">
        <f t="shared" si="16"/>
        <v>0.68298289154863401</v>
      </c>
      <c r="Q69" s="52">
        <f t="shared" si="16"/>
        <v>0.71229419967811136</v>
      </c>
      <c r="R69" s="52">
        <f>R59/(R59+R61)</f>
        <v>0.72133031342096143</v>
      </c>
      <c r="S69" s="52">
        <f>S59/(S59+S61)</f>
        <v>0.7101448000464764</v>
      </c>
      <c r="T69" s="243"/>
      <c r="U69" s="243"/>
    </row>
    <row r="70" spans="1:21" x14ac:dyDescent="0.3">
      <c r="B70" s="51" t="s">
        <v>48</v>
      </c>
      <c r="C70" s="51"/>
      <c r="D70" s="52">
        <f t="shared" ref="D70:Q70" si="17">D57/(D62+D57)</f>
        <v>0.58930891472586377</v>
      </c>
      <c r="E70" s="52">
        <f t="shared" si="17"/>
        <v>0.55108118786156945</v>
      </c>
      <c r="F70" s="52">
        <f t="shared" si="17"/>
        <v>0.62683365764544774</v>
      </c>
      <c r="G70" s="52">
        <f t="shared" si="17"/>
        <v>0.62198208686665613</v>
      </c>
      <c r="H70" s="52">
        <f t="shared" si="17"/>
        <v>0.48766332295052961</v>
      </c>
      <c r="I70" s="52">
        <f t="shared" si="17"/>
        <v>0.55395913773849237</v>
      </c>
      <c r="J70" s="52">
        <f t="shared" si="17"/>
        <v>0.5577623882617635</v>
      </c>
      <c r="K70" s="52">
        <f t="shared" si="17"/>
        <v>0.56026172642006644</v>
      </c>
      <c r="L70" s="52">
        <f t="shared" si="17"/>
        <v>0.5681947949371049</v>
      </c>
      <c r="M70" s="52">
        <f t="shared" si="17"/>
        <v>0.56356088126491688</v>
      </c>
      <c r="N70" s="52">
        <f t="shared" si="17"/>
        <v>0.58245838505484981</v>
      </c>
      <c r="O70" s="52">
        <f t="shared" si="17"/>
        <v>0.58977721977389019</v>
      </c>
      <c r="P70" s="52">
        <f t="shared" si="17"/>
        <v>0.62838088261429548</v>
      </c>
      <c r="Q70" s="52">
        <f t="shared" si="17"/>
        <v>0.65954088610228523</v>
      </c>
      <c r="R70" s="52">
        <f>R57/(R62+R57)</f>
        <v>0.67042948107043254</v>
      </c>
      <c r="S70" s="52">
        <f>S57/(S62+S57)</f>
        <v>0.66208025450921304</v>
      </c>
      <c r="T70" s="243"/>
      <c r="U70" s="243"/>
    </row>
    <row r="71" spans="1:21" x14ac:dyDescent="0.3">
      <c r="B71" s="28" t="s">
        <v>27</v>
      </c>
      <c r="C71" s="28"/>
      <c r="D71" s="37">
        <f>D30*D31</f>
        <v>1744.96623</v>
      </c>
      <c r="E71" s="37">
        <f t="shared" ref="E71:P71" si="18">E30*E31</f>
        <v>1997.12898</v>
      </c>
      <c r="F71" s="37">
        <f t="shared" si="18"/>
        <v>1311.2463</v>
      </c>
      <c r="G71" s="37">
        <f t="shared" si="18"/>
        <v>1424.03718</v>
      </c>
      <c r="H71" s="37">
        <f t="shared" si="18"/>
        <v>1499.2094199999997</v>
      </c>
      <c r="I71" s="37">
        <f t="shared" si="18"/>
        <v>1830.8929199999998</v>
      </c>
      <c r="J71" s="37">
        <f t="shared" si="18"/>
        <v>2215.6457799999998</v>
      </c>
      <c r="K71" s="37">
        <f t="shared" si="18"/>
        <v>2149.30908</v>
      </c>
      <c r="L71" s="37">
        <f t="shared" si="18"/>
        <v>3123.3467999999998</v>
      </c>
      <c r="M71" s="37">
        <f t="shared" si="18"/>
        <v>3229.4611199999999</v>
      </c>
      <c r="N71" s="37">
        <f t="shared" si="18"/>
        <v>4003.1861799999997</v>
      </c>
      <c r="O71" s="37">
        <f t="shared" si="18"/>
        <v>4221.8476099999998</v>
      </c>
      <c r="P71" s="37">
        <f t="shared" si="18"/>
        <v>3717.24431</v>
      </c>
      <c r="Q71" s="37">
        <f>Q30*Q31</f>
        <v>3550.5944099999997</v>
      </c>
      <c r="R71" s="37">
        <f>R30*R31</f>
        <v>3667.27495</v>
      </c>
      <c r="S71" s="37">
        <f>S30*S31</f>
        <v>3948.6464999999998</v>
      </c>
      <c r="T71" s="237"/>
      <c r="U71" s="237"/>
    </row>
    <row r="72" spans="1:21" x14ac:dyDescent="0.3">
      <c r="A72" s="206"/>
      <c r="B72" s="207" t="s">
        <v>147</v>
      </c>
      <c r="C72" s="28"/>
      <c r="D72" s="37">
        <f>D71+SUM(D45*0.5*D104,D46*0.5*D152,D47*0.5*D196)</f>
        <v>2344.4011150000001</v>
      </c>
      <c r="E72" s="37">
        <f>E71+SUM(E45*0.5*E104,E46*0.5*E152,E47*0.5*E196)</f>
        <v>2577.3127450000002</v>
      </c>
      <c r="F72" s="37">
        <f>F71+SUM(F45*0.5*F104,F46*0.5*F152,F47*0.5*F196)</f>
        <v>1866.28988</v>
      </c>
      <c r="G72" s="37">
        <f>G71+SUM(G45*0.5*G104,G46*0.5*G152,G47*0.5*G196)</f>
        <v>1955.69551</v>
      </c>
      <c r="H72" s="37">
        <f>H71+SUM(H45*0.5*H104,H46*0.5*H152,H47*0.5*H196)</f>
        <v>2030.7048249999998</v>
      </c>
      <c r="I72" s="37">
        <f>I71+SUM(I45*0.5*I104,I46*0.5*I152,I47*0.5*I196)</f>
        <v>2362.3883249999999</v>
      </c>
      <c r="J72" s="37">
        <f>J71+SUM(J45*0.5*J104,J46*0.5*J152,J47*0.5*J196)</f>
        <v>2747.1428999999998</v>
      </c>
      <c r="K72" s="37">
        <f>K71+SUM(K45*0.5*K104,K46*0.5*K152,K47*0.5*K196)</f>
        <v>2680.8062</v>
      </c>
      <c r="L72" s="37">
        <f>L71+SUM(L45*0.5*L104,L46*0.5*L152,L47*0.5*L196)</f>
        <v>3654.8439199999998</v>
      </c>
      <c r="M72" s="37">
        <f>M71+SUM(M45*0.5*M104,M46*0.5*M152,M47*0.5*M196)</f>
        <v>3760.9484400000001</v>
      </c>
      <c r="N72" s="37">
        <f>N71+SUM(N45*0.5*N104,N46*0.5*N152,N47*0.5*N196)</f>
        <v>4620.90834</v>
      </c>
      <c r="O72" s="37">
        <f>O71+SUM(O45*0.5*O104,O46*0.5*O152,O47*0.5*O196)</f>
        <v>4798.6751050000003</v>
      </c>
      <c r="P72" s="37">
        <f>P71+SUM(P45*0.5*P104,P46*0.5*P152,P47*0.5*P196)</f>
        <v>4246.3391899999997</v>
      </c>
      <c r="Q72" s="37">
        <f>Q71+SUM(Q45*0.5*Q104,Q46*0.5*Q152,Q47*0.5*Q196)</f>
        <v>4058.3025049999997</v>
      </c>
      <c r="R72" s="37">
        <f>R71+SUM(R45*0.5*R104,R46*0.5*R152,R47*0.5*R196)</f>
        <v>4174.9830449999999</v>
      </c>
      <c r="S72" s="37">
        <f>S71+SUM(S45*0.5*S104,S46*0.5*S152,S47*0.5*S196)</f>
        <v>4456.3545949999998</v>
      </c>
      <c r="T72" s="237"/>
      <c r="U72" s="237"/>
    </row>
    <row r="73" spans="1:21" x14ac:dyDescent="0.3">
      <c r="A73" s="206"/>
      <c r="B73" s="207" t="s">
        <v>148</v>
      </c>
      <c r="C73" s="28"/>
      <c r="D73" s="37">
        <f>D71+SUM(D45*D104,D46*D152,D47*D196)</f>
        <v>2943.8360000000002</v>
      </c>
      <c r="E73" s="37">
        <f>E71+SUM(E45*E104,E46*E152,E47*E196)</f>
        <v>3157.4965099999999</v>
      </c>
      <c r="F73" s="37">
        <f>F71+SUM(F45*F104,F46*F152,F47*F196)</f>
        <v>2421.3334599999998</v>
      </c>
      <c r="G73" s="37">
        <f>G71+SUM(G45*G104,G46*G152,G47*G196)</f>
        <v>2487.3538399999998</v>
      </c>
      <c r="H73" s="37">
        <f>H71+SUM(H45*H104,H46*H152,H47*H196)</f>
        <v>2562.2002299999995</v>
      </c>
      <c r="I73" s="37">
        <f>I71+SUM(I45*I104,I46*I152,I47*I196)</f>
        <v>2893.8837299999996</v>
      </c>
      <c r="J73" s="37">
        <f>J71+SUM(J45*J104,J46*J152,J47*J196)</f>
        <v>3278.6400199999998</v>
      </c>
      <c r="K73" s="37">
        <f>K71+SUM(K45*K104,K46*K152,K47*K196)</f>
        <v>3212.30332</v>
      </c>
      <c r="L73" s="37">
        <f>L71+SUM(L45*L104,L46*L152,L47*L196)</f>
        <v>4186.3410399999993</v>
      </c>
      <c r="M73" s="37">
        <f>M71+SUM(M45*M104,M46*M152,M47*M196)</f>
        <v>4292.4357600000003</v>
      </c>
      <c r="N73" s="37">
        <f>N71+SUM(N45*N104,N46*N152,N47*N196)</f>
        <v>5238.6304999999993</v>
      </c>
      <c r="O73" s="37">
        <f>O71+SUM(O45*O104,O46*O152,O47*O196)</f>
        <v>5375.5025999999998</v>
      </c>
      <c r="P73" s="37">
        <f>P71+SUM(P45*P104,P46*P152,P47*P196)</f>
        <v>4775.4340700000002</v>
      </c>
      <c r="Q73" s="37">
        <f>Q71+SUM(Q45*Q104,Q46*Q152,Q47*Q196)</f>
        <v>4566.0105999999996</v>
      </c>
      <c r="R73" s="37">
        <f>R71+SUM(R45*R104,R46*R152,R47*R196)</f>
        <v>4682.6911399999999</v>
      </c>
      <c r="S73" s="37">
        <f>S71+SUM(S45*S104,S46*S152,S47*S196)</f>
        <v>4964.0626899999997</v>
      </c>
      <c r="T73" s="237"/>
      <c r="U73" s="237"/>
    </row>
    <row r="74" spans="1:21" x14ac:dyDescent="0.3">
      <c r="B74" s="49" t="s">
        <v>28</v>
      </c>
      <c r="C74" s="49"/>
      <c r="D74" s="210">
        <f t="shared" ref="D74:S74" si="19">D57/(D57+D71)</f>
        <v>0.59770397306461398</v>
      </c>
      <c r="E74" s="210">
        <f t="shared" si="19"/>
        <v>0.5729694942245267</v>
      </c>
      <c r="F74" s="210">
        <f t="shared" si="19"/>
        <v>0.69688235625108841</v>
      </c>
      <c r="G74" s="210">
        <f t="shared" si="19"/>
        <v>0.69789951473979261</v>
      </c>
      <c r="H74" s="210">
        <f t="shared" si="19"/>
        <v>0.64773077909363463</v>
      </c>
      <c r="I74" s="210">
        <f t="shared" si="19"/>
        <v>0.61916736147207563</v>
      </c>
      <c r="J74" s="210">
        <f t="shared" si="19"/>
        <v>0.59080818522740064</v>
      </c>
      <c r="K74" s="210">
        <f t="shared" si="19"/>
        <v>0.61510322201027079</v>
      </c>
      <c r="L74" s="210">
        <f t="shared" si="19"/>
        <v>0.55063668704052926</v>
      </c>
      <c r="M74" s="210">
        <f t="shared" si="19"/>
        <v>0.56278788774083821</v>
      </c>
      <c r="N74" s="210">
        <f t="shared" si="19"/>
        <v>0.54028870019821551</v>
      </c>
      <c r="O74" s="210">
        <f t="shared" si="19"/>
        <v>0.52382780877916879</v>
      </c>
      <c r="P74" s="210">
        <f t="shared" si="19"/>
        <v>0.56574696259380375</v>
      </c>
      <c r="Q74" s="210">
        <f t="shared" si="19"/>
        <v>0.59149174026891205</v>
      </c>
      <c r="R74" s="210">
        <f t="shared" si="19"/>
        <v>0.59160005091397794</v>
      </c>
      <c r="S74" s="210">
        <f t="shared" si="19"/>
        <v>0.57581971110104613</v>
      </c>
      <c r="T74" s="242"/>
      <c r="U74" s="242"/>
    </row>
    <row r="75" spans="1:21" x14ac:dyDescent="0.3">
      <c r="B75" s="51" t="s">
        <v>49</v>
      </c>
      <c r="C75" s="51"/>
      <c r="D75" s="211">
        <f t="shared" ref="D75:S75" si="20">D58/(D58+D71)</f>
        <v>0.68481863544346799</v>
      </c>
      <c r="E75" s="211">
        <f t="shared" si="20"/>
        <v>0.65785891700314336</v>
      </c>
      <c r="F75" s="211">
        <f t="shared" si="20"/>
        <v>0.75878263321229189</v>
      </c>
      <c r="G75" s="211">
        <f t="shared" si="20"/>
        <v>0.75350324410774361</v>
      </c>
      <c r="H75" s="211">
        <f t="shared" si="20"/>
        <v>0.71813297146186095</v>
      </c>
      <c r="I75" s="211">
        <f t="shared" si="20"/>
        <v>0.68812485809894464</v>
      </c>
      <c r="J75" s="211">
        <f t="shared" si="20"/>
        <v>0.65795698377077405</v>
      </c>
      <c r="K75" s="211">
        <f t="shared" si="20"/>
        <v>0.67665522152643376</v>
      </c>
      <c r="L75" s="211">
        <f t="shared" si="20"/>
        <v>0.61024418810951642</v>
      </c>
      <c r="M75" s="211">
        <f t="shared" si="20"/>
        <v>0.61779085310556003</v>
      </c>
      <c r="N75" s="211">
        <f t="shared" si="20"/>
        <v>0.59740625307443673</v>
      </c>
      <c r="O75" s="211">
        <f t="shared" si="20"/>
        <v>0.57865268448617091</v>
      </c>
      <c r="P75" s="211">
        <f t="shared" si="20"/>
        <v>0.61352288655728793</v>
      </c>
      <c r="Q75" s="211">
        <f t="shared" si="20"/>
        <v>0.63422428259420249</v>
      </c>
      <c r="R75" s="211">
        <f t="shared" si="20"/>
        <v>0.63150257761000061</v>
      </c>
      <c r="S75" s="211">
        <f>S58/(S58+S71)</f>
        <v>0.61397493714232776</v>
      </c>
      <c r="T75" s="243"/>
      <c r="U75" s="243"/>
    </row>
    <row r="76" spans="1:21" x14ac:dyDescent="0.3">
      <c r="B76" s="51" t="s">
        <v>50</v>
      </c>
      <c r="C76" s="51"/>
      <c r="D76" s="211">
        <f>D59/(D59+D72)</f>
        <v>0.5765467951241926</v>
      </c>
      <c r="E76" s="211">
        <f t="shared" ref="E76:S76" si="21">E59/(E59+E72)</f>
        <v>0.55846388359158383</v>
      </c>
      <c r="F76" s="211">
        <f t="shared" si="21"/>
        <v>0.65667660567191088</v>
      </c>
      <c r="G76" s="211">
        <f t="shared" si="21"/>
        <v>0.66147471042290362</v>
      </c>
      <c r="H76" s="211">
        <f t="shared" si="21"/>
        <v>0.6182062844423617</v>
      </c>
      <c r="I76" s="211">
        <f t="shared" si="21"/>
        <v>0.59758968641116839</v>
      </c>
      <c r="J76" s="211">
        <f t="shared" si="21"/>
        <v>0.57590646843887516</v>
      </c>
      <c r="K76" s="211">
        <f t="shared" si="21"/>
        <v>0.59669612205352851</v>
      </c>
      <c r="L76" s="211">
        <f t="shared" si="21"/>
        <v>0.54391979162461312</v>
      </c>
      <c r="M76" s="211">
        <f t="shared" si="21"/>
        <v>0.55488892996291139</v>
      </c>
      <c r="N76" s="211">
        <f t="shared" si="21"/>
        <v>0.53528296732874292</v>
      </c>
      <c r="O76" s="211">
        <f t="shared" si="21"/>
        <v>0.52108435445996792</v>
      </c>
      <c r="P76" s="211">
        <f t="shared" si="21"/>
        <v>0.558513571885765</v>
      </c>
      <c r="Q76" s="211">
        <f t="shared" si="21"/>
        <v>0.58192112677377872</v>
      </c>
      <c r="R76" s="211">
        <f t="shared" si="21"/>
        <v>0.580486734269965</v>
      </c>
      <c r="S76" s="211">
        <f t="shared" si="21"/>
        <v>0.56434070189596575</v>
      </c>
      <c r="T76" s="243"/>
      <c r="U76" s="243"/>
    </row>
    <row r="77" spans="1:21" x14ac:dyDescent="0.3">
      <c r="B77" s="51" t="s">
        <v>51</v>
      </c>
      <c r="C77" s="51"/>
      <c r="D77" s="212">
        <f>D57/(D57+D73)</f>
        <v>0.46827495480491726</v>
      </c>
      <c r="E77" s="212">
        <f t="shared" ref="E77:S77" si="22">E57/(E57+E73)</f>
        <v>0.4590688501800243</v>
      </c>
      <c r="F77" s="212">
        <f t="shared" si="22"/>
        <v>0.55457057813152999</v>
      </c>
      <c r="G77" s="212">
        <f t="shared" si="22"/>
        <v>0.56944617673806353</v>
      </c>
      <c r="H77" s="212">
        <f t="shared" si="22"/>
        <v>0.51827959742286267</v>
      </c>
      <c r="I77" s="212">
        <f t="shared" si="22"/>
        <v>0.50705451472339214</v>
      </c>
      <c r="J77" s="212">
        <f t="shared" si="22"/>
        <v>0.49385595310697639</v>
      </c>
      <c r="K77" s="212">
        <f t="shared" si="22"/>
        <v>0.51673702258062326</v>
      </c>
      <c r="L77" s="212">
        <f t="shared" si="22"/>
        <v>0.47759539513970994</v>
      </c>
      <c r="M77" s="212">
        <f t="shared" si="22"/>
        <v>0.49198700682026264</v>
      </c>
      <c r="N77" s="212">
        <f t="shared" si="22"/>
        <v>0.47315968158304916</v>
      </c>
      <c r="O77" s="212">
        <f t="shared" si="22"/>
        <v>0.46351602443376488</v>
      </c>
      <c r="P77" s="212">
        <f t="shared" si="22"/>
        <v>0.50350425721424197</v>
      </c>
      <c r="Q77" s="212">
        <f t="shared" si="22"/>
        <v>0.52961797095335494</v>
      </c>
      <c r="R77" s="212">
        <f t="shared" si="22"/>
        <v>0.53149816989694387</v>
      </c>
      <c r="S77" s="212">
        <f t="shared" si="22"/>
        <v>0.51918667446997602</v>
      </c>
      <c r="T77" s="212"/>
      <c r="U77" s="212"/>
    </row>
    <row r="78" spans="1:21" x14ac:dyDescent="0.3">
      <c r="B78" s="43"/>
      <c r="C78" s="4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07"/>
      <c r="Q78" s="207"/>
      <c r="R78" s="207"/>
      <c r="S78" s="214"/>
    </row>
    <row r="79" spans="1:21" x14ac:dyDescent="0.3">
      <c r="A79" s="1"/>
      <c r="B79" s="51" t="s">
        <v>50</v>
      </c>
      <c r="D79" s="215">
        <f>D59/(D59+D71+0.5*(D45*D104+D46*D152+D47*D196))</f>
        <v>0.5765467951241926</v>
      </c>
      <c r="E79" s="215">
        <f>E59/(E59+E71+0.5*(E45*E104+E46*E152+E47*E196))</f>
        <v>0.55846388359158383</v>
      </c>
      <c r="F79" s="215">
        <f>F59/(F59+F71+0.5*(F45*F104+F46*F152+F47*F196))</f>
        <v>0.65667660567191088</v>
      </c>
      <c r="G79" s="215">
        <f>G59/(G59+G71+0.5*(G45*G104+G46*G152+G47*G196))</f>
        <v>0.66147471042290351</v>
      </c>
      <c r="H79" s="215">
        <f>H59/(H59+H71+0.5*(H45*H104+H46*H152+H47*H196))</f>
        <v>0.61820628444236181</v>
      </c>
      <c r="I79" s="215">
        <f>I59/(I59+I71+0.5*(I45*I104+I46*I152+I47*I196))</f>
        <v>0.5975896864111685</v>
      </c>
      <c r="J79" s="215">
        <f>J59/(J59+J71+0.5*(J45*J104+J46*J152+J47*J196))</f>
        <v>0.57590646843887516</v>
      </c>
      <c r="K79" s="215">
        <f>K59/(K59+K71+0.5*(K45*K104+K46*K152+K47*K196))</f>
        <v>0.59669612205352851</v>
      </c>
      <c r="L79" s="215">
        <f>L59/(L59+L71+0.5*(L45*L104+L46*L152+L47*L196))</f>
        <v>0.54391979162461312</v>
      </c>
      <c r="M79" s="215">
        <f>M59/(M59+M71+0.5*(M45*M104+M46*M152+M47*M196))</f>
        <v>0.55488892996291139</v>
      </c>
      <c r="N79" s="215">
        <f>N59/(N59+N71+0.5*(N45*N104+N46*N152+N47*N196))</f>
        <v>0.53528296732874292</v>
      </c>
      <c r="O79" s="215">
        <f>O59/(O59+O71+0.5*(O45*O104+O46*O152+O47*O196))</f>
        <v>0.52108435445996804</v>
      </c>
      <c r="P79" s="215">
        <f>P59/(P59+P71+0.5*(P45*P104+P46*P152+P47*P196))</f>
        <v>0.55851357188576489</v>
      </c>
      <c r="Q79" s="215">
        <f>Q59/(Q59+Q71+0.5*(Q45*Q104+Q46*Q152+Q47*Q196))</f>
        <v>0.58192112677377883</v>
      </c>
      <c r="R79" s="215">
        <f>R59/(R59+R71+0.5*(R45*R104+R46*R152+R47*R196))</f>
        <v>0.58048673426996489</v>
      </c>
      <c r="S79" s="215">
        <f>S59/(S59+S71+0.5*(S45*S104+S46*S152+S47*S196))</f>
        <v>0.56434070189596564</v>
      </c>
      <c r="T79" s="238"/>
      <c r="U79" s="238"/>
    </row>
    <row r="80" spans="1:21" x14ac:dyDescent="0.3">
      <c r="B80" s="51" t="s">
        <v>51</v>
      </c>
      <c r="D80" s="144">
        <f>D57/(D57+D71+D45*D104+D46*D152+D47*D196)</f>
        <v>0.46827495480491732</v>
      </c>
      <c r="E80" s="144">
        <f>E57/(E57+E71+E45*E104+E46*E152+E47*E196)</f>
        <v>0.45906885018002436</v>
      </c>
      <c r="F80" s="144">
        <f>F57/(F57+F71+F45*F104+F46*F152+F47*F196)</f>
        <v>0.55457057813152999</v>
      </c>
      <c r="G80" s="144">
        <f>G57/(G57+G71+G45*G104+G46*G152+G47*G196)</f>
        <v>0.56944617673806353</v>
      </c>
      <c r="H80" s="144">
        <f>H57/(H57+H71+H45*H104+H46*H152+H47*H196)</f>
        <v>0.51827959742286278</v>
      </c>
      <c r="I80" s="144">
        <f>I57/(I57+I71+I45*I104+I46*I152+I47*I196)</f>
        <v>0.50705451472339214</v>
      </c>
      <c r="J80" s="144">
        <f>J57/(J57+J71+J45*J104+J46*J152+J47*J196)</f>
        <v>0.49385595310697639</v>
      </c>
      <c r="K80" s="144">
        <f>K57/(K57+K71+K45*K104+K46*K152+K47*K196)</f>
        <v>0.51673702258062326</v>
      </c>
      <c r="L80" s="144">
        <f>L57/(L57+L71+L45*L104+L46*L152+L47*L196)</f>
        <v>0.47759539513970994</v>
      </c>
      <c r="M80" s="144">
        <f>M57/(M57+M71+M45*M104+M46*M152+M47*M196)</f>
        <v>0.49198700682026264</v>
      </c>
      <c r="N80" s="144">
        <f>N57/(N57+N71+N45*N104+N46*N152+N47*N196)</f>
        <v>0.47315968158304905</v>
      </c>
      <c r="O80" s="144">
        <f>O57/(O57+O71+O45*O104+O46*O152+O47*O196)</f>
        <v>0.46351602443376488</v>
      </c>
      <c r="P80" s="144">
        <f>P57/(P57+P71+P45*P104+P46*P152+P47*P196)</f>
        <v>0.50350425721424197</v>
      </c>
      <c r="Q80" s="144">
        <f>Q57/(Q57+Q71+Q45*Q104+Q46*Q152+Q47*Q196)</f>
        <v>0.52961797095335494</v>
      </c>
      <c r="R80" s="144">
        <f>R57/(R57+R71+R45*R104+R46*R152+R47*R196)</f>
        <v>0.53149816989694387</v>
      </c>
      <c r="S80" s="144">
        <f>S57/(S57+S71+S45*S104+S46*S152+S47*S196)</f>
        <v>0.51918667446997602</v>
      </c>
    </row>
    <row r="81" spans="2:21" x14ac:dyDescent="0.3">
      <c r="B81" s="51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</row>
    <row r="82" spans="2:21" x14ac:dyDescent="0.3">
      <c r="B82" s="257" t="s">
        <v>52</v>
      </c>
      <c r="C82" s="257"/>
      <c r="D82" s="260">
        <v>39082</v>
      </c>
      <c r="E82" s="260">
        <v>39447</v>
      </c>
      <c r="F82" s="260">
        <v>39813</v>
      </c>
      <c r="G82" s="260">
        <v>40178</v>
      </c>
      <c r="H82" s="260">
        <v>40543</v>
      </c>
      <c r="I82" s="260">
        <v>40908</v>
      </c>
      <c r="J82" s="260">
        <v>41274</v>
      </c>
      <c r="K82" s="260">
        <v>41639</v>
      </c>
      <c r="L82" s="260">
        <v>42004</v>
      </c>
      <c r="M82" s="260">
        <v>42369</v>
      </c>
      <c r="N82" s="260">
        <v>42735</v>
      </c>
      <c r="O82" s="260">
        <v>43100</v>
      </c>
      <c r="P82" s="260">
        <v>43465</v>
      </c>
      <c r="Q82" s="260">
        <v>43830</v>
      </c>
      <c r="R82" s="258">
        <v>44195</v>
      </c>
      <c r="S82" s="258">
        <v>44377</v>
      </c>
      <c r="T82" s="230"/>
      <c r="U82" s="230"/>
    </row>
    <row r="83" spans="2:21" x14ac:dyDescent="0.3">
      <c r="R83" s="3"/>
      <c r="S83" s="3"/>
    </row>
    <row r="84" spans="2:21" x14ac:dyDescent="0.3">
      <c r="B84" s="1" t="s">
        <v>3</v>
      </c>
      <c r="R84" s="3"/>
      <c r="S84" s="3"/>
    </row>
    <row r="85" spans="2:21" x14ac:dyDescent="0.3">
      <c r="B85" s="4" t="s">
        <v>4</v>
      </c>
      <c r="C85" s="4"/>
      <c r="P85" s="4"/>
      <c r="Q85" s="4"/>
      <c r="R85" s="4"/>
      <c r="S85" s="4"/>
    </row>
    <row r="86" spans="2:21" x14ac:dyDescent="0.3">
      <c r="B86" s="5" t="s">
        <v>5</v>
      </c>
      <c r="C86" s="5"/>
      <c r="D86" s="7">
        <v>142.655</v>
      </c>
      <c r="E86" s="7">
        <v>168.14500000000001</v>
      </c>
      <c r="F86" s="7">
        <v>15.817</v>
      </c>
      <c r="G86" s="7">
        <v>552.51499999999999</v>
      </c>
      <c r="H86" s="7">
        <v>58.856999999999999</v>
      </c>
      <c r="I86" s="7">
        <v>26.780999999999999</v>
      </c>
      <c r="J86" s="7">
        <v>109.682</v>
      </c>
      <c r="K86" s="7">
        <v>55.771999999999998</v>
      </c>
      <c r="L86" s="7">
        <v>191.79599999999999</v>
      </c>
      <c r="M86" s="7">
        <v>239.85300000000001</v>
      </c>
      <c r="N86" s="7">
        <v>213.32900000000001</v>
      </c>
      <c r="O86" s="7">
        <v>222.84700000000001</v>
      </c>
      <c r="P86" s="7">
        <v>30.5</v>
      </c>
      <c r="Q86" s="7">
        <v>29.7</v>
      </c>
      <c r="R86" s="155">
        <v>75.3</v>
      </c>
      <c r="S86" s="155">
        <v>116.2</v>
      </c>
      <c r="T86" s="218"/>
      <c r="U86" s="218"/>
    </row>
    <row r="87" spans="2:21" x14ac:dyDescent="0.3">
      <c r="B87" s="4" t="s">
        <v>6</v>
      </c>
      <c r="C87" s="4"/>
      <c r="D87" s="9"/>
      <c r="E87" s="9"/>
      <c r="F87" s="9"/>
      <c r="G87" s="9"/>
      <c r="H87" s="9"/>
      <c r="I87" s="9"/>
      <c r="J87" s="9"/>
      <c r="K87" s="55"/>
      <c r="L87" s="55"/>
      <c r="M87" s="55"/>
      <c r="N87" s="55"/>
      <c r="O87" s="55"/>
      <c r="P87" s="54"/>
      <c r="Q87" s="53"/>
      <c r="R87" s="156"/>
      <c r="S87" s="156"/>
      <c r="T87" s="231"/>
      <c r="U87" s="231"/>
    </row>
    <row r="88" spans="2:21" x14ac:dyDescent="0.3">
      <c r="B88" s="10" t="s">
        <v>7</v>
      </c>
      <c r="C88" s="10"/>
      <c r="D88" s="12"/>
      <c r="E88" s="12"/>
      <c r="F88" s="12"/>
      <c r="G88" s="12"/>
      <c r="H88" s="12"/>
      <c r="I88" s="12"/>
      <c r="J88" s="12"/>
      <c r="K88" s="58"/>
      <c r="L88" s="58"/>
      <c r="M88" s="58"/>
      <c r="N88" s="58"/>
      <c r="O88" s="55"/>
      <c r="P88" s="57"/>
      <c r="Q88" s="56"/>
      <c r="R88" s="157"/>
      <c r="S88" s="157"/>
      <c r="T88" s="232"/>
      <c r="U88" s="232"/>
    </row>
    <row r="89" spans="2:21" x14ac:dyDescent="0.3">
      <c r="B89" s="13" t="s">
        <v>53</v>
      </c>
      <c r="C89" s="13"/>
      <c r="D89" s="7">
        <v>204.93299999999999</v>
      </c>
      <c r="E89" s="7">
        <v>174.34</v>
      </c>
      <c r="F89" s="7">
        <v>143.95599999999999</v>
      </c>
      <c r="G89" s="7">
        <v>175.97499999999999</v>
      </c>
      <c r="H89" s="7">
        <v>191.23699999999999</v>
      </c>
      <c r="I89" s="7">
        <v>215.57499999999999</v>
      </c>
      <c r="J89" s="7">
        <v>221.62299999999999</v>
      </c>
      <c r="K89" s="7">
        <v>239.2</v>
      </c>
      <c r="L89" s="7">
        <v>267.8</v>
      </c>
      <c r="M89" s="7">
        <v>237.804</v>
      </c>
      <c r="N89" s="7">
        <v>238.8</v>
      </c>
      <c r="O89" s="60">
        <v>245.727</v>
      </c>
      <c r="P89" s="59">
        <v>244.3</v>
      </c>
      <c r="Q89" s="24">
        <v>253.7</v>
      </c>
      <c r="R89" s="158">
        <v>240.3</v>
      </c>
      <c r="S89" s="158">
        <v>271.60000000000002</v>
      </c>
      <c r="T89" s="218"/>
      <c r="U89" s="218"/>
    </row>
    <row r="90" spans="2:21" x14ac:dyDescent="0.3">
      <c r="B90" s="13" t="s">
        <v>22</v>
      </c>
      <c r="C90" s="13"/>
      <c r="D90" s="7">
        <v>149.92500000000001</v>
      </c>
      <c r="E90" s="7">
        <v>106.16</v>
      </c>
      <c r="F90" s="7">
        <v>4.2809999999999997</v>
      </c>
      <c r="G90" s="7">
        <v>707.09500000000003</v>
      </c>
      <c r="H90" s="7">
        <v>112.313</v>
      </c>
      <c r="I90" s="7">
        <v>36.307000000000002</v>
      </c>
      <c r="J90" s="7">
        <v>1.534</v>
      </c>
      <c r="K90" s="7">
        <v>185.08799999999999</v>
      </c>
      <c r="L90" s="7">
        <v>304.65800000000002</v>
      </c>
      <c r="M90" s="7">
        <v>769.51599999999996</v>
      </c>
      <c r="N90" s="7">
        <v>501.71800000000002</v>
      </c>
      <c r="O90" s="7">
        <v>349.483</v>
      </c>
      <c r="P90" s="59">
        <v>810</v>
      </c>
      <c r="Q90" s="24"/>
      <c r="R90" s="158">
        <v>0</v>
      </c>
      <c r="S90" s="158">
        <v>67.599999999999994</v>
      </c>
      <c r="T90" s="218"/>
      <c r="U90" s="218"/>
    </row>
    <row r="91" spans="2:21" x14ac:dyDescent="0.3">
      <c r="B91" s="19" t="s">
        <v>11</v>
      </c>
      <c r="C91" s="19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60">
        <v>126</v>
      </c>
      <c r="P91" s="61">
        <v>132.69999999999999</v>
      </c>
      <c r="Q91" s="24">
        <v>137.5</v>
      </c>
      <c r="R91" s="158">
        <v>135.80000000000001</v>
      </c>
      <c r="S91" s="158">
        <v>158</v>
      </c>
      <c r="T91" s="218"/>
      <c r="U91" s="218"/>
    </row>
    <row r="92" spans="2:21" x14ac:dyDescent="0.3">
      <c r="B92" s="13" t="s">
        <v>54</v>
      </c>
      <c r="C92" s="13"/>
      <c r="D92" s="7">
        <v>31.468</v>
      </c>
      <c r="E92" s="7">
        <v>66.742000000000004</v>
      </c>
      <c r="F92" s="7">
        <v>74.049000000000007</v>
      </c>
      <c r="G92" s="7">
        <v>91.313000000000002</v>
      </c>
      <c r="H92" s="7">
        <v>94.075000000000003</v>
      </c>
      <c r="I92" s="7">
        <v>105.294</v>
      </c>
      <c r="J92" s="7">
        <v>102.194</v>
      </c>
      <c r="K92" s="7">
        <v>80.819999999999993</v>
      </c>
      <c r="L92" s="7">
        <v>89.980999999999995</v>
      </c>
      <c r="M92" s="7">
        <v>88.742999999999995</v>
      </c>
      <c r="N92" s="7">
        <v>127.9</v>
      </c>
      <c r="O92" s="24"/>
      <c r="P92" s="24"/>
      <c r="Q92" s="24"/>
      <c r="R92" s="158">
        <v>0</v>
      </c>
      <c r="S92" s="158"/>
      <c r="T92" s="218"/>
      <c r="U92" s="218"/>
    </row>
    <row r="93" spans="2:21" x14ac:dyDescent="0.3">
      <c r="B93" s="21" t="s">
        <v>12</v>
      </c>
      <c r="C93" s="21"/>
      <c r="D93" s="22">
        <f t="shared" ref="D93:K93" si="23">SUM(D89:D92)</f>
        <v>386.32600000000002</v>
      </c>
      <c r="E93" s="22">
        <f t="shared" si="23"/>
        <v>347.24200000000002</v>
      </c>
      <c r="F93" s="22">
        <f t="shared" si="23"/>
        <v>222.286</v>
      </c>
      <c r="G93" s="22">
        <f t="shared" si="23"/>
        <v>974.38300000000004</v>
      </c>
      <c r="H93" s="22">
        <f t="shared" si="23"/>
        <v>397.625</v>
      </c>
      <c r="I93" s="22">
        <f t="shared" si="23"/>
        <v>357.17599999999999</v>
      </c>
      <c r="J93" s="22">
        <f t="shared" si="23"/>
        <v>325.351</v>
      </c>
      <c r="K93" s="22">
        <f t="shared" si="23"/>
        <v>505.108</v>
      </c>
      <c r="L93" s="22">
        <f t="shared" ref="L93:S93" si="24">SUM(L89:L92)</f>
        <v>662.43900000000008</v>
      </c>
      <c r="M93" s="22">
        <f t="shared" si="24"/>
        <v>1096.0629999999999</v>
      </c>
      <c r="N93" s="22">
        <f t="shared" si="24"/>
        <v>868.41800000000001</v>
      </c>
      <c r="O93" s="22">
        <f t="shared" si="24"/>
        <v>721.21</v>
      </c>
      <c r="P93" s="22">
        <f t="shared" si="24"/>
        <v>1187</v>
      </c>
      <c r="Q93" s="22">
        <f t="shared" si="24"/>
        <v>391.2</v>
      </c>
      <c r="R93" s="22">
        <f t="shared" si="24"/>
        <v>376.1</v>
      </c>
      <c r="S93" s="22">
        <f t="shared" si="24"/>
        <v>497.20000000000005</v>
      </c>
      <c r="T93" s="233"/>
      <c r="U93" s="233"/>
    </row>
    <row r="94" spans="2:21" x14ac:dyDescent="0.3">
      <c r="B94" s="10" t="s">
        <v>13</v>
      </c>
      <c r="C94" s="10"/>
      <c r="D94" s="64"/>
      <c r="E94" s="64"/>
      <c r="F94" s="64"/>
      <c r="G94" s="64"/>
      <c r="H94" s="64"/>
      <c r="I94" s="64"/>
      <c r="J94" s="64"/>
      <c r="K94" s="63"/>
      <c r="L94" s="63"/>
      <c r="M94" s="63"/>
      <c r="N94" s="63"/>
      <c r="O94" s="63"/>
      <c r="P94" s="62"/>
      <c r="Q94" s="11"/>
      <c r="R94" s="10"/>
      <c r="S94" s="10"/>
      <c r="T94" s="244"/>
      <c r="U94" s="244"/>
    </row>
    <row r="95" spans="2:21" x14ac:dyDescent="0.3">
      <c r="B95" s="13" t="s">
        <v>53</v>
      </c>
      <c r="C95" s="13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3"/>
      <c r="P95" s="66"/>
      <c r="Q95" s="65"/>
      <c r="R95" s="13"/>
      <c r="S95" s="13"/>
      <c r="T95" s="223"/>
      <c r="U95" s="223"/>
    </row>
    <row r="96" spans="2:21" x14ac:dyDescent="0.3">
      <c r="B96" s="13" t="s">
        <v>22</v>
      </c>
      <c r="C96" s="13"/>
      <c r="D96" s="7">
        <v>2719.0030000000002</v>
      </c>
      <c r="E96" s="7">
        <v>2797.3560000000002</v>
      </c>
      <c r="F96" s="7">
        <v>3019.326</v>
      </c>
      <c r="G96" s="7">
        <v>2624.02</v>
      </c>
      <c r="H96" s="7">
        <v>2688.2040000000002</v>
      </c>
      <c r="I96" s="7">
        <v>2968.8679999999999</v>
      </c>
      <c r="J96" s="7">
        <v>3256.1950000000002</v>
      </c>
      <c r="K96" s="7">
        <v>3197.404</v>
      </c>
      <c r="L96" s="7">
        <v>3465.6179999999999</v>
      </c>
      <c r="M96" s="7">
        <v>3160.4380000000001</v>
      </c>
      <c r="N96" s="7">
        <v>3349.5279999999998</v>
      </c>
      <c r="O96" s="7">
        <v>3470.5</v>
      </c>
      <c r="P96" s="59">
        <v>3165.6</v>
      </c>
      <c r="Q96" s="24">
        <v>4176.8</v>
      </c>
      <c r="R96" s="158">
        <v>4196.8</v>
      </c>
      <c r="S96" s="158">
        <v>4102.3999999999996</v>
      </c>
      <c r="T96" s="218"/>
      <c r="U96" s="218"/>
    </row>
    <row r="97" spans="2:21" x14ac:dyDescent="0.3">
      <c r="B97" s="19" t="s">
        <v>11</v>
      </c>
      <c r="C97" s="19"/>
      <c r="D97" s="7">
        <v>56.686</v>
      </c>
      <c r="E97" s="7">
        <v>86.302999999999997</v>
      </c>
      <c r="F97" s="7">
        <v>98.397999999999996</v>
      </c>
      <c r="G97" s="7">
        <v>126.42700000000001</v>
      </c>
      <c r="H97" s="7">
        <v>245.131</v>
      </c>
      <c r="I97" s="7">
        <v>331.76100000000002</v>
      </c>
      <c r="J97" s="7">
        <v>366.87299999999999</v>
      </c>
      <c r="K97" s="7">
        <v>165.75800000000001</v>
      </c>
      <c r="L97" s="7"/>
      <c r="M97" s="68"/>
      <c r="N97" s="68"/>
      <c r="O97" s="60">
        <v>188.7</v>
      </c>
      <c r="P97" s="59">
        <v>150.6</v>
      </c>
      <c r="Q97" s="24">
        <v>334.2</v>
      </c>
      <c r="R97" s="158">
        <v>394</v>
      </c>
      <c r="S97" s="158">
        <v>226.2</v>
      </c>
      <c r="T97" s="245"/>
      <c r="U97" s="245"/>
    </row>
    <row r="98" spans="2:21" x14ac:dyDescent="0.3">
      <c r="B98" s="13" t="s">
        <v>14</v>
      </c>
      <c r="C98" s="13"/>
      <c r="D98" s="7">
        <v>5.3780000000000001</v>
      </c>
      <c r="E98" s="7">
        <v>8.1050000000000004</v>
      </c>
      <c r="F98" s="7">
        <v>5.742</v>
      </c>
      <c r="G98" s="7">
        <v>8.3130000000000006</v>
      </c>
      <c r="H98" s="7">
        <v>8.3130000000000006</v>
      </c>
      <c r="I98" s="7">
        <v>6.327</v>
      </c>
      <c r="J98" s="7">
        <v>4.093</v>
      </c>
      <c r="K98" s="68"/>
      <c r="L98" s="68"/>
      <c r="M98" s="68"/>
      <c r="N98" s="68"/>
      <c r="O98" s="68"/>
      <c r="P98" s="68"/>
      <c r="Q98" s="24"/>
      <c r="R98" s="13"/>
      <c r="S98" s="13"/>
      <c r="T98" s="245"/>
      <c r="U98" s="245"/>
    </row>
    <row r="99" spans="2:21" x14ac:dyDescent="0.3">
      <c r="B99" s="13" t="s">
        <v>54</v>
      </c>
      <c r="C99" s="13"/>
      <c r="D99" s="7">
        <v>77.414000000000001</v>
      </c>
      <c r="E99" s="7">
        <v>18.135000000000002</v>
      </c>
      <c r="F99" s="7">
        <v>191.44300000000001</v>
      </c>
      <c r="G99" s="7">
        <v>80.254999999999995</v>
      </c>
      <c r="H99" s="7">
        <v>90.83</v>
      </c>
      <c r="I99" s="7">
        <v>178.19</v>
      </c>
      <c r="J99" s="7">
        <v>54.828000000000003</v>
      </c>
      <c r="K99" s="7">
        <v>25</v>
      </c>
      <c r="L99" s="7">
        <v>38.143999999999998</v>
      </c>
      <c r="M99" s="7">
        <v>47.8</v>
      </c>
      <c r="N99" s="7">
        <v>89.1</v>
      </c>
      <c r="O99" s="60"/>
      <c r="P99" s="68"/>
      <c r="Q99" s="24"/>
      <c r="R99" s="13"/>
      <c r="S99" s="13"/>
      <c r="T99" s="218"/>
      <c r="U99" s="218"/>
    </row>
    <row r="100" spans="2:21" x14ac:dyDescent="0.3">
      <c r="B100" s="21" t="s">
        <v>15</v>
      </c>
      <c r="C100" s="21"/>
      <c r="D100" s="22">
        <f t="shared" ref="D100:K100" si="25">SUM(D95:D99)</f>
        <v>2858.4810000000007</v>
      </c>
      <c r="E100" s="22">
        <f t="shared" si="25"/>
        <v>2909.8990000000003</v>
      </c>
      <c r="F100" s="22">
        <f t="shared" si="25"/>
        <v>3314.9090000000006</v>
      </c>
      <c r="G100" s="22">
        <f t="shared" si="25"/>
        <v>2839.0150000000003</v>
      </c>
      <c r="H100" s="22">
        <f t="shared" si="25"/>
        <v>3032.4780000000001</v>
      </c>
      <c r="I100" s="22">
        <f t="shared" si="25"/>
        <v>3485.1460000000002</v>
      </c>
      <c r="J100" s="22">
        <f t="shared" si="25"/>
        <v>3681.989</v>
      </c>
      <c r="K100" s="22">
        <f t="shared" si="25"/>
        <v>3388.1619999999998</v>
      </c>
      <c r="L100" s="22">
        <f>SUM(L95:L99)</f>
        <v>3503.7619999999997</v>
      </c>
      <c r="M100" s="22">
        <f>SUM(M95:M99)</f>
        <v>3208.2380000000003</v>
      </c>
      <c r="N100" s="22">
        <f>SUM(N95:N99)</f>
        <v>3438.6279999999997</v>
      </c>
      <c r="O100" s="22">
        <f>SUM(O95:O99)</f>
        <v>3659.2</v>
      </c>
      <c r="P100" s="22">
        <f>SUM(P95:P99)</f>
        <v>3316.2</v>
      </c>
      <c r="Q100" s="69">
        <v>4511</v>
      </c>
      <c r="R100" s="69">
        <f>SUM(R95:R99)</f>
        <v>4590.8</v>
      </c>
      <c r="S100" s="69">
        <f>SUM(S95:S99)</f>
        <v>4328.5999999999995</v>
      </c>
      <c r="T100" s="233"/>
      <c r="U100" s="233"/>
    </row>
    <row r="101" spans="2:21" x14ac:dyDescent="0.3">
      <c r="B101" s="4" t="s">
        <v>16</v>
      </c>
      <c r="C101" s="4"/>
      <c r="D101" s="64"/>
      <c r="E101" s="64"/>
      <c r="F101" s="64"/>
      <c r="G101" s="64"/>
      <c r="H101" s="64"/>
      <c r="I101" s="64"/>
      <c r="J101" s="64"/>
      <c r="K101" s="63"/>
      <c r="L101" s="63"/>
      <c r="M101" s="63"/>
      <c r="N101" s="63"/>
      <c r="O101" s="63"/>
      <c r="P101" s="70"/>
      <c r="Q101" s="8"/>
      <c r="R101" s="4"/>
      <c r="S101" s="4"/>
      <c r="T101" s="244"/>
      <c r="U101" s="244"/>
    </row>
    <row r="102" spans="2:21" x14ac:dyDescent="0.3">
      <c r="B102" s="25" t="s">
        <v>17</v>
      </c>
      <c r="C102" s="25"/>
      <c r="D102" s="73">
        <v>1115.777</v>
      </c>
      <c r="E102" s="73">
        <v>1256.1780000000001</v>
      </c>
      <c r="F102" s="73">
        <v>1005.256</v>
      </c>
      <c r="G102" s="73">
        <v>1302.288</v>
      </c>
      <c r="H102" s="73">
        <v>1449.402</v>
      </c>
      <c r="I102" s="73">
        <v>1375.5429999999999</v>
      </c>
      <c r="J102" s="73">
        <v>1646.3150000000001</v>
      </c>
      <c r="K102" s="73">
        <v>1967.6030000000001</v>
      </c>
      <c r="L102" s="73">
        <v>2130.6</v>
      </c>
      <c r="M102" s="73">
        <v>2304.8229999999999</v>
      </c>
      <c r="N102" s="73">
        <v>2340.6</v>
      </c>
      <c r="O102" s="72">
        <v>2369.346</v>
      </c>
      <c r="P102" s="72">
        <v>2394</v>
      </c>
      <c r="Q102" s="71">
        <v>2216.6999999999998</v>
      </c>
      <c r="R102" s="159">
        <v>2131.4</v>
      </c>
      <c r="S102" s="159">
        <v>2337.9</v>
      </c>
      <c r="T102" s="224"/>
      <c r="U102" s="224"/>
    </row>
    <row r="103" spans="2:21" x14ac:dyDescent="0.3"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3"/>
      <c r="O103" s="63"/>
      <c r="P103" s="74"/>
      <c r="Q103" s="74"/>
      <c r="R103" s="3"/>
      <c r="S103" s="3"/>
      <c r="T103" s="244"/>
      <c r="U103" s="244"/>
    </row>
    <row r="104" spans="2:21" x14ac:dyDescent="0.3">
      <c r="B104" s="3" t="s">
        <v>55</v>
      </c>
      <c r="C104" s="3"/>
      <c r="D104" s="67">
        <v>647.70000000000005</v>
      </c>
      <c r="E104" s="67">
        <v>647.70000000000005</v>
      </c>
      <c r="F104" s="67">
        <v>647.70000000000005</v>
      </c>
      <c r="G104" s="67">
        <v>647.70000000000005</v>
      </c>
      <c r="H104" s="67">
        <v>647.70000000000005</v>
      </c>
      <c r="I104" s="67">
        <v>647.70000000000005</v>
      </c>
      <c r="J104" s="67">
        <v>647.70000000000005</v>
      </c>
      <c r="K104" s="67">
        <v>647.70000000000005</v>
      </c>
      <c r="L104" s="67">
        <v>647.70000000000005</v>
      </c>
      <c r="M104" s="67">
        <v>647.70000000000005</v>
      </c>
      <c r="N104" s="67">
        <v>647.70000000000005</v>
      </c>
      <c r="O104" s="67">
        <v>647.70000000000005</v>
      </c>
      <c r="P104" s="75">
        <f>O104</f>
        <v>647.70000000000005</v>
      </c>
      <c r="Q104" s="75">
        <f>P104</f>
        <v>647.70000000000005</v>
      </c>
      <c r="R104" s="76">
        <f>Q104</f>
        <v>647.70000000000005</v>
      </c>
      <c r="S104" s="76">
        <f>R104</f>
        <v>647.70000000000005</v>
      </c>
      <c r="T104" s="223"/>
      <c r="U104" s="223"/>
    </row>
    <row r="105" spans="2:21" x14ac:dyDescent="0.3">
      <c r="B105" s="3"/>
      <c r="C105" s="3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4"/>
      <c r="P105" s="76"/>
      <c r="Q105" s="76"/>
      <c r="R105" s="3"/>
      <c r="S105" s="3"/>
      <c r="T105" s="223"/>
      <c r="U105" s="223"/>
    </row>
    <row r="106" spans="2:21" x14ac:dyDescent="0.3">
      <c r="B106" s="1" t="s">
        <v>56</v>
      </c>
      <c r="D106" s="67">
        <f>D90+D96-D104</f>
        <v>2221.2280000000001</v>
      </c>
      <c r="E106" s="67">
        <f t="shared" ref="E106:L106" si="26">E90+E96-E104</f>
        <v>2255.8159999999998</v>
      </c>
      <c r="F106" s="67">
        <f t="shared" si="26"/>
        <v>2375.9070000000002</v>
      </c>
      <c r="G106" s="67">
        <f t="shared" si="26"/>
        <v>2683.415</v>
      </c>
      <c r="H106" s="67">
        <f t="shared" si="26"/>
        <v>2152.817</v>
      </c>
      <c r="I106" s="67">
        <f t="shared" si="26"/>
        <v>2357.4749999999995</v>
      </c>
      <c r="J106" s="67">
        <f t="shared" si="26"/>
        <v>2610.0290000000005</v>
      </c>
      <c r="K106" s="67">
        <f t="shared" si="26"/>
        <v>2734.7920000000004</v>
      </c>
      <c r="L106" s="67">
        <f t="shared" si="26"/>
        <v>3122.576</v>
      </c>
      <c r="M106" s="67">
        <f>M90+M96-M104</f>
        <v>3282.2539999999999</v>
      </c>
      <c r="N106" s="67">
        <f t="shared" ref="N106:S106" si="27">N90+N96-N104</f>
        <v>3203.5459999999994</v>
      </c>
      <c r="O106" s="67">
        <f t="shared" si="27"/>
        <v>3172.2830000000004</v>
      </c>
      <c r="P106" s="67">
        <f t="shared" si="27"/>
        <v>3327.8999999999996</v>
      </c>
      <c r="Q106" s="67">
        <f t="shared" si="27"/>
        <v>3529.1000000000004</v>
      </c>
      <c r="R106" s="67">
        <f t="shared" si="27"/>
        <v>3549.1000000000004</v>
      </c>
      <c r="S106" s="67">
        <f t="shared" si="27"/>
        <v>3522.3</v>
      </c>
      <c r="T106" s="223"/>
      <c r="U106" s="223"/>
    </row>
    <row r="107" spans="2:21" x14ac:dyDescent="0.3">
      <c r="B107" s="3" t="s">
        <v>57</v>
      </c>
      <c r="C107" s="3"/>
      <c r="D107" s="67">
        <f t="shared" ref="D107:L107" si="28">D90+D96-D104-D86</f>
        <v>2078.5729999999999</v>
      </c>
      <c r="E107" s="67">
        <f t="shared" si="28"/>
        <v>2087.6709999999998</v>
      </c>
      <c r="F107" s="67">
        <f t="shared" si="28"/>
        <v>2360.09</v>
      </c>
      <c r="G107" s="67">
        <f t="shared" si="28"/>
        <v>2130.9</v>
      </c>
      <c r="H107" s="67">
        <f t="shared" si="28"/>
        <v>2093.96</v>
      </c>
      <c r="I107" s="67">
        <f t="shared" si="28"/>
        <v>2330.6939999999995</v>
      </c>
      <c r="J107" s="67">
        <f t="shared" si="28"/>
        <v>2500.3470000000007</v>
      </c>
      <c r="K107" s="67">
        <f t="shared" si="28"/>
        <v>2679.0200000000004</v>
      </c>
      <c r="L107" s="67">
        <f t="shared" si="28"/>
        <v>2930.78</v>
      </c>
      <c r="M107" s="67">
        <f t="shared" ref="M107:S107" si="29">M90+M96-M104-M86</f>
        <v>3042.4009999999998</v>
      </c>
      <c r="N107" s="67">
        <f t="shared" si="29"/>
        <v>2990.2169999999992</v>
      </c>
      <c r="O107" s="67">
        <f t="shared" si="29"/>
        <v>2949.4360000000001</v>
      </c>
      <c r="P107" s="67">
        <f t="shared" si="29"/>
        <v>3297.3999999999996</v>
      </c>
      <c r="Q107" s="67">
        <f t="shared" si="29"/>
        <v>3499.4000000000005</v>
      </c>
      <c r="R107" s="67">
        <f t="shared" si="29"/>
        <v>3473.8</v>
      </c>
      <c r="S107" s="67">
        <f t="shared" si="29"/>
        <v>3406.1000000000004</v>
      </c>
      <c r="T107" s="223"/>
      <c r="U107" s="223"/>
    </row>
    <row r="108" spans="2:21" x14ac:dyDescent="0.3">
      <c r="P108" s="2"/>
      <c r="Q108" s="2"/>
      <c r="R108" s="2"/>
    </row>
    <row r="109" spans="2:21" x14ac:dyDescent="0.3">
      <c r="B109" s="31" t="s">
        <v>23</v>
      </c>
      <c r="C109" s="31"/>
      <c r="N109" s="3"/>
      <c r="P109" s="2"/>
      <c r="Q109" s="2"/>
      <c r="R109" s="2"/>
    </row>
    <row r="110" spans="2:21" x14ac:dyDescent="0.3">
      <c r="B110" s="28" t="s">
        <v>24</v>
      </c>
      <c r="C110" s="28"/>
      <c r="D110" s="77">
        <f>D106</f>
        <v>2221.2280000000001</v>
      </c>
      <c r="E110" s="77">
        <f t="shared" ref="E110:O110" si="30">E106</f>
        <v>2255.8159999999998</v>
      </c>
      <c r="F110" s="77">
        <f t="shared" si="30"/>
        <v>2375.9070000000002</v>
      </c>
      <c r="G110" s="77">
        <f t="shared" si="30"/>
        <v>2683.415</v>
      </c>
      <c r="H110" s="77">
        <f t="shared" si="30"/>
        <v>2152.817</v>
      </c>
      <c r="I110" s="77">
        <f t="shared" si="30"/>
        <v>2357.4749999999995</v>
      </c>
      <c r="J110" s="77">
        <f t="shared" si="30"/>
        <v>2610.0290000000005</v>
      </c>
      <c r="K110" s="77">
        <f t="shared" si="30"/>
        <v>2734.7920000000004</v>
      </c>
      <c r="L110" s="77">
        <f t="shared" si="30"/>
        <v>3122.576</v>
      </c>
      <c r="M110" s="77">
        <f t="shared" si="30"/>
        <v>3282.2539999999999</v>
      </c>
      <c r="N110" s="77">
        <f t="shared" si="30"/>
        <v>3203.5459999999994</v>
      </c>
      <c r="O110" s="77">
        <f t="shared" si="30"/>
        <v>3172.2830000000004</v>
      </c>
      <c r="P110" s="77">
        <f>P106</f>
        <v>3327.8999999999996</v>
      </c>
      <c r="Q110" s="77">
        <f>Q106</f>
        <v>3529.1000000000004</v>
      </c>
      <c r="R110" s="77">
        <f>R106</f>
        <v>3549.1000000000004</v>
      </c>
      <c r="S110" s="77">
        <f>S106</f>
        <v>3522.3</v>
      </c>
      <c r="T110" s="246"/>
      <c r="U110" s="246"/>
    </row>
    <row r="111" spans="2:21" x14ac:dyDescent="0.3">
      <c r="B111" s="43" t="s">
        <v>58</v>
      </c>
      <c r="C111" s="43"/>
      <c r="D111" s="78">
        <f>D90+D96</f>
        <v>2868.9280000000003</v>
      </c>
      <c r="E111" s="78">
        <f t="shared" ref="E111:O111" si="31">E90+E96</f>
        <v>2903.5160000000001</v>
      </c>
      <c r="F111" s="78">
        <f t="shared" si="31"/>
        <v>3023.607</v>
      </c>
      <c r="G111" s="78">
        <f t="shared" si="31"/>
        <v>3331.1149999999998</v>
      </c>
      <c r="H111" s="78">
        <f t="shared" si="31"/>
        <v>2800.5170000000003</v>
      </c>
      <c r="I111" s="78">
        <f t="shared" si="31"/>
        <v>3005.1749999999997</v>
      </c>
      <c r="J111" s="78">
        <f t="shared" si="31"/>
        <v>3257.7290000000003</v>
      </c>
      <c r="K111" s="78">
        <f t="shared" si="31"/>
        <v>3382.4920000000002</v>
      </c>
      <c r="L111" s="78">
        <f t="shared" si="31"/>
        <v>3770.2759999999998</v>
      </c>
      <c r="M111" s="78">
        <f t="shared" si="31"/>
        <v>3929.9540000000002</v>
      </c>
      <c r="N111" s="78">
        <f t="shared" si="31"/>
        <v>3851.2459999999996</v>
      </c>
      <c r="O111" s="78">
        <f t="shared" si="31"/>
        <v>3819.9830000000002</v>
      </c>
      <c r="P111" s="78">
        <f>P90+P96</f>
        <v>3975.6</v>
      </c>
      <c r="Q111" s="78">
        <f>Q90+Q96</f>
        <v>4176.8</v>
      </c>
      <c r="R111" s="78">
        <f>R90+R96</f>
        <v>4196.8</v>
      </c>
      <c r="S111" s="78">
        <f>S90+S96</f>
        <v>4170</v>
      </c>
      <c r="T111" s="247"/>
      <c r="U111" s="247"/>
    </row>
    <row r="112" spans="2:21" x14ac:dyDescent="0.3">
      <c r="B112" s="43" t="s">
        <v>43</v>
      </c>
      <c r="C112" s="43"/>
      <c r="D112" s="78">
        <f>D90+D96-(0.5*D104)</f>
        <v>2545.0780000000004</v>
      </c>
      <c r="E112" s="78">
        <f t="shared" ref="E112:O112" si="32">E90+E96-(0.5*E104)</f>
        <v>2579.6660000000002</v>
      </c>
      <c r="F112" s="78">
        <f t="shared" si="32"/>
        <v>2699.7570000000001</v>
      </c>
      <c r="G112" s="78">
        <f t="shared" si="32"/>
        <v>3007.2649999999999</v>
      </c>
      <c r="H112" s="78">
        <f t="shared" si="32"/>
        <v>2476.6670000000004</v>
      </c>
      <c r="I112" s="78">
        <f t="shared" si="32"/>
        <v>2681.3249999999998</v>
      </c>
      <c r="J112" s="78">
        <f t="shared" si="32"/>
        <v>2933.8790000000004</v>
      </c>
      <c r="K112" s="78">
        <f t="shared" si="32"/>
        <v>3058.6420000000003</v>
      </c>
      <c r="L112" s="78">
        <f t="shared" si="32"/>
        <v>3446.4259999999999</v>
      </c>
      <c r="M112" s="78">
        <f t="shared" si="32"/>
        <v>3606.1040000000003</v>
      </c>
      <c r="N112" s="78">
        <f t="shared" si="32"/>
        <v>3527.3959999999997</v>
      </c>
      <c r="O112" s="78">
        <f t="shared" si="32"/>
        <v>3496.1330000000003</v>
      </c>
      <c r="P112" s="78">
        <f>P90+P96-(0.5*P104)</f>
        <v>3651.75</v>
      </c>
      <c r="Q112" s="78">
        <f>Q90+Q96-(0.5*Q104)</f>
        <v>3852.9500000000003</v>
      </c>
      <c r="R112" s="78">
        <f>R90+R96-(0.5*R104)</f>
        <v>3872.9500000000003</v>
      </c>
      <c r="S112" s="78">
        <f>S90+S96-(0.5*S104)</f>
        <v>3846.15</v>
      </c>
      <c r="T112" s="247"/>
      <c r="U112" s="247"/>
    </row>
    <row r="113" spans="2:21" x14ac:dyDescent="0.3">
      <c r="B113" s="28" t="s">
        <v>25</v>
      </c>
      <c r="C113" s="28"/>
      <c r="D113" s="37">
        <f t="shared" ref="D113:O113" si="33">D102</f>
        <v>1115.777</v>
      </c>
      <c r="E113" s="37">
        <f t="shared" si="33"/>
        <v>1256.1780000000001</v>
      </c>
      <c r="F113" s="37">
        <f t="shared" si="33"/>
        <v>1005.256</v>
      </c>
      <c r="G113" s="37">
        <f t="shared" si="33"/>
        <v>1302.288</v>
      </c>
      <c r="H113" s="37">
        <f t="shared" si="33"/>
        <v>1449.402</v>
      </c>
      <c r="I113" s="37">
        <f t="shared" si="33"/>
        <v>1375.5429999999999</v>
      </c>
      <c r="J113" s="37">
        <f t="shared" si="33"/>
        <v>1646.3150000000001</v>
      </c>
      <c r="K113" s="37">
        <f t="shared" si="33"/>
        <v>1967.6030000000001</v>
      </c>
      <c r="L113" s="37">
        <f t="shared" si="33"/>
        <v>2130.6</v>
      </c>
      <c r="M113" s="37">
        <f t="shared" si="33"/>
        <v>2304.8229999999999</v>
      </c>
      <c r="N113" s="37">
        <f t="shared" si="33"/>
        <v>2340.6</v>
      </c>
      <c r="O113" s="37">
        <f t="shared" si="33"/>
        <v>2369.346</v>
      </c>
      <c r="P113" s="37">
        <f>P102</f>
        <v>2394</v>
      </c>
      <c r="Q113" s="37">
        <f>Q102</f>
        <v>2216.6999999999998</v>
      </c>
      <c r="R113" s="37">
        <f>R102</f>
        <v>2131.4</v>
      </c>
      <c r="S113" s="37">
        <f>S102</f>
        <v>2337.9</v>
      </c>
      <c r="T113" s="237"/>
      <c r="U113" s="237"/>
    </row>
    <row r="114" spans="2:21" x14ac:dyDescent="0.3">
      <c r="B114" s="28" t="s">
        <v>26</v>
      </c>
      <c r="C114" s="28"/>
      <c r="D114" s="38">
        <f t="shared" ref="D114:P114" si="34">D110/(D110+D113)</f>
        <v>0.66563520282408928</v>
      </c>
      <c r="E114" s="38">
        <f t="shared" si="34"/>
        <v>0.64231772605534065</v>
      </c>
      <c r="F114" s="38">
        <f t="shared" si="34"/>
        <v>0.70268928176488388</v>
      </c>
      <c r="G114" s="38">
        <f t="shared" si="34"/>
        <v>0.67326015009146445</v>
      </c>
      <c r="H114" s="38">
        <f t="shared" si="34"/>
        <v>0.59763634581906322</v>
      </c>
      <c r="I114" s="38">
        <f t="shared" si="34"/>
        <v>0.63151985873092498</v>
      </c>
      <c r="J114" s="38">
        <f t="shared" si="34"/>
        <v>0.61320912971319985</v>
      </c>
      <c r="K114" s="38">
        <f t="shared" si="34"/>
        <v>0.58157428289201574</v>
      </c>
      <c r="L114" s="38">
        <f t="shared" si="34"/>
        <v>0.59441678710174572</v>
      </c>
      <c r="M114" s="38">
        <f t="shared" si="34"/>
        <v>0.58747248337547531</v>
      </c>
      <c r="N114" s="38">
        <f t="shared" si="34"/>
        <v>0.57782497069882355</v>
      </c>
      <c r="O114" s="38">
        <f t="shared" si="34"/>
        <v>0.57244593602350502</v>
      </c>
      <c r="P114" s="38">
        <f t="shared" si="34"/>
        <v>0.5816075079955958</v>
      </c>
      <c r="Q114" s="38">
        <f>Q110/(Q110+Q113)</f>
        <v>0.61420515855059354</v>
      </c>
      <c r="R114" s="38">
        <f>R110/(R110+R113)</f>
        <v>0.62478655047971132</v>
      </c>
      <c r="S114" s="38">
        <f>S110/(S110+S113)</f>
        <v>0.60105457151633046</v>
      </c>
      <c r="T114" s="238"/>
      <c r="U114" s="238"/>
    </row>
    <row r="115" spans="2:21" x14ac:dyDescent="0.3">
      <c r="B115" s="43" t="s">
        <v>45</v>
      </c>
      <c r="C115" s="43"/>
      <c r="D115" s="79">
        <f t="shared" ref="D115:O115" si="35">D102+D104</f>
        <v>1763.4770000000001</v>
      </c>
      <c r="E115" s="79">
        <f t="shared" si="35"/>
        <v>1903.8780000000002</v>
      </c>
      <c r="F115" s="79">
        <f t="shared" si="35"/>
        <v>1652.9560000000001</v>
      </c>
      <c r="G115" s="79">
        <f t="shared" si="35"/>
        <v>1949.9880000000001</v>
      </c>
      <c r="H115" s="79">
        <f t="shared" si="35"/>
        <v>2097.1019999999999</v>
      </c>
      <c r="I115" s="79">
        <f t="shared" si="35"/>
        <v>2023.2429999999999</v>
      </c>
      <c r="J115" s="79">
        <f t="shared" si="35"/>
        <v>2294.0150000000003</v>
      </c>
      <c r="K115" s="79">
        <f t="shared" si="35"/>
        <v>2615.3029999999999</v>
      </c>
      <c r="L115" s="79">
        <f t="shared" si="35"/>
        <v>2778.3</v>
      </c>
      <c r="M115" s="79">
        <f t="shared" si="35"/>
        <v>2952.5230000000001</v>
      </c>
      <c r="N115" s="79">
        <f t="shared" si="35"/>
        <v>2988.3</v>
      </c>
      <c r="O115" s="79">
        <f t="shared" si="35"/>
        <v>3017.0460000000003</v>
      </c>
      <c r="P115" s="79">
        <f>P102+P104</f>
        <v>3041.7</v>
      </c>
      <c r="Q115" s="79">
        <f>Q102+Q104</f>
        <v>2864.3999999999996</v>
      </c>
      <c r="R115" s="79">
        <f>R102+R104</f>
        <v>2779.1000000000004</v>
      </c>
      <c r="S115" s="79">
        <f>S102+S104</f>
        <v>2985.6000000000004</v>
      </c>
      <c r="T115" s="248"/>
      <c r="U115" s="248"/>
    </row>
    <row r="116" spans="2:21" x14ac:dyDescent="0.3">
      <c r="B116" s="43" t="s">
        <v>59</v>
      </c>
      <c r="C116" s="43"/>
      <c r="D116" s="79">
        <f t="shared" ref="D116:O116" si="36">D102+0.5*D104</f>
        <v>1439.627</v>
      </c>
      <c r="E116" s="79">
        <f t="shared" si="36"/>
        <v>1580.0280000000002</v>
      </c>
      <c r="F116" s="79">
        <f t="shared" si="36"/>
        <v>1329.106</v>
      </c>
      <c r="G116" s="79">
        <f t="shared" si="36"/>
        <v>1626.1379999999999</v>
      </c>
      <c r="H116" s="79">
        <f t="shared" si="36"/>
        <v>1773.252</v>
      </c>
      <c r="I116" s="79">
        <f t="shared" si="36"/>
        <v>1699.393</v>
      </c>
      <c r="J116" s="79">
        <f t="shared" si="36"/>
        <v>1970.165</v>
      </c>
      <c r="K116" s="79">
        <f t="shared" si="36"/>
        <v>2291.453</v>
      </c>
      <c r="L116" s="79">
        <f t="shared" si="36"/>
        <v>2454.4499999999998</v>
      </c>
      <c r="M116" s="79">
        <f t="shared" si="36"/>
        <v>2628.6729999999998</v>
      </c>
      <c r="N116" s="79">
        <f t="shared" si="36"/>
        <v>2664.45</v>
      </c>
      <c r="O116" s="79">
        <f t="shared" si="36"/>
        <v>2693.1959999999999</v>
      </c>
      <c r="P116" s="79">
        <f>P102+0.5*P104</f>
        <v>2717.85</v>
      </c>
      <c r="Q116" s="79">
        <f>Q102+0.5*Q104</f>
        <v>2540.5499999999997</v>
      </c>
      <c r="R116" s="79">
        <f>R102+0.5*R104</f>
        <v>2455.25</v>
      </c>
      <c r="S116" s="79">
        <f>S102+0.5*S104</f>
        <v>2661.75</v>
      </c>
      <c r="T116" s="248"/>
      <c r="U116" s="248"/>
    </row>
    <row r="117" spans="2:21" x14ac:dyDescent="0.3">
      <c r="B117" s="43" t="s">
        <v>46</v>
      </c>
      <c r="C117" s="43"/>
      <c r="D117" s="80">
        <f t="shared" ref="D117:O117" si="37">D111/(D111+D113)</f>
        <v>0.71998504280743492</v>
      </c>
      <c r="E117" s="80">
        <f t="shared" si="37"/>
        <v>0.69801192106919396</v>
      </c>
      <c r="F117" s="80">
        <f t="shared" si="37"/>
        <v>0.75048642756033157</v>
      </c>
      <c r="G117" s="80">
        <f t="shared" si="37"/>
        <v>0.71893487356916708</v>
      </c>
      <c r="H117" s="80">
        <f t="shared" si="37"/>
        <v>0.6589577354297812</v>
      </c>
      <c r="I117" s="80">
        <f t="shared" si="37"/>
        <v>0.68600055972559748</v>
      </c>
      <c r="J117" s="80">
        <f t="shared" si="37"/>
        <v>0.66429440682016727</v>
      </c>
      <c r="K117" s="80">
        <f t="shared" si="37"/>
        <v>0.6322302688083109</v>
      </c>
      <c r="L117" s="80">
        <f t="shared" si="37"/>
        <v>0.63893496491029467</v>
      </c>
      <c r="M117" s="80">
        <f t="shared" si="37"/>
        <v>0.6303279171011249</v>
      </c>
      <c r="N117" s="80">
        <f t="shared" si="37"/>
        <v>0.62198672253799592</v>
      </c>
      <c r="O117" s="80">
        <f t="shared" si="37"/>
        <v>0.61718855145687046</v>
      </c>
      <c r="P117" s="80">
        <f>P111/(P111+P113)</f>
        <v>0.62415222305953277</v>
      </c>
      <c r="Q117" s="80">
        <f>Q111/(Q111+Q113)</f>
        <v>0.65328849612888096</v>
      </c>
      <c r="R117" s="80">
        <f>R111/(R111+R113)</f>
        <v>0.66319016465977687</v>
      </c>
      <c r="S117" s="80">
        <f>S111/(S111+S113)</f>
        <v>0.64075969206656525</v>
      </c>
      <c r="T117" s="249"/>
      <c r="U117" s="249"/>
    </row>
    <row r="118" spans="2:21" x14ac:dyDescent="0.3">
      <c r="B118" s="43" t="s">
        <v>60</v>
      </c>
      <c r="C118" s="43"/>
      <c r="D118" s="81">
        <f t="shared" ref="D118:O118" si="38">D112/(D112+D116)</f>
        <v>0.63871177414639235</v>
      </c>
      <c r="E118" s="81">
        <f t="shared" si="38"/>
        <v>0.62015763659538414</v>
      </c>
      <c r="F118" s="81">
        <f t="shared" si="38"/>
        <v>0.67010394744125079</v>
      </c>
      <c r="G118" s="81">
        <f t="shared" si="38"/>
        <v>0.64904024104961289</v>
      </c>
      <c r="H118" s="81">
        <f t="shared" si="38"/>
        <v>0.58275628311974903</v>
      </c>
      <c r="I118" s="81">
        <f t="shared" si="38"/>
        <v>0.6120743220631869</v>
      </c>
      <c r="J118" s="81">
        <f t="shared" si="38"/>
        <v>0.59825707110295101</v>
      </c>
      <c r="K118" s="81">
        <f t="shared" si="38"/>
        <v>0.57169863338875293</v>
      </c>
      <c r="L118" s="81">
        <f t="shared" si="38"/>
        <v>0.58405328293629621</v>
      </c>
      <c r="M118" s="81">
        <f t="shared" si="38"/>
        <v>0.57838540175534747</v>
      </c>
      <c r="N118" s="81">
        <f t="shared" si="38"/>
        <v>0.56968406513986303</v>
      </c>
      <c r="O118" s="81">
        <f t="shared" si="38"/>
        <v>0.56486462425894635</v>
      </c>
      <c r="P118" s="81">
        <f>P112/(P112+P116)</f>
        <v>0.573309155990957</v>
      </c>
      <c r="Q118" s="81">
        <f>Q112/(Q112+Q116)</f>
        <v>0.60263548916868703</v>
      </c>
      <c r="R118" s="81">
        <f>R112/(R112+R116)</f>
        <v>0.61201447489017413</v>
      </c>
      <c r="S118" s="81">
        <f>S112/(S112+S116)</f>
        <v>0.59099709583736693</v>
      </c>
      <c r="T118" s="250"/>
      <c r="U118" s="250"/>
    </row>
    <row r="119" spans="2:21" x14ac:dyDescent="0.3">
      <c r="B119" s="82" t="s">
        <v>61</v>
      </c>
      <c r="C119" s="82"/>
      <c r="D119" s="81">
        <f t="shared" ref="D119:O119" si="39">D110/(D110+D115)</f>
        <v>0.55743850548534968</v>
      </c>
      <c r="E119" s="81">
        <f t="shared" si="39"/>
        <v>0.54230335212157432</v>
      </c>
      <c r="F119" s="81">
        <f t="shared" si="39"/>
        <v>0.58972146732217001</v>
      </c>
      <c r="G119" s="81">
        <f t="shared" si="39"/>
        <v>0.57914560853005881</v>
      </c>
      <c r="H119" s="81">
        <f t="shared" si="39"/>
        <v>0.50655483080971664</v>
      </c>
      <c r="I119" s="81">
        <f t="shared" si="39"/>
        <v>0.53814808440077633</v>
      </c>
      <c r="J119" s="81">
        <f t="shared" si="39"/>
        <v>0.53221973538573475</v>
      </c>
      <c r="K119" s="81">
        <f t="shared" si="39"/>
        <v>0.51116699796919496</v>
      </c>
      <c r="L119" s="81">
        <f t="shared" si="39"/>
        <v>0.52917160096229776</v>
      </c>
      <c r="M119" s="81">
        <f t="shared" si="39"/>
        <v>0.52644288640957004</v>
      </c>
      <c r="N119" s="81">
        <f t="shared" si="39"/>
        <v>0.51738140774172992</v>
      </c>
      <c r="O119" s="81">
        <f t="shared" si="39"/>
        <v>0.51254069706102234</v>
      </c>
      <c r="P119" s="81">
        <f>P110/(P110+P115)</f>
        <v>0.52246608892238133</v>
      </c>
      <c r="Q119" s="81">
        <f>Q110/(Q110+Q115)</f>
        <v>0.55198248220849311</v>
      </c>
      <c r="R119" s="81">
        <f>R110/(R110+R115)</f>
        <v>0.56083878512057139</v>
      </c>
      <c r="S119" s="81">
        <f>S110/(S110+S115)</f>
        <v>0.5412344996081685</v>
      </c>
      <c r="T119" s="250"/>
      <c r="U119" s="250"/>
    </row>
    <row r="120" spans="2:21" x14ac:dyDescent="0.3">
      <c r="N120" s="41"/>
      <c r="O120" s="41"/>
      <c r="P120" s="41"/>
      <c r="Q120" s="41"/>
    </row>
    <row r="123" spans="2:21" x14ac:dyDescent="0.3">
      <c r="B123" s="257" t="s">
        <v>62</v>
      </c>
      <c r="C123" s="257"/>
      <c r="D123" s="260">
        <v>39082</v>
      </c>
      <c r="E123" s="260">
        <v>39447</v>
      </c>
      <c r="F123" s="260">
        <v>39813</v>
      </c>
      <c r="G123" s="260">
        <v>40178</v>
      </c>
      <c r="H123" s="260">
        <v>40543</v>
      </c>
      <c r="I123" s="260">
        <v>40908</v>
      </c>
      <c r="J123" s="260">
        <v>41274</v>
      </c>
      <c r="K123" s="260">
        <v>41639</v>
      </c>
      <c r="L123" s="260">
        <v>42004</v>
      </c>
      <c r="M123" s="260">
        <v>42369</v>
      </c>
      <c r="N123" s="260">
        <v>42735</v>
      </c>
      <c r="O123" s="260">
        <v>43100</v>
      </c>
      <c r="P123" s="260">
        <v>43465</v>
      </c>
      <c r="Q123" s="260">
        <v>43829</v>
      </c>
      <c r="R123" s="258">
        <v>44195</v>
      </c>
      <c r="S123" s="258">
        <v>44377</v>
      </c>
      <c r="T123" s="230"/>
      <c r="U123" s="230"/>
    </row>
    <row r="124" spans="2:21" x14ac:dyDescent="0.3">
      <c r="R124" s="3"/>
      <c r="S124" s="3"/>
    </row>
    <row r="125" spans="2:21" x14ac:dyDescent="0.3">
      <c r="B125" s="1" t="s">
        <v>3</v>
      </c>
      <c r="R125" s="3"/>
      <c r="S125" s="3"/>
    </row>
    <row r="126" spans="2:21" x14ac:dyDescent="0.3">
      <c r="B126" s="4" t="s">
        <v>4</v>
      </c>
      <c r="C126" s="4"/>
      <c r="P126" s="4"/>
      <c r="Q126" s="4"/>
      <c r="R126" s="4"/>
      <c r="S126" s="4"/>
    </row>
    <row r="127" spans="2:21" x14ac:dyDescent="0.3">
      <c r="B127" s="5" t="s">
        <v>5</v>
      </c>
      <c r="C127" s="5"/>
      <c r="D127" s="85"/>
      <c r="E127" s="29">
        <v>116.184</v>
      </c>
      <c r="F127" s="29">
        <v>170.04</v>
      </c>
      <c r="G127" s="29">
        <v>167.529</v>
      </c>
      <c r="H127" s="29">
        <v>47.354999999999997</v>
      </c>
      <c r="I127" s="29">
        <v>56.637999999999998</v>
      </c>
      <c r="J127" s="29">
        <v>53.267000000000003</v>
      </c>
      <c r="K127" s="29">
        <v>91.582999999999998</v>
      </c>
      <c r="L127" s="29">
        <v>81.185000000000002</v>
      </c>
      <c r="M127" s="29">
        <v>56.5</v>
      </c>
      <c r="N127" s="29">
        <v>50.9</v>
      </c>
      <c r="O127" s="84">
        <v>29.99</v>
      </c>
      <c r="P127" s="83">
        <v>57.7</v>
      </c>
      <c r="Q127" s="83">
        <v>61.6</v>
      </c>
      <c r="R127" s="155">
        <v>126.7</v>
      </c>
      <c r="S127" s="155">
        <v>167.6</v>
      </c>
      <c r="T127" s="221"/>
      <c r="U127" s="221"/>
    </row>
    <row r="128" spans="2:21" x14ac:dyDescent="0.3">
      <c r="B128" s="4" t="s">
        <v>6</v>
      </c>
      <c r="C128" s="4"/>
      <c r="D128" s="85"/>
      <c r="E128" s="55"/>
      <c r="F128" s="55"/>
      <c r="G128" s="55"/>
      <c r="H128" s="55"/>
      <c r="I128" s="55"/>
      <c r="J128" s="55"/>
      <c r="K128" s="55"/>
      <c r="L128" s="55"/>
      <c r="M128" s="55"/>
      <c r="N128" s="9"/>
      <c r="O128" s="55"/>
      <c r="P128" s="86"/>
      <c r="Q128" s="86"/>
      <c r="R128" s="156"/>
      <c r="S128" s="156"/>
      <c r="T128" s="231"/>
      <c r="U128" s="231"/>
    </row>
    <row r="129" spans="2:21" x14ac:dyDescent="0.3">
      <c r="B129" s="10" t="s">
        <v>7</v>
      </c>
      <c r="C129" s="10"/>
      <c r="D129" s="85"/>
      <c r="E129" s="58"/>
      <c r="F129" s="58"/>
      <c r="G129" s="58"/>
      <c r="H129" s="58"/>
      <c r="I129" s="58"/>
      <c r="J129" s="58"/>
      <c r="K129" s="58"/>
      <c r="L129" s="58"/>
      <c r="M129" s="58"/>
      <c r="N129" s="12"/>
      <c r="O129" s="55"/>
      <c r="P129" s="87"/>
      <c r="Q129" s="87"/>
      <c r="R129" s="157"/>
      <c r="S129" s="157"/>
      <c r="T129" s="232"/>
      <c r="U129" s="232"/>
    </row>
    <row r="130" spans="2:21" x14ac:dyDescent="0.3">
      <c r="B130" s="13" t="s">
        <v>53</v>
      </c>
      <c r="C130" s="13"/>
      <c r="D130" s="85"/>
      <c r="E130" s="29">
        <v>180.76599999999999</v>
      </c>
      <c r="F130" s="29">
        <v>172.71299999999999</v>
      </c>
      <c r="G130" s="29">
        <v>186.26900000000001</v>
      </c>
      <c r="H130" s="29">
        <v>261.98899999999998</v>
      </c>
      <c r="I130" s="29">
        <v>204.768</v>
      </c>
      <c r="J130" s="29">
        <v>243.011</v>
      </c>
      <c r="K130" s="29">
        <v>224.36099999999999</v>
      </c>
      <c r="L130" s="29">
        <v>266.60000000000002</v>
      </c>
      <c r="M130" s="29">
        <v>239.1</v>
      </c>
      <c r="N130" s="84">
        <v>287.60000000000002</v>
      </c>
      <c r="O130" s="84">
        <v>255.5</v>
      </c>
      <c r="P130" s="88">
        <v>334.2</v>
      </c>
      <c r="Q130" s="88">
        <v>446.8</v>
      </c>
      <c r="R130" s="158">
        <v>409.8</v>
      </c>
      <c r="S130" s="158">
        <v>442.1</v>
      </c>
      <c r="T130" s="221"/>
      <c r="U130" s="221"/>
    </row>
    <row r="131" spans="2:21" x14ac:dyDescent="0.3">
      <c r="B131" s="13" t="s">
        <v>22</v>
      </c>
      <c r="C131" s="13"/>
      <c r="D131" s="85">
        <v>679.38499999999999</v>
      </c>
      <c r="E131" s="29">
        <v>457.05599999999998</v>
      </c>
      <c r="F131" s="29">
        <v>0</v>
      </c>
      <c r="G131" s="29">
        <v>175</v>
      </c>
      <c r="H131" s="29">
        <v>367</v>
      </c>
      <c r="I131" s="29">
        <v>7.5</v>
      </c>
      <c r="J131" s="29">
        <v>361.7</v>
      </c>
      <c r="K131" s="29">
        <v>604.78200000000004</v>
      </c>
      <c r="L131" s="29">
        <v>511.8</v>
      </c>
      <c r="M131" s="29">
        <v>1345.5</v>
      </c>
      <c r="N131" s="84">
        <v>1403</v>
      </c>
      <c r="O131" s="84">
        <v>1232.0999999999999</v>
      </c>
      <c r="P131" s="88">
        <v>1081.2</v>
      </c>
      <c r="Q131" s="88">
        <v>993.8</v>
      </c>
      <c r="R131" s="158">
        <v>1407.5</v>
      </c>
      <c r="S131" s="158">
        <v>1342.7</v>
      </c>
      <c r="T131" s="221"/>
      <c r="U131" s="221"/>
    </row>
    <row r="132" spans="2:21" x14ac:dyDescent="0.3">
      <c r="B132" s="13" t="s">
        <v>63</v>
      </c>
      <c r="C132" s="13"/>
      <c r="D132" s="85"/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84"/>
      <c r="L132" s="84"/>
      <c r="M132" s="84"/>
      <c r="N132" s="84"/>
      <c r="O132" s="84"/>
      <c r="P132" s="18"/>
      <c r="Q132" s="18"/>
      <c r="R132" s="217">
        <v>11.4</v>
      </c>
      <c r="S132" s="217">
        <v>2.9</v>
      </c>
      <c r="T132" s="235"/>
      <c r="U132" s="235"/>
    </row>
    <row r="133" spans="2:21" x14ac:dyDescent="0.3">
      <c r="B133" s="13" t="s">
        <v>64</v>
      </c>
      <c r="C133" s="13"/>
      <c r="D133" s="85"/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84"/>
      <c r="L133" s="84"/>
      <c r="M133" s="84"/>
      <c r="N133" s="84"/>
      <c r="O133" s="84"/>
      <c r="P133" s="18"/>
      <c r="Q133" s="18"/>
      <c r="R133" s="158"/>
      <c r="S133" s="158"/>
      <c r="T133" s="235"/>
      <c r="U133" s="235"/>
    </row>
    <row r="134" spans="2:21" x14ac:dyDescent="0.3">
      <c r="B134" s="13" t="s">
        <v>54</v>
      </c>
      <c r="C134" s="13"/>
      <c r="D134" s="85"/>
      <c r="E134" s="29">
        <v>59.584000000000003</v>
      </c>
      <c r="F134" s="29">
        <v>71.87</v>
      </c>
      <c r="G134" s="29">
        <v>70.885999999999996</v>
      </c>
      <c r="H134" s="29">
        <v>69.414000000000001</v>
      </c>
      <c r="I134" s="29">
        <v>70.477999999999994</v>
      </c>
      <c r="J134" s="29">
        <v>86.445999999999998</v>
      </c>
      <c r="K134" s="29">
        <v>68.561999999999998</v>
      </c>
      <c r="L134" s="29">
        <v>65.793000000000006</v>
      </c>
      <c r="M134" s="29">
        <v>107.1</v>
      </c>
      <c r="N134" s="84">
        <v>80.7</v>
      </c>
      <c r="O134" s="84">
        <v>97.4</v>
      </c>
      <c r="P134" s="88">
        <v>94.1</v>
      </c>
      <c r="Q134" s="88">
        <v>102</v>
      </c>
      <c r="R134" s="158">
        <v>107.7</v>
      </c>
      <c r="S134" s="158">
        <v>117</v>
      </c>
      <c r="T134" s="221"/>
      <c r="U134" s="221"/>
    </row>
    <row r="135" spans="2:21" x14ac:dyDescent="0.3">
      <c r="B135" s="13" t="s">
        <v>65</v>
      </c>
      <c r="C135" s="13"/>
      <c r="D135" s="85"/>
      <c r="E135" s="29"/>
      <c r="F135" s="29"/>
      <c r="G135" s="29"/>
      <c r="H135" s="29"/>
      <c r="I135" s="29"/>
      <c r="J135" s="29"/>
      <c r="K135" s="29"/>
      <c r="L135" s="29"/>
      <c r="M135" s="29"/>
      <c r="N135" s="84"/>
      <c r="O135" s="84"/>
      <c r="P135" s="88"/>
      <c r="Q135" s="88">
        <v>5.3</v>
      </c>
      <c r="R135" s="158">
        <v>6</v>
      </c>
      <c r="S135" s="158">
        <v>6.2</v>
      </c>
      <c r="T135" s="221"/>
      <c r="U135" s="221"/>
    </row>
    <row r="136" spans="2:21" x14ac:dyDescent="0.3">
      <c r="B136" s="13" t="s">
        <v>11</v>
      </c>
      <c r="C136" s="13"/>
      <c r="D136" s="85"/>
      <c r="E136" s="29">
        <v>192.029</v>
      </c>
      <c r="F136" s="29">
        <v>32.176000000000002</v>
      </c>
      <c r="G136" s="29">
        <v>43.362000000000002</v>
      </c>
      <c r="H136" s="29">
        <v>37.722999999999999</v>
      </c>
      <c r="I136" s="29">
        <v>25.608000000000001</v>
      </c>
      <c r="J136" s="29">
        <v>31.45</v>
      </c>
      <c r="K136" s="29">
        <v>30.8</v>
      </c>
      <c r="L136" s="29">
        <v>0</v>
      </c>
      <c r="M136" s="29">
        <v>64.599999999999994</v>
      </c>
      <c r="N136" s="84">
        <v>0.7</v>
      </c>
      <c r="O136" s="84">
        <v>116.4</v>
      </c>
      <c r="P136" s="88">
        <v>11.6</v>
      </c>
      <c r="Q136" s="88">
        <f>4</f>
        <v>4</v>
      </c>
      <c r="R136" s="158"/>
      <c r="S136" s="158"/>
      <c r="T136" s="221"/>
      <c r="U136" s="221"/>
    </row>
    <row r="137" spans="2:21" x14ac:dyDescent="0.3">
      <c r="B137" s="13" t="s">
        <v>66</v>
      </c>
      <c r="C137" s="13"/>
      <c r="D137" s="85"/>
      <c r="E137" s="29" t="s">
        <v>67</v>
      </c>
      <c r="F137" s="29" t="s">
        <v>67</v>
      </c>
      <c r="G137" s="29" t="s">
        <v>67</v>
      </c>
      <c r="H137" s="29" t="s">
        <v>67</v>
      </c>
      <c r="I137" s="29" t="s">
        <v>67</v>
      </c>
      <c r="J137" s="29" t="s">
        <v>67</v>
      </c>
      <c r="K137" s="7"/>
      <c r="L137" s="7"/>
      <c r="M137" s="7"/>
      <c r="N137" s="7"/>
      <c r="O137" s="7"/>
      <c r="P137" s="18"/>
      <c r="Q137" s="24"/>
      <c r="R137" s="13"/>
      <c r="S137" s="13"/>
      <c r="T137" s="218"/>
      <c r="U137" s="218"/>
    </row>
    <row r="138" spans="2:21" x14ac:dyDescent="0.3">
      <c r="B138" s="21" t="s">
        <v>12</v>
      </c>
      <c r="C138" s="21"/>
      <c r="D138" s="89"/>
      <c r="E138" s="22">
        <f t="shared" ref="E138:P138" si="40">SUM(E130:E137)</f>
        <v>889.43499999999995</v>
      </c>
      <c r="F138" s="22">
        <f t="shared" si="40"/>
        <v>276.75900000000001</v>
      </c>
      <c r="G138" s="22">
        <f t="shared" si="40"/>
        <v>475.517</v>
      </c>
      <c r="H138" s="22">
        <f t="shared" si="40"/>
        <v>736.12599999999998</v>
      </c>
      <c r="I138" s="22">
        <f t="shared" si="40"/>
        <v>308.35399999999998</v>
      </c>
      <c r="J138" s="22">
        <f t="shared" si="40"/>
        <v>722.60700000000008</v>
      </c>
      <c r="K138" s="22">
        <f t="shared" si="40"/>
        <v>928.505</v>
      </c>
      <c r="L138" s="22">
        <f t="shared" si="40"/>
        <v>844.1930000000001</v>
      </c>
      <c r="M138" s="22">
        <f t="shared" si="40"/>
        <v>1756.2999999999997</v>
      </c>
      <c r="N138" s="22">
        <f t="shared" si="40"/>
        <v>1772</v>
      </c>
      <c r="O138" s="22">
        <f t="shared" si="40"/>
        <v>1701.4</v>
      </c>
      <c r="P138" s="22">
        <f t="shared" si="40"/>
        <v>1521.1</v>
      </c>
      <c r="Q138" s="22">
        <f>SUM(Q130:Q137)</f>
        <v>1551.8999999999999</v>
      </c>
      <c r="R138" s="22">
        <f>SUM(R130:R137)</f>
        <v>1942.4</v>
      </c>
      <c r="S138" s="22">
        <f>SUM(S130:S137)</f>
        <v>1910.9000000000003</v>
      </c>
      <c r="T138" s="233"/>
      <c r="U138" s="233"/>
    </row>
    <row r="139" spans="2:21" x14ac:dyDescent="0.3">
      <c r="B139" s="10" t="s">
        <v>13</v>
      </c>
      <c r="C139" s="10"/>
      <c r="D139" s="91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11"/>
      <c r="Q139" s="11"/>
      <c r="R139" s="10"/>
      <c r="S139" s="10"/>
      <c r="T139" s="225"/>
      <c r="U139" s="225"/>
    </row>
    <row r="140" spans="2:21" x14ac:dyDescent="0.3">
      <c r="B140" s="13" t="s">
        <v>53</v>
      </c>
      <c r="C140" s="13"/>
      <c r="D140" s="91"/>
      <c r="E140" s="90">
        <v>0</v>
      </c>
      <c r="F140" s="90">
        <v>0</v>
      </c>
      <c r="G140" s="90">
        <v>0</v>
      </c>
      <c r="H140" s="90">
        <v>0</v>
      </c>
      <c r="I140" s="90">
        <v>0</v>
      </c>
      <c r="J140" s="90">
        <v>0</v>
      </c>
      <c r="K140" s="67"/>
      <c r="L140" s="67"/>
      <c r="M140" s="67"/>
      <c r="N140" s="67"/>
      <c r="O140" s="67"/>
      <c r="P140" s="66"/>
      <c r="Q140" s="65"/>
      <c r="R140" s="13"/>
      <c r="S140" s="13"/>
      <c r="T140" s="223"/>
      <c r="U140" s="223"/>
    </row>
    <row r="141" spans="2:21" x14ac:dyDescent="0.3">
      <c r="B141" s="13" t="s">
        <v>22</v>
      </c>
      <c r="C141" s="13"/>
      <c r="D141" s="85">
        <v>3324.89</v>
      </c>
      <c r="E141" s="29">
        <v>3610.88</v>
      </c>
      <c r="F141" s="29">
        <v>4388.8599999999997</v>
      </c>
      <c r="G141" s="29">
        <v>4366.54</v>
      </c>
      <c r="H141" s="29">
        <v>4194.0789999999997</v>
      </c>
      <c r="I141" s="29">
        <v>4966.38</v>
      </c>
      <c r="J141" s="29">
        <v>4872.1809999999996</v>
      </c>
      <c r="K141" s="29">
        <v>5095.7960000000003</v>
      </c>
      <c r="L141" s="29">
        <v>5593.1</v>
      </c>
      <c r="M141" s="29">
        <v>4840.6000000000004</v>
      </c>
      <c r="N141" s="92">
        <v>4579.7</v>
      </c>
      <c r="O141" s="59">
        <v>4501.8</v>
      </c>
      <c r="P141" s="59">
        <v>4653.6000000000004</v>
      </c>
      <c r="Q141" s="88">
        <v>4862.8</v>
      </c>
      <c r="R141" s="158">
        <v>4679.1000000000004</v>
      </c>
      <c r="S141" s="158">
        <v>4914</v>
      </c>
      <c r="T141" s="221"/>
      <c r="U141" s="221"/>
    </row>
    <row r="142" spans="2:21" x14ac:dyDescent="0.3">
      <c r="B142" s="13" t="s">
        <v>66</v>
      </c>
      <c r="C142" s="13"/>
      <c r="D142" s="91"/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7"/>
      <c r="L142" s="7"/>
      <c r="M142" s="7"/>
      <c r="N142" s="7"/>
      <c r="O142" s="7"/>
      <c r="P142" s="68"/>
      <c r="Q142" s="88"/>
      <c r="R142" s="158"/>
      <c r="S142" s="158"/>
      <c r="T142" s="218"/>
      <c r="U142" s="218"/>
    </row>
    <row r="143" spans="2:21" x14ac:dyDescent="0.3">
      <c r="B143" s="13" t="s">
        <v>63</v>
      </c>
      <c r="C143" s="13"/>
      <c r="D143" s="91"/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7"/>
      <c r="L143" s="7"/>
      <c r="M143" s="7"/>
      <c r="N143" s="7"/>
      <c r="O143" s="59">
        <v>16.600000000000001</v>
      </c>
      <c r="P143" s="59">
        <v>82</v>
      </c>
      <c r="Q143" s="88">
        <v>199</v>
      </c>
      <c r="R143" s="158">
        <v>267.7</v>
      </c>
      <c r="S143" s="158">
        <v>188.8</v>
      </c>
      <c r="T143" s="218"/>
      <c r="U143" s="218"/>
    </row>
    <row r="144" spans="2:21" x14ac:dyDescent="0.3">
      <c r="B144" s="13" t="s">
        <v>14</v>
      </c>
      <c r="C144" s="13"/>
      <c r="D144" s="91"/>
      <c r="E144" s="29">
        <v>43.417999999999999</v>
      </c>
      <c r="F144" s="29" t="s">
        <v>67</v>
      </c>
      <c r="G144" s="29" t="s">
        <v>67</v>
      </c>
      <c r="H144" s="29">
        <v>74.358999999999995</v>
      </c>
      <c r="I144" s="29">
        <v>40.134999999999998</v>
      </c>
      <c r="J144" s="29">
        <v>41.292000000000002</v>
      </c>
      <c r="K144" s="29">
        <v>118.203</v>
      </c>
      <c r="L144" s="29">
        <v>151.995</v>
      </c>
      <c r="M144" s="29">
        <v>285.2</v>
      </c>
      <c r="N144" s="92">
        <v>364.5</v>
      </c>
      <c r="O144" s="92">
        <v>409.8</v>
      </c>
      <c r="P144" s="92">
        <v>464.5</v>
      </c>
      <c r="Q144" s="88">
        <v>502.4</v>
      </c>
      <c r="R144" s="158">
        <v>536.4</v>
      </c>
      <c r="S144" s="158">
        <v>611.29999999999995</v>
      </c>
      <c r="T144" s="221"/>
      <c r="U144" s="221"/>
    </row>
    <row r="145" spans="2:21" x14ac:dyDescent="0.3">
      <c r="B145" s="13" t="s">
        <v>54</v>
      </c>
      <c r="C145" s="13"/>
      <c r="D145" s="91"/>
      <c r="E145" s="29">
        <v>9.2539999999999996</v>
      </c>
      <c r="F145" s="29">
        <v>7.585</v>
      </c>
      <c r="G145" s="29">
        <v>2.101</v>
      </c>
      <c r="H145" s="29">
        <v>2.5960000000000001</v>
      </c>
      <c r="I145" s="29">
        <v>3.1520000000000001</v>
      </c>
      <c r="J145" s="29">
        <v>3.7269999999999999</v>
      </c>
      <c r="K145" s="29">
        <v>3.3479999999999999</v>
      </c>
      <c r="L145" s="29">
        <v>3.597</v>
      </c>
      <c r="M145" s="29">
        <v>3.6</v>
      </c>
      <c r="N145" s="92">
        <v>4.0999999999999996</v>
      </c>
      <c r="O145" s="92">
        <v>4.7</v>
      </c>
      <c r="P145" s="92">
        <v>18.399999999999999</v>
      </c>
      <c r="Q145" s="88">
        <v>17.8</v>
      </c>
      <c r="R145" s="158">
        <v>12.8</v>
      </c>
      <c r="S145" s="158">
        <v>4.8</v>
      </c>
      <c r="T145" s="221"/>
      <c r="U145" s="221"/>
    </row>
    <row r="146" spans="2:21" x14ac:dyDescent="0.3">
      <c r="B146" s="13" t="s">
        <v>65</v>
      </c>
      <c r="C146" s="13"/>
      <c r="D146" s="91"/>
      <c r="E146" s="29"/>
      <c r="F146" s="29"/>
      <c r="G146" s="29"/>
      <c r="H146" s="29"/>
      <c r="I146" s="29"/>
      <c r="J146" s="29"/>
      <c r="K146" s="29"/>
      <c r="L146" s="29"/>
      <c r="M146" s="29"/>
      <c r="N146" s="92"/>
      <c r="O146" s="92"/>
      <c r="P146" s="92"/>
      <c r="Q146" s="88">
        <v>79.7</v>
      </c>
      <c r="R146" s="158">
        <v>74.7</v>
      </c>
      <c r="S146" s="158">
        <v>71.099999999999994</v>
      </c>
      <c r="T146" s="221"/>
      <c r="U146" s="221"/>
    </row>
    <row r="147" spans="2:21" x14ac:dyDescent="0.3">
      <c r="B147" s="13" t="s">
        <v>11</v>
      </c>
      <c r="C147" s="13"/>
      <c r="D147" s="91"/>
      <c r="E147" s="29">
        <v>23.800999999999998</v>
      </c>
      <c r="F147" s="29">
        <v>202.31800000000001</v>
      </c>
      <c r="G147" s="29">
        <v>73.992999999999995</v>
      </c>
      <c r="H147" s="29">
        <v>74.94</v>
      </c>
      <c r="I147" s="29">
        <v>208.18</v>
      </c>
      <c r="J147" s="29">
        <v>252.38499999999999</v>
      </c>
      <c r="K147" s="29">
        <v>168.4</v>
      </c>
      <c r="L147" s="29">
        <v>15.8</v>
      </c>
      <c r="M147" s="29">
        <v>13.2</v>
      </c>
      <c r="N147" s="92">
        <v>43.2</v>
      </c>
      <c r="O147" s="92">
        <v>18</v>
      </c>
      <c r="P147" s="92">
        <v>18.8</v>
      </c>
      <c r="Q147" s="88">
        <f>3.6</f>
        <v>3.6</v>
      </c>
      <c r="R147" s="158">
        <v>21.9</v>
      </c>
      <c r="S147" s="158">
        <v>3.7</v>
      </c>
      <c r="T147" s="221"/>
      <c r="U147" s="221"/>
    </row>
    <row r="148" spans="2:21" x14ac:dyDescent="0.3">
      <c r="B148" s="21" t="s">
        <v>15</v>
      </c>
      <c r="C148" s="21"/>
      <c r="D148" s="89"/>
      <c r="E148" s="22">
        <f t="shared" ref="E148:P148" si="41">SUM(E140:E147)</f>
        <v>3687.3530000000001</v>
      </c>
      <c r="F148" s="22">
        <f t="shared" si="41"/>
        <v>4598.7629999999999</v>
      </c>
      <c r="G148" s="22">
        <f t="shared" si="41"/>
        <v>4442.634</v>
      </c>
      <c r="H148" s="22">
        <f t="shared" si="41"/>
        <v>4345.9739999999993</v>
      </c>
      <c r="I148" s="22">
        <f t="shared" si="41"/>
        <v>5217.8470000000007</v>
      </c>
      <c r="J148" s="22">
        <f t="shared" si="41"/>
        <v>5169.585</v>
      </c>
      <c r="K148" s="22">
        <f t="shared" si="41"/>
        <v>5385.7470000000003</v>
      </c>
      <c r="L148" s="22">
        <f t="shared" si="41"/>
        <v>5764.4920000000002</v>
      </c>
      <c r="M148" s="22">
        <f t="shared" si="41"/>
        <v>5142.6000000000004</v>
      </c>
      <c r="N148" s="22">
        <f t="shared" si="41"/>
        <v>4991.5</v>
      </c>
      <c r="O148" s="22">
        <f t="shared" si="41"/>
        <v>4950.9000000000005</v>
      </c>
      <c r="P148" s="22">
        <f t="shared" si="41"/>
        <v>5237.3</v>
      </c>
      <c r="Q148" s="22">
        <f>SUM(Q140:Q147)</f>
        <v>5665.3</v>
      </c>
      <c r="R148" s="22">
        <f>SUM(R140:R147)</f>
        <v>5592.5999999999995</v>
      </c>
      <c r="S148" s="22">
        <f>SUM(S140:S147)</f>
        <v>5793.7000000000007</v>
      </c>
      <c r="T148" s="233"/>
      <c r="U148" s="233"/>
    </row>
    <row r="149" spans="2:21" x14ac:dyDescent="0.3">
      <c r="B149" s="4" t="s">
        <v>16</v>
      </c>
      <c r="C149" s="4"/>
      <c r="D149" s="91"/>
      <c r="E149" s="63"/>
      <c r="F149" s="63"/>
      <c r="G149" s="63"/>
      <c r="H149" s="63"/>
      <c r="I149" s="63"/>
      <c r="J149" s="63"/>
      <c r="K149" s="64"/>
      <c r="L149" s="64"/>
      <c r="M149" s="64"/>
      <c r="N149" s="64"/>
      <c r="O149" s="63"/>
      <c r="P149" s="8"/>
      <c r="Q149" s="8"/>
      <c r="R149" s="4"/>
      <c r="S149" s="4"/>
      <c r="T149" s="244"/>
      <c r="U149" s="244"/>
    </row>
    <row r="150" spans="2:21" x14ac:dyDescent="0.3">
      <c r="B150" s="25" t="s">
        <v>17</v>
      </c>
      <c r="C150" s="25"/>
      <c r="D150" s="91"/>
      <c r="E150" s="73">
        <v>732.76499999999999</v>
      </c>
      <c r="F150" s="73">
        <v>599.80799999999999</v>
      </c>
      <c r="G150" s="73">
        <v>734.41300000000001</v>
      </c>
      <c r="H150" s="73">
        <v>887.40499999999997</v>
      </c>
      <c r="I150" s="73">
        <v>795.85900000000004</v>
      </c>
      <c r="J150" s="73">
        <v>768.09500000000003</v>
      </c>
      <c r="K150" s="73">
        <v>900.60599999999999</v>
      </c>
      <c r="L150" s="73">
        <v>966.08699999999999</v>
      </c>
      <c r="M150" s="73">
        <v>1149.0999999999999</v>
      </c>
      <c r="N150" s="73">
        <v>1350.7840000000001</v>
      </c>
      <c r="O150" s="72">
        <v>1456.1</v>
      </c>
      <c r="P150" s="94">
        <v>1575.2</v>
      </c>
      <c r="Q150" s="93">
        <v>1467.3</v>
      </c>
      <c r="R150" s="160">
        <v>1341</v>
      </c>
      <c r="S150" s="160">
        <v>1427.3</v>
      </c>
      <c r="T150" s="224"/>
      <c r="U150" s="224"/>
    </row>
    <row r="151" spans="2:21" x14ac:dyDescent="0.3">
      <c r="D151" s="91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3"/>
      <c r="P151" s="74"/>
      <c r="Q151" s="74"/>
      <c r="R151" s="3"/>
      <c r="S151" s="3"/>
      <c r="T151" s="244"/>
      <c r="U151" s="244"/>
    </row>
    <row r="152" spans="2:21" x14ac:dyDescent="0.3">
      <c r="B152" s="3" t="s">
        <v>55</v>
      </c>
      <c r="C152" s="3"/>
      <c r="D152" s="85">
        <v>1798.973</v>
      </c>
      <c r="E152" s="29">
        <v>1720.3969999999999</v>
      </c>
      <c r="F152" s="29">
        <v>1617.7840000000001</v>
      </c>
      <c r="G152" s="29">
        <v>1522.3340000000001</v>
      </c>
      <c r="H152" s="29">
        <v>1521.6690000000001</v>
      </c>
      <c r="I152" s="29">
        <v>1521.6690000000001</v>
      </c>
      <c r="J152" s="29">
        <v>1521.6759999999999</v>
      </c>
      <c r="K152" s="29">
        <v>1521.6759999999999</v>
      </c>
      <c r="L152" s="29">
        <v>1521.6759999999999</v>
      </c>
      <c r="M152" s="29">
        <v>1521.636</v>
      </c>
      <c r="N152" s="29">
        <v>1389.037</v>
      </c>
      <c r="O152" s="58">
        <v>1222.1199999999999</v>
      </c>
      <c r="P152" s="58">
        <v>1027.2929999999999</v>
      </c>
      <c r="Q152" s="58">
        <v>940</v>
      </c>
      <c r="R152" s="12">
        <v>940</v>
      </c>
      <c r="S152" s="12">
        <v>940</v>
      </c>
      <c r="T152" s="221"/>
      <c r="U152" s="221"/>
    </row>
    <row r="153" spans="2:21" x14ac:dyDescent="0.3">
      <c r="B153" s="3"/>
      <c r="C153" s="3"/>
      <c r="D153" s="91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3"/>
      <c r="P153" s="76"/>
      <c r="Q153" s="76"/>
      <c r="R153" s="3"/>
      <c r="S153" s="3"/>
      <c r="T153" s="223"/>
      <c r="U153" s="223"/>
    </row>
    <row r="154" spans="2:21" x14ac:dyDescent="0.3">
      <c r="B154" s="1" t="s">
        <v>56</v>
      </c>
      <c r="D154" s="91">
        <f t="shared" ref="D154:L154" si="42">D131+D141-D152</f>
        <v>2205.3019999999997</v>
      </c>
      <c r="E154" s="67">
        <f>E131+E141-E152</f>
        <v>2347.5390000000002</v>
      </c>
      <c r="F154" s="67">
        <f t="shared" si="42"/>
        <v>2771.0759999999996</v>
      </c>
      <c r="G154" s="67">
        <f t="shared" si="42"/>
        <v>3019.2060000000001</v>
      </c>
      <c r="H154" s="67">
        <f t="shared" si="42"/>
        <v>3039.41</v>
      </c>
      <c r="I154" s="67">
        <f t="shared" si="42"/>
        <v>3452.2110000000002</v>
      </c>
      <c r="J154" s="67">
        <f t="shared" si="42"/>
        <v>3712.2049999999995</v>
      </c>
      <c r="K154" s="67">
        <f t="shared" si="42"/>
        <v>4178.902</v>
      </c>
      <c r="L154" s="67">
        <f t="shared" si="42"/>
        <v>4583.2240000000002</v>
      </c>
      <c r="M154" s="67">
        <f t="shared" ref="M154:S154" si="43">M131+M141-M152</f>
        <v>4664.4639999999999</v>
      </c>
      <c r="N154" s="67">
        <f t="shared" si="43"/>
        <v>4593.6629999999996</v>
      </c>
      <c r="O154" s="67">
        <f t="shared" si="43"/>
        <v>4511.78</v>
      </c>
      <c r="P154" s="67">
        <f t="shared" si="43"/>
        <v>4707.5070000000005</v>
      </c>
      <c r="Q154" s="67">
        <f t="shared" si="43"/>
        <v>4916.6000000000004</v>
      </c>
      <c r="R154" s="67">
        <f t="shared" si="43"/>
        <v>5146.6000000000004</v>
      </c>
      <c r="S154" s="67">
        <f t="shared" si="43"/>
        <v>5316.7</v>
      </c>
      <c r="T154" s="223"/>
      <c r="U154" s="223"/>
    </row>
    <row r="155" spans="2:21" x14ac:dyDescent="0.3">
      <c r="B155" s="3" t="s">
        <v>57</v>
      </c>
      <c r="C155" s="3"/>
      <c r="D155" s="67">
        <f>D131+D141-D152-D127</f>
        <v>2205.3019999999997</v>
      </c>
      <c r="E155" s="67">
        <f t="shared" ref="E155:L155" si="44">E131+E141-E152-E127</f>
        <v>2231.355</v>
      </c>
      <c r="F155" s="67">
        <f t="shared" si="44"/>
        <v>2601.0359999999996</v>
      </c>
      <c r="G155" s="67">
        <f t="shared" si="44"/>
        <v>2851.6770000000001</v>
      </c>
      <c r="H155" s="67">
        <f t="shared" si="44"/>
        <v>2992.0549999999998</v>
      </c>
      <c r="I155" s="67">
        <f t="shared" si="44"/>
        <v>3395.5730000000003</v>
      </c>
      <c r="J155" s="67">
        <f t="shared" si="44"/>
        <v>3658.9379999999996</v>
      </c>
      <c r="K155" s="67">
        <f t="shared" si="44"/>
        <v>4087.319</v>
      </c>
      <c r="L155" s="67">
        <f t="shared" si="44"/>
        <v>4502.0389999999998</v>
      </c>
      <c r="M155" s="67">
        <f t="shared" ref="M155:S155" si="45">M131+M141-M152-M127</f>
        <v>4607.9639999999999</v>
      </c>
      <c r="N155" s="67">
        <f t="shared" si="45"/>
        <v>4542.7629999999999</v>
      </c>
      <c r="O155" s="67">
        <f t="shared" si="45"/>
        <v>4481.79</v>
      </c>
      <c r="P155" s="67">
        <f t="shared" si="45"/>
        <v>4649.8070000000007</v>
      </c>
      <c r="Q155" s="67">
        <f t="shared" si="45"/>
        <v>4855</v>
      </c>
      <c r="R155" s="67">
        <f t="shared" si="45"/>
        <v>5019.9000000000005</v>
      </c>
      <c r="S155" s="67">
        <f t="shared" si="45"/>
        <v>5149.0999999999995</v>
      </c>
      <c r="T155" s="223"/>
      <c r="U155" s="223"/>
    </row>
    <row r="156" spans="2:21" x14ac:dyDescent="0.3"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74"/>
      <c r="R156" s="76"/>
      <c r="S156" s="76"/>
      <c r="T156" s="244"/>
      <c r="U156" s="244"/>
    </row>
    <row r="157" spans="2:21" x14ac:dyDescent="0.3">
      <c r="B157" s="31" t="s">
        <v>23</v>
      </c>
      <c r="C157" s="31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74"/>
      <c r="R157" s="76"/>
      <c r="S157" s="76"/>
      <c r="T157" s="244"/>
      <c r="U157" s="244"/>
    </row>
    <row r="158" spans="2:21" x14ac:dyDescent="0.3">
      <c r="B158" s="28" t="s">
        <v>24</v>
      </c>
      <c r="C158" s="28"/>
      <c r="D158" s="64">
        <f>D154</f>
        <v>2205.3019999999997</v>
      </c>
      <c r="E158" s="64">
        <f t="shared" ref="E158:L158" si="46">E154</f>
        <v>2347.5390000000002</v>
      </c>
      <c r="F158" s="64">
        <f t="shared" si="46"/>
        <v>2771.0759999999996</v>
      </c>
      <c r="G158" s="64">
        <f t="shared" si="46"/>
        <v>3019.2060000000001</v>
      </c>
      <c r="H158" s="64">
        <f t="shared" si="46"/>
        <v>3039.41</v>
      </c>
      <c r="I158" s="64">
        <f t="shared" si="46"/>
        <v>3452.2110000000002</v>
      </c>
      <c r="J158" s="64">
        <f t="shared" si="46"/>
        <v>3712.2049999999995</v>
      </c>
      <c r="K158" s="64">
        <f t="shared" si="46"/>
        <v>4178.902</v>
      </c>
      <c r="L158" s="64">
        <f t="shared" si="46"/>
        <v>4583.2240000000002</v>
      </c>
      <c r="M158" s="64">
        <f t="shared" ref="M158:S158" si="47">M154</f>
        <v>4664.4639999999999</v>
      </c>
      <c r="N158" s="64">
        <f t="shared" si="47"/>
        <v>4593.6629999999996</v>
      </c>
      <c r="O158" s="64">
        <f t="shared" si="47"/>
        <v>4511.78</v>
      </c>
      <c r="P158" s="64">
        <f t="shared" si="47"/>
        <v>4707.5070000000005</v>
      </c>
      <c r="Q158" s="64">
        <f t="shared" si="47"/>
        <v>4916.6000000000004</v>
      </c>
      <c r="R158" s="64">
        <f t="shared" si="47"/>
        <v>5146.6000000000004</v>
      </c>
      <c r="S158" s="64">
        <f t="shared" si="47"/>
        <v>5316.7</v>
      </c>
      <c r="T158" s="244"/>
      <c r="U158" s="244"/>
    </row>
    <row r="159" spans="2:21" x14ac:dyDescent="0.3">
      <c r="B159" s="43" t="s">
        <v>68</v>
      </c>
      <c r="C159" s="43"/>
      <c r="D159" s="95">
        <f>D131+D141</f>
        <v>4004.2749999999996</v>
      </c>
      <c r="E159" s="95">
        <f t="shared" ref="E159:O159" si="48">E131+E141</f>
        <v>4067.9360000000001</v>
      </c>
      <c r="F159" s="95">
        <f t="shared" si="48"/>
        <v>4388.8599999999997</v>
      </c>
      <c r="G159" s="95">
        <f t="shared" si="48"/>
        <v>4541.54</v>
      </c>
      <c r="H159" s="95">
        <f t="shared" si="48"/>
        <v>4561.0789999999997</v>
      </c>
      <c r="I159" s="95">
        <f t="shared" si="48"/>
        <v>4973.88</v>
      </c>
      <c r="J159" s="95">
        <f t="shared" si="48"/>
        <v>5233.8809999999994</v>
      </c>
      <c r="K159" s="95">
        <f t="shared" si="48"/>
        <v>5700.5780000000004</v>
      </c>
      <c r="L159" s="95">
        <f t="shared" si="48"/>
        <v>6104.9000000000005</v>
      </c>
      <c r="M159" s="95">
        <f t="shared" si="48"/>
        <v>6186.1</v>
      </c>
      <c r="N159" s="95">
        <f t="shared" si="48"/>
        <v>5982.7</v>
      </c>
      <c r="O159" s="95">
        <f t="shared" si="48"/>
        <v>5733.9</v>
      </c>
      <c r="P159" s="95">
        <f>P131+P141</f>
        <v>5734.8</v>
      </c>
      <c r="Q159" s="95">
        <f>Q131+Q141</f>
        <v>5856.6</v>
      </c>
      <c r="R159" s="95">
        <f>R131+R141</f>
        <v>6086.6</v>
      </c>
      <c r="S159" s="95">
        <f>S131+S141</f>
        <v>6256.7</v>
      </c>
      <c r="T159" s="251"/>
      <c r="U159" s="251"/>
    </row>
    <row r="160" spans="2:21" x14ac:dyDescent="0.3">
      <c r="B160" s="43" t="s">
        <v>43</v>
      </c>
      <c r="C160" s="43"/>
      <c r="D160" s="95">
        <f>D131+D141-(0.5*D152)</f>
        <v>3104.7884999999997</v>
      </c>
      <c r="E160" s="95">
        <f t="shared" ref="E160:O160" si="49">E131+E141-(0.5*E152)</f>
        <v>3207.7375000000002</v>
      </c>
      <c r="F160" s="95">
        <f t="shared" si="49"/>
        <v>3579.9679999999998</v>
      </c>
      <c r="G160" s="95">
        <f t="shared" si="49"/>
        <v>3780.373</v>
      </c>
      <c r="H160" s="95">
        <f t="shared" si="49"/>
        <v>3800.2444999999998</v>
      </c>
      <c r="I160" s="95">
        <f t="shared" si="49"/>
        <v>4213.0455000000002</v>
      </c>
      <c r="J160" s="95">
        <f t="shared" si="49"/>
        <v>4473.0429999999997</v>
      </c>
      <c r="K160" s="95">
        <f t="shared" si="49"/>
        <v>4939.7400000000007</v>
      </c>
      <c r="L160" s="95">
        <f t="shared" si="49"/>
        <v>5344.0620000000008</v>
      </c>
      <c r="M160" s="95">
        <f t="shared" si="49"/>
        <v>5425.2820000000002</v>
      </c>
      <c r="N160" s="95">
        <f t="shared" si="49"/>
        <v>5288.1814999999997</v>
      </c>
      <c r="O160" s="95">
        <f t="shared" si="49"/>
        <v>5122.84</v>
      </c>
      <c r="P160" s="95">
        <f>P131+P141-(0.5*P152)</f>
        <v>5221.1535000000003</v>
      </c>
      <c r="Q160" s="95">
        <f>Q131+Q141-(0.5*Q152)</f>
        <v>5386.6</v>
      </c>
      <c r="R160" s="95">
        <f>R131+R141-(0.5*R152)</f>
        <v>5616.6</v>
      </c>
      <c r="S160" s="95">
        <f>S131+S141-(0.5*S152)</f>
        <v>5786.7</v>
      </c>
      <c r="T160" s="251"/>
      <c r="U160" s="251"/>
    </row>
    <row r="161" spans="2:21" x14ac:dyDescent="0.3">
      <c r="B161" s="28" t="s">
        <v>25</v>
      </c>
      <c r="C161" s="28"/>
      <c r="D161" s="64">
        <f>D150</f>
        <v>0</v>
      </c>
      <c r="E161" s="64">
        <f t="shared" ref="E161:L161" si="50">E150</f>
        <v>732.76499999999999</v>
      </c>
      <c r="F161" s="64">
        <f>F150</f>
        <v>599.80799999999999</v>
      </c>
      <c r="G161" s="64">
        <f t="shared" si="50"/>
        <v>734.41300000000001</v>
      </c>
      <c r="H161" s="64">
        <f t="shared" si="50"/>
        <v>887.40499999999997</v>
      </c>
      <c r="I161" s="64">
        <f t="shared" si="50"/>
        <v>795.85900000000004</v>
      </c>
      <c r="J161" s="64">
        <f t="shared" si="50"/>
        <v>768.09500000000003</v>
      </c>
      <c r="K161" s="64">
        <f t="shared" si="50"/>
        <v>900.60599999999999</v>
      </c>
      <c r="L161" s="64">
        <f t="shared" si="50"/>
        <v>966.08699999999999</v>
      </c>
      <c r="M161" s="64">
        <f>M150</f>
        <v>1149.0999999999999</v>
      </c>
      <c r="N161" s="64">
        <f t="shared" ref="N161:S161" si="51">N150</f>
        <v>1350.7840000000001</v>
      </c>
      <c r="O161" s="64">
        <f t="shared" si="51"/>
        <v>1456.1</v>
      </c>
      <c r="P161" s="64">
        <f t="shared" si="51"/>
        <v>1575.2</v>
      </c>
      <c r="Q161" s="64">
        <f t="shared" si="51"/>
        <v>1467.3</v>
      </c>
      <c r="R161" s="64">
        <f t="shared" si="51"/>
        <v>1341</v>
      </c>
      <c r="S161" s="64">
        <f t="shared" si="51"/>
        <v>1427.3</v>
      </c>
      <c r="T161" s="244"/>
      <c r="U161" s="244"/>
    </row>
    <row r="162" spans="2:21" x14ac:dyDescent="0.3">
      <c r="B162" s="28" t="s">
        <v>26</v>
      </c>
      <c r="C162" s="28"/>
      <c r="D162" s="38">
        <f>D158/(D158+D161)</f>
        <v>1</v>
      </c>
      <c r="E162" s="38">
        <f>E158/(E158+E161)</f>
        <v>0.762112765493276</v>
      </c>
      <c r="F162" s="38">
        <f t="shared" ref="F162:L162" si="52">F158/(F158+F161)</f>
        <v>0.82206210596389551</v>
      </c>
      <c r="G162" s="38">
        <f t="shared" si="52"/>
        <v>0.80434535311122413</v>
      </c>
      <c r="H162" s="38">
        <f t="shared" si="52"/>
        <v>0.77401405464734141</v>
      </c>
      <c r="I162" s="38">
        <f t="shared" si="52"/>
        <v>0.81265398169050884</v>
      </c>
      <c r="J162" s="38">
        <f t="shared" si="52"/>
        <v>0.8285617034573578</v>
      </c>
      <c r="K162" s="38">
        <f t="shared" si="52"/>
        <v>0.82269818257988769</v>
      </c>
      <c r="L162" s="38">
        <f t="shared" si="52"/>
        <v>0.82590865784959622</v>
      </c>
      <c r="M162" s="38">
        <f>M158/(M158+M161)</f>
        <v>0.80234155846568467</v>
      </c>
      <c r="N162" s="38">
        <f t="shared" ref="N162:S162" si="53">N158/(N158+N161)</f>
        <v>0.77276540610085331</v>
      </c>
      <c r="O162" s="38">
        <f t="shared" si="53"/>
        <v>0.75601050959469696</v>
      </c>
      <c r="P162" s="38">
        <f t="shared" si="53"/>
        <v>0.74928004759731759</v>
      </c>
      <c r="Q162" s="38">
        <f t="shared" si="53"/>
        <v>0.7701561741255345</v>
      </c>
      <c r="R162" s="38">
        <f t="shared" si="53"/>
        <v>0.79329798384610639</v>
      </c>
      <c r="S162" s="38">
        <f t="shared" si="53"/>
        <v>0.78836002372479241</v>
      </c>
      <c r="T162" s="238"/>
      <c r="U162" s="238"/>
    </row>
    <row r="163" spans="2:21" x14ac:dyDescent="0.3">
      <c r="B163" s="43" t="s">
        <v>69</v>
      </c>
      <c r="C163" s="43"/>
      <c r="D163" s="216">
        <f>D150+D152</f>
        <v>1798.973</v>
      </c>
      <c r="E163" s="216">
        <f t="shared" ref="E163:S163" si="54">E150+E152</f>
        <v>2453.1619999999998</v>
      </c>
      <c r="F163" s="216">
        <f t="shared" si="54"/>
        <v>2217.5920000000001</v>
      </c>
      <c r="G163" s="216">
        <f t="shared" si="54"/>
        <v>2256.7470000000003</v>
      </c>
      <c r="H163" s="216">
        <f t="shared" si="54"/>
        <v>2409.0740000000001</v>
      </c>
      <c r="I163" s="216">
        <f t="shared" si="54"/>
        <v>2317.5280000000002</v>
      </c>
      <c r="J163" s="216">
        <f t="shared" si="54"/>
        <v>2289.7709999999997</v>
      </c>
      <c r="K163" s="216">
        <f t="shared" si="54"/>
        <v>2422.2820000000002</v>
      </c>
      <c r="L163" s="216">
        <f t="shared" si="54"/>
        <v>2487.7629999999999</v>
      </c>
      <c r="M163" s="216">
        <f t="shared" si="54"/>
        <v>2670.7359999999999</v>
      </c>
      <c r="N163" s="216">
        <f t="shared" si="54"/>
        <v>2739.8209999999999</v>
      </c>
      <c r="O163" s="216">
        <f t="shared" si="54"/>
        <v>2678.22</v>
      </c>
      <c r="P163" s="216">
        <f t="shared" si="54"/>
        <v>2602.4929999999999</v>
      </c>
      <c r="Q163" s="216">
        <f t="shared" si="54"/>
        <v>2407.3000000000002</v>
      </c>
      <c r="R163" s="216">
        <f t="shared" si="54"/>
        <v>2281</v>
      </c>
      <c r="S163" s="216">
        <f t="shared" si="54"/>
        <v>2367.3000000000002</v>
      </c>
      <c r="T163" s="248"/>
      <c r="U163" s="248"/>
    </row>
    <row r="164" spans="2:21" x14ac:dyDescent="0.3">
      <c r="B164" s="43" t="s">
        <v>70</v>
      </c>
      <c r="C164" s="43"/>
      <c r="D164" s="216">
        <f>D150+0.5*D152</f>
        <v>899.48649999999998</v>
      </c>
      <c r="E164" s="216">
        <f t="shared" ref="E164:S164" si="55">E150+0.5*E152</f>
        <v>1592.9634999999998</v>
      </c>
      <c r="F164" s="216">
        <f t="shared" si="55"/>
        <v>1408.7</v>
      </c>
      <c r="G164" s="216">
        <f t="shared" si="55"/>
        <v>1495.58</v>
      </c>
      <c r="H164" s="216">
        <f t="shared" si="55"/>
        <v>1648.2395000000001</v>
      </c>
      <c r="I164" s="216">
        <f t="shared" si="55"/>
        <v>1556.6935000000001</v>
      </c>
      <c r="J164" s="216">
        <f t="shared" si="55"/>
        <v>1528.933</v>
      </c>
      <c r="K164" s="216">
        <f t="shared" si="55"/>
        <v>1661.444</v>
      </c>
      <c r="L164" s="216">
        <f t="shared" si="55"/>
        <v>1726.925</v>
      </c>
      <c r="M164" s="216">
        <f t="shared" si="55"/>
        <v>1909.9179999999999</v>
      </c>
      <c r="N164" s="216">
        <f t="shared" si="55"/>
        <v>2045.3025000000002</v>
      </c>
      <c r="O164" s="216">
        <f t="shared" si="55"/>
        <v>2067.16</v>
      </c>
      <c r="P164" s="216">
        <f t="shared" si="55"/>
        <v>2088.8465000000001</v>
      </c>
      <c r="Q164" s="216">
        <f t="shared" si="55"/>
        <v>1937.3</v>
      </c>
      <c r="R164" s="216">
        <f t="shared" si="55"/>
        <v>1811</v>
      </c>
      <c r="S164" s="216">
        <f t="shared" si="55"/>
        <v>1897.3</v>
      </c>
      <c r="T164" s="248"/>
      <c r="U164" s="248"/>
    </row>
    <row r="165" spans="2:21" x14ac:dyDescent="0.3">
      <c r="B165" s="43" t="s">
        <v>46</v>
      </c>
      <c r="C165" s="43"/>
      <c r="D165" s="80">
        <f>D159/(D159+D161)</f>
        <v>1</v>
      </c>
      <c r="E165" s="80">
        <f t="shared" ref="E165:O165" si="56">E159/(E159+E161)</f>
        <v>0.84736291637408789</v>
      </c>
      <c r="F165" s="80">
        <f t="shared" si="56"/>
        <v>0.87976590143902134</v>
      </c>
      <c r="G165" s="80">
        <f t="shared" si="56"/>
        <v>0.86079993510177222</v>
      </c>
      <c r="H165" s="80">
        <f t="shared" si="56"/>
        <v>0.8371280892079338</v>
      </c>
      <c r="I165" s="80">
        <f t="shared" si="56"/>
        <v>0.8620632579740608</v>
      </c>
      <c r="J165" s="80">
        <f t="shared" si="56"/>
        <v>0.8720263126676947</v>
      </c>
      <c r="K165" s="80">
        <f t="shared" si="56"/>
        <v>0.86356902034544114</v>
      </c>
      <c r="L165" s="80">
        <f t="shared" si="56"/>
        <v>0.86337310477306772</v>
      </c>
      <c r="M165" s="80">
        <f t="shared" si="56"/>
        <v>0.8433444214200021</v>
      </c>
      <c r="N165" s="80">
        <f t="shared" si="56"/>
        <v>0.81580596616833134</v>
      </c>
      <c r="O165" s="80">
        <f t="shared" si="56"/>
        <v>0.7974826147426981</v>
      </c>
      <c r="P165" s="80">
        <f>P159/(P159+P161)</f>
        <v>0.78451436388508899</v>
      </c>
      <c r="Q165" s="80">
        <f>Q159/(Q159+Q161)</f>
        <v>0.79965592102568306</v>
      </c>
      <c r="R165" s="80">
        <f>R159/(R159+R161)</f>
        <v>0.81945715978243305</v>
      </c>
      <c r="S165" s="80">
        <f>S159/(S159+S161)</f>
        <v>0.81425039042165537</v>
      </c>
      <c r="T165" s="249"/>
      <c r="U165" s="249"/>
    </row>
    <row r="166" spans="2:21" x14ac:dyDescent="0.3">
      <c r="B166" s="43" t="s">
        <v>60</v>
      </c>
      <c r="C166" s="43"/>
      <c r="D166" s="97">
        <f>D160/(D160+D164)</f>
        <v>0.77536844996909549</v>
      </c>
      <c r="E166" s="97">
        <f t="shared" ref="E166:O166" si="57">E160/(E160+E164)</f>
        <v>0.66818106355717632</v>
      </c>
      <c r="F166" s="97">
        <f t="shared" si="57"/>
        <v>0.71762001399972897</v>
      </c>
      <c r="G166" s="97">
        <f t="shared" si="57"/>
        <v>0.71652893799470929</v>
      </c>
      <c r="H166" s="97">
        <f t="shared" si="57"/>
        <v>0.6974865852593124</v>
      </c>
      <c r="I166" s="97">
        <f t="shared" si="57"/>
        <v>0.73019689452157188</v>
      </c>
      <c r="J166" s="97">
        <f t="shared" si="57"/>
        <v>0.74526172713786254</v>
      </c>
      <c r="K166" s="97">
        <f t="shared" si="57"/>
        <v>0.74831121204923234</v>
      </c>
      <c r="L166" s="97">
        <f t="shared" si="57"/>
        <v>0.75577313322736983</v>
      </c>
      <c r="M166" s="97">
        <f t="shared" si="57"/>
        <v>0.73962291416730286</v>
      </c>
      <c r="N166" s="97">
        <f t="shared" si="57"/>
        <v>0.72110084374630112</v>
      </c>
      <c r="O166" s="97">
        <f t="shared" si="57"/>
        <v>0.71249513212795557</v>
      </c>
      <c r="P166" s="97">
        <f>P160/(P160+P164)</f>
        <v>0.71424808481532154</v>
      </c>
      <c r="Q166" s="97">
        <f>Q160/(Q160+Q164)</f>
        <v>0.73548246153005914</v>
      </c>
      <c r="R166" s="97">
        <f>R160/(R160+R164)</f>
        <v>0.75617965426248046</v>
      </c>
      <c r="S166" s="97">
        <f>S160/(S160+S164)</f>
        <v>0.75308433107756378</v>
      </c>
      <c r="T166" s="252"/>
      <c r="U166" s="252"/>
    </row>
    <row r="167" spans="2:21" x14ac:dyDescent="0.3">
      <c r="B167" s="82" t="s">
        <v>61</v>
      </c>
      <c r="C167" s="82"/>
      <c r="D167" s="97">
        <f>D158/(D158+D163)</f>
        <v>0.55073689993819108</v>
      </c>
      <c r="E167" s="97">
        <f t="shared" ref="E167:O167" si="58">E158/(E158+E163)</f>
        <v>0.48899921074026487</v>
      </c>
      <c r="F167" s="97">
        <f t="shared" si="58"/>
        <v>0.55547412656043649</v>
      </c>
      <c r="G167" s="97">
        <f t="shared" si="58"/>
        <v>0.57225794088764625</v>
      </c>
      <c r="H167" s="97">
        <f t="shared" si="58"/>
        <v>0.5578450813106911</v>
      </c>
      <c r="I167" s="97">
        <f t="shared" si="58"/>
        <v>0.59833053106908296</v>
      </c>
      <c r="J167" s="97">
        <f t="shared" si="58"/>
        <v>0.61849714160803049</v>
      </c>
      <c r="K167" s="97">
        <f t="shared" si="58"/>
        <v>0.63305340375302366</v>
      </c>
      <c r="L167" s="97">
        <f t="shared" si="58"/>
        <v>0.64817316168167194</v>
      </c>
      <c r="M167" s="97">
        <f t="shared" si="58"/>
        <v>0.63590140691460362</v>
      </c>
      <c r="N167" s="97">
        <f t="shared" si="58"/>
        <v>0.6263957213242709</v>
      </c>
      <c r="O167" s="97">
        <f t="shared" si="58"/>
        <v>0.62750764951321281</v>
      </c>
      <c r="P167" s="97">
        <f>P158/(P158+P163)</f>
        <v>0.64398180574555408</v>
      </c>
      <c r="Q167" s="97">
        <f>Q158/(Q158+Q163)</f>
        <v>0.67130900203443522</v>
      </c>
      <c r="R167" s="97">
        <f>R158/(R158+R163)</f>
        <v>0.69290214874252787</v>
      </c>
      <c r="S167" s="97">
        <f>S158/(S158+S163)</f>
        <v>0.69191827173347209</v>
      </c>
      <c r="T167" s="252"/>
      <c r="U167" s="252"/>
    </row>
    <row r="168" spans="2:21" x14ac:dyDescent="0.3">
      <c r="D168" s="96"/>
    </row>
    <row r="169" spans="2:21" x14ac:dyDescent="0.3">
      <c r="B169" s="257" t="s">
        <v>71</v>
      </c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>
        <v>42735</v>
      </c>
      <c r="O169" s="260">
        <v>43100</v>
      </c>
      <c r="P169" s="260">
        <v>43465</v>
      </c>
      <c r="Q169" s="260">
        <v>43829</v>
      </c>
      <c r="R169" s="258">
        <v>44195</v>
      </c>
      <c r="S169" s="258">
        <v>44377</v>
      </c>
    </row>
    <row r="170" spans="2:21" x14ac:dyDescent="0.3">
      <c r="D170" s="23"/>
      <c r="E170" s="3"/>
      <c r="F170" s="3"/>
      <c r="G170" s="3"/>
      <c r="H170" s="3"/>
      <c r="R170" s="3"/>
      <c r="S170" s="3"/>
    </row>
    <row r="171" spans="2:21" x14ac:dyDescent="0.3">
      <c r="B171" s="1" t="s">
        <v>3</v>
      </c>
      <c r="D171" s="23"/>
      <c r="E171" s="3"/>
      <c r="F171" s="3"/>
      <c r="G171" s="3"/>
      <c r="H171" s="3"/>
      <c r="R171" s="3"/>
      <c r="S171" s="3"/>
    </row>
    <row r="172" spans="2:21" x14ac:dyDescent="0.3">
      <c r="B172" s="4" t="s">
        <v>4</v>
      </c>
      <c r="C172" s="4"/>
      <c r="D172" s="23"/>
      <c r="E172" s="3"/>
      <c r="F172" s="3"/>
      <c r="G172" s="3"/>
      <c r="H172" s="3"/>
      <c r="P172" s="4"/>
      <c r="Q172" s="4"/>
      <c r="R172" s="4"/>
      <c r="S172" s="4"/>
    </row>
    <row r="173" spans="2:21" x14ac:dyDescent="0.3">
      <c r="B173" s="5" t="s">
        <v>5</v>
      </c>
      <c r="C173" s="5"/>
      <c r="D173" s="23"/>
      <c r="E173" s="3"/>
      <c r="F173" s="3"/>
      <c r="G173" s="3"/>
      <c r="H173" s="3"/>
      <c r="J173" s="99"/>
      <c r="K173" s="99"/>
      <c r="M173" s="91"/>
      <c r="N173" s="98">
        <v>62.8</v>
      </c>
      <c r="O173" s="90">
        <v>160.4</v>
      </c>
      <c r="P173" s="90">
        <v>195</v>
      </c>
      <c r="Q173" s="29">
        <v>144.80000000000001</v>
      </c>
      <c r="R173" s="155">
        <v>143.69999999999999</v>
      </c>
      <c r="S173" s="155">
        <v>177.1</v>
      </c>
      <c r="T173" s="253"/>
      <c r="U173" s="253"/>
    </row>
    <row r="174" spans="2:21" x14ac:dyDescent="0.3">
      <c r="B174" s="4" t="s">
        <v>6</v>
      </c>
      <c r="C174" s="4"/>
      <c r="D174" s="23"/>
      <c r="E174" s="3"/>
      <c r="F174" s="3"/>
      <c r="G174" s="3"/>
      <c r="H174" s="3"/>
      <c r="I174" s="3"/>
      <c r="J174" s="3"/>
      <c r="K174" s="3"/>
      <c r="L174" s="3"/>
      <c r="N174" s="63"/>
      <c r="O174" s="63"/>
      <c r="P174" s="63"/>
      <c r="Q174" s="8"/>
      <c r="R174" s="156"/>
      <c r="S174" s="156"/>
    </row>
    <row r="175" spans="2:21" x14ac:dyDescent="0.3">
      <c r="B175" s="10" t="s">
        <v>7</v>
      </c>
      <c r="C175" s="10"/>
      <c r="D175" s="23"/>
      <c r="E175" s="3"/>
      <c r="F175" s="3"/>
      <c r="G175" s="3"/>
      <c r="H175" s="3"/>
      <c r="J175" s="99"/>
      <c r="N175" s="63"/>
      <c r="O175" s="63"/>
      <c r="P175" s="62"/>
      <c r="Q175" s="11"/>
      <c r="R175" s="157"/>
      <c r="S175" s="157"/>
    </row>
    <row r="176" spans="2:21" x14ac:dyDescent="0.3">
      <c r="B176" s="13" t="s">
        <v>53</v>
      </c>
      <c r="C176" s="13"/>
      <c r="D176" s="3"/>
      <c r="E176" s="3"/>
      <c r="F176" s="3"/>
      <c r="G176" s="3"/>
      <c r="H176" s="3"/>
      <c r="J176" s="99"/>
      <c r="K176" s="37"/>
      <c r="N176" s="100">
        <v>42.9</v>
      </c>
      <c r="O176" s="90">
        <v>103.7</v>
      </c>
      <c r="P176" s="90">
        <v>75.400000000000006</v>
      </c>
      <c r="Q176" s="29">
        <v>83.1</v>
      </c>
      <c r="R176" s="158">
        <v>123.8</v>
      </c>
      <c r="S176" s="158">
        <v>268.89999999999998</v>
      </c>
    </row>
    <row r="177" spans="1:21" x14ac:dyDescent="0.3">
      <c r="B177" s="13" t="s">
        <v>22</v>
      </c>
      <c r="C177" s="13"/>
      <c r="D177" s="3"/>
      <c r="E177" s="3"/>
      <c r="F177" s="3"/>
      <c r="G177" s="3"/>
      <c r="H177" s="3"/>
      <c r="J177" s="99"/>
      <c r="K177" s="37"/>
      <c r="N177" s="63"/>
      <c r="O177" s="63"/>
      <c r="P177" s="66"/>
      <c r="Q177" s="65"/>
      <c r="R177" s="158">
        <v>286.89999999999998</v>
      </c>
      <c r="S177" s="158">
        <v>635</v>
      </c>
    </row>
    <row r="178" spans="1:21" x14ac:dyDescent="0.3">
      <c r="B178" s="13" t="s">
        <v>63</v>
      </c>
      <c r="C178" s="13"/>
      <c r="D178" s="3"/>
      <c r="E178" s="3"/>
      <c r="F178" s="3"/>
      <c r="G178" s="3"/>
      <c r="H178" s="3"/>
      <c r="J178" s="99"/>
      <c r="K178" s="37"/>
      <c r="N178" s="63"/>
      <c r="O178" s="63"/>
      <c r="P178" s="66"/>
      <c r="Q178" s="65"/>
      <c r="R178" s="158"/>
      <c r="S178" s="158"/>
    </row>
    <row r="179" spans="1:21" x14ac:dyDescent="0.3">
      <c r="B179" s="13" t="s">
        <v>72</v>
      </c>
      <c r="C179" s="13"/>
      <c r="D179" s="3"/>
      <c r="E179" s="3"/>
      <c r="F179" s="3"/>
      <c r="G179" s="3"/>
      <c r="H179" s="3"/>
      <c r="J179" s="99"/>
      <c r="K179" s="37"/>
      <c r="N179" s="63"/>
      <c r="O179" s="63"/>
      <c r="P179" s="66"/>
      <c r="Q179" s="65"/>
      <c r="R179" s="158"/>
      <c r="S179" s="158"/>
    </row>
    <row r="180" spans="1:21" x14ac:dyDescent="0.3">
      <c r="B180" s="13" t="s">
        <v>54</v>
      </c>
      <c r="C180" s="13"/>
      <c r="D180" s="3"/>
      <c r="E180" s="3"/>
      <c r="F180" s="3"/>
      <c r="G180" s="3"/>
      <c r="H180" s="3"/>
      <c r="J180" s="99"/>
      <c r="K180" s="37"/>
      <c r="N180" s="100">
        <v>58</v>
      </c>
      <c r="O180" s="101">
        <v>60.1</v>
      </c>
      <c r="P180" s="101">
        <v>60</v>
      </c>
      <c r="Q180" s="29">
        <v>67.400000000000006</v>
      </c>
      <c r="R180" s="158">
        <v>69.400000000000006</v>
      </c>
      <c r="S180" s="158">
        <v>77.900000000000006</v>
      </c>
    </row>
    <row r="181" spans="1:21" x14ac:dyDescent="0.3">
      <c r="A181" s="13"/>
      <c r="B181" s="13" t="s">
        <v>73</v>
      </c>
      <c r="C181" s="13"/>
      <c r="D181" s="3"/>
      <c r="E181" s="3"/>
      <c r="F181" s="3"/>
      <c r="G181" s="3"/>
      <c r="H181" s="3"/>
      <c r="J181" s="99"/>
      <c r="K181" s="37"/>
      <c r="N181" s="63"/>
      <c r="O181" s="63"/>
      <c r="P181" s="66"/>
      <c r="Q181" s="29"/>
      <c r="R181" s="158"/>
      <c r="S181" s="158"/>
    </row>
    <row r="182" spans="1:21" x14ac:dyDescent="0.3">
      <c r="A182" s="13"/>
      <c r="B182" s="13" t="s">
        <v>123</v>
      </c>
      <c r="C182" s="13"/>
      <c r="D182" s="3"/>
      <c r="E182" s="3"/>
      <c r="F182" s="3"/>
      <c r="G182" s="3"/>
      <c r="H182" s="3"/>
      <c r="J182" s="99"/>
      <c r="K182" s="37"/>
      <c r="N182" s="63"/>
      <c r="O182" s="63"/>
      <c r="P182" s="66"/>
      <c r="Q182" s="29"/>
      <c r="R182" s="158">
        <v>112.5</v>
      </c>
      <c r="S182" s="158">
        <v>108</v>
      </c>
    </row>
    <row r="183" spans="1:21" x14ac:dyDescent="0.3">
      <c r="B183" s="13" t="s">
        <v>74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00">
        <v>57.6</v>
      </c>
      <c r="O183" s="101">
        <v>98.1</v>
      </c>
      <c r="P183" s="101">
        <v>147</v>
      </c>
      <c r="Q183" s="29">
        <v>142.19999999999999</v>
      </c>
      <c r="R183" s="158">
        <v>53.2</v>
      </c>
      <c r="S183" s="158">
        <v>60.5</v>
      </c>
    </row>
    <row r="184" spans="1:21" x14ac:dyDescent="0.3">
      <c r="B184" s="21" t="s">
        <v>12</v>
      </c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103">
        <f t="shared" ref="N184:S184" si="59">SUM(N176:N183)</f>
        <v>158.5</v>
      </c>
      <c r="O184" s="103">
        <f t="shared" si="59"/>
        <v>261.89999999999998</v>
      </c>
      <c r="P184" s="102">
        <f t="shared" si="59"/>
        <v>282.39999999999998</v>
      </c>
      <c r="Q184" s="102">
        <f t="shared" si="59"/>
        <v>292.7</v>
      </c>
      <c r="R184" s="69">
        <f t="shared" si="59"/>
        <v>645.80000000000007</v>
      </c>
      <c r="S184" s="69">
        <f t="shared" si="59"/>
        <v>1150.3</v>
      </c>
    </row>
    <row r="185" spans="1:21" x14ac:dyDescent="0.3">
      <c r="B185" s="10" t="s">
        <v>13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63"/>
      <c r="O185" s="63"/>
      <c r="P185" s="62"/>
      <c r="Q185" s="11"/>
      <c r="R185" s="10"/>
      <c r="S185" s="10"/>
    </row>
    <row r="186" spans="1:21" x14ac:dyDescent="0.3">
      <c r="B186" s="13" t="s">
        <v>22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63">
        <v>5493.1</v>
      </c>
      <c r="O186" s="63">
        <v>5459.5</v>
      </c>
      <c r="P186" s="100">
        <v>5634.8</v>
      </c>
      <c r="Q186" s="29">
        <v>6014.3</v>
      </c>
      <c r="R186" s="158">
        <v>6019.3</v>
      </c>
      <c r="S186" s="158">
        <v>5802.9</v>
      </c>
    </row>
    <row r="187" spans="1:21" x14ac:dyDescent="0.3">
      <c r="B187" s="13" t="s">
        <v>72</v>
      </c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63">
        <v>1581.9</v>
      </c>
      <c r="O187" s="63">
        <v>1581.9</v>
      </c>
      <c r="P187" s="100">
        <v>1581.9</v>
      </c>
      <c r="Q187" s="29">
        <v>1581.9</v>
      </c>
      <c r="R187" s="158">
        <v>1581.9</v>
      </c>
      <c r="S187" s="158">
        <v>1581.9</v>
      </c>
      <c r="T187" s="246"/>
      <c r="U187" s="246"/>
    </row>
    <row r="188" spans="1:21" x14ac:dyDescent="0.3">
      <c r="B188" s="13" t="s">
        <v>123</v>
      </c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63"/>
      <c r="O188" s="63"/>
      <c r="P188" s="100"/>
      <c r="Q188" s="29"/>
      <c r="R188" s="158">
        <v>259.2</v>
      </c>
      <c r="S188" s="158">
        <v>163.9</v>
      </c>
      <c r="T188" s="246"/>
      <c r="U188" s="246"/>
    </row>
    <row r="189" spans="1:21" x14ac:dyDescent="0.3">
      <c r="B189" s="13" t="s">
        <v>63</v>
      </c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75"/>
      <c r="O189" s="75"/>
      <c r="P189" s="66"/>
      <c r="Q189" s="29"/>
      <c r="R189" s="158"/>
      <c r="S189" s="158"/>
      <c r="T189" s="234"/>
      <c r="U189" s="234"/>
    </row>
    <row r="190" spans="1:21" x14ac:dyDescent="0.3">
      <c r="B190" s="13" t="s">
        <v>54</v>
      </c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00">
        <v>28.7</v>
      </c>
      <c r="O190" s="100">
        <v>23</v>
      </c>
      <c r="P190" s="100">
        <v>35.5</v>
      </c>
      <c r="Q190" s="29">
        <v>65.5</v>
      </c>
      <c r="R190" s="158">
        <v>75.5</v>
      </c>
      <c r="S190" s="158">
        <v>40.4</v>
      </c>
      <c r="T190" s="234"/>
      <c r="U190" s="234"/>
    </row>
    <row r="191" spans="1:21" x14ac:dyDescent="0.3">
      <c r="B191" s="13" t="s">
        <v>75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00">
        <v>59.1</v>
      </c>
      <c r="O191" s="100">
        <v>156.30000000000001</v>
      </c>
      <c r="P191" s="100">
        <v>79.7</v>
      </c>
      <c r="Q191" s="29">
        <v>75.599999999999994</v>
      </c>
      <c r="R191" s="158">
        <v>51.8</v>
      </c>
      <c r="S191" s="158">
        <v>49.7</v>
      </c>
      <c r="T191" s="234"/>
      <c r="U191" s="234"/>
    </row>
    <row r="192" spans="1:21" x14ac:dyDescent="0.3">
      <c r="B192" s="21" t="s">
        <v>15</v>
      </c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104">
        <f t="shared" ref="N192:S192" si="60">SUM(N186:N191)</f>
        <v>7162.8</v>
      </c>
      <c r="O192" s="104">
        <f t="shared" si="60"/>
        <v>7220.7</v>
      </c>
      <c r="P192" s="104">
        <f t="shared" si="60"/>
        <v>7331.9000000000005</v>
      </c>
      <c r="Q192" s="104">
        <f t="shared" si="60"/>
        <v>7737.3000000000011</v>
      </c>
      <c r="R192" s="163">
        <f t="shared" si="60"/>
        <v>7987.7000000000007</v>
      </c>
      <c r="S192" s="163">
        <f t="shared" si="60"/>
        <v>7638.7999999999984</v>
      </c>
      <c r="T192" s="234"/>
      <c r="U192" s="234"/>
    </row>
    <row r="193" spans="2:21" x14ac:dyDescent="0.3">
      <c r="B193" s="4" t="s">
        <v>16</v>
      </c>
      <c r="C193" s="4"/>
      <c r="D193" s="3"/>
      <c r="E193" s="3"/>
      <c r="F193" s="3"/>
      <c r="G193" s="3"/>
      <c r="H193" s="3"/>
      <c r="M193" s="3"/>
      <c r="N193" s="75"/>
      <c r="O193" s="75"/>
      <c r="P193" s="70"/>
      <c r="Q193" s="8"/>
      <c r="R193" s="4"/>
      <c r="S193" s="4"/>
      <c r="T193" s="234"/>
      <c r="U193" s="234"/>
    </row>
    <row r="194" spans="2:21" x14ac:dyDescent="0.3">
      <c r="B194" s="25" t="s">
        <v>17</v>
      </c>
      <c r="C194" s="25"/>
      <c r="D194" s="3"/>
      <c r="E194" s="3"/>
      <c r="F194" s="3"/>
      <c r="G194" s="3"/>
      <c r="H194" s="3"/>
      <c r="J194" s="106"/>
      <c r="K194" s="106"/>
      <c r="M194" s="3"/>
      <c r="N194" s="105">
        <v>3108.9</v>
      </c>
      <c r="O194" s="105">
        <v>3066.2</v>
      </c>
      <c r="P194" s="105">
        <v>2903.5</v>
      </c>
      <c r="Q194" s="105">
        <v>2596.1999999999998</v>
      </c>
      <c r="R194" s="164">
        <v>2497.4</v>
      </c>
      <c r="S194" s="164">
        <v>2497.4</v>
      </c>
      <c r="T194" s="234"/>
      <c r="U194" s="234"/>
    </row>
    <row r="195" spans="2:21" x14ac:dyDescent="0.3">
      <c r="D195" s="3"/>
      <c r="E195" s="3"/>
      <c r="F195" s="3"/>
      <c r="G195" s="3"/>
      <c r="H195" s="3"/>
      <c r="M195" s="3"/>
      <c r="N195" s="76"/>
      <c r="O195" s="76"/>
      <c r="P195" s="74"/>
      <c r="Q195" s="74"/>
      <c r="R195" s="3"/>
      <c r="S195" s="3"/>
      <c r="T195" s="234"/>
      <c r="U195" s="234"/>
    </row>
    <row r="196" spans="2:21" x14ac:dyDescent="0.3">
      <c r="B196" s="3" t="s">
        <v>55</v>
      </c>
      <c r="C196" s="3"/>
      <c r="D196" s="3"/>
      <c r="E196" s="3"/>
      <c r="F196" s="3"/>
      <c r="G196" s="3"/>
      <c r="H196" s="3"/>
      <c r="J196" s="42"/>
      <c r="K196" s="42"/>
      <c r="M196" s="3"/>
      <c r="N196" s="75">
        <f t="shared" ref="N196:S196" si="61">N187</f>
        <v>1581.9</v>
      </c>
      <c r="O196" s="75">
        <f t="shared" si="61"/>
        <v>1581.9</v>
      </c>
      <c r="P196" s="75">
        <f t="shared" si="61"/>
        <v>1581.9</v>
      </c>
      <c r="Q196" s="75">
        <f t="shared" si="61"/>
        <v>1581.9</v>
      </c>
      <c r="R196" s="76">
        <f t="shared" si="61"/>
        <v>1581.9</v>
      </c>
      <c r="S196" s="162">
        <f t="shared" si="61"/>
        <v>1581.9</v>
      </c>
      <c r="T196" s="234"/>
      <c r="U196" s="234"/>
    </row>
    <row r="197" spans="2:21" x14ac:dyDescent="0.3">
      <c r="B197" s="3"/>
      <c r="C197" s="3"/>
      <c r="D197" s="3"/>
      <c r="E197" s="3"/>
      <c r="F197" s="3"/>
      <c r="G197" s="3"/>
      <c r="H197" s="3"/>
      <c r="M197" s="3"/>
      <c r="N197" s="76"/>
      <c r="O197" s="76"/>
      <c r="P197" s="76"/>
      <c r="Q197" s="76"/>
      <c r="R197" s="3"/>
      <c r="S197" s="3"/>
      <c r="T197" s="234"/>
      <c r="U197" s="234"/>
    </row>
    <row r="198" spans="2:21" x14ac:dyDescent="0.3">
      <c r="B198" s="1" t="s">
        <v>56</v>
      </c>
      <c r="D198" s="3"/>
      <c r="E198" s="3"/>
      <c r="F198" s="3"/>
      <c r="G198" s="3"/>
      <c r="H198" s="3"/>
      <c r="J198" s="37"/>
      <c r="K198" s="37"/>
      <c r="M198" s="77">
        <f>M186-M187</f>
        <v>0</v>
      </c>
      <c r="N198" s="76">
        <f>N186+N177</f>
        <v>5493.1</v>
      </c>
      <c r="O198" s="76">
        <f>O186+O177</f>
        <v>5459.5</v>
      </c>
      <c r="P198" s="76">
        <f>P186+P177</f>
        <v>5634.8</v>
      </c>
      <c r="Q198" s="76">
        <f>Q186+Q177</f>
        <v>6014.3</v>
      </c>
      <c r="R198" s="76">
        <f>R177+R186</f>
        <v>6306.2</v>
      </c>
      <c r="S198" s="76">
        <f>S177+S186</f>
        <v>6437.9</v>
      </c>
      <c r="T198" s="246"/>
      <c r="U198" s="246"/>
    </row>
    <row r="199" spans="2:21" x14ac:dyDescent="0.3">
      <c r="B199" s="3" t="s">
        <v>57</v>
      </c>
      <c r="C199" s="3"/>
      <c r="D199" s="3"/>
      <c r="E199" s="3"/>
      <c r="F199" s="3"/>
      <c r="G199" s="3"/>
      <c r="H199" s="3"/>
      <c r="M199" s="3"/>
      <c r="N199" s="76">
        <f>N186+N177-N173</f>
        <v>5430.3</v>
      </c>
      <c r="O199" s="76">
        <f>O186+O177-O173</f>
        <v>5299.1</v>
      </c>
      <c r="P199" s="76">
        <f>P186+P177-P173</f>
        <v>5439.8</v>
      </c>
      <c r="Q199" s="76">
        <f>Q186+Q177-Q173</f>
        <v>5869.5</v>
      </c>
      <c r="R199" s="76">
        <f>R177+R186-R173</f>
        <v>6162.5</v>
      </c>
      <c r="S199" s="76">
        <f>S177+S186-S173</f>
        <v>6260.7999999999993</v>
      </c>
      <c r="T199" s="234"/>
      <c r="U199" s="234"/>
    </row>
    <row r="200" spans="2:21" x14ac:dyDescent="0.3">
      <c r="D200" s="3"/>
      <c r="E200" s="3"/>
      <c r="F200" s="3"/>
      <c r="G200" s="3"/>
      <c r="H200" s="3"/>
      <c r="M200" s="3"/>
      <c r="N200" s="76"/>
      <c r="O200" s="76"/>
      <c r="P200" s="74"/>
      <c r="Q200" s="74"/>
      <c r="R200" s="76"/>
      <c r="S200" s="76"/>
      <c r="T200" s="234"/>
      <c r="U200" s="234"/>
    </row>
    <row r="201" spans="2:21" x14ac:dyDescent="0.3">
      <c r="B201" s="31" t="s">
        <v>23</v>
      </c>
      <c r="C201" s="31"/>
      <c r="D201" s="3"/>
      <c r="E201" s="3"/>
      <c r="F201" s="3"/>
      <c r="G201" s="3"/>
      <c r="H201" s="3"/>
      <c r="M201" s="3"/>
      <c r="N201" s="76"/>
      <c r="O201" s="76"/>
      <c r="P201" s="74"/>
      <c r="Q201" s="74"/>
      <c r="R201" s="76"/>
      <c r="S201" s="76"/>
      <c r="T201" s="234"/>
      <c r="U201" s="234"/>
    </row>
    <row r="202" spans="2:21" x14ac:dyDescent="0.3">
      <c r="B202" s="28" t="s">
        <v>24</v>
      </c>
      <c r="C202" s="28"/>
      <c r="D202" s="3"/>
      <c r="E202" s="3"/>
      <c r="F202" s="3"/>
      <c r="G202" s="3"/>
      <c r="H202" s="3"/>
      <c r="J202" s="37"/>
      <c r="K202" s="37"/>
      <c r="M202" s="3"/>
      <c r="N202" s="107">
        <f t="shared" ref="N202:S202" si="62">N198</f>
        <v>5493.1</v>
      </c>
      <c r="O202" s="107">
        <f t="shared" si="62"/>
        <v>5459.5</v>
      </c>
      <c r="P202" s="107">
        <f t="shared" si="62"/>
        <v>5634.8</v>
      </c>
      <c r="Q202" s="107">
        <f t="shared" si="62"/>
        <v>6014.3</v>
      </c>
      <c r="R202" s="107">
        <f t="shared" si="62"/>
        <v>6306.2</v>
      </c>
      <c r="S202" s="107">
        <f t="shared" si="62"/>
        <v>6437.9</v>
      </c>
      <c r="T202" s="234"/>
      <c r="U202" s="234"/>
    </row>
    <row r="203" spans="2:21" x14ac:dyDescent="0.3">
      <c r="B203" s="43" t="s">
        <v>68</v>
      </c>
      <c r="C203" s="43"/>
      <c r="D203" s="3"/>
      <c r="E203" s="3"/>
      <c r="F203" s="3"/>
      <c r="G203" s="3"/>
      <c r="H203" s="3"/>
      <c r="J203" s="37"/>
      <c r="K203" s="37"/>
      <c r="M203" s="3"/>
      <c r="N203" s="108">
        <f>N186+N187</f>
        <v>7075</v>
      </c>
      <c r="O203" s="108">
        <f t="shared" ref="O203:S203" si="63">O186+O187</f>
        <v>7041.4</v>
      </c>
      <c r="P203" s="108">
        <f t="shared" si="63"/>
        <v>7216.7000000000007</v>
      </c>
      <c r="Q203" s="108">
        <f t="shared" si="63"/>
        <v>7596.2000000000007</v>
      </c>
      <c r="R203" s="108">
        <f t="shared" si="63"/>
        <v>7601.2000000000007</v>
      </c>
      <c r="S203" s="108">
        <f>S186+S187</f>
        <v>7384.7999999999993</v>
      </c>
      <c r="T203" s="234"/>
      <c r="U203" s="234"/>
    </row>
    <row r="204" spans="2:21" x14ac:dyDescent="0.3">
      <c r="B204" s="43" t="s">
        <v>76</v>
      </c>
      <c r="C204" s="43"/>
      <c r="D204" s="3"/>
      <c r="E204" s="3"/>
      <c r="F204" s="3"/>
      <c r="G204" s="3"/>
      <c r="H204" s="3"/>
      <c r="J204" s="37"/>
      <c r="K204" s="37"/>
      <c r="M204" s="3"/>
      <c r="N204" s="108">
        <f t="shared" ref="N204:S204" si="64">N186+(0.5*N196)</f>
        <v>6284.05</v>
      </c>
      <c r="O204" s="108">
        <f t="shared" si="64"/>
        <v>6250.45</v>
      </c>
      <c r="P204" s="108">
        <f t="shared" si="64"/>
        <v>6425.75</v>
      </c>
      <c r="Q204" s="108">
        <f t="shared" si="64"/>
        <v>6805.25</v>
      </c>
      <c r="R204" s="108">
        <f t="shared" si="64"/>
        <v>6810.25</v>
      </c>
      <c r="S204" s="108">
        <f t="shared" si="64"/>
        <v>6593.8499999999995</v>
      </c>
      <c r="T204" s="234"/>
      <c r="U204" s="234"/>
    </row>
    <row r="205" spans="2:21" x14ac:dyDescent="0.3">
      <c r="B205" s="28" t="s">
        <v>25</v>
      </c>
      <c r="C205" s="28"/>
      <c r="D205" s="3"/>
      <c r="E205" s="3"/>
      <c r="F205" s="3"/>
      <c r="G205" s="3"/>
      <c r="H205" s="3"/>
      <c r="J205" s="37"/>
      <c r="K205" s="37"/>
      <c r="M205" s="3"/>
      <c r="N205" s="107">
        <f t="shared" ref="N205:S205" si="65">N194</f>
        <v>3108.9</v>
      </c>
      <c r="O205" s="107">
        <f t="shared" si="65"/>
        <v>3066.2</v>
      </c>
      <c r="P205" s="107">
        <f t="shared" si="65"/>
        <v>2903.5</v>
      </c>
      <c r="Q205" s="107">
        <f t="shared" si="65"/>
        <v>2596.1999999999998</v>
      </c>
      <c r="R205" s="107">
        <f t="shared" si="65"/>
        <v>2497.4</v>
      </c>
      <c r="S205" s="107">
        <f t="shared" si="65"/>
        <v>2497.4</v>
      </c>
      <c r="T205" s="234"/>
      <c r="U205" s="234"/>
    </row>
    <row r="206" spans="2:21" x14ac:dyDescent="0.3">
      <c r="B206" s="28" t="s">
        <v>26</v>
      </c>
      <c r="C206" s="28"/>
      <c r="D206" s="3"/>
      <c r="E206" s="3"/>
      <c r="F206" s="3"/>
      <c r="G206" s="3"/>
      <c r="H206" s="3"/>
      <c r="J206" s="38"/>
      <c r="K206" s="38"/>
      <c r="N206" s="38">
        <f t="shared" ref="N206:S206" si="66">N202/(N202+N205)</f>
        <v>0.63858405022087894</v>
      </c>
      <c r="O206" s="38">
        <f t="shared" si="66"/>
        <v>0.64035797647114012</v>
      </c>
      <c r="P206" s="38">
        <f t="shared" si="66"/>
        <v>0.6599440169588795</v>
      </c>
      <c r="Q206" s="38">
        <f t="shared" si="66"/>
        <v>0.69848440857093086</v>
      </c>
      <c r="R206" s="38">
        <f t="shared" si="66"/>
        <v>0.71632059611976917</v>
      </c>
      <c r="S206" s="38">
        <f t="shared" si="66"/>
        <v>0.72050182982104682</v>
      </c>
    </row>
    <row r="207" spans="2:21" x14ac:dyDescent="0.3">
      <c r="B207" s="43" t="s">
        <v>69</v>
      </c>
      <c r="C207" s="43"/>
      <c r="D207" s="3"/>
      <c r="E207" s="3"/>
      <c r="F207" s="3"/>
      <c r="G207" s="3"/>
      <c r="H207" s="3"/>
      <c r="J207" s="38"/>
      <c r="K207" s="38"/>
      <c r="N207" s="79">
        <f t="shared" ref="N207:S207" si="67">N196+N194</f>
        <v>4690.8</v>
      </c>
      <c r="O207" s="79">
        <f t="shared" si="67"/>
        <v>4648.1000000000004</v>
      </c>
      <c r="P207" s="79">
        <f t="shared" si="67"/>
        <v>4485.3999999999996</v>
      </c>
      <c r="Q207" s="79">
        <f t="shared" si="67"/>
        <v>4178.1000000000004</v>
      </c>
      <c r="R207" s="79">
        <f t="shared" si="67"/>
        <v>4079.3</v>
      </c>
      <c r="S207" s="79">
        <f t="shared" si="67"/>
        <v>4079.3</v>
      </c>
    </row>
    <row r="208" spans="2:21" x14ac:dyDescent="0.3">
      <c r="B208" s="43" t="s">
        <v>70</v>
      </c>
      <c r="C208" s="43"/>
      <c r="D208" s="3"/>
      <c r="E208" s="3"/>
      <c r="F208" s="3"/>
      <c r="G208" s="3"/>
      <c r="H208" s="3"/>
      <c r="J208" s="38"/>
      <c r="K208" s="38"/>
      <c r="N208" s="79">
        <f t="shared" ref="N208:S208" si="68">N194+0.5*N196</f>
        <v>3899.8500000000004</v>
      </c>
      <c r="O208" s="79">
        <f t="shared" si="68"/>
        <v>3857.1499999999996</v>
      </c>
      <c r="P208" s="79">
        <f t="shared" si="68"/>
        <v>3694.45</v>
      </c>
      <c r="Q208" s="79">
        <f t="shared" si="68"/>
        <v>3387.1499999999996</v>
      </c>
      <c r="R208" s="79">
        <f t="shared" si="68"/>
        <v>3288.3500000000004</v>
      </c>
      <c r="S208" s="79">
        <f t="shared" si="68"/>
        <v>3288.3500000000004</v>
      </c>
    </row>
    <row r="209" spans="2:41" x14ac:dyDescent="0.3">
      <c r="B209" s="43" t="s">
        <v>46</v>
      </c>
      <c r="C209" s="43"/>
      <c r="N209" s="97">
        <f t="shared" ref="N209:S209" si="69">N203/(N203+N205)</f>
        <v>0.69472402517699505</v>
      </c>
      <c r="O209" s="97">
        <f t="shared" si="69"/>
        <v>0.69664410938303856</v>
      </c>
      <c r="P209" s="97">
        <f t="shared" si="69"/>
        <v>0.71309855536451849</v>
      </c>
      <c r="Q209" s="97">
        <f t="shared" si="69"/>
        <v>0.74528079745692866</v>
      </c>
      <c r="R209" s="97">
        <f t="shared" si="69"/>
        <v>0.75269839383676951</v>
      </c>
      <c r="S209" s="97">
        <f t="shared" si="69"/>
        <v>0.7472829936653782</v>
      </c>
      <c r="AK209" s="2"/>
      <c r="AL209" s="2"/>
      <c r="AM209" s="2"/>
      <c r="AN209" s="2"/>
      <c r="AO209" s="2"/>
    </row>
    <row r="210" spans="2:41" x14ac:dyDescent="0.3">
      <c r="B210" s="43" t="s">
        <v>77</v>
      </c>
      <c r="C210" s="43"/>
      <c r="N210" s="97">
        <f t="shared" ref="N210:S210" si="70">N204/(N204+N208)</f>
        <v>0.61705731595950464</v>
      </c>
      <c r="O210" s="97">
        <f t="shared" si="70"/>
        <v>0.61839111163876692</v>
      </c>
      <c r="P210" s="97">
        <f t="shared" si="70"/>
        <v>0.63494298531649562</v>
      </c>
      <c r="Q210" s="97">
        <f t="shared" si="70"/>
        <v>0.66767885875750566</v>
      </c>
      <c r="R210" s="97">
        <f t="shared" si="70"/>
        <v>0.67437565603152905</v>
      </c>
      <c r="S210" s="97">
        <f t="shared" si="70"/>
        <v>0.66724514784157363</v>
      </c>
      <c r="AK210" s="2"/>
    </row>
    <row r="211" spans="2:41" x14ac:dyDescent="0.3">
      <c r="B211" s="82" t="s">
        <v>61</v>
      </c>
      <c r="C211" s="82"/>
      <c r="N211" s="97">
        <f t="shared" ref="N211:S211" si="71">N202/(N207+N202)</f>
        <v>0.53939060674201433</v>
      </c>
      <c r="O211" s="97">
        <f t="shared" si="71"/>
        <v>0.54013811389449518</v>
      </c>
      <c r="P211" s="97">
        <f t="shared" si="71"/>
        <v>0.55678741526847297</v>
      </c>
      <c r="Q211" s="97">
        <f t="shared" si="71"/>
        <v>0.59007692005808243</v>
      </c>
      <c r="R211" s="97">
        <f t="shared" si="71"/>
        <v>0.60721197823889073</v>
      </c>
      <c r="S211" s="97">
        <f t="shared" si="71"/>
        <v>0.61213060510401995</v>
      </c>
    </row>
    <row r="213" spans="2:41" x14ac:dyDescent="0.3">
      <c r="B213" s="257" t="s">
        <v>78</v>
      </c>
      <c r="C213" s="257"/>
      <c r="D213" s="260">
        <v>38898</v>
      </c>
      <c r="E213" s="260">
        <v>39263</v>
      </c>
      <c r="F213" s="260">
        <v>39629</v>
      </c>
      <c r="G213" s="260">
        <v>39994</v>
      </c>
      <c r="H213" s="260">
        <v>40359</v>
      </c>
      <c r="I213" s="260">
        <v>40724</v>
      </c>
      <c r="J213" s="260">
        <v>41090</v>
      </c>
      <c r="K213" s="260">
        <v>41455</v>
      </c>
      <c r="L213" s="260">
        <v>41820</v>
      </c>
      <c r="M213" s="260">
        <v>42185</v>
      </c>
      <c r="N213" s="260">
        <v>42551</v>
      </c>
      <c r="O213" s="260">
        <v>42916</v>
      </c>
      <c r="P213" s="260">
        <v>43281</v>
      </c>
      <c r="Q213" s="260">
        <v>43646</v>
      </c>
      <c r="R213" s="260">
        <v>44012</v>
      </c>
      <c r="S213" s="258">
        <v>44377</v>
      </c>
      <c r="T213" s="230"/>
      <c r="U213" s="230"/>
    </row>
    <row r="214" spans="2:41" x14ac:dyDescent="0.3">
      <c r="D214" s="3"/>
      <c r="E214" s="3"/>
      <c r="F214" s="3"/>
      <c r="G214" s="3"/>
      <c r="H214" s="3"/>
      <c r="I214" s="3"/>
      <c r="J214" s="3"/>
      <c r="K214" s="3"/>
      <c r="L214" s="3"/>
    </row>
    <row r="215" spans="2:41" x14ac:dyDescent="0.3">
      <c r="B215" s="1" t="s">
        <v>3</v>
      </c>
      <c r="D215" s="3"/>
      <c r="E215" s="3"/>
      <c r="F215" s="3"/>
      <c r="G215" s="3"/>
      <c r="H215" s="3"/>
      <c r="I215" s="3"/>
      <c r="J215" s="3"/>
      <c r="K215" s="3"/>
      <c r="L215" s="3"/>
    </row>
    <row r="216" spans="2:41" x14ac:dyDescent="0.3">
      <c r="B216" s="4" t="s">
        <v>4</v>
      </c>
      <c r="C216" s="4"/>
      <c r="D216" s="3"/>
      <c r="E216" s="3"/>
      <c r="F216" s="3"/>
      <c r="G216" s="3"/>
      <c r="H216" s="3"/>
      <c r="I216" s="3"/>
      <c r="J216" s="3"/>
      <c r="K216" s="3"/>
      <c r="L216" s="3"/>
      <c r="P216" s="4"/>
      <c r="Q216" s="4"/>
      <c r="R216" s="4"/>
    </row>
    <row r="217" spans="2:41" x14ac:dyDescent="0.3">
      <c r="B217" s="5" t="s">
        <v>5</v>
      </c>
      <c r="C217" s="5"/>
      <c r="D217" s="7">
        <v>26.436</v>
      </c>
      <c r="E217" s="7">
        <v>11.4</v>
      </c>
      <c r="F217" s="7">
        <v>10.8</v>
      </c>
      <c r="G217" s="7">
        <v>6.2</v>
      </c>
      <c r="H217" s="7">
        <v>6.4</v>
      </c>
      <c r="I217" s="7">
        <v>7.3</v>
      </c>
      <c r="J217" s="7">
        <v>1</v>
      </c>
      <c r="K217" s="7">
        <v>1</v>
      </c>
      <c r="L217" s="7">
        <v>3.5</v>
      </c>
      <c r="M217" s="9"/>
      <c r="N217" s="9"/>
      <c r="O217" s="9"/>
      <c r="P217" s="109"/>
      <c r="Q217" s="109"/>
      <c r="R217" s="109"/>
      <c r="S217" s="9"/>
      <c r="T217" s="231"/>
      <c r="U217" s="231"/>
    </row>
    <row r="218" spans="2:41" x14ac:dyDescent="0.3">
      <c r="B218" s="4" t="s">
        <v>6</v>
      </c>
      <c r="C218" s="4"/>
      <c r="D218" s="7"/>
      <c r="E218" s="7"/>
      <c r="F218" s="7"/>
      <c r="G218" s="7"/>
      <c r="H218" s="7"/>
      <c r="I218" s="7"/>
      <c r="J218" s="7"/>
      <c r="K218" s="7"/>
      <c r="L218" s="7"/>
      <c r="M218" s="9"/>
      <c r="N218" s="9"/>
      <c r="O218" s="9"/>
      <c r="P218" s="53"/>
      <c r="Q218" s="53"/>
      <c r="R218" s="53"/>
      <c r="S218" s="9"/>
      <c r="T218" s="231"/>
      <c r="U218" s="231"/>
    </row>
    <row r="219" spans="2:41" x14ac:dyDescent="0.3">
      <c r="B219" s="10" t="s">
        <v>7</v>
      </c>
      <c r="C219" s="10"/>
      <c r="D219" s="12"/>
      <c r="E219" s="12"/>
      <c r="F219" s="12"/>
      <c r="G219" s="9"/>
      <c r="H219" s="9"/>
      <c r="I219" s="9"/>
      <c r="J219" s="9"/>
      <c r="K219" s="9"/>
      <c r="L219" s="9"/>
      <c r="M219" s="9"/>
      <c r="N219" s="9"/>
      <c r="O219" s="9"/>
      <c r="P219" s="56"/>
      <c r="Q219" s="56"/>
      <c r="R219" s="56"/>
      <c r="S219" s="9"/>
      <c r="T219" s="231"/>
      <c r="U219" s="231"/>
    </row>
    <row r="220" spans="2:41" x14ac:dyDescent="0.3">
      <c r="B220" s="13" t="s">
        <v>53</v>
      </c>
      <c r="C220" s="13"/>
      <c r="D220" s="7">
        <v>25.948</v>
      </c>
      <c r="E220" s="7">
        <v>23.5</v>
      </c>
      <c r="F220" s="7">
        <v>29.9</v>
      </c>
      <c r="G220" s="7">
        <v>25.9</v>
      </c>
      <c r="H220" s="7">
        <v>33.700000000000003</v>
      </c>
      <c r="I220" s="7">
        <v>39.9</v>
      </c>
      <c r="J220" s="7">
        <v>49.4</v>
      </c>
      <c r="K220" s="7">
        <v>47.2</v>
      </c>
      <c r="L220" s="7">
        <v>53.4</v>
      </c>
      <c r="M220" s="7"/>
      <c r="N220" s="7"/>
      <c r="O220" s="7"/>
      <c r="P220" s="24"/>
      <c r="Q220" s="24"/>
      <c r="R220" s="24"/>
      <c r="S220" s="7"/>
      <c r="T220" s="218"/>
      <c r="U220" s="218"/>
    </row>
    <row r="221" spans="2:41" x14ac:dyDescent="0.3">
      <c r="B221" s="13" t="s">
        <v>22</v>
      </c>
      <c r="C221" s="13"/>
      <c r="D221" s="7">
        <v>74.313999999999993</v>
      </c>
      <c r="E221" s="7">
        <v>182.3</v>
      </c>
      <c r="F221" s="7">
        <v>167.4</v>
      </c>
      <c r="G221" s="7">
        <v>329.7</v>
      </c>
      <c r="H221" s="7">
        <v>227.5</v>
      </c>
      <c r="I221" s="7">
        <v>272.2</v>
      </c>
      <c r="J221" s="7">
        <v>108</v>
      </c>
      <c r="K221" s="7">
        <v>3</v>
      </c>
      <c r="L221" s="29">
        <v>0</v>
      </c>
      <c r="M221" s="7"/>
      <c r="N221" s="7"/>
      <c r="O221" s="7"/>
      <c r="P221" s="24"/>
      <c r="Q221" s="24"/>
      <c r="R221" s="24"/>
      <c r="S221" s="7"/>
      <c r="T221" s="218"/>
      <c r="U221" s="218"/>
    </row>
    <row r="222" spans="2:41" x14ac:dyDescent="0.3">
      <c r="B222" s="19" t="s">
        <v>79</v>
      </c>
      <c r="C222" s="19"/>
      <c r="D222" s="7">
        <v>50.17</v>
      </c>
      <c r="E222" s="7">
        <v>59.1</v>
      </c>
      <c r="F222" s="7">
        <v>50.6</v>
      </c>
      <c r="G222" s="7">
        <v>42.6</v>
      </c>
      <c r="H222" s="7">
        <v>44.9</v>
      </c>
      <c r="I222" s="7">
        <v>47</v>
      </c>
      <c r="J222" s="7">
        <v>59.6</v>
      </c>
      <c r="K222" s="7">
        <v>70.900000000000006</v>
      </c>
      <c r="L222" s="7">
        <v>15.6</v>
      </c>
      <c r="M222" s="7"/>
      <c r="N222" s="7"/>
      <c r="O222" s="7"/>
      <c r="P222" s="24"/>
      <c r="Q222" s="24"/>
      <c r="R222" s="24"/>
      <c r="S222" s="7"/>
      <c r="T222" s="218"/>
      <c r="U222" s="218"/>
    </row>
    <row r="223" spans="2:41" x14ac:dyDescent="0.3">
      <c r="B223" s="13" t="s">
        <v>54</v>
      </c>
      <c r="C223" s="13"/>
      <c r="D223" s="7">
        <v>0.122</v>
      </c>
      <c r="E223" s="7">
        <v>0.1</v>
      </c>
      <c r="F223" s="7">
        <v>0.2</v>
      </c>
      <c r="G223" s="7">
        <v>0.3</v>
      </c>
      <c r="H223" s="7">
        <v>6.2</v>
      </c>
      <c r="I223" s="7">
        <v>5.5</v>
      </c>
      <c r="J223" s="7">
        <v>10.5</v>
      </c>
      <c r="K223" s="7">
        <v>3.3</v>
      </c>
      <c r="L223" s="7">
        <v>3.5</v>
      </c>
      <c r="M223" s="7"/>
      <c r="N223" s="7"/>
      <c r="O223" s="7"/>
      <c r="P223" s="24"/>
      <c r="Q223" s="24"/>
      <c r="R223" s="24"/>
      <c r="S223" s="7"/>
      <c r="T223" s="218"/>
      <c r="U223" s="218"/>
    </row>
    <row r="224" spans="2:41" x14ac:dyDescent="0.3">
      <c r="B224" s="13" t="s">
        <v>63</v>
      </c>
      <c r="C224" s="13"/>
      <c r="D224" s="7">
        <v>0</v>
      </c>
      <c r="E224" s="7">
        <v>0</v>
      </c>
      <c r="F224" s="7">
        <v>0</v>
      </c>
      <c r="G224" s="7">
        <v>0</v>
      </c>
      <c r="H224" s="7">
        <v>8.6</v>
      </c>
      <c r="I224" s="7">
        <v>0</v>
      </c>
      <c r="J224" s="7">
        <v>24.9</v>
      </c>
      <c r="K224" s="7">
        <v>2.2999999999999998</v>
      </c>
      <c r="L224" s="7">
        <v>0.8</v>
      </c>
      <c r="M224" s="7"/>
      <c r="N224" s="7"/>
      <c r="O224" s="7"/>
      <c r="P224" s="24"/>
      <c r="Q224" s="24"/>
      <c r="R224" s="24"/>
      <c r="S224" s="7"/>
      <c r="T224" s="218"/>
      <c r="U224" s="218"/>
    </row>
    <row r="225" spans="2:21" x14ac:dyDescent="0.3">
      <c r="B225" s="21" t="s">
        <v>12</v>
      </c>
      <c r="C225" s="21"/>
      <c r="D225" s="22">
        <f t="shared" ref="D225:L225" si="72">SUM(D220:D224)</f>
        <v>150.55400000000003</v>
      </c>
      <c r="E225" s="22">
        <f t="shared" si="72"/>
        <v>265.00000000000006</v>
      </c>
      <c r="F225" s="22">
        <f t="shared" si="72"/>
        <v>248.1</v>
      </c>
      <c r="G225" s="22">
        <f t="shared" si="72"/>
        <v>398.5</v>
      </c>
      <c r="H225" s="22">
        <f t="shared" si="72"/>
        <v>320.89999999999998</v>
      </c>
      <c r="I225" s="22">
        <f t="shared" si="72"/>
        <v>364.59999999999997</v>
      </c>
      <c r="J225" s="22">
        <f t="shared" si="72"/>
        <v>252.4</v>
      </c>
      <c r="K225" s="22">
        <f t="shared" si="72"/>
        <v>126.7</v>
      </c>
      <c r="L225" s="22">
        <f t="shared" si="72"/>
        <v>73.3</v>
      </c>
      <c r="M225" s="22"/>
      <c r="N225" s="22"/>
      <c r="O225" s="22"/>
      <c r="P225" s="69"/>
      <c r="Q225" s="69"/>
      <c r="R225" s="69"/>
      <c r="S225" s="22"/>
      <c r="T225" s="233"/>
      <c r="U225" s="233"/>
    </row>
    <row r="226" spans="2:21" x14ac:dyDescent="0.3">
      <c r="B226" s="10" t="s">
        <v>13</v>
      </c>
      <c r="C226" s="10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56"/>
      <c r="Q226" s="56"/>
      <c r="R226" s="56"/>
      <c r="S226" s="29"/>
      <c r="T226" s="221"/>
      <c r="U226" s="221"/>
    </row>
    <row r="227" spans="2:21" x14ac:dyDescent="0.3">
      <c r="B227" s="13" t="s">
        <v>53</v>
      </c>
      <c r="C227" s="13"/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/>
      <c r="N227" s="7"/>
      <c r="O227" s="7"/>
      <c r="P227" s="24"/>
      <c r="Q227" s="24"/>
      <c r="R227" s="24"/>
      <c r="S227" s="7"/>
      <c r="T227" s="218"/>
      <c r="U227" s="218"/>
    </row>
    <row r="228" spans="2:21" x14ac:dyDescent="0.3">
      <c r="B228" s="13" t="s">
        <v>22</v>
      </c>
      <c r="C228" s="13"/>
      <c r="D228" s="7">
        <v>1921.9449999999999</v>
      </c>
      <c r="E228" s="7">
        <v>1766.6</v>
      </c>
      <c r="F228" s="7">
        <v>1796</v>
      </c>
      <c r="G228" s="7">
        <v>1581</v>
      </c>
      <c r="H228" s="7">
        <v>1713.8</v>
      </c>
      <c r="I228" s="7">
        <v>1686.8</v>
      </c>
      <c r="J228" s="7">
        <v>2016.9</v>
      </c>
      <c r="K228" s="7">
        <v>2019.5</v>
      </c>
      <c r="L228" s="7">
        <v>2143.4</v>
      </c>
      <c r="M228" s="7"/>
      <c r="N228" s="7"/>
      <c r="O228" s="7"/>
      <c r="P228" s="24"/>
      <c r="Q228" s="24"/>
      <c r="R228" s="24"/>
      <c r="S228" s="7"/>
      <c r="T228" s="218"/>
      <c r="U228" s="218"/>
    </row>
    <row r="229" spans="2:21" x14ac:dyDescent="0.3">
      <c r="B229" s="19" t="s">
        <v>79</v>
      </c>
      <c r="C229" s="19"/>
      <c r="D229" s="7">
        <v>18.920000000000002</v>
      </c>
      <c r="E229" s="7">
        <v>9.1</v>
      </c>
      <c r="F229" s="7">
        <v>0</v>
      </c>
      <c r="G229" s="7">
        <v>0.7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/>
      <c r="N229" s="7"/>
      <c r="O229" s="7"/>
      <c r="P229" s="24"/>
      <c r="Q229" s="24"/>
      <c r="R229" s="24"/>
      <c r="S229" s="7"/>
      <c r="T229" s="218"/>
      <c r="U229" s="218"/>
    </row>
    <row r="230" spans="2:21" x14ac:dyDescent="0.3">
      <c r="B230" s="13" t="s">
        <v>14</v>
      </c>
      <c r="C230" s="13"/>
      <c r="D230" s="7">
        <v>182.73400000000001</v>
      </c>
      <c r="E230" s="7">
        <v>214.3</v>
      </c>
      <c r="F230" s="7">
        <v>75.5</v>
      </c>
      <c r="G230" s="7">
        <v>55.6</v>
      </c>
      <c r="H230" s="7">
        <v>83.9</v>
      </c>
      <c r="I230" s="7">
        <v>113.7</v>
      </c>
      <c r="J230" s="7">
        <v>139.69999999999999</v>
      </c>
      <c r="K230" s="7">
        <v>195.2</v>
      </c>
      <c r="L230" s="7">
        <v>252.9</v>
      </c>
      <c r="M230" s="7"/>
      <c r="N230" s="7"/>
      <c r="O230" s="7"/>
      <c r="P230" s="24"/>
      <c r="Q230" s="24"/>
      <c r="R230" s="24"/>
      <c r="S230" s="7"/>
      <c r="T230" s="218"/>
      <c r="U230" s="218"/>
    </row>
    <row r="231" spans="2:21" x14ac:dyDescent="0.3">
      <c r="B231" s="13" t="s">
        <v>54</v>
      </c>
      <c r="C231" s="13"/>
      <c r="D231" s="7">
        <v>4.8620000000000001</v>
      </c>
      <c r="E231" s="7">
        <v>10.5</v>
      </c>
      <c r="F231" s="7">
        <v>11.7</v>
      </c>
      <c r="G231" s="7">
        <v>17.3</v>
      </c>
      <c r="H231" s="7">
        <v>12.1</v>
      </c>
      <c r="I231" s="7">
        <v>13.7</v>
      </c>
      <c r="J231" s="7">
        <v>10.4</v>
      </c>
      <c r="K231" s="7">
        <v>10.4</v>
      </c>
      <c r="L231" s="7">
        <v>6.8</v>
      </c>
      <c r="M231" s="7"/>
      <c r="N231" s="7"/>
      <c r="O231" s="7"/>
      <c r="P231" s="24"/>
      <c r="Q231" s="24"/>
      <c r="R231" s="24"/>
      <c r="S231" s="7"/>
      <c r="T231" s="218"/>
      <c r="U231" s="218"/>
    </row>
    <row r="232" spans="2:21" x14ac:dyDescent="0.3">
      <c r="B232" s="13" t="s">
        <v>63</v>
      </c>
      <c r="C232" s="13"/>
      <c r="D232" s="7">
        <v>48.526000000000003</v>
      </c>
      <c r="E232" s="7">
        <v>64.2</v>
      </c>
      <c r="F232" s="7">
        <v>51.7</v>
      </c>
      <c r="G232" s="7">
        <v>119.6</v>
      </c>
      <c r="H232" s="7">
        <v>54.7</v>
      </c>
      <c r="I232" s="7">
        <v>174.5</v>
      </c>
      <c r="J232" s="7">
        <v>52.8</v>
      </c>
      <c r="K232" s="7">
        <v>43.3</v>
      </c>
      <c r="L232" s="7">
        <v>51.6</v>
      </c>
      <c r="M232" s="7"/>
      <c r="N232" s="7"/>
      <c r="O232" s="7"/>
      <c r="P232" s="24"/>
      <c r="Q232" s="24"/>
      <c r="R232" s="24"/>
      <c r="S232" s="7"/>
      <c r="T232" s="218"/>
      <c r="U232" s="218"/>
    </row>
    <row r="233" spans="2:21" x14ac:dyDescent="0.3">
      <c r="B233" s="21" t="s">
        <v>15</v>
      </c>
      <c r="C233" s="21"/>
      <c r="D233" s="22">
        <f t="shared" ref="D233:I233" si="73">SUM(D227:D232)</f>
        <v>2176.9870000000001</v>
      </c>
      <c r="E233" s="22">
        <f t="shared" si="73"/>
        <v>2064.6999999999998</v>
      </c>
      <c r="F233" s="22">
        <f t="shared" si="73"/>
        <v>1934.9</v>
      </c>
      <c r="G233" s="22">
        <f t="shared" si="73"/>
        <v>1774.1999999999998</v>
      </c>
      <c r="H233" s="22">
        <f t="shared" si="73"/>
        <v>1864.5</v>
      </c>
      <c r="I233" s="22">
        <f t="shared" si="73"/>
        <v>1988.7</v>
      </c>
      <c r="J233" s="22">
        <f>SUM(J227:J232)</f>
        <v>2219.8000000000002</v>
      </c>
      <c r="K233" s="22">
        <f>SUM(K227:K232)</f>
        <v>2268.4</v>
      </c>
      <c r="L233" s="22">
        <f>SUM(L227:L232)</f>
        <v>2454.7000000000003</v>
      </c>
      <c r="M233" s="22"/>
      <c r="N233" s="22"/>
      <c r="O233" s="22"/>
      <c r="P233" s="69"/>
      <c r="Q233" s="69"/>
      <c r="R233" s="69"/>
      <c r="S233" s="22"/>
      <c r="T233" s="233"/>
      <c r="U233" s="233"/>
    </row>
    <row r="234" spans="2:21" x14ac:dyDescent="0.3">
      <c r="B234" s="4" t="s">
        <v>16</v>
      </c>
      <c r="C234" s="4"/>
      <c r="D234" s="12"/>
      <c r="E234" s="12"/>
      <c r="F234" s="12"/>
      <c r="G234" s="12"/>
      <c r="H234" s="12"/>
      <c r="I234" s="12"/>
      <c r="J234" s="12"/>
      <c r="K234" s="12"/>
      <c r="L234" s="12"/>
      <c r="M234" s="9"/>
      <c r="N234" s="9"/>
      <c r="O234" s="9"/>
      <c r="P234" s="53"/>
      <c r="Q234" s="53"/>
      <c r="R234" s="53"/>
      <c r="S234" s="9"/>
      <c r="T234" s="231"/>
      <c r="U234" s="231"/>
    </row>
    <row r="235" spans="2:21" x14ac:dyDescent="0.3">
      <c r="B235" s="25" t="s">
        <v>17</v>
      </c>
      <c r="C235" s="25"/>
      <c r="D235" s="73">
        <v>174.209</v>
      </c>
      <c r="E235" s="73">
        <v>209.59200000000001</v>
      </c>
      <c r="F235" s="73">
        <v>409.8</v>
      </c>
      <c r="G235" s="73">
        <v>479</v>
      </c>
      <c r="H235" s="73">
        <v>520.6</v>
      </c>
      <c r="I235" s="73">
        <v>543.1</v>
      </c>
      <c r="J235" s="73">
        <v>586.4</v>
      </c>
      <c r="K235" s="73">
        <v>841.8</v>
      </c>
      <c r="L235" s="73">
        <v>861</v>
      </c>
      <c r="M235" s="9"/>
      <c r="N235" s="9"/>
      <c r="O235" s="9"/>
      <c r="P235" s="71"/>
      <c r="Q235" s="71"/>
      <c r="R235" s="71"/>
      <c r="S235" s="9"/>
      <c r="T235" s="231"/>
      <c r="U235" s="231"/>
    </row>
    <row r="236" spans="2:21" x14ac:dyDescent="0.3"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110"/>
      <c r="Q236" s="110"/>
      <c r="R236" s="110"/>
      <c r="S236" s="9"/>
      <c r="T236" s="231"/>
      <c r="U236" s="231"/>
    </row>
    <row r="237" spans="2:21" s="16" customFormat="1" x14ac:dyDescent="0.3">
      <c r="B237" s="16" t="s">
        <v>143</v>
      </c>
      <c r="D237" s="111">
        <v>142.68799999999999</v>
      </c>
      <c r="E237" s="111">
        <v>98.96</v>
      </c>
      <c r="F237" s="111">
        <v>42.6</v>
      </c>
      <c r="G237" s="111">
        <v>0</v>
      </c>
      <c r="H237" s="111">
        <v>0</v>
      </c>
      <c r="I237" s="111">
        <v>0</v>
      </c>
      <c r="J237" s="111">
        <v>0</v>
      </c>
      <c r="K237" s="111">
        <v>0</v>
      </c>
      <c r="L237" s="111">
        <v>0</v>
      </c>
      <c r="M237" s="55"/>
      <c r="N237" s="55"/>
      <c r="O237" s="55"/>
      <c r="P237" s="58"/>
      <c r="Q237" s="58"/>
      <c r="R237" s="58"/>
      <c r="S237" s="55"/>
      <c r="T237" s="231"/>
      <c r="U237" s="231"/>
    </row>
    <row r="238" spans="2:21" x14ac:dyDescent="0.3">
      <c r="B238" s="3"/>
      <c r="C238" s="3"/>
      <c r="D238" s="12"/>
      <c r="E238" s="12"/>
      <c r="F238" s="12"/>
      <c r="G238" s="12"/>
      <c r="H238" s="12"/>
      <c r="I238" s="12"/>
      <c r="J238" s="12"/>
      <c r="K238" s="12"/>
      <c r="L238" s="12"/>
      <c r="M238" s="9"/>
      <c r="N238" s="9"/>
      <c r="O238" s="9"/>
      <c r="P238" s="12"/>
      <c r="Q238" s="12"/>
      <c r="R238" s="12"/>
      <c r="S238" s="9"/>
      <c r="T238" s="231"/>
      <c r="U238" s="231"/>
    </row>
    <row r="239" spans="2:21" x14ac:dyDescent="0.3">
      <c r="B239" s="33" t="s">
        <v>19</v>
      </c>
      <c r="C239" s="33"/>
      <c r="D239" s="12"/>
      <c r="E239" s="12"/>
      <c r="F239" s="12"/>
      <c r="G239" s="12"/>
      <c r="H239" s="12"/>
      <c r="I239" s="12"/>
      <c r="J239" s="12"/>
      <c r="K239" s="12"/>
      <c r="L239" s="12"/>
      <c r="M239" s="9"/>
      <c r="N239" s="9"/>
      <c r="O239" s="9"/>
      <c r="P239" s="12"/>
      <c r="Q239" s="12"/>
      <c r="R239" s="12"/>
      <c r="S239" s="9"/>
      <c r="T239" s="231"/>
      <c r="U239" s="231"/>
    </row>
    <row r="240" spans="2:21" x14ac:dyDescent="0.3">
      <c r="B240" s="28" t="s">
        <v>20</v>
      </c>
      <c r="C240" s="28"/>
      <c r="D240" s="7">
        <v>814.30049099999997</v>
      </c>
      <c r="E240" s="7">
        <v>852.27851399999997</v>
      </c>
      <c r="F240" s="7">
        <v>891.377475</v>
      </c>
      <c r="G240" s="7">
        <v>1307.0297459999999</v>
      </c>
      <c r="H240" s="7">
        <v>1386.8279620000001</v>
      </c>
      <c r="I240" s="7">
        <v>1468.560201</v>
      </c>
      <c r="J240" s="7">
        <v>1572.3921110000001</v>
      </c>
      <c r="K240" s="7">
        <v>1796.8084739999999</v>
      </c>
      <c r="L240" s="7">
        <v>1796.8084739999999</v>
      </c>
      <c r="M240" s="9"/>
      <c r="N240" s="9"/>
      <c r="O240" s="9"/>
      <c r="P240" s="112"/>
      <c r="Q240" s="112"/>
      <c r="R240" s="112"/>
      <c r="S240" s="9"/>
      <c r="T240" s="231"/>
      <c r="U240" s="231"/>
    </row>
    <row r="241" spans="2:21" x14ac:dyDescent="0.3">
      <c r="B241" s="28" t="s">
        <v>21</v>
      </c>
      <c r="C241" s="28"/>
      <c r="D241" s="7">
        <v>1.1499999999999999</v>
      </c>
      <c r="E241" s="7">
        <v>1.1499999999999999</v>
      </c>
      <c r="F241" s="7">
        <v>0.64</v>
      </c>
      <c r="G241" s="7">
        <v>0.48499999999999999</v>
      </c>
      <c r="H241" s="7">
        <v>0.49</v>
      </c>
      <c r="I241" s="7">
        <v>0.69</v>
      </c>
      <c r="J241" s="7">
        <v>0.79</v>
      </c>
      <c r="K241" s="7">
        <v>0.99</v>
      </c>
      <c r="L241" s="7">
        <v>1.36</v>
      </c>
      <c r="M241" s="9"/>
      <c r="N241" s="9"/>
      <c r="O241" s="9"/>
      <c r="P241" s="112"/>
      <c r="Q241" s="112"/>
      <c r="R241" s="112"/>
      <c r="S241" s="9"/>
      <c r="T241" s="231"/>
      <c r="U241" s="231"/>
    </row>
    <row r="242" spans="2:21" x14ac:dyDescent="0.3">
      <c r="D242" s="12"/>
      <c r="E242" s="12"/>
      <c r="F242" s="12"/>
      <c r="G242" s="12"/>
      <c r="H242" s="12"/>
      <c r="I242" s="12"/>
      <c r="J242" s="12"/>
      <c r="K242" s="12"/>
      <c r="L242" s="12"/>
      <c r="M242" s="9"/>
      <c r="N242" s="9"/>
      <c r="O242" s="9"/>
      <c r="P242" s="110"/>
      <c r="Q242" s="110"/>
      <c r="R242" s="110"/>
      <c r="S242" s="9"/>
      <c r="T242" s="231"/>
      <c r="U242" s="231"/>
    </row>
    <row r="243" spans="2:21" x14ac:dyDescent="0.3">
      <c r="B243" s="1" t="s">
        <v>56</v>
      </c>
      <c r="D243" s="113">
        <f t="shared" ref="D243:J243" si="74">D221+D228-D237</f>
        <v>1853.5709999999999</v>
      </c>
      <c r="E243" s="113">
        <f t="shared" si="74"/>
        <v>1849.9399999999998</v>
      </c>
      <c r="F243" s="113">
        <f t="shared" si="74"/>
        <v>1920.8000000000002</v>
      </c>
      <c r="G243" s="113">
        <f t="shared" si="74"/>
        <v>1910.7</v>
      </c>
      <c r="H243" s="113">
        <f t="shared" si="74"/>
        <v>1941.3</v>
      </c>
      <c r="I243" s="113">
        <f t="shared" si="74"/>
        <v>1959</v>
      </c>
      <c r="J243" s="113">
        <f t="shared" si="74"/>
        <v>2124.9</v>
      </c>
      <c r="K243" s="113">
        <f>K221+K228-K237</f>
        <v>2022.5</v>
      </c>
      <c r="L243" s="113">
        <f>L221+L228-L237</f>
        <v>2143.4</v>
      </c>
      <c r="M243" s="64"/>
      <c r="N243" s="64"/>
      <c r="O243" s="64"/>
      <c r="P243" s="74"/>
      <c r="Q243" s="74"/>
      <c r="R243" s="74"/>
      <c r="S243" s="64"/>
      <c r="T243" s="244"/>
      <c r="U243" s="244"/>
    </row>
    <row r="244" spans="2:21" x14ac:dyDescent="0.3">
      <c r="B244" s="3" t="s">
        <v>57</v>
      </c>
      <c r="C244" s="3"/>
      <c r="D244" s="64">
        <f t="shared" ref="D244:J244" si="75">D221+D228-D237-D217</f>
        <v>1827.135</v>
      </c>
      <c r="E244" s="64">
        <f t="shared" si="75"/>
        <v>1838.5399999999997</v>
      </c>
      <c r="F244" s="64">
        <f t="shared" si="75"/>
        <v>1910.0000000000002</v>
      </c>
      <c r="G244" s="64">
        <f t="shared" si="75"/>
        <v>1904.5</v>
      </c>
      <c r="H244" s="64">
        <f t="shared" si="75"/>
        <v>1934.8999999999999</v>
      </c>
      <c r="I244" s="64">
        <f t="shared" si="75"/>
        <v>1951.7</v>
      </c>
      <c r="J244" s="64">
        <f t="shared" si="75"/>
        <v>2123.9</v>
      </c>
      <c r="K244" s="64">
        <f>K221+K228-K237-K217</f>
        <v>2021.5</v>
      </c>
      <c r="L244" s="64">
        <f>L221+L228-L237-L217</f>
        <v>2139.9</v>
      </c>
      <c r="M244" s="64"/>
      <c r="N244" s="64"/>
      <c r="O244" s="64"/>
      <c r="P244" s="76"/>
      <c r="Q244" s="76"/>
      <c r="R244" s="76"/>
      <c r="S244" s="64"/>
      <c r="T244" s="244"/>
      <c r="U244" s="244"/>
    </row>
    <row r="245" spans="2:21" x14ac:dyDescent="0.3"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74"/>
      <c r="Q245" s="74"/>
      <c r="R245" s="74"/>
      <c r="S245" s="64"/>
      <c r="T245" s="244"/>
      <c r="U245" s="244"/>
    </row>
    <row r="246" spans="2:21" x14ac:dyDescent="0.3">
      <c r="B246" s="31" t="s">
        <v>23</v>
      </c>
      <c r="C246" s="31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74"/>
      <c r="Q246" s="74"/>
      <c r="R246" s="74"/>
      <c r="S246" s="64"/>
      <c r="T246" s="244"/>
      <c r="U246" s="244"/>
    </row>
    <row r="247" spans="2:21" x14ac:dyDescent="0.3">
      <c r="B247" s="28" t="s">
        <v>144</v>
      </c>
      <c r="C247" s="28"/>
      <c r="D247" s="64">
        <f t="shared" ref="D247:J247" si="76">D243</f>
        <v>1853.5709999999999</v>
      </c>
      <c r="E247" s="64">
        <f t="shared" si="76"/>
        <v>1849.9399999999998</v>
      </c>
      <c r="F247" s="64">
        <f t="shared" si="76"/>
        <v>1920.8000000000002</v>
      </c>
      <c r="G247" s="64">
        <f t="shared" si="76"/>
        <v>1910.7</v>
      </c>
      <c r="H247" s="64">
        <f t="shared" si="76"/>
        <v>1941.3</v>
      </c>
      <c r="I247" s="64">
        <f t="shared" si="76"/>
        <v>1959</v>
      </c>
      <c r="J247" s="64">
        <f t="shared" si="76"/>
        <v>2124.9</v>
      </c>
      <c r="K247" s="64">
        <f>K243</f>
        <v>2022.5</v>
      </c>
      <c r="L247" s="64">
        <f>L243</f>
        <v>2143.4</v>
      </c>
      <c r="M247" s="64"/>
      <c r="N247" s="64"/>
      <c r="O247" s="64"/>
      <c r="P247" s="107"/>
      <c r="Q247" s="107"/>
      <c r="R247" s="107"/>
      <c r="S247" s="64"/>
      <c r="T247" s="244"/>
      <c r="U247" s="244"/>
    </row>
    <row r="248" spans="2:21" x14ac:dyDescent="0.3">
      <c r="B248" s="43" t="s">
        <v>80</v>
      </c>
      <c r="C248" s="43"/>
      <c r="D248" s="192">
        <f>D228+D221</f>
        <v>1996.259</v>
      </c>
      <c r="E248" s="192">
        <f t="shared" ref="E248:L248" si="77">E228+E221</f>
        <v>1948.8999999999999</v>
      </c>
      <c r="F248" s="192">
        <f t="shared" si="77"/>
        <v>1963.4</v>
      </c>
      <c r="G248" s="192">
        <f t="shared" si="77"/>
        <v>1910.7</v>
      </c>
      <c r="H248" s="192">
        <f t="shared" si="77"/>
        <v>1941.3</v>
      </c>
      <c r="I248" s="192">
        <f t="shared" si="77"/>
        <v>1959</v>
      </c>
      <c r="J248" s="192">
        <f t="shared" si="77"/>
        <v>2124.9</v>
      </c>
      <c r="K248" s="192">
        <f t="shared" si="77"/>
        <v>2022.5</v>
      </c>
      <c r="L248" s="192">
        <f t="shared" si="77"/>
        <v>2143.4</v>
      </c>
      <c r="M248" s="64"/>
      <c r="N248" s="64"/>
      <c r="O248" s="64"/>
      <c r="P248" s="107"/>
      <c r="Q248" s="107"/>
      <c r="R248" s="107"/>
      <c r="S248" s="64"/>
      <c r="T248" s="244"/>
      <c r="U248" s="244"/>
    </row>
    <row r="249" spans="2:21" x14ac:dyDescent="0.3">
      <c r="B249" s="43" t="s">
        <v>81</v>
      </c>
      <c r="C249" s="43"/>
      <c r="D249" s="192">
        <f>D228+D221-0.5*D237</f>
        <v>1924.915</v>
      </c>
      <c r="E249" s="192">
        <f t="shared" ref="E249:L249" si="78">E228+E221-0.5*E237</f>
        <v>1899.4199999999998</v>
      </c>
      <c r="F249" s="192">
        <f t="shared" si="78"/>
        <v>1942.1000000000001</v>
      </c>
      <c r="G249" s="192">
        <f t="shared" si="78"/>
        <v>1910.7</v>
      </c>
      <c r="H249" s="192">
        <f t="shared" si="78"/>
        <v>1941.3</v>
      </c>
      <c r="I249" s="192">
        <f t="shared" si="78"/>
        <v>1959</v>
      </c>
      <c r="J249" s="192">
        <f t="shared" si="78"/>
        <v>2124.9</v>
      </c>
      <c r="K249" s="192">
        <f t="shared" si="78"/>
        <v>2022.5</v>
      </c>
      <c r="L249" s="192">
        <f t="shared" si="78"/>
        <v>2143.4</v>
      </c>
      <c r="M249" s="64"/>
      <c r="N249" s="64"/>
      <c r="O249" s="64"/>
      <c r="P249" s="107"/>
      <c r="Q249" s="107"/>
      <c r="R249" s="107"/>
      <c r="S249" s="64"/>
      <c r="T249" s="244"/>
      <c r="U249" s="244"/>
    </row>
    <row r="250" spans="2:21" x14ac:dyDescent="0.3">
      <c r="B250" s="28" t="s">
        <v>25</v>
      </c>
      <c r="C250" s="28"/>
      <c r="D250" s="64">
        <f t="shared" ref="D250:K250" si="79">D235</f>
        <v>174.209</v>
      </c>
      <c r="E250" s="64">
        <f t="shared" si="79"/>
        <v>209.59200000000001</v>
      </c>
      <c r="F250" s="64">
        <f t="shared" si="79"/>
        <v>409.8</v>
      </c>
      <c r="G250" s="64">
        <f t="shared" si="79"/>
        <v>479</v>
      </c>
      <c r="H250" s="64">
        <f t="shared" si="79"/>
        <v>520.6</v>
      </c>
      <c r="I250" s="64">
        <f t="shared" si="79"/>
        <v>543.1</v>
      </c>
      <c r="J250" s="64">
        <f t="shared" si="79"/>
        <v>586.4</v>
      </c>
      <c r="K250" s="64">
        <f t="shared" si="79"/>
        <v>841.8</v>
      </c>
      <c r="L250" s="64">
        <f>L235</f>
        <v>861</v>
      </c>
      <c r="M250" s="64"/>
      <c r="N250" s="64"/>
      <c r="O250" s="64"/>
      <c r="P250" s="107"/>
      <c r="Q250" s="107"/>
      <c r="R250" s="107"/>
      <c r="S250" s="64"/>
      <c r="T250" s="244"/>
      <c r="U250" s="244"/>
    </row>
    <row r="251" spans="2:21" x14ac:dyDescent="0.3">
      <c r="B251" s="43" t="s">
        <v>82</v>
      </c>
      <c r="C251" s="43"/>
      <c r="D251" s="95">
        <f t="shared" ref="D251:J251" si="80">D235+D237</f>
        <v>316.89699999999999</v>
      </c>
      <c r="E251" s="95">
        <f t="shared" si="80"/>
        <v>308.55200000000002</v>
      </c>
      <c r="F251" s="95">
        <f t="shared" si="80"/>
        <v>452.40000000000003</v>
      </c>
      <c r="G251" s="95">
        <f t="shared" si="80"/>
        <v>479</v>
      </c>
      <c r="H251" s="95">
        <f t="shared" si="80"/>
        <v>520.6</v>
      </c>
      <c r="I251" s="95">
        <f t="shared" si="80"/>
        <v>543.1</v>
      </c>
      <c r="J251" s="95">
        <f t="shared" si="80"/>
        <v>586.4</v>
      </c>
      <c r="K251" s="95">
        <f>K235+K237</f>
        <v>841.8</v>
      </c>
      <c r="L251" s="95">
        <f>L235+L237</f>
        <v>861</v>
      </c>
      <c r="M251" s="64"/>
      <c r="N251" s="64"/>
      <c r="O251" s="64"/>
      <c r="P251" s="107"/>
      <c r="Q251" s="107"/>
      <c r="R251" s="107"/>
      <c r="S251" s="64"/>
      <c r="T251" s="244"/>
      <c r="U251" s="244"/>
    </row>
    <row r="252" spans="2:21" x14ac:dyDescent="0.3">
      <c r="B252" s="43" t="s">
        <v>83</v>
      </c>
      <c r="C252" s="43"/>
      <c r="D252" s="95">
        <f t="shared" ref="D252:J252" si="81">D235+0.5*D237</f>
        <v>245.553</v>
      </c>
      <c r="E252" s="95">
        <f t="shared" si="81"/>
        <v>259.072</v>
      </c>
      <c r="F252" s="95">
        <f t="shared" si="81"/>
        <v>431.1</v>
      </c>
      <c r="G252" s="95">
        <f t="shared" si="81"/>
        <v>479</v>
      </c>
      <c r="H252" s="95">
        <f t="shared" si="81"/>
        <v>520.6</v>
      </c>
      <c r="I252" s="95">
        <f t="shared" si="81"/>
        <v>543.1</v>
      </c>
      <c r="J252" s="95">
        <f t="shared" si="81"/>
        <v>586.4</v>
      </c>
      <c r="K252" s="95">
        <f>K235+0.5*K237</f>
        <v>841.8</v>
      </c>
      <c r="L252" s="95">
        <f>L235+0.5*L237</f>
        <v>861</v>
      </c>
      <c r="M252" s="64"/>
      <c r="N252" s="64"/>
      <c r="O252" s="64"/>
      <c r="P252" s="107"/>
      <c r="Q252" s="107"/>
      <c r="R252" s="107"/>
      <c r="S252" s="64"/>
      <c r="T252" s="244"/>
      <c r="U252" s="244"/>
    </row>
    <row r="253" spans="2:21" x14ac:dyDescent="0.3">
      <c r="B253" s="28" t="s">
        <v>145</v>
      </c>
      <c r="C253" s="28"/>
      <c r="D253" s="38">
        <f t="shared" ref="D253:K253" si="82">D247/(D247+D250)</f>
        <v>0.91408880647802027</v>
      </c>
      <c r="E253" s="38">
        <f t="shared" si="82"/>
        <v>0.89823319084141451</v>
      </c>
      <c r="F253" s="38">
        <f t="shared" si="82"/>
        <v>0.82416545095683513</v>
      </c>
      <c r="G253" s="38">
        <f t="shared" si="82"/>
        <v>0.7995564296773654</v>
      </c>
      <c r="H253" s="38">
        <f t="shared" si="82"/>
        <v>0.7885373085828018</v>
      </c>
      <c r="I253" s="38">
        <f t="shared" si="82"/>
        <v>0.78294232844410694</v>
      </c>
      <c r="J253" s="38">
        <f t="shared" si="82"/>
        <v>0.78371998672223653</v>
      </c>
      <c r="K253" s="38">
        <f t="shared" si="82"/>
        <v>0.70610620395908241</v>
      </c>
      <c r="L253" s="38">
        <f>L247/(L247+L250)</f>
        <v>0.71342031686859275</v>
      </c>
      <c r="M253" s="2" t="s">
        <v>141</v>
      </c>
      <c r="N253" s="2" t="s">
        <v>141</v>
      </c>
      <c r="O253" s="2" t="s">
        <v>141</v>
      </c>
      <c r="P253" s="28" t="s">
        <v>141</v>
      </c>
      <c r="Q253" s="28" t="s">
        <v>141</v>
      </c>
      <c r="R253" s="28" t="s">
        <v>141</v>
      </c>
      <c r="S253" s="2" t="s">
        <v>141</v>
      </c>
    </row>
    <row r="254" spans="2:21" x14ac:dyDescent="0.3">
      <c r="B254" s="43" t="s">
        <v>84</v>
      </c>
      <c r="C254" s="43"/>
      <c r="D254" s="114">
        <f t="shared" ref="D254:J254" si="83">D248/(D235+D248)</f>
        <v>0.9197366650878982</v>
      </c>
      <c r="E254" s="114">
        <f t="shared" si="83"/>
        <v>0.90289887569655114</v>
      </c>
      <c r="F254" s="114">
        <f t="shared" si="83"/>
        <v>0.82732175964941845</v>
      </c>
      <c r="G254" s="114">
        <f t="shared" si="83"/>
        <v>0.7995564296773654</v>
      </c>
      <c r="H254" s="114">
        <f t="shared" si="83"/>
        <v>0.7885373085828018</v>
      </c>
      <c r="I254" s="114">
        <f t="shared" si="83"/>
        <v>0.78294232844410694</v>
      </c>
      <c r="J254" s="114">
        <f t="shared" si="83"/>
        <v>0.78371998672223653</v>
      </c>
      <c r="K254" s="114">
        <f>K248/(K235+K248)</f>
        <v>0.70610620395908241</v>
      </c>
      <c r="L254" s="114">
        <f>L248/(L235+L248)</f>
        <v>0.71342031686859275</v>
      </c>
      <c r="M254" s="2" t="s">
        <v>141</v>
      </c>
      <c r="N254" s="2" t="s">
        <v>141</v>
      </c>
      <c r="O254" s="2" t="s">
        <v>141</v>
      </c>
      <c r="P254" s="28" t="s">
        <v>141</v>
      </c>
      <c r="Q254" s="28" t="s">
        <v>141</v>
      </c>
      <c r="R254" s="28" t="s">
        <v>141</v>
      </c>
      <c r="S254" s="2" t="s">
        <v>141</v>
      </c>
    </row>
    <row r="255" spans="2:21" x14ac:dyDescent="0.3">
      <c r="B255" s="43" t="s">
        <v>85</v>
      </c>
      <c r="C255" s="43"/>
      <c r="D255" s="114">
        <f t="shared" ref="D255:J255" si="84">D249/(D252+D249)</f>
        <v>0.88686633481811306</v>
      </c>
      <c r="E255" s="114">
        <f t="shared" si="84"/>
        <v>0.87997546435196428</v>
      </c>
      <c r="F255" s="114">
        <f t="shared" si="84"/>
        <v>0.81834653632226528</v>
      </c>
      <c r="G255" s="114">
        <f t="shared" si="84"/>
        <v>0.7995564296773654</v>
      </c>
      <c r="H255" s="114">
        <f t="shared" si="84"/>
        <v>0.7885373085828018</v>
      </c>
      <c r="I255" s="114">
        <f t="shared" si="84"/>
        <v>0.78294232844410694</v>
      </c>
      <c r="J255" s="114">
        <f t="shared" si="84"/>
        <v>0.78371998672223653</v>
      </c>
      <c r="K255" s="114">
        <f>K249/(K252+K249)</f>
        <v>0.70610620395908241</v>
      </c>
      <c r="L255" s="114">
        <f>L249/(L252+L249)</f>
        <v>0.71342031686859275</v>
      </c>
      <c r="M255" s="2" t="s">
        <v>141</v>
      </c>
      <c r="N255" s="2" t="s">
        <v>141</v>
      </c>
      <c r="O255" s="2" t="s">
        <v>141</v>
      </c>
      <c r="P255" s="28" t="s">
        <v>141</v>
      </c>
      <c r="Q255" s="28" t="s">
        <v>141</v>
      </c>
      <c r="R255" s="28" t="s">
        <v>141</v>
      </c>
      <c r="S255" s="2" t="s">
        <v>141</v>
      </c>
    </row>
    <row r="256" spans="2:21" x14ac:dyDescent="0.3">
      <c r="B256" s="43" t="s">
        <v>86</v>
      </c>
      <c r="C256" s="43"/>
      <c r="D256" s="114">
        <f t="shared" ref="D256:J256" si="85">D247/(D251+D247)</f>
        <v>0.8539960045483278</v>
      </c>
      <c r="E256" s="114">
        <f t="shared" si="85"/>
        <v>0.85705205300737741</v>
      </c>
      <c r="F256" s="114">
        <f t="shared" si="85"/>
        <v>0.80937131299511211</v>
      </c>
      <c r="G256" s="114">
        <f t="shared" si="85"/>
        <v>0.7995564296773654</v>
      </c>
      <c r="H256" s="114">
        <f t="shared" si="85"/>
        <v>0.7885373085828018</v>
      </c>
      <c r="I256" s="114">
        <f t="shared" si="85"/>
        <v>0.78294232844410694</v>
      </c>
      <c r="J256" s="114">
        <f t="shared" si="85"/>
        <v>0.78371998672223653</v>
      </c>
      <c r="K256" s="114">
        <f>K247/(K251+K247)</f>
        <v>0.70610620395908241</v>
      </c>
      <c r="L256" s="114">
        <f>L247/(L251+L247)</f>
        <v>0.71342031686859275</v>
      </c>
      <c r="M256" s="2" t="s">
        <v>141</v>
      </c>
      <c r="N256" s="2" t="s">
        <v>141</v>
      </c>
      <c r="O256" s="2" t="s">
        <v>141</v>
      </c>
      <c r="P256" s="28" t="s">
        <v>141</v>
      </c>
      <c r="Q256" s="28" t="s">
        <v>141</v>
      </c>
      <c r="R256" s="28" t="s">
        <v>141</v>
      </c>
      <c r="S256" s="2" t="s">
        <v>141</v>
      </c>
    </row>
    <row r="257" spans="2:21" x14ac:dyDescent="0.3">
      <c r="B257" s="28" t="s">
        <v>27</v>
      </c>
      <c r="C257" s="28"/>
      <c r="D257" s="64">
        <f t="shared" ref="D257:K257" si="86">D240*D241</f>
        <v>936.44556464999994</v>
      </c>
      <c r="E257" s="64">
        <f t="shared" si="86"/>
        <v>980.12029109999992</v>
      </c>
      <c r="F257" s="64">
        <f t="shared" si="86"/>
        <v>570.481584</v>
      </c>
      <c r="G257" s="64">
        <f t="shared" si="86"/>
        <v>633.9094268099999</v>
      </c>
      <c r="H257" s="64">
        <f t="shared" si="86"/>
        <v>679.54570137999997</v>
      </c>
      <c r="I257" s="64">
        <f t="shared" si="86"/>
        <v>1013.3065386899999</v>
      </c>
      <c r="J257" s="64">
        <f t="shared" si="86"/>
        <v>1242.1897676900001</v>
      </c>
      <c r="K257" s="64">
        <f t="shared" si="86"/>
        <v>1778.8403892599999</v>
      </c>
      <c r="L257" s="64">
        <f>L240*L241</f>
        <v>2443.6595246400002</v>
      </c>
      <c r="M257" s="2" t="s">
        <v>141</v>
      </c>
      <c r="N257" s="2" t="s">
        <v>141</v>
      </c>
      <c r="O257" s="2" t="s">
        <v>141</v>
      </c>
      <c r="P257" s="28" t="s">
        <v>141</v>
      </c>
      <c r="Q257" s="28" t="s">
        <v>141</v>
      </c>
      <c r="R257" s="28" t="s">
        <v>141</v>
      </c>
      <c r="S257" s="2" t="s">
        <v>141</v>
      </c>
      <c r="T257" s="244"/>
      <c r="U257" s="244"/>
    </row>
    <row r="258" spans="2:21" x14ac:dyDescent="0.3">
      <c r="B258" s="43" t="s">
        <v>87</v>
      </c>
      <c r="C258" s="43"/>
      <c r="D258" s="95">
        <f t="shared" ref="D258:J258" si="87">D257+0.5*D237</f>
        <v>1007.7895646499999</v>
      </c>
      <c r="E258" s="95">
        <f t="shared" si="87"/>
        <v>1029.6002910999998</v>
      </c>
      <c r="F258" s="95">
        <f t="shared" si="87"/>
        <v>591.78158399999995</v>
      </c>
      <c r="G258" s="95">
        <f t="shared" si="87"/>
        <v>633.9094268099999</v>
      </c>
      <c r="H258" s="95">
        <f t="shared" si="87"/>
        <v>679.54570137999997</v>
      </c>
      <c r="I258" s="95">
        <f t="shared" si="87"/>
        <v>1013.3065386899999</v>
      </c>
      <c r="J258" s="95">
        <f t="shared" si="87"/>
        <v>1242.1897676900001</v>
      </c>
      <c r="K258" s="95">
        <f>K257+0.5*K237</f>
        <v>1778.8403892599999</v>
      </c>
      <c r="L258" s="95">
        <f>L257+0.5*L237</f>
        <v>2443.6595246400002</v>
      </c>
      <c r="M258" s="2" t="s">
        <v>141</v>
      </c>
      <c r="N258" s="2" t="s">
        <v>141</v>
      </c>
      <c r="O258" s="2" t="s">
        <v>141</v>
      </c>
      <c r="P258" s="28" t="s">
        <v>141</v>
      </c>
      <c r="Q258" s="28" t="s">
        <v>141</v>
      </c>
      <c r="R258" s="28" t="s">
        <v>141</v>
      </c>
      <c r="S258" s="2" t="s">
        <v>141</v>
      </c>
      <c r="T258" s="244"/>
      <c r="U258" s="244"/>
    </row>
    <row r="259" spans="2:21" x14ac:dyDescent="0.3">
      <c r="B259" s="43" t="s">
        <v>88</v>
      </c>
      <c r="C259" s="43"/>
      <c r="D259" s="95">
        <f t="shared" ref="D259:J259" si="88">D257+D237</f>
        <v>1079.1335646499999</v>
      </c>
      <c r="E259" s="95">
        <f t="shared" si="88"/>
        <v>1079.0802910999998</v>
      </c>
      <c r="F259" s="95">
        <f t="shared" si="88"/>
        <v>613.08158400000002</v>
      </c>
      <c r="G259" s="95">
        <f t="shared" si="88"/>
        <v>633.9094268099999</v>
      </c>
      <c r="H259" s="95">
        <f t="shared" si="88"/>
        <v>679.54570137999997</v>
      </c>
      <c r="I259" s="95">
        <f t="shared" si="88"/>
        <v>1013.3065386899999</v>
      </c>
      <c r="J259" s="95">
        <f t="shared" si="88"/>
        <v>1242.1897676900001</v>
      </c>
      <c r="K259" s="95">
        <f>K257+K237</f>
        <v>1778.8403892599999</v>
      </c>
      <c r="L259" s="95">
        <f>L257+L237</f>
        <v>2443.6595246400002</v>
      </c>
      <c r="M259" s="2" t="s">
        <v>141</v>
      </c>
      <c r="N259" s="2" t="s">
        <v>141</v>
      </c>
      <c r="O259" s="2" t="s">
        <v>141</v>
      </c>
      <c r="P259" s="28" t="s">
        <v>141</v>
      </c>
      <c r="Q259" s="28" t="s">
        <v>141</v>
      </c>
      <c r="R259" s="28" t="s">
        <v>141</v>
      </c>
      <c r="S259" s="2" t="s">
        <v>141</v>
      </c>
      <c r="T259" s="244"/>
      <c r="U259" s="244"/>
    </row>
    <row r="260" spans="2:21" x14ac:dyDescent="0.3">
      <c r="B260" s="28" t="s">
        <v>146</v>
      </c>
      <c r="C260" s="28"/>
      <c r="D260" s="38">
        <f t="shared" ref="D260:L260" si="89">D247/(D247+D257)</f>
        <v>0.6643584211954402</v>
      </c>
      <c r="E260" s="38">
        <f t="shared" si="89"/>
        <v>0.65367511986147742</v>
      </c>
      <c r="F260" s="38">
        <f t="shared" si="89"/>
        <v>0.7710087901488698</v>
      </c>
      <c r="G260" s="38">
        <f t="shared" si="89"/>
        <v>0.75088144367810183</v>
      </c>
      <c r="H260" s="38">
        <f t="shared" si="89"/>
        <v>0.74071510542486851</v>
      </c>
      <c r="I260" s="38">
        <f t="shared" si="89"/>
        <v>0.65908410673664919</v>
      </c>
      <c r="J260" s="38">
        <f t="shared" si="89"/>
        <v>0.63107910587658389</v>
      </c>
      <c r="K260" s="38">
        <f t="shared" si="89"/>
        <v>0.53204917026483822</v>
      </c>
      <c r="L260" s="38">
        <f t="shared" si="89"/>
        <v>0.46727102373240237</v>
      </c>
      <c r="M260" s="2" t="s">
        <v>141</v>
      </c>
      <c r="N260" s="2" t="s">
        <v>141</v>
      </c>
      <c r="O260" s="2" t="s">
        <v>141</v>
      </c>
      <c r="P260" s="28" t="s">
        <v>141</v>
      </c>
      <c r="Q260" s="28" t="s">
        <v>141</v>
      </c>
      <c r="R260" s="28" t="s">
        <v>141</v>
      </c>
      <c r="S260" s="2" t="s">
        <v>141</v>
      </c>
    </row>
    <row r="261" spans="2:21" x14ac:dyDescent="0.3">
      <c r="B261" s="43" t="s">
        <v>89</v>
      </c>
      <c r="C261" s="43"/>
      <c r="D261" s="114">
        <f t="shared" ref="D261:J261" si="90">D248/(D257+D248)</f>
        <v>0.68068874855733752</v>
      </c>
      <c r="E261" s="114">
        <f t="shared" si="90"/>
        <v>0.66537606650313996</v>
      </c>
      <c r="F261" s="114">
        <f t="shared" si="90"/>
        <v>0.77485862496406221</v>
      </c>
      <c r="G261" s="114">
        <f t="shared" si="90"/>
        <v>0.75088144367810183</v>
      </c>
      <c r="H261" s="114">
        <f t="shared" si="90"/>
        <v>0.74071510542486851</v>
      </c>
      <c r="I261" s="114">
        <f t="shared" si="90"/>
        <v>0.65908410673664919</v>
      </c>
      <c r="J261" s="114">
        <f t="shared" si="90"/>
        <v>0.63107910587658389</v>
      </c>
      <c r="K261" s="114">
        <f>K248/(K257+K248)</f>
        <v>0.53204917026483822</v>
      </c>
      <c r="L261" s="114">
        <f>L248/(L257+L248)</f>
        <v>0.46727102373240237</v>
      </c>
      <c r="M261" s="2" t="s">
        <v>141</v>
      </c>
      <c r="N261" s="2" t="s">
        <v>141</v>
      </c>
      <c r="O261" s="2" t="s">
        <v>141</v>
      </c>
      <c r="P261" s="28" t="s">
        <v>141</v>
      </c>
      <c r="Q261" s="28" t="s">
        <v>141</v>
      </c>
      <c r="R261" s="28" t="s">
        <v>141</v>
      </c>
      <c r="S261" s="2" t="s">
        <v>141</v>
      </c>
    </row>
    <row r="262" spans="2:21" x14ac:dyDescent="0.3">
      <c r="B262" s="43" t="s">
        <v>90</v>
      </c>
      <c r="C262" s="43"/>
      <c r="D262" s="114">
        <f t="shared" ref="D262:J262" si="91">D249/(D249+D258)</f>
        <v>0.65636171580403513</v>
      </c>
      <c r="E262" s="114">
        <f t="shared" si="91"/>
        <v>0.6484830459425287</v>
      </c>
      <c r="F262" s="114">
        <f t="shared" si="91"/>
        <v>0.76645254942584562</v>
      </c>
      <c r="G262" s="114">
        <f t="shared" si="91"/>
        <v>0.75088144367810183</v>
      </c>
      <c r="H262" s="114">
        <f t="shared" si="91"/>
        <v>0.74071510542486851</v>
      </c>
      <c r="I262" s="114">
        <f t="shared" si="91"/>
        <v>0.65908410673664919</v>
      </c>
      <c r="J262" s="114">
        <f t="shared" si="91"/>
        <v>0.63107910587658389</v>
      </c>
      <c r="K262" s="114">
        <f>K249/(K249+K258)</f>
        <v>0.53204917026483822</v>
      </c>
      <c r="L262" s="114">
        <f>L249/(L249+L258)</f>
        <v>0.46727102373240237</v>
      </c>
      <c r="M262" s="2" t="s">
        <v>141</v>
      </c>
      <c r="N262" s="2" t="s">
        <v>141</v>
      </c>
      <c r="O262" s="2" t="s">
        <v>141</v>
      </c>
      <c r="P262" s="28" t="s">
        <v>141</v>
      </c>
      <c r="Q262" s="28" t="s">
        <v>141</v>
      </c>
      <c r="R262" s="28" t="s">
        <v>141</v>
      </c>
      <c r="S262" s="2" t="s">
        <v>141</v>
      </c>
    </row>
    <row r="263" spans="2:21" x14ac:dyDescent="0.3">
      <c r="B263" s="43" t="s">
        <v>91</v>
      </c>
      <c r="C263" s="43"/>
      <c r="D263" s="114">
        <f t="shared" ref="D263:J263" si="92">D247/(D259+D247)</f>
        <v>0.63203468305073274</v>
      </c>
      <c r="E263" s="114">
        <f t="shared" si="92"/>
        <v>0.63159002538191733</v>
      </c>
      <c r="F263" s="114">
        <f t="shared" si="92"/>
        <v>0.75804647388762902</v>
      </c>
      <c r="G263" s="114">
        <f t="shared" si="92"/>
        <v>0.75088144367810183</v>
      </c>
      <c r="H263" s="114">
        <f t="shared" si="92"/>
        <v>0.74071510542486851</v>
      </c>
      <c r="I263" s="114">
        <f t="shared" si="92"/>
        <v>0.65908410673664919</v>
      </c>
      <c r="J263" s="114">
        <f t="shared" si="92"/>
        <v>0.63107910587658389</v>
      </c>
      <c r="K263" s="114">
        <f>K247/(K259+K247)</f>
        <v>0.53204917026483822</v>
      </c>
      <c r="L263" s="114">
        <f>L247/(L259+L247)</f>
        <v>0.46727102373240237</v>
      </c>
      <c r="M263" s="2" t="s">
        <v>141</v>
      </c>
      <c r="N263" s="2" t="s">
        <v>141</v>
      </c>
      <c r="O263" s="2" t="s">
        <v>141</v>
      </c>
      <c r="P263" s="28" t="s">
        <v>141</v>
      </c>
      <c r="Q263" s="28" t="s">
        <v>141</v>
      </c>
      <c r="R263" s="28" t="s">
        <v>141</v>
      </c>
      <c r="S263" s="2" t="s">
        <v>141</v>
      </c>
    </row>
    <row r="267" spans="2:21" x14ac:dyDescent="0.3">
      <c r="B267" s="257" t="s">
        <v>92</v>
      </c>
      <c r="C267" s="257"/>
      <c r="D267" s="260">
        <v>38898</v>
      </c>
      <c r="E267" s="260">
        <v>39263</v>
      </c>
      <c r="F267" s="260">
        <v>39629</v>
      </c>
      <c r="G267" s="260">
        <v>39994</v>
      </c>
      <c r="H267" s="260">
        <v>40359</v>
      </c>
      <c r="I267" s="260">
        <v>40724</v>
      </c>
      <c r="J267" s="260">
        <v>41090</v>
      </c>
      <c r="K267" s="260">
        <v>41455</v>
      </c>
      <c r="L267" s="260">
        <v>41820</v>
      </c>
      <c r="M267" s="260">
        <v>42185</v>
      </c>
      <c r="N267" s="260">
        <v>42551</v>
      </c>
      <c r="O267" s="260">
        <v>42916</v>
      </c>
      <c r="P267" s="260">
        <v>43281</v>
      </c>
      <c r="Q267" s="260">
        <v>43646</v>
      </c>
      <c r="R267" s="260">
        <v>44012</v>
      </c>
      <c r="S267" s="258">
        <v>44377</v>
      </c>
      <c r="T267" s="230"/>
      <c r="U267" s="230"/>
    </row>
    <row r="268" spans="2:21" x14ac:dyDescent="0.3">
      <c r="S268" s="3"/>
    </row>
    <row r="269" spans="2:21" x14ac:dyDescent="0.3">
      <c r="B269" s="1" t="s">
        <v>3</v>
      </c>
      <c r="S269" s="3"/>
    </row>
    <row r="270" spans="2:21" x14ac:dyDescent="0.3">
      <c r="B270" s="4" t="s">
        <v>4</v>
      </c>
      <c r="C270" s="4"/>
      <c r="P270" s="4"/>
      <c r="Q270" s="4"/>
      <c r="R270" s="4"/>
      <c r="S270" s="4"/>
    </row>
    <row r="271" spans="2:21" x14ac:dyDescent="0.3">
      <c r="B271" s="5" t="s">
        <v>5</v>
      </c>
      <c r="C271" s="5"/>
      <c r="D271" s="7">
        <v>13.004</v>
      </c>
      <c r="E271" s="7">
        <v>60.078000000000003</v>
      </c>
      <c r="F271" s="7">
        <v>105.455</v>
      </c>
      <c r="G271" s="7">
        <v>108.815</v>
      </c>
      <c r="H271" s="7">
        <v>80.94</v>
      </c>
      <c r="I271" s="7">
        <v>95.367999999999995</v>
      </c>
      <c r="J271" s="7">
        <v>329.93400000000003</v>
      </c>
      <c r="K271" s="7">
        <v>80.954999999999998</v>
      </c>
      <c r="L271" s="7">
        <v>7.0090000000000003</v>
      </c>
      <c r="M271" s="7">
        <v>411.92099999999999</v>
      </c>
      <c r="N271" s="7">
        <v>84.506</v>
      </c>
      <c r="O271" s="7">
        <v>394.50099999999998</v>
      </c>
      <c r="P271" s="92">
        <v>100.643</v>
      </c>
      <c r="Q271" s="92">
        <v>354.947</v>
      </c>
      <c r="R271" s="109">
        <v>1172.771</v>
      </c>
      <c r="S271" s="165">
        <v>652.35199999999998</v>
      </c>
      <c r="T271" s="218"/>
      <c r="U271" s="218"/>
    </row>
    <row r="272" spans="2:21" x14ac:dyDescent="0.3">
      <c r="B272" s="4" t="s">
        <v>6</v>
      </c>
      <c r="C272" s="4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53"/>
      <c r="Q272" s="53"/>
      <c r="R272" s="53"/>
      <c r="S272" s="166"/>
      <c r="T272" s="231"/>
      <c r="U272" s="231"/>
    </row>
    <row r="273" spans="2:21" x14ac:dyDescent="0.3">
      <c r="B273" s="10" t="s">
        <v>7</v>
      </c>
      <c r="C273" s="10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56"/>
      <c r="Q273" s="56"/>
      <c r="R273" s="56"/>
      <c r="S273" s="167"/>
      <c r="T273" s="232"/>
      <c r="U273" s="232"/>
    </row>
    <row r="274" spans="2:21" x14ac:dyDescent="0.3">
      <c r="B274" s="13" t="s">
        <v>53</v>
      </c>
      <c r="C274" s="13"/>
      <c r="D274" s="7">
        <v>58.823</v>
      </c>
      <c r="E274" s="7">
        <v>108.325</v>
      </c>
      <c r="F274" s="7">
        <v>151.55799999999999</v>
      </c>
      <c r="G274" s="7">
        <v>109.88200000000001</v>
      </c>
      <c r="H274" s="7">
        <v>131.839</v>
      </c>
      <c r="I274" s="7">
        <v>135.65100000000001</v>
      </c>
      <c r="J274" s="7">
        <v>173.44499999999999</v>
      </c>
      <c r="K274" s="7">
        <v>190.06200000000001</v>
      </c>
      <c r="L274" s="115">
        <v>185.988</v>
      </c>
      <c r="M274" s="7">
        <v>405.685</v>
      </c>
      <c r="N274" s="7">
        <f>252661/1000</f>
        <v>252.661</v>
      </c>
      <c r="O274" s="7">
        <f>312611/1000</f>
        <v>312.61099999999999</v>
      </c>
      <c r="P274" s="110">
        <v>381.67599999999999</v>
      </c>
      <c r="Q274" s="110">
        <v>302.08199999999999</v>
      </c>
      <c r="R274" s="24">
        <v>308.76400000000001</v>
      </c>
      <c r="S274" s="165">
        <v>314.56</v>
      </c>
      <c r="T274" s="218"/>
      <c r="U274" s="218"/>
    </row>
    <row r="275" spans="2:21" x14ac:dyDescent="0.3">
      <c r="B275" s="13" t="s">
        <v>22</v>
      </c>
      <c r="C275" s="13"/>
      <c r="D275" s="7">
        <v>158.542</v>
      </c>
      <c r="E275" s="7">
        <v>4.4939999999999998</v>
      </c>
      <c r="F275" s="7">
        <v>450.15</v>
      </c>
      <c r="G275" s="7">
        <v>900.21900000000005</v>
      </c>
      <c r="H275" s="7">
        <v>103.883</v>
      </c>
      <c r="I275" s="7">
        <v>900</v>
      </c>
      <c r="J275" s="7">
        <v>0</v>
      </c>
      <c r="K275" s="7">
        <v>80.91</v>
      </c>
      <c r="L275" s="7">
        <v>0</v>
      </c>
      <c r="M275" s="29">
        <v>164.35300000000001</v>
      </c>
      <c r="N275" s="7">
        <f>409829/1000</f>
        <v>409.82900000000001</v>
      </c>
      <c r="O275" s="7">
        <f>126858/1000</f>
        <v>126.858</v>
      </c>
      <c r="P275" s="110">
        <v>329.21899999999999</v>
      </c>
      <c r="Q275" s="110">
        <v>444.50200000000001</v>
      </c>
      <c r="R275" s="24">
        <v>310.613</v>
      </c>
      <c r="S275" s="165">
        <v>2.7210000000000001</v>
      </c>
      <c r="T275" s="221"/>
      <c r="U275" s="221"/>
    </row>
    <row r="276" spans="2:21" x14ac:dyDescent="0.3">
      <c r="B276" s="19" t="s">
        <v>11</v>
      </c>
      <c r="C276" s="19"/>
      <c r="D276" s="7">
        <v>3.2730000000000001</v>
      </c>
      <c r="E276" s="7">
        <v>4.8410000000000002</v>
      </c>
      <c r="F276" s="7">
        <v>5.1870000000000003</v>
      </c>
      <c r="G276" s="7">
        <v>7.6479999999999997</v>
      </c>
      <c r="H276" s="7">
        <v>8.7379999999999995</v>
      </c>
      <c r="I276" s="7">
        <v>44.985999999999997</v>
      </c>
      <c r="J276" s="7">
        <v>59.307000000000002</v>
      </c>
      <c r="K276" s="7">
        <v>126.38500000000001</v>
      </c>
      <c r="L276" s="7">
        <v>90.573999999999998</v>
      </c>
      <c r="M276" s="7">
        <v>145.815</v>
      </c>
      <c r="N276" s="7">
        <f>114674/1000</f>
        <v>114.67400000000001</v>
      </c>
      <c r="O276" s="7">
        <f>145768/1000</f>
        <v>145.768</v>
      </c>
      <c r="P276" s="110">
        <v>139.40100000000001</v>
      </c>
      <c r="Q276" s="110">
        <v>152.78200000000001</v>
      </c>
      <c r="R276" s="24">
        <v>186.34700000000001</v>
      </c>
      <c r="S276" s="168">
        <v>169.03100000000001</v>
      </c>
      <c r="T276" s="218"/>
      <c r="U276" s="218"/>
    </row>
    <row r="277" spans="2:21" x14ac:dyDescent="0.3">
      <c r="B277" s="13" t="s">
        <v>54</v>
      </c>
      <c r="C277" s="13"/>
      <c r="D277" s="7">
        <v>22.847999999999999</v>
      </c>
      <c r="E277" s="7">
        <v>20.074000000000002</v>
      </c>
      <c r="F277" s="7">
        <v>38.752000000000002</v>
      </c>
      <c r="G277" s="7">
        <v>39.433999999999997</v>
      </c>
      <c r="H277" s="7">
        <v>42.957000000000001</v>
      </c>
      <c r="I277" s="7">
        <v>54.731000000000002</v>
      </c>
      <c r="J277" s="7">
        <v>67.465999999999994</v>
      </c>
      <c r="K277" s="7">
        <v>81.942999999999998</v>
      </c>
      <c r="L277" s="7">
        <v>81.003</v>
      </c>
      <c r="M277" s="7">
        <v>85.451999999999998</v>
      </c>
      <c r="N277" s="7">
        <f>93033/1000</f>
        <v>93.033000000000001</v>
      </c>
      <c r="O277" s="7">
        <f>93773/1000</f>
        <v>93.772999999999996</v>
      </c>
      <c r="P277" s="110">
        <v>83.629000000000005</v>
      </c>
      <c r="Q277" s="110">
        <v>94.840999999999994</v>
      </c>
      <c r="R277" s="24">
        <v>89.635999999999996</v>
      </c>
      <c r="S277" s="168">
        <v>93.759</v>
      </c>
      <c r="T277" s="218"/>
      <c r="U277" s="218"/>
    </row>
    <row r="278" spans="2:21" x14ac:dyDescent="0.3">
      <c r="B278" s="13" t="s">
        <v>93</v>
      </c>
      <c r="C278" s="13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110"/>
      <c r="Q278" s="110"/>
      <c r="R278" s="24">
        <v>13.544</v>
      </c>
      <c r="S278" s="168">
        <v>13.827999999999999</v>
      </c>
      <c r="T278" s="218"/>
      <c r="U278" s="218"/>
    </row>
    <row r="279" spans="2:21" x14ac:dyDescent="0.3">
      <c r="B279" s="13" t="s">
        <v>79</v>
      </c>
      <c r="C279" s="13"/>
      <c r="D279" s="7">
        <v>9.2750000000000004</v>
      </c>
      <c r="E279" s="7">
        <v>15.717000000000001</v>
      </c>
      <c r="F279" s="7">
        <v>12.109</v>
      </c>
      <c r="G279" s="7">
        <v>13.042</v>
      </c>
      <c r="H279" s="7">
        <v>10.874000000000001</v>
      </c>
      <c r="I279" s="7">
        <v>2.347</v>
      </c>
      <c r="J279" s="7">
        <v>0.76100000000000001</v>
      </c>
      <c r="K279" s="7">
        <v>12.920999999999999</v>
      </c>
      <c r="L279" s="7">
        <v>15.975</v>
      </c>
      <c r="M279" s="7">
        <v>7.4770000000000003</v>
      </c>
      <c r="N279" s="7">
        <f>13735/1000</f>
        <v>13.734999999999999</v>
      </c>
      <c r="O279" s="7">
        <f>19225/1000</f>
        <v>19.225000000000001</v>
      </c>
      <c r="P279" s="110">
        <v>20.922000000000001</v>
      </c>
      <c r="Q279" s="110">
        <v>12.32</v>
      </c>
      <c r="R279" s="24">
        <v>10.753</v>
      </c>
      <c r="S279" s="168">
        <v>10.75</v>
      </c>
      <c r="T279" s="218"/>
      <c r="U279" s="218"/>
    </row>
    <row r="280" spans="2:21" x14ac:dyDescent="0.3">
      <c r="B280" s="13" t="s">
        <v>124</v>
      </c>
      <c r="C280" s="13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110"/>
      <c r="Q280" s="110"/>
      <c r="R280" s="24"/>
      <c r="S280" s="168">
        <f>258/1000</f>
        <v>0.25800000000000001</v>
      </c>
      <c r="T280" s="218"/>
      <c r="U280" s="218"/>
    </row>
    <row r="281" spans="2:21" x14ac:dyDescent="0.3">
      <c r="B281" s="21" t="s">
        <v>12</v>
      </c>
      <c r="C281" s="21"/>
      <c r="D281" s="22">
        <f t="shared" ref="D281:K281" si="93">SUM(D274:D279)</f>
        <v>252.761</v>
      </c>
      <c r="E281" s="22">
        <f t="shared" si="93"/>
        <v>153.45100000000002</v>
      </c>
      <c r="F281" s="22">
        <f t="shared" si="93"/>
        <v>657.75599999999997</v>
      </c>
      <c r="G281" s="22">
        <f t="shared" si="93"/>
        <v>1070.2250000000001</v>
      </c>
      <c r="H281" s="22">
        <f t="shared" si="93"/>
        <v>298.291</v>
      </c>
      <c r="I281" s="22">
        <f t="shared" si="93"/>
        <v>1137.7150000000001</v>
      </c>
      <c r="J281" s="22">
        <f t="shared" si="93"/>
        <v>300.97900000000004</v>
      </c>
      <c r="K281" s="22">
        <f t="shared" si="93"/>
        <v>492.22099999999995</v>
      </c>
      <c r="L281" s="22">
        <f t="shared" ref="L281:R281" si="94">SUM(L274:L279)</f>
        <v>373.54</v>
      </c>
      <c r="M281" s="22">
        <f t="shared" si="94"/>
        <v>808.78200000000004</v>
      </c>
      <c r="N281" s="22">
        <f t="shared" si="94"/>
        <v>883.93200000000002</v>
      </c>
      <c r="O281" s="22">
        <f t="shared" si="94"/>
        <v>698.23500000000001</v>
      </c>
      <c r="P281" s="22">
        <f t="shared" si="94"/>
        <v>954.84700000000009</v>
      </c>
      <c r="Q281" s="22">
        <f t="shared" si="94"/>
        <v>1006.5270000000002</v>
      </c>
      <c r="R281" s="22">
        <f t="shared" si="94"/>
        <v>919.65699999999993</v>
      </c>
      <c r="S281" s="22">
        <f>SUM(S274:S280)</f>
        <v>604.90700000000004</v>
      </c>
      <c r="T281" s="233"/>
      <c r="U281" s="233"/>
    </row>
    <row r="282" spans="2:21" x14ac:dyDescent="0.3">
      <c r="B282" s="10" t="s">
        <v>13</v>
      </c>
      <c r="C282" s="10"/>
      <c r="P282" s="10"/>
      <c r="Q282" s="10"/>
      <c r="R282" s="10"/>
      <c r="S282" s="10"/>
    </row>
    <row r="283" spans="2:21" x14ac:dyDescent="0.3">
      <c r="B283" s="13" t="s">
        <v>53</v>
      </c>
      <c r="C283" s="13"/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7">
        <v>1.0680000000000001</v>
      </c>
      <c r="K283" s="7">
        <v>3.7490000000000001</v>
      </c>
      <c r="L283" s="7">
        <v>3.5990000000000002</v>
      </c>
      <c r="M283" s="7">
        <v>3.2610000000000001</v>
      </c>
      <c r="N283" s="7">
        <f>3007/1000</f>
        <v>3.0070000000000001</v>
      </c>
      <c r="O283" s="7">
        <f>4984/1000</f>
        <v>4.984</v>
      </c>
      <c r="P283" s="110">
        <v>5.0890000000000004</v>
      </c>
      <c r="Q283" s="110">
        <v>3.23</v>
      </c>
      <c r="R283" s="24">
        <v>4.8259999999999996</v>
      </c>
      <c r="S283" s="169">
        <v>13.39</v>
      </c>
      <c r="T283" s="218"/>
      <c r="U283" s="218"/>
    </row>
    <row r="284" spans="2:21" x14ac:dyDescent="0.3">
      <c r="B284" s="13" t="s">
        <v>22</v>
      </c>
      <c r="C284" s="13"/>
      <c r="D284" s="7">
        <v>1055.7080000000001</v>
      </c>
      <c r="E284" s="7">
        <v>2593.1579999999999</v>
      </c>
      <c r="F284" s="7">
        <v>2660.973</v>
      </c>
      <c r="G284" s="7">
        <v>2057.875</v>
      </c>
      <c r="H284" s="7">
        <v>2891.8910000000001</v>
      </c>
      <c r="I284" s="7">
        <v>1990.4459999999999</v>
      </c>
      <c r="J284" s="7">
        <v>2905.9459999999999</v>
      </c>
      <c r="K284" s="7">
        <v>4233.2420000000002</v>
      </c>
      <c r="L284" s="7">
        <v>4708.2830000000004</v>
      </c>
      <c r="M284" s="7">
        <v>9141.4969999999994</v>
      </c>
      <c r="N284" s="7">
        <f>9314.373</f>
        <v>9314.3729999999996</v>
      </c>
      <c r="O284" s="7">
        <f>9573907/1000</f>
        <v>9573.9069999999992</v>
      </c>
      <c r="P284" s="110">
        <v>9321.3770000000004</v>
      </c>
      <c r="Q284" s="110">
        <v>9865.8130000000001</v>
      </c>
      <c r="R284" s="24">
        <v>10607.382</v>
      </c>
      <c r="S284" s="169">
        <v>9921.3169999999991</v>
      </c>
      <c r="T284" s="218"/>
      <c r="U284" s="218"/>
    </row>
    <row r="285" spans="2:21" x14ac:dyDescent="0.3">
      <c r="B285" s="19" t="s">
        <v>11</v>
      </c>
      <c r="C285" s="19"/>
      <c r="D285" s="7">
        <v>79.337999999999994</v>
      </c>
      <c r="E285" s="7">
        <v>131.161</v>
      </c>
      <c r="F285" s="7">
        <v>160.19499999999999</v>
      </c>
      <c r="G285" s="7">
        <v>71.628</v>
      </c>
      <c r="H285" s="7">
        <v>66.691000000000003</v>
      </c>
      <c r="I285" s="7">
        <v>263.786</v>
      </c>
      <c r="J285" s="7">
        <v>286.59199999999998</v>
      </c>
      <c r="K285" s="7">
        <v>177.256</v>
      </c>
      <c r="L285" s="7">
        <v>216.93600000000001</v>
      </c>
      <c r="M285" s="7">
        <v>44.792999999999999</v>
      </c>
      <c r="N285" s="7">
        <f>194.591</f>
        <v>194.59100000000001</v>
      </c>
      <c r="O285" s="7">
        <f>182087/1000</f>
        <v>182.08699999999999</v>
      </c>
      <c r="P285" s="110">
        <v>128.51</v>
      </c>
      <c r="Q285" s="110">
        <v>264.70299999999997</v>
      </c>
      <c r="R285" s="24">
        <v>427.63799999999998</v>
      </c>
      <c r="S285" s="169">
        <v>262.11700000000002</v>
      </c>
      <c r="T285" s="218"/>
      <c r="U285" s="218"/>
    </row>
    <row r="286" spans="2:21" x14ac:dyDescent="0.3">
      <c r="B286" s="13" t="s">
        <v>14</v>
      </c>
      <c r="C286" s="13"/>
      <c r="D286" s="7">
        <v>77.197999999999993</v>
      </c>
      <c r="E286" s="7">
        <v>192.107</v>
      </c>
      <c r="F286" s="7">
        <v>246.995</v>
      </c>
      <c r="G286" s="7">
        <v>242.48500000000001</v>
      </c>
      <c r="H286" s="7">
        <v>297.80799999999999</v>
      </c>
      <c r="I286" s="7">
        <v>336.17099999999999</v>
      </c>
      <c r="J286" s="7">
        <v>319.28199999999998</v>
      </c>
      <c r="K286" s="7">
        <v>213.93199999999999</v>
      </c>
      <c r="L286" s="7">
        <v>110.783</v>
      </c>
      <c r="M286" s="7">
        <v>194.69200000000001</v>
      </c>
      <c r="N286" s="7">
        <v>304.84899999999999</v>
      </c>
      <c r="O286" s="7">
        <f>502265/1000</f>
        <v>502.26499999999999</v>
      </c>
      <c r="P286" s="110">
        <v>558.44200000000001</v>
      </c>
      <c r="Q286" s="110">
        <v>544.01300000000003</v>
      </c>
      <c r="R286" s="24">
        <v>594.83199999999999</v>
      </c>
      <c r="S286" s="169">
        <v>756.99300000000005</v>
      </c>
      <c r="T286" s="218"/>
      <c r="U286" s="218"/>
    </row>
    <row r="287" spans="2:21" x14ac:dyDescent="0.3">
      <c r="B287" s="13" t="s">
        <v>54</v>
      </c>
      <c r="C287" s="13"/>
      <c r="D287" s="7">
        <v>2.61</v>
      </c>
      <c r="E287" s="7">
        <v>5.5979999999999999</v>
      </c>
      <c r="F287" s="7">
        <v>19.007000000000001</v>
      </c>
      <c r="G287" s="7">
        <v>23.457000000000001</v>
      </c>
      <c r="H287" s="7">
        <v>31.684999999999999</v>
      </c>
      <c r="I287" s="7">
        <v>30.84</v>
      </c>
      <c r="J287" s="7">
        <v>64.066999999999993</v>
      </c>
      <c r="K287" s="7">
        <v>47.93</v>
      </c>
      <c r="L287" s="7">
        <v>47.442</v>
      </c>
      <c r="M287" s="7">
        <v>60.41</v>
      </c>
      <c r="N287" s="7">
        <v>70.917000000000002</v>
      </c>
      <c r="O287" s="7">
        <f>69051/1000</f>
        <v>69.051000000000002</v>
      </c>
      <c r="P287" s="110">
        <v>71.950999999999993</v>
      </c>
      <c r="Q287" s="110">
        <v>89.662999999999997</v>
      </c>
      <c r="R287" s="24">
        <v>115.905</v>
      </c>
      <c r="S287" s="169">
        <v>102.352</v>
      </c>
      <c r="T287" s="218"/>
      <c r="U287" s="218"/>
    </row>
    <row r="288" spans="2:21" x14ac:dyDescent="0.3">
      <c r="B288" s="13" t="s">
        <v>93</v>
      </c>
      <c r="C288" s="13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110"/>
      <c r="Q288" s="110"/>
      <c r="R288" s="24">
        <v>56.332999999999998</v>
      </c>
      <c r="S288" s="169">
        <v>49.228000000000002</v>
      </c>
      <c r="T288" s="218"/>
      <c r="U288" s="218"/>
    </row>
    <row r="289" spans="2:21" x14ac:dyDescent="0.3">
      <c r="B289" s="13" t="s">
        <v>79</v>
      </c>
      <c r="C289" s="13"/>
      <c r="D289" s="7">
        <v>1.78</v>
      </c>
      <c r="E289" s="7">
        <v>1.6919999999999999</v>
      </c>
      <c r="F289" s="7">
        <v>2.1800000000000002</v>
      </c>
      <c r="G289" s="7">
        <v>3.202</v>
      </c>
      <c r="H289" s="7">
        <v>0.92500000000000004</v>
      </c>
      <c r="I289" s="7">
        <v>0.80200000000000005</v>
      </c>
      <c r="J289" s="7">
        <v>4.0780000000000003</v>
      </c>
      <c r="K289" s="7">
        <v>16.669</v>
      </c>
      <c r="L289" s="7">
        <v>15.438000000000001</v>
      </c>
      <c r="M289" s="7">
        <v>16.800999999999998</v>
      </c>
      <c r="N289" s="7">
        <v>41.895000000000003</v>
      </c>
      <c r="O289" s="7">
        <f>37236/1000</f>
        <v>37.235999999999997</v>
      </c>
      <c r="P289" s="110">
        <v>60.183</v>
      </c>
      <c r="Q289" s="110">
        <v>60.581000000000003</v>
      </c>
      <c r="R289" s="24">
        <v>56.737000000000002</v>
      </c>
      <c r="S289" s="169">
        <v>63.335999999999999</v>
      </c>
      <c r="T289" s="218"/>
      <c r="U289" s="218"/>
    </row>
    <row r="290" spans="2:21" x14ac:dyDescent="0.3">
      <c r="B290" s="21" t="s">
        <v>15</v>
      </c>
      <c r="C290" s="21"/>
      <c r="D290" s="116">
        <f t="shared" ref="D290:K290" si="95">SUM(D283:D289)</f>
        <v>1216.634</v>
      </c>
      <c r="E290" s="116">
        <f t="shared" si="95"/>
        <v>2923.7159999999999</v>
      </c>
      <c r="F290" s="116">
        <f t="shared" si="95"/>
        <v>3089.35</v>
      </c>
      <c r="G290" s="116">
        <f t="shared" si="95"/>
        <v>2398.6470000000004</v>
      </c>
      <c r="H290" s="116">
        <f t="shared" si="95"/>
        <v>3289</v>
      </c>
      <c r="I290" s="116">
        <f t="shared" si="95"/>
        <v>2622.0450000000001</v>
      </c>
      <c r="J290" s="116">
        <f t="shared" si="95"/>
        <v>3581.0330000000004</v>
      </c>
      <c r="K290" s="116">
        <f t="shared" si="95"/>
        <v>4692.7780000000002</v>
      </c>
      <c r="L290" s="116">
        <f t="shared" ref="L290:S290" si="96">SUM(L283:L289)</f>
        <v>5102.4810000000007</v>
      </c>
      <c r="M290" s="116">
        <f t="shared" si="96"/>
        <v>9461.4539999999979</v>
      </c>
      <c r="N290" s="116">
        <f t="shared" si="96"/>
        <v>9929.6319999999996</v>
      </c>
      <c r="O290" s="116">
        <f t="shared" si="96"/>
        <v>10369.529999999999</v>
      </c>
      <c r="P290" s="116">
        <f t="shared" si="96"/>
        <v>10145.552000000001</v>
      </c>
      <c r="Q290" s="116">
        <f t="shared" si="96"/>
        <v>10828.003000000001</v>
      </c>
      <c r="R290" s="116">
        <f t="shared" si="96"/>
        <v>11863.653</v>
      </c>
      <c r="S290" s="116">
        <f t="shared" si="96"/>
        <v>11168.732999999998</v>
      </c>
      <c r="T290" s="227"/>
      <c r="U290" s="227"/>
    </row>
    <row r="291" spans="2:21" x14ac:dyDescent="0.3">
      <c r="B291" s="4" t="s">
        <v>16</v>
      </c>
      <c r="C291" s="4"/>
      <c r="P291" s="4"/>
      <c r="Q291" s="4"/>
      <c r="R291" s="4"/>
      <c r="S291" s="4"/>
    </row>
    <row r="292" spans="2:21" x14ac:dyDescent="0.3">
      <c r="B292" s="25" t="s">
        <v>17</v>
      </c>
      <c r="C292" s="25"/>
      <c r="D292" s="73">
        <v>591.46</v>
      </c>
      <c r="E292" s="73">
        <v>1160.7670000000001</v>
      </c>
      <c r="F292" s="73">
        <v>1250.2080000000001</v>
      </c>
      <c r="G292" s="73">
        <v>1278.4549999999999</v>
      </c>
      <c r="H292" s="73">
        <v>1395.145</v>
      </c>
      <c r="I292" s="73">
        <v>1667.845</v>
      </c>
      <c r="J292" s="73">
        <v>1614.0419999999999</v>
      </c>
      <c r="K292" s="73">
        <v>2512.3110000000001</v>
      </c>
      <c r="L292" s="73">
        <v>2496.489</v>
      </c>
      <c r="M292" s="73">
        <v>4382.6499999999996</v>
      </c>
      <c r="N292" s="73">
        <v>4029.1109999999999</v>
      </c>
      <c r="O292" s="73">
        <v>3978.183</v>
      </c>
      <c r="P292" s="73">
        <v>4126.8270000000002</v>
      </c>
      <c r="Q292" s="26">
        <v>3599.3969999999999</v>
      </c>
      <c r="R292" s="117">
        <v>3223.855</v>
      </c>
      <c r="S292" s="170">
        <v>2969.2280000000001</v>
      </c>
      <c r="T292" s="224"/>
      <c r="U292" s="224"/>
    </row>
    <row r="293" spans="2:21" x14ac:dyDescent="0.3"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74"/>
      <c r="Q293" s="74"/>
      <c r="R293" s="74"/>
      <c r="S293" s="3"/>
      <c r="T293" s="244"/>
      <c r="U293" s="244"/>
    </row>
    <row r="294" spans="2:21" x14ac:dyDescent="0.3">
      <c r="B294" s="3" t="s">
        <v>18</v>
      </c>
      <c r="C294" s="3"/>
      <c r="D294" s="113">
        <v>0</v>
      </c>
      <c r="E294" s="113">
        <v>0</v>
      </c>
      <c r="F294" s="113">
        <v>0</v>
      </c>
      <c r="G294" s="113">
        <v>0</v>
      </c>
      <c r="H294" s="113">
        <v>0</v>
      </c>
      <c r="I294" s="113">
        <v>0</v>
      </c>
      <c r="J294" s="113">
        <v>0</v>
      </c>
      <c r="K294" s="113">
        <v>0</v>
      </c>
      <c r="L294" s="113">
        <v>0</v>
      </c>
      <c r="M294" s="113">
        <v>0</v>
      </c>
      <c r="N294" s="113">
        <v>0</v>
      </c>
      <c r="O294" s="113">
        <v>0</v>
      </c>
      <c r="P294" s="113">
        <v>0</v>
      </c>
      <c r="Q294" s="113">
        <v>0</v>
      </c>
      <c r="R294" s="76">
        <v>0</v>
      </c>
      <c r="S294" s="76">
        <v>0</v>
      </c>
      <c r="T294" s="223"/>
      <c r="U294" s="223"/>
    </row>
    <row r="295" spans="2:21" x14ac:dyDescent="0.3">
      <c r="B295" s="3"/>
      <c r="C295" s="3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76"/>
      <c r="Q295" s="76"/>
      <c r="R295" s="76"/>
      <c r="S295" s="3"/>
      <c r="T295" s="244"/>
      <c r="U295" s="244"/>
    </row>
    <row r="296" spans="2:21" x14ac:dyDescent="0.3">
      <c r="B296" s="33" t="s">
        <v>19</v>
      </c>
      <c r="C296" s="33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33"/>
      <c r="T296" s="254"/>
      <c r="U296" s="254"/>
    </row>
    <row r="297" spans="2:21" x14ac:dyDescent="0.3">
      <c r="B297" s="28" t="s">
        <v>20</v>
      </c>
      <c r="C297" s="28"/>
      <c r="D297" s="118">
        <v>280.18099999999998</v>
      </c>
      <c r="E297" s="118">
        <f>431701196/1000000</f>
        <v>431.70119599999998</v>
      </c>
      <c r="F297" s="118">
        <f>468241154/1000000</f>
        <v>468.24115399999999</v>
      </c>
      <c r="G297" s="118">
        <f>498663596/1000000</f>
        <v>498.66359599999998</v>
      </c>
      <c r="H297" s="118">
        <f>542318629/1000000</f>
        <v>542.31862899999999</v>
      </c>
      <c r="I297" s="118">
        <f>634116029/1000000</f>
        <v>634.11602900000003</v>
      </c>
      <c r="J297" s="118">
        <f>644485583/1000000</f>
        <v>644.48558300000002</v>
      </c>
      <c r="K297" s="118">
        <f>835750807/1000000</f>
        <v>835.75080700000001</v>
      </c>
      <c r="L297" s="118">
        <f>835750807/1000000</f>
        <v>835.75080700000001</v>
      </c>
      <c r="M297" s="118">
        <f>1114307369/1000000</f>
        <v>1114.3073690000001</v>
      </c>
      <c r="N297" s="118">
        <f>1114307369/1000000</f>
        <v>1114.3073690000001</v>
      </c>
      <c r="O297" s="118">
        <f>1114307369/1000000</f>
        <v>1114.3073690000001</v>
      </c>
      <c r="P297" s="118">
        <v>1179.8938479999999</v>
      </c>
      <c r="Q297" s="118">
        <v>1179.8938479999999</v>
      </c>
      <c r="R297" s="118">
        <v>1179.8938479999999</v>
      </c>
      <c r="S297" s="168">
        <v>1179.8938479999999</v>
      </c>
      <c r="T297" s="119"/>
      <c r="U297" s="119"/>
    </row>
    <row r="298" spans="2:21" x14ac:dyDescent="0.3">
      <c r="B298" s="28" t="s">
        <v>21</v>
      </c>
      <c r="C298" s="28"/>
      <c r="D298" s="119">
        <v>4.1100000000000003</v>
      </c>
      <c r="E298" s="119">
        <v>4.2</v>
      </c>
      <c r="F298" s="119">
        <v>2.512</v>
      </c>
      <c r="G298" s="119">
        <v>2.75</v>
      </c>
      <c r="H298" s="119">
        <v>3.6</v>
      </c>
      <c r="I298" s="119">
        <v>4.07</v>
      </c>
      <c r="J298" s="119">
        <v>4.99</v>
      </c>
      <c r="K298" s="119">
        <v>5.99</v>
      </c>
      <c r="L298" s="119">
        <v>6.89</v>
      </c>
      <c r="M298" s="119">
        <v>8.24</v>
      </c>
      <c r="N298" s="119">
        <v>9.24</v>
      </c>
      <c r="O298" s="119">
        <v>9.17</v>
      </c>
      <c r="P298" s="119">
        <v>9.85</v>
      </c>
      <c r="Q298" s="119">
        <v>10.8</v>
      </c>
      <c r="R298" s="112">
        <v>11.13</v>
      </c>
      <c r="S298" s="146">
        <v>8.9</v>
      </c>
      <c r="T298" s="119"/>
      <c r="U298" s="119"/>
    </row>
    <row r="299" spans="2:21" x14ac:dyDescent="0.3">
      <c r="S299" s="3"/>
    </row>
    <row r="300" spans="2:21" x14ac:dyDescent="0.3">
      <c r="B300" s="1" t="s">
        <v>56</v>
      </c>
      <c r="D300" s="113">
        <f t="shared" ref="D300:P300" si="97">D275+D284-D294</f>
        <v>1214.25</v>
      </c>
      <c r="E300" s="113">
        <f t="shared" si="97"/>
        <v>2597.652</v>
      </c>
      <c r="F300" s="113">
        <f t="shared" si="97"/>
        <v>3111.123</v>
      </c>
      <c r="G300" s="113">
        <f t="shared" si="97"/>
        <v>2958.0940000000001</v>
      </c>
      <c r="H300" s="113">
        <f t="shared" si="97"/>
        <v>2995.7739999999999</v>
      </c>
      <c r="I300" s="113">
        <f t="shared" si="97"/>
        <v>2890.4459999999999</v>
      </c>
      <c r="J300" s="113">
        <f t="shared" si="97"/>
        <v>2905.9459999999999</v>
      </c>
      <c r="K300" s="113">
        <f t="shared" si="97"/>
        <v>4314.152</v>
      </c>
      <c r="L300" s="113">
        <f t="shared" si="97"/>
        <v>4708.2830000000004</v>
      </c>
      <c r="M300" s="113">
        <f t="shared" si="97"/>
        <v>9305.8499999999985</v>
      </c>
      <c r="N300" s="113">
        <f t="shared" si="97"/>
        <v>9724.2019999999993</v>
      </c>
      <c r="O300" s="113">
        <f t="shared" si="97"/>
        <v>9700.7649999999994</v>
      </c>
      <c r="P300" s="113">
        <f t="shared" si="97"/>
        <v>9650.5959999999995</v>
      </c>
      <c r="Q300" s="113">
        <f>Q275+Q284-Q294</f>
        <v>10310.315000000001</v>
      </c>
      <c r="R300" s="113">
        <f>R275+R284-R294</f>
        <v>10917.994999999999</v>
      </c>
      <c r="S300" s="113">
        <f>S275+S284-S294</f>
        <v>9924.0379999999986</v>
      </c>
      <c r="T300" s="223"/>
      <c r="U300" s="223"/>
    </row>
    <row r="301" spans="2:21" x14ac:dyDescent="0.3">
      <c r="B301" s="3" t="s">
        <v>57</v>
      </c>
      <c r="C301" s="3"/>
      <c r="D301" s="64">
        <f t="shared" ref="D301:Q301" si="98">D275+D284-D294-D271</f>
        <v>1201.2460000000001</v>
      </c>
      <c r="E301" s="64">
        <f t="shared" si="98"/>
        <v>2537.5740000000001</v>
      </c>
      <c r="F301" s="64">
        <f t="shared" si="98"/>
        <v>3005.6680000000001</v>
      </c>
      <c r="G301" s="64">
        <f t="shared" si="98"/>
        <v>2849.279</v>
      </c>
      <c r="H301" s="64">
        <f t="shared" si="98"/>
        <v>2914.8339999999998</v>
      </c>
      <c r="I301" s="64">
        <f t="shared" si="98"/>
        <v>2795.078</v>
      </c>
      <c r="J301" s="64">
        <f t="shared" si="98"/>
        <v>2576.0119999999997</v>
      </c>
      <c r="K301" s="64">
        <f t="shared" si="98"/>
        <v>4233.1970000000001</v>
      </c>
      <c r="L301" s="64">
        <f t="shared" si="98"/>
        <v>4701.2740000000003</v>
      </c>
      <c r="M301" s="64">
        <f t="shared" si="98"/>
        <v>8893.9289999999983</v>
      </c>
      <c r="N301" s="64">
        <f t="shared" si="98"/>
        <v>9639.6959999999999</v>
      </c>
      <c r="O301" s="64">
        <f t="shared" si="98"/>
        <v>9306.2639999999992</v>
      </c>
      <c r="P301" s="64">
        <f t="shared" si="98"/>
        <v>9549.9529999999995</v>
      </c>
      <c r="Q301" s="64">
        <f t="shared" si="98"/>
        <v>9955.3680000000004</v>
      </c>
      <c r="R301" s="64">
        <f>R275+R284-R294-R271</f>
        <v>9745.2239999999983</v>
      </c>
      <c r="S301" s="64">
        <f>S275+S284-S294-S271</f>
        <v>9271.6859999999979</v>
      </c>
      <c r="T301" s="244"/>
      <c r="U301" s="244"/>
    </row>
    <row r="302" spans="2:21" x14ac:dyDescent="0.3">
      <c r="S302" s="3"/>
    </row>
    <row r="303" spans="2:21" x14ac:dyDescent="0.3">
      <c r="B303" s="31" t="s">
        <v>23</v>
      </c>
      <c r="C303" s="31"/>
      <c r="S303" s="3"/>
    </row>
    <row r="304" spans="2:21" x14ac:dyDescent="0.3">
      <c r="B304" s="28" t="s">
        <v>24</v>
      </c>
      <c r="C304" s="28"/>
      <c r="D304" s="64">
        <f t="shared" ref="D304:P304" si="99">D300</f>
        <v>1214.25</v>
      </c>
      <c r="E304" s="64">
        <f t="shared" si="99"/>
        <v>2597.652</v>
      </c>
      <c r="F304" s="64">
        <f t="shared" si="99"/>
        <v>3111.123</v>
      </c>
      <c r="G304" s="64">
        <f t="shared" si="99"/>
        <v>2958.0940000000001</v>
      </c>
      <c r="H304" s="64">
        <f t="shared" si="99"/>
        <v>2995.7739999999999</v>
      </c>
      <c r="I304" s="64">
        <f t="shared" si="99"/>
        <v>2890.4459999999999</v>
      </c>
      <c r="J304" s="64">
        <f t="shared" si="99"/>
        <v>2905.9459999999999</v>
      </c>
      <c r="K304" s="64">
        <f t="shared" si="99"/>
        <v>4314.152</v>
      </c>
      <c r="L304" s="64">
        <f t="shared" si="99"/>
        <v>4708.2830000000004</v>
      </c>
      <c r="M304" s="64">
        <f t="shared" si="99"/>
        <v>9305.8499999999985</v>
      </c>
      <c r="N304" s="64">
        <f t="shared" si="99"/>
        <v>9724.2019999999993</v>
      </c>
      <c r="O304" s="64">
        <f t="shared" si="99"/>
        <v>9700.7649999999994</v>
      </c>
      <c r="P304" s="64">
        <f t="shared" si="99"/>
        <v>9650.5959999999995</v>
      </c>
      <c r="Q304" s="64">
        <f>Q300</f>
        <v>10310.315000000001</v>
      </c>
      <c r="R304" s="64">
        <f>R300</f>
        <v>10917.994999999999</v>
      </c>
      <c r="S304" s="64">
        <f>S300</f>
        <v>9924.0379999999986</v>
      </c>
      <c r="T304" s="244"/>
      <c r="U304" s="244"/>
    </row>
    <row r="305" spans="2:21" x14ac:dyDescent="0.3">
      <c r="B305" s="28" t="s">
        <v>25</v>
      </c>
      <c r="C305" s="28"/>
      <c r="D305" s="64">
        <f t="shared" ref="D305:Q305" si="100">D292</f>
        <v>591.46</v>
      </c>
      <c r="E305" s="64">
        <f t="shared" si="100"/>
        <v>1160.7670000000001</v>
      </c>
      <c r="F305" s="64">
        <f t="shared" si="100"/>
        <v>1250.2080000000001</v>
      </c>
      <c r="G305" s="64">
        <f t="shared" si="100"/>
        <v>1278.4549999999999</v>
      </c>
      <c r="H305" s="64">
        <f t="shared" si="100"/>
        <v>1395.145</v>
      </c>
      <c r="I305" s="64">
        <f t="shared" si="100"/>
        <v>1667.845</v>
      </c>
      <c r="J305" s="64">
        <f t="shared" si="100"/>
        <v>1614.0419999999999</v>
      </c>
      <c r="K305" s="64">
        <f t="shared" si="100"/>
        <v>2512.3110000000001</v>
      </c>
      <c r="L305" s="64">
        <f t="shared" si="100"/>
        <v>2496.489</v>
      </c>
      <c r="M305" s="64">
        <f t="shared" si="100"/>
        <v>4382.6499999999996</v>
      </c>
      <c r="N305" s="64">
        <f t="shared" si="100"/>
        <v>4029.1109999999999</v>
      </c>
      <c r="O305" s="64">
        <f t="shared" si="100"/>
        <v>3978.183</v>
      </c>
      <c r="P305" s="64">
        <f t="shared" si="100"/>
        <v>4126.8270000000002</v>
      </c>
      <c r="Q305" s="64">
        <f t="shared" si="100"/>
        <v>3599.3969999999999</v>
      </c>
      <c r="R305" s="64">
        <f>R292</f>
        <v>3223.855</v>
      </c>
      <c r="S305" s="64">
        <f>S292</f>
        <v>2969.2280000000001</v>
      </c>
      <c r="T305" s="244"/>
      <c r="U305" s="244"/>
    </row>
    <row r="306" spans="2:21" x14ac:dyDescent="0.3">
      <c r="B306" s="28" t="s">
        <v>26</v>
      </c>
      <c r="C306" s="28"/>
      <c r="D306" s="38">
        <f t="shared" ref="D306:Q306" si="101">D304/(D304+D305)</f>
        <v>0.67245017195452206</v>
      </c>
      <c r="E306" s="38">
        <f t="shared" si="101"/>
        <v>0.6911555098034573</v>
      </c>
      <c r="F306" s="38">
        <f t="shared" si="101"/>
        <v>0.71334255528874102</v>
      </c>
      <c r="G306" s="38">
        <f t="shared" si="101"/>
        <v>0.69823198079380178</v>
      </c>
      <c r="H306" s="38">
        <f t="shared" si="101"/>
        <v>0.68226583091147885</v>
      </c>
      <c r="I306" s="38">
        <f t="shared" si="101"/>
        <v>0.6341073880539877</v>
      </c>
      <c r="J306" s="38">
        <f t="shared" si="101"/>
        <v>0.64291011392065645</v>
      </c>
      <c r="K306" s="38">
        <f t="shared" si="101"/>
        <v>0.63197471369873393</v>
      </c>
      <c r="L306" s="38">
        <f t="shared" si="101"/>
        <v>0.6534950724325489</v>
      </c>
      <c r="M306" s="38">
        <f t="shared" si="101"/>
        <v>0.67982978412536066</v>
      </c>
      <c r="N306" s="38">
        <f t="shared" si="101"/>
        <v>0.70704433179118376</v>
      </c>
      <c r="O306" s="38">
        <f t="shared" si="101"/>
        <v>0.70917478449366134</v>
      </c>
      <c r="P306" s="38">
        <f t="shared" si="101"/>
        <v>0.7004645208323792</v>
      </c>
      <c r="Q306" s="38">
        <f t="shared" si="101"/>
        <v>0.74123137847857679</v>
      </c>
      <c r="R306" s="38">
        <f>R304/(R304+R305)</f>
        <v>0.77203442265333033</v>
      </c>
      <c r="S306" s="38">
        <f>S304/(S304+S305)</f>
        <v>0.76970707034199082</v>
      </c>
      <c r="T306" s="238"/>
      <c r="U306" s="238"/>
    </row>
    <row r="307" spans="2:21" x14ac:dyDescent="0.3">
      <c r="B307" s="28" t="s">
        <v>27</v>
      </c>
      <c r="C307" s="28"/>
      <c r="D307" s="64">
        <f t="shared" ref="D307:Q307" si="102">D297*D298</f>
        <v>1151.5439100000001</v>
      </c>
      <c r="E307" s="64">
        <f t="shared" si="102"/>
        <v>1813.1450232</v>
      </c>
      <c r="F307" s="64">
        <f t="shared" si="102"/>
        <v>1176.221778848</v>
      </c>
      <c r="G307" s="64">
        <f t="shared" si="102"/>
        <v>1371.324889</v>
      </c>
      <c r="H307" s="64">
        <f t="shared" si="102"/>
        <v>1952.3470643999999</v>
      </c>
      <c r="I307" s="64">
        <f t="shared" si="102"/>
        <v>2580.8522380300001</v>
      </c>
      <c r="J307" s="64">
        <f t="shared" si="102"/>
        <v>3215.9830591700002</v>
      </c>
      <c r="K307" s="64">
        <f t="shared" si="102"/>
        <v>5006.1473339300001</v>
      </c>
      <c r="L307" s="64">
        <f t="shared" si="102"/>
        <v>5758.32306023</v>
      </c>
      <c r="M307" s="64">
        <f t="shared" si="102"/>
        <v>9181.8927205600012</v>
      </c>
      <c r="N307" s="64">
        <f t="shared" si="102"/>
        <v>10296.200089560001</v>
      </c>
      <c r="O307" s="64">
        <f t="shared" si="102"/>
        <v>10218.19857373</v>
      </c>
      <c r="P307" s="64">
        <f t="shared" si="102"/>
        <v>11621.954402799998</v>
      </c>
      <c r="Q307" s="64">
        <f t="shared" si="102"/>
        <v>12742.8535584</v>
      </c>
      <c r="R307" s="64">
        <f>R297*R298</f>
        <v>13132.218528240001</v>
      </c>
      <c r="S307" s="64">
        <f>S297*S298</f>
        <v>10501.0552472</v>
      </c>
      <c r="T307" s="244"/>
      <c r="U307" s="244"/>
    </row>
    <row r="308" spans="2:21" x14ac:dyDescent="0.3">
      <c r="B308" s="28" t="s">
        <v>28</v>
      </c>
      <c r="C308" s="28"/>
      <c r="D308" s="38">
        <f t="shared" ref="D308:Q308" si="103">D304/(D304+D307)</f>
        <v>0.51325265267928588</v>
      </c>
      <c r="E308" s="38">
        <f t="shared" si="103"/>
        <v>0.58893029680051412</v>
      </c>
      <c r="F308" s="38">
        <f t="shared" si="103"/>
        <v>0.72565262662079444</v>
      </c>
      <c r="G308" s="38">
        <f t="shared" si="103"/>
        <v>0.68325428327478244</v>
      </c>
      <c r="H308" s="38">
        <f t="shared" si="103"/>
        <v>0.6054366821284034</v>
      </c>
      <c r="I308" s="38">
        <f t="shared" si="103"/>
        <v>0.52829253209211569</v>
      </c>
      <c r="J308" s="38">
        <f t="shared" si="103"/>
        <v>0.47467815649500239</v>
      </c>
      <c r="K308" s="38">
        <f t="shared" si="103"/>
        <v>0.46287697910029391</v>
      </c>
      <c r="L308" s="38">
        <f t="shared" si="103"/>
        <v>0.4498385601699561</v>
      </c>
      <c r="M308" s="38">
        <f t="shared" si="103"/>
        <v>0.50335241790503027</v>
      </c>
      <c r="N308" s="38">
        <f t="shared" si="103"/>
        <v>0.48571462034076029</v>
      </c>
      <c r="O308" s="38">
        <f t="shared" si="103"/>
        <v>0.48701153371221551</v>
      </c>
      <c r="P308" s="38">
        <f t="shared" si="103"/>
        <v>0.45366426767190737</v>
      </c>
      <c r="Q308" s="38">
        <f t="shared" si="103"/>
        <v>0.44724068944714235</v>
      </c>
      <c r="R308" s="38">
        <f>R304/(R304+R307)</f>
        <v>0.45396665552178911</v>
      </c>
      <c r="S308" s="38">
        <f>S304/(S304+S307)</f>
        <v>0.48587479527715</v>
      </c>
      <c r="T308" s="238"/>
      <c r="U308" s="238"/>
    </row>
    <row r="310" spans="2:21" x14ac:dyDescent="0.3">
      <c r="B310" s="257" t="s">
        <v>94</v>
      </c>
      <c r="C310" s="257"/>
      <c r="D310" s="260">
        <v>38898</v>
      </c>
      <c r="E310" s="260">
        <v>39263</v>
      </c>
      <c r="F310" s="260">
        <v>39629</v>
      </c>
      <c r="G310" s="260">
        <v>39994</v>
      </c>
      <c r="H310" s="260">
        <v>40359</v>
      </c>
      <c r="I310" s="260">
        <v>40724</v>
      </c>
      <c r="J310" s="260">
        <v>41090</v>
      </c>
      <c r="K310" s="260">
        <v>41455</v>
      </c>
      <c r="L310" s="260">
        <v>41820</v>
      </c>
      <c r="M310" s="260">
        <v>42185</v>
      </c>
      <c r="N310" s="260">
        <v>42551</v>
      </c>
      <c r="O310" s="260">
        <v>42916</v>
      </c>
      <c r="P310" s="260">
        <v>43281</v>
      </c>
      <c r="Q310" s="260">
        <v>43646</v>
      </c>
      <c r="R310" s="260">
        <v>44012</v>
      </c>
      <c r="S310" s="258">
        <v>44377</v>
      </c>
      <c r="T310" s="230"/>
      <c r="U310" s="230"/>
    </row>
    <row r="312" spans="2:21" x14ac:dyDescent="0.3">
      <c r="B312" s="1" t="s">
        <v>3</v>
      </c>
    </row>
    <row r="313" spans="2:21" x14ac:dyDescent="0.3">
      <c r="B313" s="4" t="s">
        <v>4</v>
      </c>
      <c r="C313" s="4"/>
      <c r="P313" s="4"/>
      <c r="Q313" s="4"/>
      <c r="R313" s="4"/>
    </row>
    <row r="314" spans="2:21" x14ac:dyDescent="0.3">
      <c r="B314" s="5" t="s">
        <v>5</v>
      </c>
      <c r="C314" s="5"/>
      <c r="D314" s="39">
        <v>295.99900000000002</v>
      </c>
      <c r="E314" s="39">
        <v>298.738</v>
      </c>
      <c r="F314" s="39">
        <v>305.11799999999999</v>
      </c>
      <c r="G314" s="39">
        <v>588.68700000000001</v>
      </c>
      <c r="H314" s="39">
        <v>464.68200000000002</v>
      </c>
      <c r="I314" s="39">
        <v>543.48199999999997</v>
      </c>
      <c r="J314" s="39">
        <v>243.595</v>
      </c>
      <c r="K314" s="39">
        <v>402.18099999999998</v>
      </c>
      <c r="L314" s="39">
        <v>423.43400000000003</v>
      </c>
      <c r="M314" s="39">
        <v>320.65699999999998</v>
      </c>
      <c r="N314" s="39">
        <v>505.185</v>
      </c>
      <c r="P314" s="5"/>
      <c r="Q314" s="5"/>
      <c r="R314" s="5"/>
      <c r="S314" s="39"/>
      <c r="T314" s="222"/>
      <c r="U314" s="222"/>
    </row>
    <row r="315" spans="2:21" x14ac:dyDescent="0.3">
      <c r="B315" s="4" t="s">
        <v>6</v>
      </c>
      <c r="C315" s="4"/>
      <c r="P315" s="4"/>
      <c r="Q315" s="4"/>
      <c r="R315" s="4"/>
    </row>
    <row r="316" spans="2:21" x14ac:dyDescent="0.3">
      <c r="B316" s="10" t="s">
        <v>7</v>
      </c>
      <c r="C316" s="10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P316" s="10"/>
      <c r="Q316" s="10"/>
      <c r="R316" s="10"/>
      <c r="S316" s="3"/>
      <c r="T316" s="234"/>
      <c r="U316" s="234"/>
    </row>
    <row r="317" spans="2:21" x14ac:dyDescent="0.3">
      <c r="B317" s="13" t="s">
        <v>53</v>
      </c>
      <c r="C317" s="13"/>
      <c r="D317" s="39">
        <v>281.27199999999999</v>
      </c>
      <c r="E317" s="39">
        <v>305.63299999999998</v>
      </c>
      <c r="F317" s="39">
        <v>328.661</v>
      </c>
      <c r="G317" s="39">
        <v>260.267</v>
      </c>
      <c r="H317" s="39">
        <v>264.02600000000001</v>
      </c>
      <c r="I317" s="39">
        <v>272.50200000000001</v>
      </c>
      <c r="J317" s="39">
        <v>373.93299999999999</v>
      </c>
      <c r="K317" s="39">
        <v>331.87700000000001</v>
      </c>
      <c r="L317" s="120">
        <v>353.56</v>
      </c>
      <c r="M317" s="39">
        <v>317.64800000000002</v>
      </c>
      <c r="N317" s="39">
        <v>447.88400000000001</v>
      </c>
      <c r="P317" s="13"/>
      <c r="Q317" s="13"/>
      <c r="R317" s="13"/>
      <c r="S317" s="39"/>
      <c r="T317" s="222"/>
      <c r="U317" s="222"/>
    </row>
    <row r="318" spans="2:21" x14ac:dyDescent="0.3">
      <c r="B318" s="13" t="s">
        <v>22</v>
      </c>
      <c r="C318" s="13"/>
      <c r="D318" s="39">
        <v>27.5</v>
      </c>
      <c r="E318" s="39">
        <v>3.6</v>
      </c>
      <c r="F318" s="39">
        <v>591.27200000000005</v>
      </c>
      <c r="G318" s="39">
        <v>147.98400000000001</v>
      </c>
      <c r="H318" s="39">
        <v>1414.508</v>
      </c>
      <c r="I318" s="39">
        <v>1468.204</v>
      </c>
      <c r="J318" s="39">
        <v>325.27800000000002</v>
      </c>
      <c r="K318" s="39">
        <v>62.624000000000002</v>
      </c>
      <c r="L318" s="39">
        <v>648.46</v>
      </c>
      <c r="M318" s="99">
        <v>1090.3030000000001</v>
      </c>
      <c r="N318" s="39">
        <v>798.255</v>
      </c>
      <c r="P318" s="13"/>
      <c r="Q318" s="13"/>
      <c r="R318" s="13"/>
      <c r="S318" s="99"/>
      <c r="T318" s="226"/>
      <c r="U318" s="226"/>
    </row>
    <row r="319" spans="2:21" x14ac:dyDescent="0.3">
      <c r="B319" s="19" t="s">
        <v>63</v>
      </c>
      <c r="C319" s="19"/>
      <c r="D319" s="39">
        <v>0</v>
      </c>
      <c r="E319" s="39">
        <v>5.0590000000000002</v>
      </c>
      <c r="F319" s="39">
        <v>4.0140000000000002</v>
      </c>
      <c r="G319" s="39">
        <v>13.637</v>
      </c>
      <c r="H319" s="39">
        <v>105.108</v>
      </c>
      <c r="I319" s="39">
        <v>46.975999999999999</v>
      </c>
      <c r="J319" s="39">
        <v>116.258</v>
      </c>
      <c r="K319" s="39">
        <v>108.926</v>
      </c>
      <c r="L319" s="39">
        <v>109.733</v>
      </c>
      <c r="M319" s="39">
        <v>96.320999999999998</v>
      </c>
      <c r="N319" s="39">
        <v>73.718999999999994</v>
      </c>
      <c r="P319" s="19"/>
      <c r="Q319" s="19"/>
      <c r="R319" s="19"/>
      <c r="S319" s="39"/>
      <c r="T319" s="222"/>
      <c r="U319" s="222"/>
    </row>
    <row r="320" spans="2:21" x14ac:dyDescent="0.3">
      <c r="B320" s="13" t="s">
        <v>54</v>
      </c>
      <c r="C320" s="13"/>
      <c r="D320" s="39">
        <v>2.573</v>
      </c>
      <c r="E320" s="39">
        <v>2.718</v>
      </c>
      <c r="F320" s="39">
        <v>0.75</v>
      </c>
      <c r="G320" s="39">
        <v>7.5410000000000004</v>
      </c>
      <c r="H320" s="39">
        <v>9.1869999999999994</v>
      </c>
      <c r="I320" s="39">
        <v>9.7680000000000007</v>
      </c>
      <c r="J320" s="39">
        <v>16.792999999999999</v>
      </c>
      <c r="K320" s="39">
        <v>33.183999999999997</v>
      </c>
      <c r="L320" s="39">
        <v>25.698</v>
      </c>
      <c r="M320" s="39">
        <v>30.728999999999999</v>
      </c>
      <c r="N320" s="39">
        <v>45.066000000000003</v>
      </c>
      <c r="P320" s="13"/>
      <c r="Q320" s="13"/>
      <c r="R320" s="13"/>
      <c r="S320" s="39"/>
      <c r="T320" s="222"/>
      <c r="U320" s="222"/>
    </row>
    <row r="321" spans="2:21" x14ac:dyDescent="0.3">
      <c r="B321" s="13" t="s">
        <v>79</v>
      </c>
      <c r="C321" s="13"/>
      <c r="D321" s="39">
        <v>15.034000000000001</v>
      </c>
      <c r="E321" s="39">
        <v>16.626999999999999</v>
      </c>
      <c r="F321" s="39">
        <v>16.202000000000002</v>
      </c>
      <c r="G321" s="39">
        <v>36.46</v>
      </c>
      <c r="H321" s="39">
        <v>33.887</v>
      </c>
      <c r="I321" s="39">
        <v>39.807000000000002</v>
      </c>
      <c r="J321" s="39">
        <v>37.765999999999998</v>
      </c>
      <c r="K321" s="39">
        <v>28.809000000000001</v>
      </c>
      <c r="L321" s="39">
        <v>39.555999999999997</v>
      </c>
      <c r="M321" s="39">
        <v>47.59</v>
      </c>
      <c r="N321" s="39">
        <v>43.348999999999997</v>
      </c>
      <c r="P321" s="13"/>
      <c r="Q321" s="13"/>
      <c r="R321" s="13"/>
      <c r="S321" s="39"/>
      <c r="T321" s="222"/>
      <c r="U321" s="222"/>
    </row>
    <row r="322" spans="2:21" x14ac:dyDescent="0.3">
      <c r="B322" s="25" t="s">
        <v>12</v>
      </c>
      <c r="C322" s="25"/>
      <c r="D322" s="106">
        <v>326.37900000000002</v>
      </c>
      <c r="E322" s="106">
        <v>333.637</v>
      </c>
      <c r="F322" s="106">
        <v>940.899</v>
      </c>
      <c r="G322" s="106">
        <v>465.88900000000001</v>
      </c>
      <c r="H322" s="106">
        <v>1826.7159999999999</v>
      </c>
      <c r="I322" s="106">
        <v>1837.2570000000001</v>
      </c>
      <c r="J322" s="106">
        <v>870.02800000000002</v>
      </c>
      <c r="K322" s="106">
        <v>565.41999999999996</v>
      </c>
      <c r="L322" s="106">
        <v>1177.0070000000001</v>
      </c>
      <c r="M322" s="106">
        <v>1582.5909999999999</v>
      </c>
      <c r="N322" s="106">
        <v>1408.2729999999999</v>
      </c>
      <c r="P322" s="25"/>
      <c r="Q322" s="25"/>
      <c r="R322" s="25"/>
      <c r="S322" s="106"/>
      <c r="T322" s="227"/>
      <c r="U322" s="227"/>
    </row>
    <row r="323" spans="2:21" x14ac:dyDescent="0.3">
      <c r="B323" s="10" t="s">
        <v>13</v>
      </c>
      <c r="C323" s="10"/>
      <c r="P323" s="10"/>
      <c r="Q323" s="10"/>
      <c r="R323" s="10"/>
    </row>
    <row r="324" spans="2:21" x14ac:dyDescent="0.3">
      <c r="B324" s="13" t="s">
        <v>53</v>
      </c>
      <c r="C324" s="13"/>
      <c r="D324" s="39">
        <v>0</v>
      </c>
      <c r="E324" s="39">
        <v>0</v>
      </c>
      <c r="F324" s="39">
        <v>0</v>
      </c>
      <c r="G324" s="39">
        <v>0</v>
      </c>
      <c r="H324" s="39">
        <v>0</v>
      </c>
      <c r="I324" s="39">
        <v>0</v>
      </c>
      <c r="J324" s="39">
        <v>0</v>
      </c>
      <c r="K324" s="39">
        <v>0</v>
      </c>
      <c r="L324" s="39">
        <v>0</v>
      </c>
      <c r="M324" s="39">
        <v>0</v>
      </c>
      <c r="N324" s="39">
        <v>15.098000000000001</v>
      </c>
      <c r="P324" s="13"/>
      <c r="Q324" s="13"/>
      <c r="R324" s="13"/>
      <c r="S324" s="39"/>
      <c r="T324" s="222"/>
      <c r="U324" s="222"/>
    </row>
    <row r="325" spans="2:21" x14ac:dyDescent="0.3">
      <c r="B325" s="13" t="s">
        <v>22</v>
      </c>
      <c r="C325" s="13"/>
      <c r="D325" s="99">
        <v>4274.7690000000002</v>
      </c>
      <c r="E325" s="39">
        <v>4523.8050000000003</v>
      </c>
      <c r="F325" s="39">
        <v>4278.335</v>
      </c>
      <c r="G325" s="39">
        <v>5161.4589999999998</v>
      </c>
      <c r="H325" s="39">
        <v>4237.5119999999997</v>
      </c>
      <c r="I325" s="39">
        <v>4277.7250000000004</v>
      </c>
      <c r="J325" s="39">
        <v>4799.8410000000003</v>
      </c>
      <c r="K325" s="39">
        <v>5609.2730000000001</v>
      </c>
      <c r="L325" s="39">
        <v>5019.2020000000002</v>
      </c>
      <c r="M325" s="39">
        <v>4640.4840000000004</v>
      </c>
      <c r="N325" s="39">
        <v>5465.0950000000003</v>
      </c>
      <c r="P325" s="13"/>
      <c r="Q325" s="13"/>
      <c r="R325" s="13"/>
      <c r="S325" s="39"/>
      <c r="T325" s="222"/>
      <c r="U325" s="222"/>
    </row>
    <row r="326" spans="2:21" x14ac:dyDescent="0.3">
      <c r="B326" s="19" t="s">
        <v>63</v>
      </c>
      <c r="C326" s="19"/>
      <c r="D326" s="39">
        <v>64.744</v>
      </c>
      <c r="E326" s="39">
        <v>133.85300000000001</v>
      </c>
      <c r="F326" s="39">
        <v>160.57400000000001</v>
      </c>
      <c r="G326" s="39">
        <v>302.99299999999999</v>
      </c>
      <c r="H326" s="39">
        <v>217.279</v>
      </c>
      <c r="I326" s="39">
        <v>290.77600000000001</v>
      </c>
      <c r="J326" s="39">
        <v>339.863</v>
      </c>
      <c r="K326" s="39">
        <v>230.215</v>
      </c>
      <c r="L326" s="39">
        <v>166.45699999999999</v>
      </c>
      <c r="M326" s="39">
        <v>126.63800000000001</v>
      </c>
      <c r="N326" s="39">
        <v>282.98500000000001</v>
      </c>
      <c r="P326" s="19"/>
      <c r="Q326" s="19"/>
      <c r="R326" s="19"/>
      <c r="S326" s="39"/>
      <c r="T326" s="222"/>
      <c r="U326" s="222"/>
    </row>
    <row r="327" spans="2:21" x14ac:dyDescent="0.3">
      <c r="B327" s="13" t="s">
        <v>14</v>
      </c>
      <c r="C327" s="13"/>
      <c r="D327" s="39">
        <v>548.846</v>
      </c>
      <c r="E327" s="39">
        <v>613.88699999999994</v>
      </c>
      <c r="F327" s="39">
        <v>649.62599999999998</v>
      </c>
      <c r="G327" s="39">
        <v>541.11300000000006</v>
      </c>
      <c r="H327" s="39">
        <v>547.82000000000005</v>
      </c>
      <c r="I327" s="39">
        <v>508.77699999999999</v>
      </c>
      <c r="J327" s="39">
        <v>480.78800000000001</v>
      </c>
      <c r="K327" s="39">
        <v>517.54600000000005</v>
      </c>
      <c r="L327" s="39">
        <v>610.75800000000004</v>
      </c>
      <c r="M327" s="39">
        <v>666.78700000000003</v>
      </c>
      <c r="N327" s="39">
        <v>445.22399999999999</v>
      </c>
      <c r="P327" s="13"/>
      <c r="Q327" s="13"/>
      <c r="R327" s="13"/>
      <c r="S327" s="39"/>
      <c r="T327" s="222"/>
      <c r="U327" s="222"/>
    </row>
    <row r="328" spans="2:21" x14ac:dyDescent="0.3">
      <c r="B328" s="13" t="s">
        <v>54</v>
      </c>
      <c r="C328" s="13"/>
      <c r="D328" s="39">
        <v>15.587999999999999</v>
      </c>
      <c r="E328" s="39">
        <v>16.175000000000001</v>
      </c>
      <c r="F328" s="39">
        <v>17.306999999999999</v>
      </c>
      <c r="G328" s="39">
        <v>18.585999999999999</v>
      </c>
      <c r="H328" s="39">
        <v>26.884</v>
      </c>
      <c r="I328" s="39">
        <v>26.963000000000001</v>
      </c>
      <c r="J328" s="39">
        <v>32.847000000000001</v>
      </c>
      <c r="K328" s="39">
        <v>36.22</v>
      </c>
      <c r="L328" s="39">
        <v>44.289000000000001</v>
      </c>
      <c r="M328" s="39">
        <v>32.844999999999999</v>
      </c>
      <c r="N328" s="39">
        <v>51.383000000000003</v>
      </c>
      <c r="P328" s="13"/>
      <c r="Q328" s="13"/>
      <c r="R328" s="13"/>
      <c r="S328" s="39"/>
      <c r="T328" s="222"/>
      <c r="U328" s="222"/>
    </row>
    <row r="329" spans="2:21" x14ac:dyDescent="0.3">
      <c r="B329" s="13" t="s">
        <v>79</v>
      </c>
      <c r="C329" s="13"/>
      <c r="D329" s="39">
        <v>0.24</v>
      </c>
      <c r="E329" s="39">
        <v>1.161</v>
      </c>
      <c r="F329" s="39">
        <v>15.234999999999999</v>
      </c>
      <c r="G329" s="39">
        <v>20.134</v>
      </c>
      <c r="H329" s="39">
        <v>23.152999999999999</v>
      </c>
      <c r="I329" s="39">
        <v>22.731000000000002</v>
      </c>
      <c r="J329" s="39">
        <v>26.594000000000001</v>
      </c>
      <c r="K329" s="39">
        <v>24.721</v>
      </c>
      <c r="L329" s="39">
        <v>23.507000000000001</v>
      </c>
      <c r="M329" s="39">
        <v>20.893000000000001</v>
      </c>
      <c r="N329" s="39">
        <v>25.695</v>
      </c>
      <c r="P329" s="13"/>
      <c r="Q329" s="13"/>
      <c r="R329" s="13"/>
      <c r="S329" s="39"/>
      <c r="T329" s="222"/>
      <c r="U329" s="222"/>
    </row>
    <row r="330" spans="2:21" x14ac:dyDescent="0.3">
      <c r="B330" s="25" t="s">
        <v>15</v>
      </c>
      <c r="C330" s="25"/>
      <c r="D330" s="106">
        <v>4904.1869999999999</v>
      </c>
      <c r="E330" s="106">
        <v>5288.8810000000003</v>
      </c>
      <c r="F330" s="106">
        <v>5121.0770000000002</v>
      </c>
      <c r="G330" s="106">
        <v>6044.2849999999999</v>
      </c>
      <c r="H330" s="106">
        <v>5052.6480000000001</v>
      </c>
      <c r="I330" s="106">
        <v>5126.9719999999998</v>
      </c>
      <c r="J330" s="106">
        <v>5679.933</v>
      </c>
      <c r="K330" s="106">
        <v>6417.9750000000004</v>
      </c>
      <c r="L330" s="106">
        <v>5864.2129999999997</v>
      </c>
      <c r="M330" s="106">
        <v>5487.6469999999999</v>
      </c>
      <c r="N330" s="106">
        <v>6285.48</v>
      </c>
      <c r="P330" s="25"/>
      <c r="Q330" s="25"/>
      <c r="R330" s="25"/>
      <c r="S330" s="106"/>
      <c r="T330" s="227"/>
      <c r="U330" s="227"/>
    </row>
    <row r="331" spans="2:21" x14ac:dyDescent="0.3">
      <c r="B331" s="4" t="s">
        <v>16</v>
      </c>
      <c r="C331" s="4"/>
      <c r="P331" s="4"/>
      <c r="Q331" s="4"/>
      <c r="R331" s="4"/>
    </row>
    <row r="332" spans="2:21" x14ac:dyDescent="0.3">
      <c r="B332" s="25" t="s">
        <v>17</v>
      </c>
      <c r="C332" s="25"/>
      <c r="D332" s="106">
        <v>946.46100000000001</v>
      </c>
      <c r="E332" s="106">
        <v>1489.115</v>
      </c>
      <c r="F332" s="106">
        <v>1546.7940000000001</v>
      </c>
      <c r="G332" s="106">
        <v>1440.4880000000001</v>
      </c>
      <c r="H332" s="106">
        <v>1515.4349999999999</v>
      </c>
      <c r="I332" s="106">
        <v>1676.6890000000001</v>
      </c>
      <c r="J332" s="106">
        <v>1568.6980000000001</v>
      </c>
      <c r="K332" s="106">
        <v>1522.049</v>
      </c>
      <c r="L332" s="106">
        <v>1805.027</v>
      </c>
      <c r="M332" s="106">
        <v>1995.585</v>
      </c>
      <c r="N332" s="106">
        <v>3411.3229999999999</v>
      </c>
      <c r="P332" s="25"/>
      <c r="Q332" s="25"/>
      <c r="R332" s="25"/>
      <c r="S332" s="106"/>
      <c r="T332" s="227"/>
      <c r="U332" s="227"/>
    </row>
    <row r="334" spans="2:21" x14ac:dyDescent="0.3">
      <c r="B334" s="3" t="s">
        <v>18</v>
      </c>
      <c r="C334" s="3"/>
      <c r="D334" s="39">
        <v>0</v>
      </c>
      <c r="E334" s="39">
        <v>0</v>
      </c>
      <c r="F334" s="39">
        <v>0</v>
      </c>
      <c r="G334" s="39">
        <v>0</v>
      </c>
      <c r="H334" s="39">
        <v>0</v>
      </c>
      <c r="I334" s="39">
        <v>0</v>
      </c>
      <c r="J334" s="39">
        <v>0</v>
      </c>
      <c r="K334" s="39">
        <v>0</v>
      </c>
      <c r="L334" s="39">
        <v>0</v>
      </c>
      <c r="M334" s="39">
        <v>0</v>
      </c>
      <c r="N334" s="39">
        <v>0</v>
      </c>
      <c r="P334" s="3"/>
      <c r="Q334" s="3"/>
      <c r="R334" s="3"/>
      <c r="S334" s="39"/>
      <c r="T334" s="222"/>
      <c r="U334" s="222"/>
    </row>
    <row r="335" spans="2:21" x14ac:dyDescent="0.3">
      <c r="B335" s="3"/>
      <c r="C335" s="3"/>
      <c r="P335" s="3"/>
      <c r="Q335" s="3"/>
      <c r="R335" s="3"/>
    </row>
    <row r="336" spans="2:21" x14ac:dyDescent="0.3">
      <c r="B336" s="3" t="s">
        <v>19</v>
      </c>
      <c r="C336" s="3"/>
      <c r="P336" s="3"/>
      <c r="Q336" s="3"/>
      <c r="R336" s="3"/>
    </row>
    <row r="337" spans="2:21" x14ac:dyDescent="0.3">
      <c r="B337" s="28" t="s">
        <v>20</v>
      </c>
      <c r="C337" s="28"/>
      <c r="D337" s="121">
        <v>426.56900000000002</v>
      </c>
      <c r="E337" s="121">
        <v>568.32799999999997</v>
      </c>
      <c r="F337" s="121">
        <v>609.45899999999995</v>
      </c>
      <c r="G337" s="121">
        <v>847.08600000000001</v>
      </c>
      <c r="H337" s="121">
        <v>870.56</v>
      </c>
      <c r="I337" s="121">
        <v>909.69299999999998</v>
      </c>
      <c r="J337" s="121">
        <v>1109.8309999999999</v>
      </c>
      <c r="K337" s="121">
        <v>1169.3140000000001</v>
      </c>
      <c r="L337" s="121">
        <v>1317.809</v>
      </c>
      <c r="M337" s="121">
        <v>1493.6790000000001</v>
      </c>
      <c r="N337" s="121">
        <v>2433.0459999999998</v>
      </c>
      <c r="P337" s="28"/>
      <c r="Q337" s="28"/>
      <c r="R337" s="28"/>
      <c r="S337" s="121"/>
      <c r="T337" s="228"/>
      <c r="U337" s="228"/>
    </row>
    <row r="338" spans="2:21" x14ac:dyDescent="0.3">
      <c r="B338" s="28" t="s">
        <v>21</v>
      </c>
      <c r="C338" s="28"/>
      <c r="D338" s="121">
        <v>2.75</v>
      </c>
      <c r="E338" s="121">
        <v>3.85</v>
      </c>
      <c r="F338" s="121">
        <v>2.58</v>
      </c>
      <c r="G338" s="121">
        <v>1.54</v>
      </c>
      <c r="H338" s="121">
        <v>1.62</v>
      </c>
      <c r="I338" s="121">
        <v>1.7</v>
      </c>
      <c r="J338" s="121">
        <v>1.84</v>
      </c>
      <c r="K338" s="121">
        <v>2.0099999999999998</v>
      </c>
      <c r="L338" s="121">
        <v>2.42</v>
      </c>
      <c r="M338" s="121">
        <v>2.31</v>
      </c>
      <c r="N338" s="121">
        <v>2.5</v>
      </c>
      <c r="P338" s="28"/>
      <c r="Q338" s="28"/>
      <c r="R338" s="28"/>
      <c r="S338" s="121"/>
      <c r="T338" s="228"/>
      <c r="U338" s="228"/>
    </row>
    <row r="340" spans="2:21" x14ac:dyDescent="0.3">
      <c r="B340" s="1" t="s">
        <v>56</v>
      </c>
      <c r="D340" s="23">
        <f t="shared" ref="D340:L340" si="104">D318+D325-D334</f>
        <v>4302.2690000000002</v>
      </c>
      <c r="E340" s="23">
        <f t="shared" si="104"/>
        <v>4527.4050000000007</v>
      </c>
      <c r="F340" s="23">
        <f t="shared" si="104"/>
        <v>4869.607</v>
      </c>
      <c r="G340" s="23">
        <f t="shared" si="104"/>
        <v>5309.4430000000002</v>
      </c>
      <c r="H340" s="23">
        <f t="shared" si="104"/>
        <v>5652.0199999999995</v>
      </c>
      <c r="I340" s="23">
        <f t="shared" si="104"/>
        <v>5745.9290000000001</v>
      </c>
      <c r="J340" s="23">
        <f t="shared" si="104"/>
        <v>5125.1190000000006</v>
      </c>
      <c r="K340" s="23">
        <f t="shared" si="104"/>
        <v>5671.8969999999999</v>
      </c>
      <c r="L340" s="23">
        <f t="shared" si="104"/>
        <v>5667.6620000000003</v>
      </c>
      <c r="M340" s="23">
        <f>M318+M325-M334</f>
        <v>5730.7870000000003</v>
      </c>
      <c r="N340" s="23">
        <f>N318+N325-N334</f>
        <v>6263.35</v>
      </c>
      <c r="S340" s="23"/>
      <c r="T340" s="222"/>
      <c r="U340" s="222"/>
    </row>
    <row r="341" spans="2:21" x14ac:dyDescent="0.3">
      <c r="B341" s="3" t="s">
        <v>57</v>
      </c>
      <c r="C341" s="3"/>
      <c r="D341" s="37">
        <f t="shared" ref="D341:N341" si="105">D318+D325-D334-D314</f>
        <v>4006.2700000000004</v>
      </c>
      <c r="E341" s="37">
        <f t="shared" si="105"/>
        <v>4228.6670000000004</v>
      </c>
      <c r="F341" s="37">
        <f t="shared" si="105"/>
        <v>4564.4889999999996</v>
      </c>
      <c r="G341" s="37">
        <f t="shared" si="105"/>
        <v>4720.7560000000003</v>
      </c>
      <c r="H341" s="37">
        <f t="shared" si="105"/>
        <v>5187.3379999999997</v>
      </c>
      <c r="I341" s="37">
        <f t="shared" si="105"/>
        <v>5202.4470000000001</v>
      </c>
      <c r="J341" s="37">
        <f t="shared" si="105"/>
        <v>4881.5240000000003</v>
      </c>
      <c r="K341" s="37">
        <f t="shared" si="105"/>
        <v>5269.7160000000003</v>
      </c>
      <c r="L341" s="37">
        <f t="shared" si="105"/>
        <v>5244.2280000000001</v>
      </c>
      <c r="M341" s="37">
        <f t="shared" si="105"/>
        <v>5410.13</v>
      </c>
      <c r="N341" s="37">
        <f t="shared" si="105"/>
        <v>5758.165</v>
      </c>
      <c r="P341" s="3"/>
      <c r="Q341" s="3"/>
      <c r="R341" s="3"/>
      <c r="S341" s="37"/>
      <c r="T341" s="237"/>
      <c r="U341" s="237"/>
    </row>
    <row r="342" spans="2:21" x14ac:dyDescent="0.3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P342" s="3"/>
      <c r="Q342" s="3"/>
      <c r="R342" s="3"/>
      <c r="S342" s="3"/>
      <c r="T342" s="234"/>
      <c r="U342" s="234"/>
    </row>
    <row r="343" spans="2:21" x14ac:dyDescent="0.3">
      <c r="B343" s="1" t="s">
        <v>23</v>
      </c>
    </row>
    <row r="344" spans="2:21" x14ac:dyDescent="0.3">
      <c r="B344" s="28" t="s">
        <v>24</v>
      </c>
      <c r="C344" s="28"/>
      <c r="D344" s="37">
        <f t="shared" ref="D344:N344" si="106">D340</f>
        <v>4302.2690000000002</v>
      </c>
      <c r="E344" s="37">
        <f t="shared" si="106"/>
        <v>4527.4050000000007</v>
      </c>
      <c r="F344" s="37">
        <f t="shared" si="106"/>
        <v>4869.607</v>
      </c>
      <c r="G344" s="37">
        <f t="shared" si="106"/>
        <v>5309.4430000000002</v>
      </c>
      <c r="H344" s="37">
        <f t="shared" si="106"/>
        <v>5652.0199999999995</v>
      </c>
      <c r="I344" s="37">
        <f t="shared" si="106"/>
        <v>5745.9290000000001</v>
      </c>
      <c r="J344" s="37">
        <f t="shared" si="106"/>
        <v>5125.1190000000006</v>
      </c>
      <c r="K344" s="37">
        <f t="shared" si="106"/>
        <v>5671.8969999999999</v>
      </c>
      <c r="L344" s="37">
        <f t="shared" si="106"/>
        <v>5667.6620000000003</v>
      </c>
      <c r="M344" s="37">
        <f t="shared" si="106"/>
        <v>5730.7870000000003</v>
      </c>
      <c r="N344" s="37">
        <f t="shared" si="106"/>
        <v>6263.35</v>
      </c>
      <c r="P344" s="28"/>
      <c r="Q344" s="28"/>
      <c r="R344" s="28"/>
      <c r="S344" s="37"/>
      <c r="T344" s="237"/>
      <c r="U344" s="237"/>
    </row>
    <row r="345" spans="2:21" x14ac:dyDescent="0.3">
      <c r="B345" s="28" t="s">
        <v>25</v>
      </c>
      <c r="C345" s="28"/>
      <c r="D345" s="37">
        <f t="shared" ref="D345:N345" si="107">D332</f>
        <v>946.46100000000001</v>
      </c>
      <c r="E345" s="37">
        <f t="shared" si="107"/>
        <v>1489.115</v>
      </c>
      <c r="F345" s="37">
        <f t="shared" si="107"/>
        <v>1546.7940000000001</v>
      </c>
      <c r="G345" s="37">
        <f t="shared" si="107"/>
        <v>1440.4880000000001</v>
      </c>
      <c r="H345" s="37">
        <f t="shared" si="107"/>
        <v>1515.4349999999999</v>
      </c>
      <c r="I345" s="37">
        <f t="shared" si="107"/>
        <v>1676.6890000000001</v>
      </c>
      <c r="J345" s="37">
        <f t="shared" si="107"/>
        <v>1568.6980000000001</v>
      </c>
      <c r="K345" s="37">
        <f t="shared" si="107"/>
        <v>1522.049</v>
      </c>
      <c r="L345" s="37">
        <f t="shared" si="107"/>
        <v>1805.027</v>
      </c>
      <c r="M345" s="37">
        <f t="shared" si="107"/>
        <v>1995.585</v>
      </c>
      <c r="N345" s="37">
        <f t="shared" si="107"/>
        <v>3411.3229999999999</v>
      </c>
      <c r="P345" s="28"/>
      <c r="Q345" s="28"/>
      <c r="R345" s="28"/>
      <c r="S345" s="37"/>
      <c r="T345" s="237"/>
      <c r="U345" s="237"/>
    </row>
    <row r="346" spans="2:21" x14ac:dyDescent="0.3">
      <c r="B346" s="28" t="s">
        <v>26</v>
      </c>
      <c r="C346" s="28"/>
      <c r="D346" s="38">
        <f t="shared" ref="D346:N346" si="108">D344/(D344+D345)</f>
        <v>0.81967809355787014</v>
      </c>
      <c r="E346" s="38">
        <f t="shared" si="108"/>
        <v>0.75249562870230635</v>
      </c>
      <c r="F346" s="38">
        <f t="shared" si="108"/>
        <v>0.75893121393129892</v>
      </c>
      <c r="G346" s="38">
        <f t="shared" si="108"/>
        <v>0.78659218886830096</v>
      </c>
      <c r="H346" s="38">
        <f t="shared" si="108"/>
        <v>0.7885672110951516</v>
      </c>
      <c r="I346" s="38">
        <f t="shared" si="108"/>
        <v>0.77411083259302849</v>
      </c>
      <c r="J346" s="38">
        <f t="shared" si="108"/>
        <v>0.76564970330082227</v>
      </c>
      <c r="K346" s="38">
        <f t="shared" si="108"/>
        <v>0.78842640742646664</v>
      </c>
      <c r="L346" s="38">
        <f t="shared" si="108"/>
        <v>0.7584501375609235</v>
      </c>
      <c r="M346" s="38">
        <f t="shared" si="108"/>
        <v>0.74171771693105126</v>
      </c>
      <c r="N346" s="38">
        <f t="shared" si="108"/>
        <v>0.64739655800252882</v>
      </c>
      <c r="O346" s="2" t="s">
        <v>141</v>
      </c>
      <c r="P346" s="28" t="s">
        <v>141</v>
      </c>
      <c r="Q346" s="28" t="s">
        <v>141</v>
      </c>
      <c r="R346" s="28" t="s">
        <v>141</v>
      </c>
      <c r="S346" s="38" t="s">
        <v>141</v>
      </c>
      <c r="T346" s="238"/>
      <c r="U346" s="238"/>
    </row>
    <row r="347" spans="2:21" x14ac:dyDescent="0.3">
      <c r="B347" s="28" t="s">
        <v>27</v>
      </c>
      <c r="C347" s="28"/>
      <c r="D347" s="37">
        <f t="shared" ref="D347:N347" si="109">D338*D337</f>
        <v>1173.06475</v>
      </c>
      <c r="E347" s="37">
        <f t="shared" si="109"/>
        <v>2188.0628000000002</v>
      </c>
      <c r="F347" s="37">
        <f t="shared" si="109"/>
        <v>1572.4042199999999</v>
      </c>
      <c r="G347" s="37">
        <f t="shared" si="109"/>
        <v>1304.51244</v>
      </c>
      <c r="H347" s="37">
        <f t="shared" si="109"/>
        <v>1410.3072</v>
      </c>
      <c r="I347" s="37">
        <f t="shared" si="109"/>
        <v>1546.4781</v>
      </c>
      <c r="J347" s="37">
        <f t="shared" si="109"/>
        <v>2042.0890399999998</v>
      </c>
      <c r="K347" s="37">
        <f t="shared" si="109"/>
        <v>2350.32114</v>
      </c>
      <c r="L347" s="37">
        <f t="shared" si="109"/>
        <v>3189.0977800000001</v>
      </c>
      <c r="M347" s="37">
        <f t="shared" si="109"/>
        <v>3450.3984900000005</v>
      </c>
      <c r="N347" s="37">
        <f t="shared" si="109"/>
        <v>6082.6149999999998</v>
      </c>
      <c r="O347" s="2" t="s">
        <v>141</v>
      </c>
      <c r="P347" s="28" t="s">
        <v>141</v>
      </c>
      <c r="Q347" s="28" t="s">
        <v>141</v>
      </c>
      <c r="R347" s="28" t="s">
        <v>141</v>
      </c>
      <c r="S347" s="38" t="s">
        <v>141</v>
      </c>
      <c r="T347" s="237"/>
      <c r="U347" s="237"/>
    </row>
    <row r="348" spans="2:21" x14ac:dyDescent="0.3">
      <c r="B348" s="28" t="s">
        <v>28</v>
      </c>
      <c r="C348" s="28"/>
      <c r="D348" s="38">
        <f t="shared" ref="D348:N348" si="110">D344/(D344+D347)</f>
        <v>0.78575465833475455</v>
      </c>
      <c r="E348" s="38">
        <f t="shared" si="110"/>
        <v>0.67417566948947327</v>
      </c>
      <c r="F348" s="38">
        <f t="shared" si="110"/>
        <v>0.75591408237255442</v>
      </c>
      <c r="G348" s="38">
        <f t="shared" si="110"/>
        <v>0.80276364849533977</v>
      </c>
      <c r="H348" s="38">
        <f t="shared" si="110"/>
        <v>0.80030559898159348</v>
      </c>
      <c r="I348" s="38">
        <f t="shared" si="110"/>
        <v>0.78793310921986237</v>
      </c>
      <c r="J348" s="38">
        <f t="shared" si="110"/>
        <v>0.71507886633077278</v>
      </c>
      <c r="K348" s="38">
        <f t="shared" si="110"/>
        <v>0.70702353152416275</v>
      </c>
      <c r="L348" s="38">
        <f t="shared" si="110"/>
        <v>0.63992499974973915</v>
      </c>
      <c r="M348" s="38">
        <f t="shared" si="110"/>
        <v>0.62418812976187898</v>
      </c>
      <c r="N348" s="38">
        <f t="shared" si="110"/>
        <v>0.50731959794151371</v>
      </c>
      <c r="O348" s="2" t="s">
        <v>141</v>
      </c>
      <c r="P348" s="28" t="s">
        <v>141</v>
      </c>
      <c r="Q348" s="28" t="s">
        <v>141</v>
      </c>
      <c r="R348" s="28" t="s">
        <v>141</v>
      </c>
      <c r="S348" s="38" t="s">
        <v>141</v>
      </c>
      <c r="T348" s="238"/>
      <c r="U348" s="238"/>
    </row>
    <row r="350" spans="2:21" x14ac:dyDescent="0.3">
      <c r="B350" s="257" t="s">
        <v>95</v>
      </c>
      <c r="C350" s="257"/>
      <c r="D350" s="258">
        <v>38807</v>
      </c>
      <c r="E350" s="259">
        <v>39172</v>
      </c>
      <c r="F350" s="259">
        <v>39538</v>
      </c>
      <c r="G350" s="259">
        <v>39903</v>
      </c>
      <c r="H350" s="259">
        <v>40268</v>
      </c>
      <c r="I350" s="259">
        <v>40633</v>
      </c>
      <c r="J350" s="259">
        <v>40999</v>
      </c>
      <c r="K350" s="259">
        <v>41364</v>
      </c>
      <c r="L350" s="259">
        <v>41729</v>
      </c>
      <c r="M350" s="259">
        <v>42094</v>
      </c>
      <c r="N350" s="259">
        <v>42460</v>
      </c>
      <c r="O350" s="259">
        <v>42825</v>
      </c>
      <c r="P350" s="259">
        <v>43190</v>
      </c>
      <c r="Q350" s="259">
        <v>43555</v>
      </c>
      <c r="R350" s="259">
        <v>43921</v>
      </c>
      <c r="S350" s="259">
        <v>44286</v>
      </c>
      <c r="T350" s="255"/>
      <c r="U350" s="255"/>
    </row>
    <row r="351" spans="2:21" x14ac:dyDescent="0.3">
      <c r="S351" s="3"/>
    </row>
    <row r="352" spans="2:21" x14ac:dyDescent="0.3">
      <c r="B352" s="1" t="s">
        <v>3</v>
      </c>
      <c r="S352" s="3"/>
    </row>
    <row r="353" spans="2:21" x14ac:dyDescent="0.3">
      <c r="B353" s="4" t="s">
        <v>4</v>
      </c>
      <c r="C353" s="4"/>
      <c r="P353" s="4"/>
      <c r="Q353" s="4"/>
      <c r="R353" s="4"/>
      <c r="S353" s="4"/>
    </row>
    <row r="354" spans="2:21" x14ac:dyDescent="0.3">
      <c r="B354" s="5" t="s">
        <v>5</v>
      </c>
      <c r="C354" s="5"/>
      <c r="D354" s="122">
        <v>8.7080000000000002</v>
      </c>
      <c r="E354" s="122">
        <v>9.0980000000000008</v>
      </c>
      <c r="F354" s="122">
        <v>12</v>
      </c>
      <c r="G354" s="122">
        <v>7.2</v>
      </c>
      <c r="H354" s="122">
        <v>545.1</v>
      </c>
      <c r="I354" s="122">
        <v>49.9</v>
      </c>
      <c r="J354" s="122">
        <v>19.100000000000001</v>
      </c>
      <c r="K354" s="122">
        <v>541</v>
      </c>
      <c r="L354" s="122">
        <v>409.8</v>
      </c>
      <c r="M354" s="122">
        <v>883.1</v>
      </c>
      <c r="N354" s="122">
        <v>441.4</v>
      </c>
      <c r="O354" s="122">
        <v>328.8</v>
      </c>
      <c r="P354" s="122">
        <v>658.2</v>
      </c>
      <c r="Q354" s="122">
        <v>339.4</v>
      </c>
      <c r="R354" s="109">
        <v>155.30000000000001</v>
      </c>
      <c r="S354" s="171">
        <v>827.9</v>
      </c>
      <c r="T354" s="218"/>
      <c r="U354" s="218"/>
    </row>
    <row r="355" spans="2:21" x14ac:dyDescent="0.3">
      <c r="B355" s="4" t="s">
        <v>6</v>
      </c>
      <c r="C355" s="4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53"/>
      <c r="Q355" s="53"/>
      <c r="R355" s="53"/>
      <c r="S355" s="172"/>
      <c r="T355" s="231"/>
      <c r="U355" s="231"/>
    </row>
    <row r="356" spans="2:21" x14ac:dyDescent="0.3">
      <c r="B356" s="10" t="s">
        <v>7</v>
      </c>
      <c r="C356" s="10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9"/>
      <c r="P356" s="56"/>
      <c r="Q356" s="56"/>
      <c r="R356" s="56"/>
      <c r="S356" s="172"/>
      <c r="T356" s="232"/>
      <c r="U356" s="232"/>
    </row>
    <row r="357" spans="2:21" x14ac:dyDescent="0.3">
      <c r="B357" s="13" t="s">
        <v>96</v>
      </c>
      <c r="C357" s="13"/>
      <c r="D357" s="7">
        <v>167.84100000000001</v>
      </c>
      <c r="E357" s="7">
        <v>179.50899999999999</v>
      </c>
      <c r="F357" s="7">
        <f>198.3+6.3</f>
        <v>204.60000000000002</v>
      </c>
      <c r="G357" s="7">
        <f>225.3+2</f>
        <v>227.3</v>
      </c>
      <c r="H357" s="7">
        <f>215.9+4.1</f>
        <v>220</v>
      </c>
      <c r="I357" s="7">
        <f>236+10.5</f>
        <v>246.5</v>
      </c>
      <c r="J357" s="7">
        <f>212.6+13.1</f>
        <v>225.7</v>
      </c>
      <c r="K357" s="7">
        <f>242.4+9.9</f>
        <v>252.3</v>
      </c>
      <c r="L357" s="115">
        <f>272.3+69.7</f>
        <v>342</v>
      </c>
      <c r="M357" s="7">
        <f>497.7+138.6</f>
        <v>636.29999999999995</v>
      </c>
      <c r="N357" s="7">
        <f>338.2+3.3</f>
        <v>341.5</v>
      </c>
      <c r="O357" s="7">
        <v>271.3</v>
      </c>
      <c r="P357" s="7">
        <v>280.39999999999998</v>
      </c>
      <c r="Q357" s="7">
        <v>292.10000000000002</v>
      </c>
      <c r="R357" s="24">
        <v>300.7</v>
      </c>
      <c r="S357" s="171">
        <v>314.89999999999998</v>
      </c>
      <c r="T357" s="218"/>
      <c r="U357" s="218"/>
    </row>
    <row r="358" spans="2:21" x14ac:dyDescent="0.3">
      <c r="B358" s="13" t="s">
        <v>22</v>
      </c>
      <c r="C358" s="13"/>
      <c r="D358" s="7">
        <v>644.44399999999996</v>
      </c>
      <c r="E358" s="7">
        <v>619.93299999999999</v>
      </c>
      <c r="F358" s="7">
        <v>331.1</v>
      </c>
      <c r="G358" s="7">
        <v>225.1</v>
      </c>
      <c r="H358" s="7">
        <v>749</v>
      </c>
      <c r="I358" s="7">
        <v>683.6</v>
      </c>
      <c r="J358" s="7">
        <v>975.6</v>
      </c>
      <c r="K358" s="7">
        <v>843</v>
      </c>
      <c r="L358" s="7">
        <v>673.6</v>
      </c>
      <c r="M358" s="29">
        <v>776.7</v>
      </c>
      <c r="N358" s="7">
        <v>843.5</v>
      </c>
      <c r="O358" s="7">
        <v>398.4</v>
      </c>
      <c r="P358" s="7">
        <v>465.4</v>
      </c>
      <c r="Q358" s="7">
        <v>979.7</v>
      </c>
      <c r="R358" s="24">
        <v>955.2</v>
      </c>
      <c r="S358" s="171">
        <v>318.39999999999998</v>
      </c>
      <c r="T358" s="221"/>
      <c r="U358" s="221"/>
    </row>
    <row r="359" spans="2:21" x14ac:dyDescent="0.3">
      <c r="B359" s="19" t="s">
        <v>63</v>
      </c>
      <c r="C359" s="19"/>
      <c r="D359" s="7">
        <v>173.65700000000001</v>
      </c>
      <c r="E359" s="7">
        <v>31.759</v>
      </c>
      <c r="F359" s="7">
        <v>43.9</v>
      </c>
      <c r="G359" s="7">
        <v>240</v>
      </c>
      <c r="H359" s="7">
        <v>14.3</v>
      </c>
      <c r="I359" s="7">
        <v>17.3</v>
      </c>
      <c r="J359" s="7">
        <v>40.799999999999997</v>
      </c>
      <c r="K359" s="7">
        <v>207.1</v>
      </c>
      <c r="L359" s="7">
        <v>70.7</v>
      </c>
      <c r="M359" s="7">
        <v>46.6</v>
      </c>
      <c r="N359" s="7">
        <v>18.8</v>
      </c>
      <c r="O359" s="7">
        <v>10.3</v>
      </c>
      <c r="P359" s="7">
        <v>77.8</v>
      </c>
      <c r="Q359" s="7">
        <v>2.7</v>
      </c>
      <c r="R359" s="24">
        <v>6</v>
      </c>
      <c r="S359" s="171">
        <v>25.9</v>
      </c>
      <c r="T359" s="218"/>
      <c r="U359" s="218"/>
    </row>
    <row r="360" spans="2:21" x14ac:dyDescent="0.3">
      <c r="B360" s="13" t="s">
        <v>54</v>
      </c>
      <c r="C360" s="13"/>
      <c r="D360" s="7">
        <v>33.026000000000003</v>
      </c>
      <c r="E360" s="7">
        <v>49.744</v>
      </c>
      <c r="F360" s="7">
        <v>47.3</v>
      </c>
      <c r="G360" s="7">
        <v>51</v>
      </c>
      <c r="H360" s="7">
        <v>57.6</v>
      </c>
      <c r="I360" s="7">
        <v>62</v>
      </c>
      <c r="J360" s="7">
        <v>71.900000000000006</v>
      </c>
      <c r="K360" s="7">
        <v>80.5</v>
      </c>
      <c r="L360" s="7">
        <v>99.3</v>
      </c>
      <c r="M360" s="7">
        <v>122.3</v>
      </c>
      <c r="N360" s="7">
        <v>110.6</v>
      </c>
      <c r="O360" s="7">
        <v>106.1</v>
      </c>
      <c r="P360" s="7">
        <v>93.3</v>
      </c>
      <c r="Q360" s="7">
        <v>98</v>
      </c>
      <c r="R360" s="24">
        <v>75.7</v>
      </c>
      <c r="S360" s="171">
        <v>97.2</v>
      </c>
      <c r="T360" s="218"/>
      <c r="U360" s="218"/>
    </row>
    <row r="361" spans="2:21" x14ac:dyDescent="0.3">
      <c r="B361" s="13" t="s">
        <v>97</v>
      </c>
      <c r="C361" s="13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>
        <v>3.6</v>
      </c>
      <c r="Q361" s="7">
        <v>31.9</v>
      </c>
      <c r="R361" s="24">
        <v>26.2</v>
      </c>
      <c r="S361" s="171">
        <v>0</v>
      </c>
      <c r="T361" s="218"/>
      <c r="U361" s="218"/>
    </row>
    <row r="362" spans="2:21" x14ac:dyDescent="0.3">
      <c r="B362" s="13" t="s">
        <v>93</v>
      </c>
      <c r="C362" s="13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24">
        <v>6.1</v>
      </c>
      <c r="S362" s="171">
        <v>6.9</v>
      </c>
      <c r="T362" s="218"/>
      <c r="U362" s="218"/>
    </row>
    <row r="363" spans="2:21" x14ac:dyDescent="0.3">
      <c r="B363" s="21" t="s">
        <v>12</v>
      </c>
      <c r="C363" s="21"/>
      <c r="D363" s="116">
        <f t="shared" ref="D363:O363" si="111">SUM(D357:D361)</f>
        <v>1018.968</v>
      </c>
      <c r="E363" s="116">
        <f t="shared" si="111"/>
        <v>880.94500000000005</v>
      </c>
      <c r="F363" s="116">
        <f t="shared" si="111"/>
        <v>626.9</v>
      </c>
      <c r="G363" s="116">
        <f t="shared" si="111"/>
        <v>743.4</v>
      </c>
      <c r="H363" s="116">
        <f t="shared" si="111"/>
        <v>1040.8999999999999</v>
      </c>
      <c r="I363" s="116">
        <f t="shared" si="111"/>
        <v>1009.4</v>
      </c>
      <c r="J363" s="116">
        <f t="shared" si="111"/>
        <v>1314</v>
      </c>
      <c r="K363" s="116">
        <f t="shared" si="111"/>
        <v>1382.8999999999999</v>
      </c>
      <c r="L363" s="116">
        <f t="shared" si="111"/>
        <v>1185.5999999999999</v>
      </c>
      <c r="M363" s="116">
        <f t="shared" si="111"/>
        <v>1581.8999999999999</v>
      </c>
      <c r="N363" s="116">
        <f t="shared" si="111"/>
        <v>1314.3999999999999</v>
      </c>
      <c r="O363" s="116">
        <f t="shared" si="111"/>
        <v>786.1</v>
      </c>
      <c r="P363" s="116">
        <f>SUM(P357:P361)</f>
        <v>920.49999999999989</v>
      </c>
      <c r="Q363" s="116">
        <f>SUM(Q357:Q362)</f>
        <v>1404.4000000000003</v>
      </c>
      <c r="R363" s="116">
        <f>SUM(R357:R362)</f>
        <v>1369.9</v>
      </c>
      <c r="S363" s="116">
        <f>SUM(S357:S362)</f>
        <v>763.3</v>
      </c>
      <c r="T363" s="227"/>
      <c r="U363" s="227"/>
    </row>
    <row r="364" spans="2:21" x14ac:dyDescent="0.3">
      <c r="B364" s="10" t="s">
        <v>13</v>
      </c>
      <c r="C364" s="10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P364" s="10"/>
      <c r="Q364" s="10"/>
      <c r="R364" s="10"/>
      <c r="S364" s="10"/>
    </row>
    <row r="365" spans="2:21" x14ac:dyDescent="0.3">
      <c r="B365" s="13" t="s">
        <v>96</v>
      </c>
      <c r="C365" s="13"/>
      <c r="D365" s="7">
        <v>4.0979999999999999</v>
      </c>
      <c r="E365" s="7">
        <v>6.109</v>
      </c>
      <c r="F365" s="7">
        <v>5.9</v>
      </c>
      <c r="G365" s="7">
        <v>5</v>
      </c>
      <c r="H365" s="7">
        <v>4.0999999999999996</v>
      </c>
      <c r="I365" s="7">
        <v>3.1</v>
      </c>
      <c r="J365" s="7">
        <v>2.7</v>
      </c>
      <c r="K365" s="7">
        <v>2.1</v>
      </c>
      <c r="L365" s="7">
        <v>11.4</v>
      </c>
      <c r="M365" s="7">
        <f>28.1+5.4</f>
        <v>33.5</v>
      </c>
      <c r="N365" s="7">
        <f>57.8</f>
        <v>57.8</v>
      </c>
      <c r="O365" s="7">
        <v>73.7</v>
      </c>
      <c r="P365" s="7">
        <v>87.1</v>
      </c>
      <c r="Q365" s="7">
        <v>199.3</v>
      </c>
      <c r="R365" s="24">
        <v>218.5</v>
      </c>
      <c r="S365" s="171">
        <v>209</v>
      </c>
      <c r="T365" s="218"/>
      <c r="U365" s="218"/>
    </row>
    <row r="366" spans="2:21" x14ac:dyDescent="0.3">
      <c r="B366" s="13" t="s">
        <v>22</v>
      </c>
      <c r="C366" s="13"/>
      <c r="D366" s="7">
        <v>2851.962</v>
      </c>
      <c r="E366" s="7">
        <v>2940.2649999999999</v>
      </c>
      <c r="F366" s="7">
        <v>3340.1</v>
      </c>
      <c r="G366" s="7">
        <v>4267.1000000000004</v>
      </c>
      <c r="H366" s="124">
        <v>3683</v>
      </c>
      <c r="I366" s="7">
        <v>3690.6</v>
      </c>
      <c r="J366" s="7">
        <v>3562.9</v>
      </c>
      <c r="K366" s="7">
        <v>4434.2</v>
      </c>
      <c r="L366" s="7">
        <v>5395.6</v>
      </c>
      <c r="M366" s="7">
        <v>6439.4</v>
      </c>
      <c r="N366" s="7">
        <v>6054.2</v>
      </c>
      <c r="O366" s="7">
        <v>6266.9</v>
      </c>
      <c r="P366" s="7">
        <v>7099.7</v>
      </c>
      <c r="Q366" s="7">
        <v>6966.7</v>
      </c>
      <c r="R366" s="24">
        <v>8325.5</v>
      </c>
      <c r="S366" s="169">
        <v>8868.7999999999993</v>
      </c>
      <c r="T366" s="218"/>
      <c r="U366" s="218"/>
    </row>
    <row r="367" spans="2:21" x14ac:dyDescent="0.3">
      <c r="B367" s="19" t="s">
        <v>63</v>
      </c>
      <c r="C367" s="19"/>
      <c r="D367" s="7">
        <v>0</v>
      </c>
      <c r="E367" s="7">
        <v>87.912999999999997</v>
      </c>
      <c r="F367" s="7">
        <v>447.2</v>
      </c>
      <c r="G367" s="7">
        <v>245.9</v>
      </c>
      <c r="H367" s="7">
        <v>398.7</v>
      </c>
      <c r="I367" s="7">
        <v>566.70000000000005</v>
      </c>
      <c r="J367" s="7">
        <v>568</v>
      </c>
      <c r="K367" s="7">
        <v>474.6</v>
      </c>
      <c r="L367" s="7">
        <v>235.4</v>
      </c>
      <c r="M367" s="7">
        <v>209.1</v>
      </c>
      <c r="N367" s="7">
        <v>174.3</v>
      </c>
      <c r="O367" s="7">
        <v>303.10000000000002</v>
      </c>
      <c r="P367" s="7">
        <v>192.9</v>
      </c>
      <c r="Q367" s="7">
        <v>347.2</v>
      </c>
      <c r="R367" s="24">
        <v>776.1</v>
      </c>
      <c r="S367" s="171">
        <v>510</v>
      </c>
      <c r="T367" s="218"/>
      <c r="U367" s="218"/>
    </row>
    <row r="368" spans="2:21" x14ac:dyDescent="0.3">
      <c r="B368" s="13" t="s">
        <v>14</v>
      </c>
      <c r="C368" s="13"/>
      <c r="D368" s="7">
        <v>326.13799999999998</v>
      </c>
      <c r="E368" s="7">
        <v>348.31299999999999</v>
      </c>
      <c r="F368" s="7">
        <v>370.5</v>
      </c>
      <c r="G368" s="7">
        <v>237.3</v>
      </c>
      <c r="H368" s="7">
        <v>306.5</v>
      </c>
      <c r="I368" s="7">
        <v>290.8</v>
      </c>
      <c r="J368" s="7">
        <v>290.89999999999998</v>
      </c>
      <c r="K368" s="7">
        <v>294</v>
      </c>
      <c r="L368" s="7">
        <v>304.7</v>
      </c>
      <c r="M368" s="7">
        <v>472.1</v>
      </c>
      <c r="N368" s="7">
        <v>465.8</v>
      </c>
      <c r="O368" s="7">
        <v>586.4</v>
      </c>
      <c r="P368" s="7">
        <v>611.5</v>
      </c>
      <c r="Q368" s="7">
        <v>550.4</v>
      </c>
      <c r="R368" s="24">
        <v>439.8</v>
      </c>
      <c r="S368" s="171">
        <v>707.5</v>
      </c>
      <c r="T368" s="218"/>
      <c r="U368" s="218"/>
    </row>
    <row r="369" spans="2:21" x14ac:dyDescent="0.3">
      <c r="B369" s="13" t="s">
        <v>93</v>
      </c>
      <c r="C369" s="13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24">
        <v>88.2</v>
      </c>
      <c r="S369" s="171">
        <v>84.4</v>
      </c>
      <c r="T369" s="218"/>
      <c r="U369" s="218"/>
    </row>
    <row r="370" spans="2:21" x14ac:dyDescent="0.3">
      <c r="B370" s="13" t="s">
        <v>54</v>
      </c>
      <c r="C370" s="13"/>
      <c r="D370" s="7">
        <v>15.462</v>
      </c>
      <c r="E370" s="7">
        <v>16.2</v>
      </c>
      <c r="F370" s="7">
        <v>18.399999999999999</v>
      </c>
      <c r="G370" s="7">
        <v>93.3</v>
      </c>
      <c r="H370" s="7">
        <v>43.7</v>
      </c>
      <c r="I370" s="7">
        <v>35.6</v>
      </c>
      <c r="J370" s="7">
        <v>64.5</v>
      </c>
      <c r="K370" s="7">
        <v>57.3</v>
      </c>
      <c r="L370" s="7">
        <v>35</v>
      </c>
      <c r="M370" s="7">
        <v>78.5</v>
      </c>
      <c r="N370" s="7">
        <v>51.7</v>
      </c>
      <c r="O370" s="7">
        <v>41.9</v>
      </c>
      <c r="P370" s="7">
        <v>49.6</v>
      </c>
      <c r="Q370" s="7">
        <v>58.7</v>
      </c>
      <c r="R370" s="24">
        <v>61.2</v>
      </c>
      <c r="S370" s="171">
        <v>51.7</v>
      </c>
      <c r="T370" s="218"/>
      <c r="U370" s="218"/>
    </row>
    <row r="371" spans="2:21" x14ac:dyDescent="0.3">
      <c r="B371" s="21" t="s">
        <v>15</v>
      </c>
      <c r="C371" s="21"/>
      <c r="D371" s="116">
        <v>3197.66</v>
      </c>
      <c r="E371" s="116">
        <v>3398.8</v>
      </c>
      <c r="F371" s="116">
        <f t="shared" ref="F371:Q371" si="112">SUM(F365:F370)</f>
        <v>4182.0999999999995</v>
      </c>
      <c r="G371" s="116">
        <f t="shared" si="112"/>
        <v>4848.6000000000004</v>
      </c>
      <c r="H371" s="116">
        <f t="shared" si="112"/>
        <v>4435.9999999999991</v>
      </c>
      <c r="I371" s="116">
        <f t="shared" si="112"/>
        <v>4586.8</v>
      </c>
      <c r="J371" s="116">
        <f t="shared" si="112"/>
        <v>4489</v>
      </c>
      <c r="K371" s="116">
        <f t="shared" si="112"/>
        <v>5262.2000000000007</v>
      </c>
      <c r="L371" s="116">
        <f t="shared" si="112"/>
        <v>5982.0999999999995</v>
      </c>
      <c r="M371" s="116">
        <f t="shared" si="112"/>
        <v>7232.6</v>
      </c>
      <c r="N371" s="116">
        <f t="shared" si="112"/>
        <v>6803.8</v>
      </c>
      <c r="O371" s="116">
        <f t="shared" si="112"/>
        <v>7271.9999999999991</v>
      </c>
      <c r="P371" s="116">
        <f t="shared" si="112"/>
        <v>8040.8</v>
      </c>
      <c r="Q371" s="116">
        <f t="shared" si="112"/>
        <v>8122.2999999999993</v>
      </c>
      <c r="R371" s="116">
        <f>SUM(R365:R370)</f>
        <v>9909.3000000000011</v>
      </c>
      <c r="S371" s="116">
        <f>SUM(S365:S370)</f>
        <v>10431.4</v>
      </c>
      <c r="T371" s="227"/>
      <c r="U371" s="227"/>
    </row>
    <row r="372" spans="2:21" x14ac:dyDescent="0.3">
      <c r="B372" s="4" t="s">
        <v>16</v>
      </c>
      <c r="C372" s="4"/>
      <c r="P372" s="4"/>
      <c r="Q372" s="4"/>
      <c r="R372" s="4"/>
      <c r="S372" s="4"/>
    </row>
    <row r="373" spans="2:21" x14ac:dyDescent="0.3">
      <c r="B373" s="25" t="s">
        <v>17</v>
      </c>
      <c r="C373" s="25"/>
      <c r="D373" s="106">
        <v>2613.4430000000002</v>
      </c>
      <c r="E373" s="106">
        <v>2652.6089999999999</v>
      </c>
      <c r="F373" s="106">
        <v>2610.5</v>
      </c>
      <c r="G373" s="106">
        <v>2227.8000000000002</v>
      </c>
      <c r="H373" s="106">
        <v>2774.1</v>
      </c>
      <c r="I373" s="106">
        <v>2864.9</v>
      </c>
      <c r="J373" s="106">
        <v>2927.9</v>
      </c>
      <c r="K373" s="106">
        <v>3437.1</v>
      </c>
      <c r="L373" s="106">
        <v>3444.6</v>
      </c>
      <c r="M373" s="106">
        <v>3248.8</v>
      </c>
      <c r="N373" s="106">
        <v>3557.8</v>
      </c>
      <c r="O373" s="106">
        <v>3698.4</v>
      </c>
      <c r="P373" s="106">
        <v>3556</v>
      </c>
      <c r="Q373" s="106">
        <v>3289.1</v>
      </c>
      <c r="R373" s="106">
        <v>3005.6</v>
      </c>
      <c r="S373" s="173">
        <v>3434.9</v>
      </c>
      <c r="T373" s="227"/>
      <c r="U373" s="227"/>
    </row>
    <row r="374" spans="2:21" x14ac:dyDescent="0.3">
      <c r="S374" s="3"/>
    </row>
    <row r="375" spans="2:21" s="16" customFormat="1" x14ac:dyDescent="0.3">
      <c r="B375" s="16" t="s">
        <v>18</v>
      </c>
      <c r="D375" s="126">
        <v>0</v>
      </c>
      <c r="E375" s="126">
        <v>0</v>
      </c>
      <c r="F375" s="126">
        <v>0</v>
      </c>
      <c r="G375" s="126">
        <v>0</v>
      </c>
      <c r="H375" s="126">
        <v>0</v>
      </c>
      <c r="I375" s="126">
        <v>0</v>
      </c>
      <c r="J375" s="126">
        <v>0</v>
      </c>
      <c r="K375" s="126">
        <v>0</v>
      </c>
      <c r="L375" s="126">
        <v>0</v>
      </c>
      <c r="M375" s="126">
        <v>0</v>
      </c>
      <c r="N375" s="126">
        <v>0</v>
      </c>
      <c r="O375" s="126">
        <v>0</v>
      </c>
      <c r="P375" s="126">
        <v>0</v>
      </c>
      <c r="Q375" s="126">
        <v>0</v>
      </c>
      <c r="R375" s="125">
        <v>0</v>
      </c>
      <c r="S375" s="174">
        <v>0</v>
      </c>
      <c r="T375" s="222"/>
      <c r="U375" s="222"/>
    </row>
    <row r="376" spans="2:21" s="16" customFormat="1" x14ac:dyDescent="0.3">
      <c r="B376" s="16" t="s">
        <v>130</v>
      </c>
      <c r="D376" s="174">
        <f t="shared" ref="D376:S376" si="113">SUM(D377:D380)</f>
        <v>0</v>
      </c>
      <c r="E376" s="174">
        <f t="shared" si="113"/>
        <v>0</v>
      </c>
      <c r="F376" s="174">
        <f t="shared" si="113"/>
        <v>0</v>
      </c>
      <c r="G376" s="174">
        <f t="shared" si="113"/>
        <v>0</v>
      </c>
      <c r="H376" s="174">
        <f t="shared" si="113"/>
        <v>0</v>
      </c>
      <c r="I376" s="174">
        <f t="shared" si="113"/>
        <v>0</v>
      </c>
      <c r="J376" s="174">
        <f t="shared" si="113"/>
        <v>0</v>
      </c>
      <c r="K376" s="174">
        <f t="shared" si="113"/>
        <v>0</v>
      </c>
      <c r="L376" s="174">
        <f t="shared" si="113"/>
        <v>0</v>
      </c>
      <c r="M376" s="174">
        <f t="shared" si="113"/>
        <v>0</v>
      </c>
      <c r="N376" s="174">
        <f t="shared" si="113"/>
        <v>681.8</v>
      </c>
      <c r="O376" s="174">
        <f t="shared" si="113"/>
        <v>662</v>
      </c>
      <c r="P376" s="174">
        <f t="shared" si="113"/>
        <v>663.5</v>
      </c>
      <c r="Q376" s="174">
        <f t="shared" si="113"/>
        <v>722.2</v>
      </c>
      <c r="R376" s="174">
        <f>SUM(R377:R380)</f>
        <v>853.4</v>
      </c>
      <c r="S376" s="174">
        <f>SUM(S377:S380)</f>
        <v>2408.9</v>
      </c>
      <c r="T376" s="222"/>
      <c r="U376" s="222"/>
    </row>
    <row r="377" spans="2:21" s="16" customFormat="1" x14ac:dyDescent="0.3">
      <c r="B377" s="175" t="s">
        <v>126</v>
      </c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71">
        <v>488.3</v>
      </c>
      <c r="O377" s="171">
        <v>473.8</v>
      </c>
      <c r="P377" s="171">
        <v>464.7</v>
      </c>
      <c r="Q377" s="171">
        <v>513.70000000000005</v>
      </c>
      <c r="R377" s="171">
        <v>619.5</v>
      </c>
      <c r="S377" s="171">
        <v>495.8</v>
      </c>
      <c r="T377" s="222"/>
      <c r="U377" s="222"/>
    </row>
    <row r="378" spans="2:21" s="16" customFormat="1" x14ac:dyDescent="0.3">
      <c r="B378" s="175" t="s">
        <v>127</v>
      </c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71">
        <v>193.5</v>
      </c>
      <c r="O378" s="171">
        <v>188.2</v>
      </c>
      <c r="P378" s="171">
        <v>198.8</v>
      </c>
      <c r="Q378" s="171">
        <v>208.5</v>
      </c>
      <c r="R378" s="171">
        <v>233.9</v>
      </c>
      <c r="S378" s="171">
        <v>197.2</v>
      </c>
      <c r="T378" s="222"/>
      <c r="U378" s="222"/>
    </row>
    <row r="379" spans="2:21" s="16" customFormat="1" x14ac:dyDescent="0.3">
      <c r="B379" s="175" t="s">
        <v>128</v>
      </c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5"/>
      <c r="S379" s="171">
        <v>645.70000000000005</v>
      </c>
      <c r="T379" s="222"/>
      <c r="U379" s="222"/>
    </row>
    <row r="380" spans="2:21" s="16" customFormat="1" x14ac:dyDescent="0.3">
      <c r="B380" s="175" t="s">
        <v>129</v>
      </c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5"/>
      <c r="S380" s="171">
        <v>1070.2</v>
      </c>
      <c r="T380" s="222"/>
      <c r="U380" s="222"/>
    </row>
    <row r="381" spans="2:21" x14ac:dyDescent="0.3">
      <c r="B381" s="3"/>
      <c r="C381" s="3"/>
      <c r="P381" s="3"/>
      <c r="Q381" s="3"/>
      <c r="R381" s="3"/>
      <c r="S381" s="3"/>
    </row>
    <row r="382" spans="2:21" x14ac:dyDescent="0.3">
      <c r="B382" s="33" t="s">
        <v>19</v>
      </c>
      <c r="C382" s="33"/>
      <c r="P382" s="3"/>
      <c r="Q382" s="3"/>
      <c r="R382" s="3"/>
      <c r="S382" s="33"/>
    </row>
    <row r="383" spans="2:21" x14ac:dyDescent="0.3">
      <c r="B383" s="28" t="s">
        <v>20</v>
      </c>
      <c r="C383" s="28"/>
      <c r="D383" s="7">
        <v>2092.68001</v>
      </c>
      <c r="E383" s="7">
        <v>2092.68001</v>
      </c>
      <c r="F383" s="7">
        <v>2092.68001</v>
      </c>
      <c r="G383" s="7">
        <v>2120.423315</v>
      </c>
      <c r="H383" s="7">
        <v>2705.1401510000001</v>
      </c>
      <c r="I383" s="7">
        <v>2795.1154390000002</v>
      </c>
      <c r="J383" s="7">
        <v>2896.2196819999999</v>
      </c>
      <c r="K383" s="7">
        <v>3367.5431130000002</v>
      </c>
      <c r="L383" s="7">
        <v>3386.6070800000002</v>
      </c>
      <c r="M383" s="7">
        <v>3466.9130089999999</v>
      </c>
      <c r="N383" s="7">
        <v>3537.6351500000001</v>
      </c>
      <c r="O383" s="7">
        <v>3603.1550120000002</v>
      </c>
      <c r="P383" s="7">
        <v>3614.3467649999998</v>
      </c>
      <c r="Q383" s="7">
        <v>3652.6643760000002</v>
      </c>
      <c r="R383" s="112">
        <v>3726.8405299999999</v>
      </c>
      <c r="S383" s="24">
        <f>3801232373/1000000</f>
        <v>3801.2323729999998</v>
      </c>
      <c r="T383" s="218"/>
      <c r="U383" s="218"/>
    </row>
    <row r="384" spans="2:21" x14ac:dyDescent="0.3">
      <c r="B384" s="28" t="s">
        <v>21</v>
      </c>
      <c r="C384" s="28"/>
      <c r="D384" s="7">
        <v>1.3</v>
      </c>
      <c r="E384" s="7">
        <v>1.42</v>
      </c>
      <c r="F384" s="7">
        <v>1.21</v>
      </c>
      <c r="G384" s="7">
        <v>0.91</v>
      </c>
      <c r="H384" s="7">
        <v>0.91</v>
      </c>
      <c r="I384" s="7">
        <v>0.87</v>
      </c>
      <c r="J384" s="7">
        <v>1.075</v>
      </c>
      <c r="K384" s="7">
        <v>1.1950000000000001</v>
      </c>
      <c r="L384" s="7">
        <v>1.31</v>
      </c>
      <c r="M384" s="7">
        <v>1.46</v>
      </c>
      <c r="N384" s="7">
        <v>1.49</v>
      </c>
      <c r="O384" s="7">
        <v>1.6850000000000001</v>
      </c>
      <c r="P384" s="7">
        <v>1.675</v>
      </c>
      <c r="Q384" s="7">
        <v>1.7549999999999999</v>
      </c>
      <c r="R384" s="112">
        <v>1.71</v>
      </c>
      <c r="S384" s="24">
        <v>1.835</v>
      </c>
      <c r="T384" s="218"/>
      <c r="U384" s="218"/>
    </row>
    <row r="385" spans="2:37" x14ac:dyDescent="0.3">
      <c r="S385" s="3"/>
    </row>
    <row r="386" spans="2:37" x14ac:dyDescent="0.3">
      <c r="B386" s="1" t="s">
        <v>56</v>
      </c>
      <c r="D386" s="113">
        <f>D358+D366-D375</f>
        <v>3496.4059999999999</v>
      </c>
      <c r="E386" s="113">
        <f t="shared" ref="E386:P386" si="114">E358+E366-E375</f>
        <v>3560.1979999999999</v>
      </c>
      <c r="F386" s="113">
        <f t="shared" si="114"/>
        <v>3671.2</v>
      </c>
      <c r="G386" s="113">
        <f t="shared" si="114"/>
        <v>4492.2000000000007</v>
      </c>
      <c r="H386" s="113">
        <f t="shared" si="114"/>
        <v>4432</v>
      </c>
      <c r="I386" s="113">
        <f t="shared" si="114"/>
        <v>4374.2</v>
      </c>
      <c r="J386" s="113">
        <f t="shared" si="114"/>
        <v>4538.5</v>
      </c>
      <c r="K386" s="113">
        <f t="shared" si="114"/>
        <v>5277.2</v>
      </c>
      <c r="L386" s="113">
        <f t="shared" si="114"/>
        <v>6069.2000000000007</v>
      </c>
      <c r="M386" s="113">
        <f t="shared" si="114"/>
        <v>7216.0999999999995</v>
      </c>
      <c r="N386" s="113">
        <f t="shared" si="114"/>
        <v>6897.7</v>
      </c>
      <c r="O386" s="113">
        <f t="shared" si="114"/>
        <v>6665.2999999999993</v>
      </c>
      <c r="P386" s="113">
        <f t="shared" si="114"/>
        <v>7565.0999999999995</v>
      </c>
      <c r="Q386" s="113">
        <f>Q358+Q366-Q375</f>
        <v>7946.4</v>
      </c>
      <c r="R386" s="113">
        <f>R358+R366-R375</f>
        <v>9280.7000000000007</v>
      </c>
      <c r="S386" s="113">
        <f>S358+S366-S375</f>
        <v>9187.1999999999989</v>
      </c>
      <c r="T386" s="223"/>
      <c r="U386" s="223"/>
    </row>
    <row r="387" spans="2:37" x14ac:dyDescent="0.3">
      <c r="B387" s="3" t="s">
        <v>57</v>
      </c>
      <c r="C387" s="3"/>
      <c r="D387" s="64">
        <f t="shared" ref="D387:Q387" si="115">D358+D366-D375-D354</f>
        <v>3487.6979999999999</v>
      </c>
      <c r="E387" s="64">
        <f t="shared" si="115"/>
        <v>3551.1</v>
      </c>
      <c r="F387" s="64">
        <f t="shared" si="115"/>
        <v>3659.2</v>
      </c>
      <c r="G387" s="64">
        <f t="shared" si="115"/>
        <v>4485.0000000000009</v>
      </c>
      <c r="H387" s="64">
        <f t="shared" si="115"/>
        <v>3886.9</v>
      </c>
      <c r="I387" s="64">
        <f t="shared" si="115"/>
        <v>4324.3</v>
      </c>
      <c r="J387" s="64">
        <f t="shared" si="115"/>
        <v>4519.3999999999996</v>
      </c>
      <c r="K387" s="64">
        <f t="shared" si="115"/>
        <v>4736.2</v>
      </c>
      <c r="L387" s="64">
        <f t="shared" si="115"/>
        <v>5659.4000000000005</v>
      </c>
      <c r="M387" s="64">
        <f t="shared" si="115"/>
        <v>6332.9999999999991</v>
      </c>
      <c r="N387" s="64">
        <f t="shared" si="115"/>
        <v>6456.3</v>
      </c>
      <c r="O387" s="64">
        <f t="shared" si="115"/>
        <v>6336.4999999999991</v>
      </c>
      <c r="P387" s="64">
        <f t="shared" si="115"/>
        <v>6906.9</v>
      </c>
      <c r="Q387" s="64">
        <f t="shared" si="115"/>
        <v>7607</v>
      </c>
      <c r="R387" s="64">
        <f>R358+R366-R375-R354</f>
        <v>9125.4000000000015</v>
      </c>
      <c r="S387" s="64">
        <f>S358+S366-S375-S354</f>
        <v>8359.2999999999993</v>
      </c>
      <c r="T387" s="244"/>
      <c r="U387" s="244"/>
    </row>
    <row r="388" spans="2:37" x14ac:dyDescent="0.3"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74"/>
      <c r="Q388" s="74"/>
      <c r="R388" s="74"/>
      <c r="S388" s="76"/>
      <c r="T388" s="244"/>
      <c r="U388" s="244"/>
    </row>
    <row r="389" spans="2:37" x14ac:dyDescent="0.3">
      <c r="B389" s="31" t="s">
        <v>23</v>
      </c>
      <c r="C389" s="31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64"/>
      <c r="P389" s="74"/>
      <c r="Q389" s="74"/>
      <c r="R389" s="74"/>
      <c r="S389" s="76"/>
      <c r="T389" s="254"/>
      <c r="U389" s="254"/>
      <c r="AK389" s="2"/>
    </row>
    <row r="390" spans="2:37" x14ac:dyDescent="0.3">
      <c r="B390" s="28" t="s">
        <v>133</v>
      </c>
      <c r="C390" s="28"/>
      <c r="D390" s="64">
        <f t="shared" ref="D390:R390" si="116">SUM(D358,D366)</f>
        <v>3496.4059999999999</v>
      </c>
      <c r="E390" s="64">
        <f t="shared" si="116"/>
        <v>3560.1979999999999</v>
      </c>
      <c r="F390" s="64">
        <f t="shared" si="116"/>
        <v>3671.2</v>
      </c>
      <c r="G390" s="64">
        <f t="shared" si="116"/>
        <v>4492.2000000000007</v>
      </c>
      <c r="H390" s="64">
        <f t="shared" si="116"/>
        <v>4432</v>
      </c>
      <c r="I390" s="64">
        <f t="shared" si="116"/>
        <v>4374.2</v>
      </c>
      <c r="J390" s="64">
        <f t="shared" si="116"/>
        <v>4538.5</v>
      </c>
      <c r="K390" s="64">
        <f t="shared" si="116"/>
        <v>5277.2</v>
      </c>
      <c r="L390" s="64">
        <f t="shared" si="116"/>
        <v>6069.2000000000007</v>
      </c>
      <c r="M390" s="64">
        <f t="shared" si="116"/>
        <v>7216.0999999999995</v>
      </c>
      <c r="N390" s="64">
        <f t="shared" si="116"/>
        <v>6897.7</v>
      </c>
      <c r="O390" s="64">
        <f t="shared" si="116"/>
        <v>6665.2999999999993</v>
      </c>
      <c r="P390" s="64">
        <f t="shared" si="116"/>
        <v>7565.0999999999995</v>
      </c>
      <c r="Q390" s="64">
        <f t="shared" si="116"/>
        <v>7946.4</v>
      </c>
      <c r="R390" s="64">
        <f t="shared" si="116"/>
        <v>9280.7000000000007</v>
      </c>
      <c r="S390" s="64">
        <f>SUM(S358,S366)</f>
        <v>9187.1999999999989</v>
      </c>
      <c r="T390" s="244"/>
      <c r="U390" s="244"/>
      <c r="AK390" s="41"/>
    </row>
    <row r="391" spans="2:37" x14ac:dyDescent="0.3">
      <c r="B391" s="43" t="s">
        <v>125</v>
      </c>
      <c r="C391" s="43"/>
      <c r="D391" s="64"/>
      <c r="E391" s="64"/>
      <c r="F391" s="64"/>
      <c r="G391" s="64"/>
      <c r="H391" s="64"/>
      <c r="I391" s="64"/>
      <c r="J391" s="64"/>
      <c r="K391" s="64"/>
      <c r="L391" s="64"/>
      <c r="M391" s="95"/>
      <c r="N391" s="95">
        <f t="shared" ref="N391:S391" si="117">N376</f>
        <v>681.8</v>
      </c>
      <c r="O391" s="95">
        <f t="shared" si="117"/>
        <v>662</v>
      </c>
      <c r="P391" s="95">
        <f t="shared" si="117"/>
        <v>663.5</v>
      </c>
      <c r="Q391" s="95">
        <f t="shared" si="117"/>
        <v>722.2</v>
      </c>
      <c r="R391" s="95">
        <f t="shared" si="117"/>
        <v>853.4</v>
      </c>
      <c r="S391" s="176">
        <f t="shared" si="117"/>
        <v>2408.9</v>
      </c>
      <c r="T391" s="251"/>
      <c r="U391" s="251"/>
      <c r="AK391" s="41"/>
    </row>
    <row r="392" spans="2:37" x14ac:dyDescent="0.3">
      <c r="B392" s="43" t="s">
        <v>131</v>
      </c>
      <c r="C392" s="43"/>
      <c r="D392" s="176">
        <f t="shared" ref="D392:S392" si="118">D390-SUM(D379:D380)</f>
        <v>3496.4059999999999</v>
      </c>
      <c r="E392" s="176">
        <f t="shared" si="118"/>
        <v>3560.1979999999999</v>
      </c>
      <c r="F392" s="176">
        <f t="shared" si="118"/>
        <v>3671.2</v>
      </c>
      <c r="G392" s="176">
        <f t="shared" si="118"/>
        <v>4492.2000000000007</v>
      </c>
      <c r="H392" s="176">
        <f t="shared" si="118"/>
        <v>4432</v>
      </c>
      <c r="I392" s="176">
        <f t="shared" si="118"/>
        <v>4374.2</v>
      </c>
      <c r="J392" s="176">
        <f t="shared" si="118"/>
        <v>4538.5</v>
      </c>
      <c r="K392" s="176">
        <f t="shared" si="118"/>
        <v>5277.2</v>
      </c>
      <c r="L392" s="176">
        <f t="shared" si="118"/>
        <v>6069.2000000000007</v>
      </c>
      <c r="M392" s="176">
        <f t="shared" si="118"/>
        <v>7216.0999999999995</v>
      </c>
      <c r="N392" s="176">
        <f t="shared" si="118"/>
        <v>6897.7</v>
      </c>
      <c r="O392" s="176">
        <f t="shared" si="118"/>
        <v>6665.2999999999993</v>
      </c>
      <c r="P392" s="176">
        <f t="shared" si="118"/>
        <v>7565.0999999999995</v>
      </c>
      <c r="Q392" s="176">
        <f t="shared" si="118"/>
        <v>7946.4</v>
      </c>
      <c r="R392" s="176">
        <f t="shared" si="118"/>
        <v>9280.7000000000007</v>
      </c>
      <c r="S392" s="176">
        <f t="shared" si="118"/>
        <v>7471.2999999999993</v>
      </c>
      <c r="T392" s="251"/>
      <c r="U392" s="251"/>
      <c r="AK392" s="41"/>
    </row>
    <row r="393" spans="2:37" x14ac:dyDescent="0.3">
      <c r="B393" s="43" t="s">
        <v>132</v>
      </c>
      <c r="C393" s="43"/>
      <c r="D393" s="95">
        <f t="shared" ref="D393:R393" si="119">D390-D376</f>
        <v>3496.4059999999999</v>
      </c>
      <c r="E393" s="95">
        <f t="shared" si="119"/>
        <v>3560.1979999999999</v>
      </c>
      <c r="F393" s="95">
        <f t="shared" si="119"/>
        <v>3671.2</v>
      </c>
      <c r="G393" s="95">
        <f t="shared" si="119"/>
        <v>4492.2000000000007</v>
      </c>
      <c r="H393" s="95">
        <f t="shared" si="119"/>
        <v>4432</v>
      </c>
      <c r="I393" s="95">
        <f t="shared" si="119"/>
        <v>4374.2</v>
      </c>
      <c r="J393" s="95">
        <f t="shared" si="119"/>
        <v>4538.5</v>
      </c>
      <c r="K393" s="95">
        <f t="shared" si="119"/>
        <v>5277.2</v>
      </c>
      <c r="L393" s="95">
        <f t="shared" si="119"/>
        <v>6069.2000000000007</v>
      </c>
      <c r="M393" s="95">
        <f t="shared" si="119"/>
        <v>7216.0999999999995</v>
      </c>
      <c r="N393" s="95">
        <f t="shared" si="119"/>
        <v>6215.9</v>
      </c>
      <c r="O393" s="95">
        <f>O390-O376</f>
        <v>6003.2999999999993</v>
      </c>
      <c r="P393" s="95">
        <f t="shared" si="119"/>
        <v>6901.5999999999995</v>
      </c>
      <c r="Q393" s="95">
        <f t="shared" si="119"/>
        <v>7224.2</v>
      </c>
      <c r="R393" s="95">
        <f t="shared" si="119"/>
        <v>8427.3000000000011</v>
      </c>
      <c r="S393" s="95">
        <f>S390-S376</f>
        <v>6778.2999999999993</v>
      </c>
      <c r="T393" s="244"/>
      <c r="U393" s="244"/>
      <c r="AK393" s="41"/>
    </row>
    <row r="394" spans="2:37" x14ac:dyDescent="0.3">
      <c r="B394" s="43" t="s">
        <v>43</v>
      </c>
      <c r="C394" s="43"/>
      <c r="D394" s="95">
        <f t="shared" ref="D394:S394" si="120">D390-(0.5*D376)</f>
        <v>3496.4059999999999</v>
      </c>
      <c r="E394" s="95">
        <f t="shared" si="120"/>
        <v>3560.1979999999999</v>
      </c>
      <c r="F394" s="95">
        <f t="shared" si="120"/>
        <v>3671.2</v>
      </c>
      <c r="G394" s="95">
        <f t="shared" si="120"/>
        <v>4492.2000000000007</v>
      </c>
      <c r="H394" s="95">
        <f t="shared" si="120"/>
        <v>4432</v>
      </c>
      <c r="I394" s="95">
        <f t="shared" si="120"/>
        <v>4374.2</v>
      </c>
      <c r="J394" s="95">
        <f t="shared" si="120"/>
        <v>4538.5</v>
      </c>
      <c r="K394" s="95">
        <f t="shared" si="120"/>
        <v>5277.2</v>
      </c>
      <c r="L394" s="95">
        <f t="shared" si="120"/>
        <v>6069.2000000000007</v>
      </c>
      <c r="M394" s="95">
        <f t="shared" si="120"/>
        <v>7216.0999999999995</v>
      </c>
      <c r="N394" s="95">
        <f t="shared" si="120"/>
        <v>6556.8</v>
      </c>
      <c r="O394" s="95">
        <f t="shared" si="120"/>
        <v>6334.2999999999993</v>
      </c>
      <c r="P394" s="95">
        <f t="shared" si="120"/>
        <v>7233.3499999999995</v>
      </c>
      <c r="Q394" s="95">
        <f t="shared" si="120"/>
        <v>7585.2999999999993</v>
      </c>
      <c r="R394" s="95">
        <f t="shared" si="120"/>
        <v>8854</v>
      </c>
      <c r="S394" s="95">
        <f>S390-(0.5*S376)</f>
        <v>7982.7499999999991</v>
      </c>
      <c r="T394" s="244"/>
      <c r="U394" s="244"/>
      <c r="AK394" s="41"/>
    </row>
    <row r="395" spans="2:37" x14ac:dyDescent="0.3">
      <c r="B395" s="28"/>
      <c r="C395" s="28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244"/>
      <c r="U395" s="244"/>
      <c r="AK395" s="41"/>
    </row>
    <row r="396" spans="2:37" x14ac:dyDescent="0.3">
      <c r="B396" s="28" t="s">
        <v>98</v>
      </c>
      <c r="C396" s="28"/>
      <c r="D396" s="64">
        <f t="shared" ref="D396:S396" si="121">D373</f>
        <v>2613.4430000000002</v>
      </c>
      <c r="E396" s="64">
        <f t="shared" si="121"/>
        <v>2652.6089999999999</v>
      </c>
      <c r="F396" s="64">
        <f t="shared" si="121"/>
        <v>2610.5</v>
      </c>
      <c r="G396" s="64">
        <f t="shared" si="121"/>
        <v>2227.8000000000002</v>
      </c>
      <c r="H396" s="64">
        <f t="shared" si="121"/>
        <v>2774.1</v>
      </c>
      <c r="I396" s="64">
        <f t="shared" si="121"/>
        <v>2864.9</v>
      </c>
      <c r="J396" s="64">
        <f t="shared" si="121"/>
        <v>2927.9</v>
      </c>
      <c r="K396" s="64">
        <f t="shared" si="121"/>
        <v>3437.1</v>
      </c>
      <c r="L396" s="64">
        <f t="shared" si="121"/>
        <v>3444.6</v>
      </c>
      <c r="M396" s="64">
        <f t="shared" si="121"/>
        <v>3248.8</v>
      </c>
      <c r="N396" s="64">
        <f t="shared" si="121"/>
        <v>3557.8</v>
      </c>
      <c r="O396" s="64">
        <f t="shared" si="121"/>
        <v>3698.4</v>
      </c>
      <c r="P396" s="64">
        <f t="shared" si="121"/>
        <v>3556</v>
      </c>
      <c r="Q396" s="64">
        <f t="shared" si="121"/>
        <v>3289.1</v>
      </c>
      <c r="R396" s="64">
        <f t="shared" si="121"/>
        <v>3005.6</v>
      </c>
      <c r="S396" s="64">
        <f>S373</f>
        <v>3434.9</v>
      </c>
      <c r="T396" s="244"/>
      <c r="U396" s="244"/>
      <c r="AK396" s="2"/>
    </row>
    <row r="397" spans="2:37" x14ac:dyDescent="0.3">
      <c r="B397" s="43" t="s">
        <v>70</v>
      </c>
      <c r="C397" s="43"/>
      <c r="D397" s="95">
        <f t="shared" ref="D397:R397" si="122">D396+0.5*D376</f>
        <v>2613.4430000000002</v>
      </c>
      <c r="E397" s="95">
        <f t="shared" si="122"/>
        <v>2652.6089999999999</v>
      </c>
      <c r="F397" s="95">
        <f t="shared" si="122"/>
        <v>2610.5</v>
      </c>
      <c r="G397" s="95">
        <f t="shared" si="122"/>
        <v>2227.8000000000002</v>
      </c>
      <c r="H397" s="95">
        <f t="shared" si="122"/>
        <v>2774.1</v>
      </c>
      <c r="I397" s="95">
        <f t="shared" si="122"/>
        <v>2864.9</v>
      </c>
      <c r="J397" s="95">
        <f t="shared" si="122"/>
        <v>2927.9</v>
      </c>
      <c r="K397" s="95">
        <f t="shared" si="122"/>
        <v>3437.1</v>
      </c>
      <c r="L397" s="95">
        <f t="shared" si="122"/>
        <v>3444.6</v>
      </c>
      <c r="M397" s="95">
        <f t="shared" si="122"/>
        <v>3248.8</v>
      </c>
      <c r="N397" s="95">
        <f t="shared" si="122"/>
        <v>3898.7000000000003</v>
      </c>
      <c r="O397" s="95">
        <f t="shared" si="122"/>
        <v>4029.4</v>
      </c>
      <c r="P397" s="95">
        <f t="shared" si="122"/>
        <v>3887.75</v>
      </c>
      <c r="Q397" s="95">
        <f t="shared" si="122"/>
        <v>3650.2</v>
      </c>
      <c r="R397" s="95">
        <f t="shared" si="122"/>
        <v>3432.2999999999997</v>
      </c>
      <c r="S397" s="95">
        <f>S396+0.5*S376</f>
        <v>4639.3500000000004</v>
      </c>
      <c r="T397" s="244"/>
      <c r="U397" s="244"/>
      <c r="AK397" s="2"/>
    </row>
    <row r="398" spans="2:37" x14ac:dyDescent="0.3">
      <c r="B398" s="43" t="s">
        <v>69</v>
      </c>
      <c r="C398" s="43"/>
      <c r="D398" s="95">
        <f t="shared" ref="D398:R398" si="123">D396+D376</f>
        <v>2613.4430000000002</v>
      </c>
      <c r="E398" s="95">
        <f t="shared" si="123"/>
        <v>2652.6089999999999</v>
      </c>
      <c r="F398" s="95">
        <f t="shared" si="123"/>
        <v>2610.5</v>
      </c>
      <c r="G398" s="95">
        <f t="shared" si="123"/>
        <v>2227.8000000000002</v>
      </c>
      <c r="H398" s="95">
        <f t="shared" si="123"/>
        <v>2774.1</v>
      </c>
      <c r="I398" s="95">
        <f t="shared" si="123"/>
        <v>2864.9</v>
      </c>
      <c r="J398" s="95">
        <f t="shared" si="123"/>
        <v>2927.9</v>
      </c>
      <c r="K398" s="95">
        <f t="shared" si="123"/>
        <v>3437.1</v>
      </c>
      <c r="L398" s="95">
        <f t="shared" si="123"/>
        <v>3444.6</v>
      </c>
      <c r="M398" s="95">
        <f t="shared" si="123"/>
        <v>3248.8</v>
      </c>
      <c r="N398" s="95">
        <f t="shared" si="123"/>
        <v>4239.6000000000004</v>
      </c>
      <c r="O398" s="95">
        <f t="shared" si="123"/>
        <v>4360.3999999999996</v>
      </c>
      <c r="P398" s="95">
        <f t="shared" si="123"/>
        <v>4219.5</v>
      </c>
      <c r="Q398" s="95">
        <f t="shared" si="123"/>
        <v>4011.3</v>
      </c>
      <c r="R398" s="95">
        <f t="shared" si="123"/>
        <v>3859</v>
      </c>
      <c r="S398" s="95">
        <f>S396+S376</f>
        <v>5843.8</v>
      </c>
      <c r="T398" s="244"/>
      <c r="U398" s="244"/>
      <c r="AK398" s="2"/>
    </row>
    <row r="399" spans="2:37" x14ac:dyDescent="0.3">
      <c r="B399" s="28" t="s">
        <v>134</v>
      </c>
      <c r="C399" s="28"/>
      <c r="D399" s="38">
        <f t="shared" ref="D399:S399" si="124">D390/(D390+D396)</f>
        <v>0.57225735038623704</v>
      </c>
      <c r="E399" s="38">
        <f t="shared" si="124"/>
        <v>0.57304178288493435</v>
      </c>
      <c r="F399" s="38">
        <f t="shared" si="124"/>
        <v>0.58442778228823411</v>
      </c>
      <c r="G399" s="38">
        <f t="shared" si="124"/>
        <v>0.66848214285714291</v>
      </c>
      <c r="H399" s="38">
        <f t="shared" si="124"/>
        <v>0.61503448467270783</v>
      </c>
      <c r="I399" s="38">
        <f t="shared" si="124"/>
        <v>0.60424638421903265</v>
      </c>
      <c r="J399" s="38">
        <f t="shared" si="124"/>
        <v>0.60785653059037825</v>
      </c>
      <c r="K399" s="38">
        <f t="shared" si="124"/>
        <v>0.60557933511584405</v>
      </c>
      <c r="L399" s="38">
        <f t="shared" si="124"/>
        <v>0.63793647123126407</v>
      </c>
      <c r="M399" s="38">
        <f t="shared" si="124"/>
        <v>0.68955269520014517</v>
      </c>
      <c r="N399" s="38">
        <f t="shared" si="124"/>
        <v>0.65971976471713456</v>
      </c>
      <c r="O399" s="38">
        <f t="shared" si="124"/>
        <v>0.64313903335681277</v>
      </c>
      <c r="P399" s="38">
        <f t="shared" si="124"/>
        <v>0.6802474575356755</v>
      </c>
      <c r="Q399" s="38">
        <f t="shared" si="124"/>
        <v>0.70725824395888026</v>
      </c>
      <c r="R399" s="38">
        <f t="shared" si="124"/>
        <v>0.75536980213733995</v>
      </c>
      <c r="S399" s="38">
        <f t="shared" si="124"/>
        <v>0.72786620292978188</v>
      </c>
      <c r="T399" s="238"/>
      <c r="U399" s="238"/>
      <c r="AK399" s="41"/>
    </row>
    <row r="400" spans="2:37" x14ac:dyDescent="0.3">
      <c r="B400" s="43" t="s">
        <v>137</v>
      </c>
      <c r="C400" s="28"/>
      <c r="D400" s="114">
        <f>D392/(D396+D392)</f>
        <v>0.57225735038623704</v>
      </c>
      <c r="E400" s="114">
        <f t="shared" ref="E400:S400" si="125">E392/(E396+E392)</f>
        <v>0.57304178288493435</v>
      </c>
      <c r="F400" s="114">
        <f t="shared" si="125"/>
        <v>0.58442778228823411</v>
      </c>
      <c r="G400" s="114">
        <f t="shared" si="125"/>
        <v>0.66848214285714291</v>
      </c>
      <c r="H400" s="114">
        <f t="shared" si="125"/>
        <v>0.61503448467270783</v>
      </c>
      <c r="I400" s="114">
        <f t="shared" si="125"/>
        <v>0.60424638421903265</v>
      </c>
      <c r="J400" s="114">
        <f t="shared" si="125"/>
        <v>0.60785653059037825</v>
      </c>
      <c r="K400" s="114">
        <f t="shared" si="125"/>
        <v>0.60557933511584405</v>
      </c>
      <c r="L400" s="114">
        <f t="shared" si="125"/>
        <v>0.63793647123126407</v>
      </c>
      <c r="M400" s="114">
        <f t="shared" si="125"/>
        <v>0.68955269520014517</v>
      </c>
      <c r="N400" s="114">
        <f t="shared" si="125"/>
        <v>0.65971976471713456</v>
      </c>
      <c r="O400" s="114">
        <f t="shared" si="125"/>
        <v>0.64313903335681277</v>
      </c>
      <c r="P400" s="114">
        <f t="shared" si="125"/>
        <v>0.6802474575356755</v>
      </c>
      <c r="Q400" s="114">
        <f t="shared" si="125"/>
        <v>0.70725824395888026</v>
      </c>
      <c r="R400" s="114">
        <f t="shared" si="125"/>
        <v>0.75536980213733995</v>
      </c>
      <c r="S400" s="114">
        <f t="shared" si="125"/>
        <v>0.68505070510351906</v>
      </c>
      <c r="T400" s="238"/>
      <c r="U400" s="238"/>
      <c r="AK400" s="41"/>
    </row>
    <row r="401" spans="2:37" x14ac:dyDescent="0.3">
      <c r="B401" s="43" t="s">
        <v>135</v>
      </c>
      <c r="C401" s="43"/>
      <c r="D401" s="114">
        <f>D393/(D396+D393)</f>
        <v>0.57225735038623704</v>
      </c>
      <c r="E401" s="114">
        <f t="shared" ref="E401:S401" si="126">E393/(E396+E393)</f>
        <v>0.57304178288493435</v>
      </c>
      <c r="F401" s="114">
        <f t="shared" si="126"/>
        <v>0.58442778228823411</v>
      </c>
      <c r="G401" s="114">
        <f t="shared" si="126"/>
        <v>0.66848214285714291</v>
      </c>
      <c r="H401" s="114">
        <f t="shared" si="126"/>
        <v>0.61503448467270783</v>
      </c>
      <c r="I401" s="114">
        <f t="shared" si="126"/>
        <v>0.60424638421903265</v>
      </c>
      <c r="J401" s="114">
        <f t="shared" si="126"/>
        <v>0.60785653059037825</v>
      </c>
      <c r="K401" s="114">
        <f t="shared" si="126"/>
        <v>0.60557933511584405</v>
      </c>
      <c r="L401" s="114">
        <f t="shared" si="126"/>
        <v>0.63793647123126407</v>
      </c>
      <c r="M401" s="114">
        <f t="shared" si="126"/>
        <v>0.68955269520014517</v>
      </c>
      <c r="N401" s="114">
        <f t="shared" si="126"/>
        <v>0.63598227897316262</v>
      </c>
      <c r="O401" s="114">
        <f t="shared" si="126"/>
        <v>0.61878845975447605</v>
      </c>
      <c r="P401" s="114">
        <f t="shared" si="126"/>
        <v>0.65996022031823753</v>
      </c>
      <c r="Q401" s="114">
        <f t="shared" si="126"/>
        <v>0.68714865931724578</v>
      </c>
      <c r="R401" s="114">
        <f t="shared" si="126"/>
        <v>0.73710956975045705</v>
      </c>
      <c r="S401" s="114">
        <f t="shared" si="126"/>
        <v>0.66368033525241843</v>
      </c>
      <c r="T401" s="238"/>
      <c r="U401" s="238"/>
      <c r="AK401" s="41"/>
    </row>
    <row r="402" spans="2:37" x14ac:dyDescent="0.3">
      <c r="B402" s="43" t="s">
        <v>99</v>
      </c>
      <c r="C402" s="43"/>
      <c r="D402" s="114">
        <f>D394/(D397+D394)</f>
        <v>0.57225735038623704</v>
      </c>
      <c r="E402" s="114">
        <f t="shared" ref="E402:S402" si="127">E394/(E397+E394)</f>
        <v>0.57304178288493435</v>
      </c>
      <c r="F402" s="114">
        <f t="shared" si="127"/>
        <v>0.58442778228823411</v>
      </c>
      <c r="G402" s="114">
        <f t="shared" si="127"/>
        <v>0.66848214285714291</v>
      </c>
      <c r="H402" s="114">
        <f t="shared" si="127"/>
        <v>0.61503448467270783</v>
      </c>
      <c r="I402" s="114">
        <f t="shared" si="127"/>
        <v>0.60424638421903265</v>
      </c>
      <c r="J402" s="114">
        <f t="shared" si="127"/>
        <v>0.60785653059037825</v>
      </c>
      <c r="K402" s="114">
        <f t="shared" si="127"/>
        <v>0.60557933511584405</v>
      </c>
      <c r="L402" s="114">
        <f t="shared" si="127"/>
        <v>0.63793647123126407</v>
      </c>
      <c r="M402" s="114">
        <f t="shared" si="127"/>
        <v>0.68955269520014517</v>
      </c>
      <c r="N402" s="114">
        <f t="shared" si="127"/>
        <v>0.62711491559466315</v>
      </c>
      <c r="O402" s="114">
        <f t="shared" si="127"/>
        <v>0.61120063297856941</v>
      </c>
      <c r="P402" s="114">
        <f t="shared" si="127"/>
        <v>0.65041677531898823</v>
      </c>
      <c r="Q402" s="114">
        <f t="shared" si="127"/>
        <v>0.67511904232121389</v>
      </c>
      <c r="R402" s="114">
        <f t="shared" si="127"/>
        <v>0.72064006250864787</v>
      </c>
      <c r="S402" s="114">
        <f t="shared" si="127"/>
        <v>0.63244230357864384</v>
      </c>
      <c r="T402" s="238"/>
      <c r="U402" s="238"/>
      <c r="AK402" s="41"/>
    </row>
    <row r="403" spans="2:37" x14ac:dyDescent="0.3">
      <c r="B403" s="43" t="s">
        <v>100</v>
      </c>
      <c r="C403" s="43"/>
      <c r="D403" s="114">
        <f>D390/(D396+D390)</f>
        <v>0.57225735038623704</v>
      </c>
      <c r="E403" s="114">
        <f t="shared" ref="E403:S403" si="128">E390/(E396+E390)</f>
        <v>0.57304178288493435</v>
      </c>
      <c r="F403" s="114">
        <f t="shared" si="128"/>
        <v>0.58442778228823411</v>
      </c>
      <c r="G403" s="114">
        <f t="shared" si="128"/>
        <v>0.66848214285714291</v>
      </c>
      <c r="H403" s="114">
        <f t="shared" si="128"/>
        <v>0.61503448467270783</v>
      </c>
      <c r="I403" s="114">
        <f t="shared" si="128"/>
        <v>0.60424638421903265</v>
      </c>
      <c r="J403" s="114">
        <f t="shared" si="128"/>
        <v>0.60785653059037825</v>
      </c>
      <c r="K403" s="114">
        <f t="shared" si="128"/>
        <v>0.60557933511584405</v>
      </c>
      <c r="L403" s="114">
        <f t="shared" si="128"/>
        <v>0.63793647123126407</v>
      </c>
      <c r="M403" s="114">
        <f t="shared" si="128"/>
        <v>0.68955269520014517</v>
      </c>
      <c r="N403" s="114">
        <f t="shared" si="128"/>
        <v>0.65971976471713456</v>
      </c>
      <c r="O403" s="114">
        <f t="shared" si="128"/>
        <v>0.64313903335681277</v>
      </c>
      <c r="P403" s="114">
        <f t="shared" si="128"/>
        <v>0.6802474575356755</v>
      </c>
      <c r="Q403" s="114">
        <f t="shared" si="128"/>
        <v>0.70725824395888026</v>
      </c>
      <c r="R403" s="114">
        <f t="shared" si="128"/>
        <v>0.75536980213733995</v>
      </c>
      <c r="S403" s="114">
        <f t="shared" si="128"/>
        <v>0.72786620292978188</v>
      </c>
      <c r="T403" s="238"/>
      <c r="U403" s="238"/>
      <c r="AK403" s="41"/>
    </row>
    <row r="404" spans="2:37" x14ac:dyDescent="0.3">
      <c r="B404" s="43" t="s">
        <v>101</v>
      </c>
      <c r="C404" s="43"/>
      <c r="D404" s="114">
        <f>D393/(D398+D393)</f>
        <v>0.57225735038623704</v>
      </c>
      <c r="E404" s="114">
        <f t="shared" ref="E404:S404" si="129">E393/(E398+E393)</f>
        <v>0.57304178288493435</v>
      </c>
      <c r="F404" s="114">
        <f t="shared" si="129"/>
        <v>0.58442778228823411</v>
      </c>
      <c r="G404" s="114">
        <f t="shared" si="129"/>
        <v>0.66848214285714291</v>
      </c>
      <c r="H404" s="114">
        <f t="shared" si="129"/>
        <v>0.61503448467270783</v>
      </c>
      <c r="I404" s="114">
        <f t="shared" si="129"/>
        <v>0.60424638421903265</v>
      </c>
      <c r="J404" s="114">
        <f t="shared" si="129"/>
        <v>0.60785653059037825</v>
      </c>
      <c r="K404" s="114">
        <f t="shared" si="129"/>
        <v>0.60557933511584405</v>
      </c>
      <c r="L404" s="114">
        <f t="shared" si="129"/>
        <v>0.63793647123126407</v>
      </c>
      <c r="M404" s="114">
        <f t="shared" si="129"/>
        <v>0.68955269520014517</v>
      </c>
      <c r="N404" s="114">
        <f t="shared" si="129"/>
        <v>0.59451006647219162</v>
      </c>
      <c r="O404" s="114">
        <f t="shared" si="129"/>
        <v>0.57926223260032617</v>
      </c>
      <c r="P404" s="114">
        <f t="shared" si="129"/>
        <v>0.62058609310230106</v>
      </c>
      <c r="Q404" s="114">
        <f t="shared" si="129"/>
        <v>0.64297984068354763</v>
      </c>
      <c r="R404" s="114">
        <f t="shared" si="129"/>
        <v>0.68591032287995579</v>
      </c>
      <c r="S404" s="114">
        <f t="shared" si="129"/>
        <v>0.53701840422750569</v>
      </c>
      <c r="T404" s="238"/>
      <c r="U404" s="238"/>
      <c r="AK404" s="41"/>
    </row>
    <row r="405" spans="2:37" x14ac:dyDescent="0.3">
      <c r="B405" s="28" t="s">
        <v>27</v>
      </c>
      <c r="C405" s="28"/>
      <c r="D405" s="64">
        <f t="shared" ref="D405:S405" si="130">D384*D383</f>
        <v>2720.4840130000002</v>
      </c>
      <c r="E405" s="64">
        <f t="shared" si="130"/>
        <v>2971.6056141999998</v>
      </c>
      <c r="F405" s="64">
        <f t="shared" si="130"/>
        <v>2532.1428120999999</v>
      </c>
      <c r="G405" s="64">
        <f t="shared" si="130"/>
        <v>1929.5852166500001</v>
      </c>
      <c r="H405" s="64">
        <f t="shared" si="130"/>
        <v>2461.6775374100002</v>
      </c>
      <c r="I405" s="64">
        <f t="shared" si="130"/>
        <v>2431.7504319300001</v>
      </c>
      <c r="J405" s="64">
        <f t="shared" si="130"/>
        <v>3113.4361581499998</v>
      </c>
      <c r="K405" s="64">
        <f t="shared" si="130"/>
        <v>4024.2140200350004</v>
      </c>
      <c r="L405" s="64">
        <f t="shared" si="130"/>
        <v>4436.4552748000006</v>
      </c>
      <c r="M405" s="64">
        <f t="shared" si="130"/>
        <v>5061.69299314</v>
      </c>
      <c r="N405" s="64">
        <f t="shared" si="130"/>
        <v>5271.0763735</v>
      </c>
      <c r="O405" s="64">
        <f t="shared" si="130"/>
        <v>6071.3161952200007</v>
      </c>
      <c r="P405" s="64">
        <f t="shared" si="130"/>
        <v>6054.0308313750002</v>
      </c>
      <c r="Q405" s="64">
        <f t="shared" si="130"/>
        <v>6410.4259798800003</v>
      </c>
      <c r="R405" s="64">
        <f t="shared" si="130"/>
        <v>6372.8973062999994</v>
      </c>
      <c r="S405" s="64">
        <f t="shared" si="130"/>
        <v>6975.2614044549991</v>
      </c>
      <c r="T405" s="244"/>
      <c r="U405" s="244"/>
      <c r="AK405" s="2"/>
    </row>
    <row r="406" spans="2:37" x14ac:dyDescent="0.3">
      <c r="B406" s="43" t="s">
        <v>102</v>
      </c>
      <c r="C406" s="43"/>
      <c r="D406" s="95">
        <f t="shared" ref="D406:M406" si="131">D405+0.5*D376</f>
        <v>2720.4840130000002</v>
      </c>
      <c r="E406" s="95">
        <f t="shared" si="131"/>
        <v>2971.6056141999998</v>
      </c>
      <c r="F406" s="95">
        <f t="shared" si="131"/>
        <v>2532.1428120999999</v>
      </c>
      <c r="G406" s="95">
        <f t="shared" si="131"/>
        <v>1929.5852166500001</v>
      </c>
      <c r="H406" s="95">
        <f t="shared" si="131"/>
        <v>2461.6775374100002</v>
      </c>
      <c r="I406" s="95">
        <f t="shared" si="131"/>
        <v>2431.7504319300001</v>
      </c>
      <c r="J406" s="95">
        <f t="shared" si="131"/>
        <v>3113.4361581499998</v>
      </c>
      <c r="K406" s="95">
        <f t="shared" si="131"/>
        <v>4024.2140200350004</v>
      </c>
      <c r="L406" s="95">
        <f t="shared" si="131"/>
        <v>4436.4552748000006</v>
      </c>
      <c r="M406" s="95">
        <f t="shared" si="131"/>
        <v>5061.69299314</v>
      </c>
      <c r="N406" s="95">
        <f t="shared" ref="N406:S406" si="132">N405+0.5*N376</f>
        <v>5611.9763734999997</v>
      </c>
      <c r="O406" s="95">
        <f t="shared" si="132"/>
        <v>6402.3161952200007</v>
      </c>
      <c r="P406" s="95">
        <f t="shared" si="132"/>
        <v>6385.7808313750002</v>
      </c>
      <c r="Q406" s="95">
        <f t="shared" si="132"/>
        <v>6771.5259798800007</v>
      </c>
      <c r="R406" s="95">
        <f t="shared" si="132"/>
        <v>6799.5973062999992</v>
      </c>
      <c r="S406" s="95">
        <f t="shared" si="132"/>
        <v>8179.711404454999</v>
      </c>
      <c r="T406" s="244"/>
      <c r="U406" s="244"/>
      <c r="AK406" s="2"/>
    </row>
    <row r="407" spans="2:37" x14ac:dyDescent="0.3">
      <c r="B407" s="43" t="s">
        <v>103</v>
      </c>
      <c r="C407" s="43"/>
      <c r="D407" s="95">
        <f t="shared" ref="D407:M407" si="133">D405+D376</f>
        <v>2720.4840130000002</v>
      </c>
      <c r="E407" s="95">
        <f t="shared" si="133"/>
        <v>2971.6056141999998</v>
      </c>
      <c r="F407" s="95">
        <f t="shared" si="133"/>
        <v>2532.1428120999999</v>
      </c>
      <c r="G407" s="95">
        <f t="shared" si="133"/>
        <v>1929.5852166500001</v>
      </c>
      <c r="H407" s="95">
        <f t="shared" si="133"/>
        <v>2461.6775374100002</v>
      </c>
      <c r="I407" s="95">
        <f t="shared" si="133"/>
        <v>2431.7504319300001</v>
      </c>
      <c r="J407" s="95">
        <f t="shared" si="133"/>
        <v>3113.4361581499998</v>
      </c>
      <c r="K407" s="95">
        <f t="shared" si="133"/>
        <v>4024.2140200350004</v>
      </c>
      <c r="L407" s="95">
        <f t="shared" si="133"/>
        <v>4436.4552748000006</v>
      </c>
      <c r="M407" s="95">
        <f t="shared" si="133"/>
        <v>5061.69299314</v>
      </c>
      <c r="N407" s="95">
        <f t="shared" ref="N407:S407" si="134">N405+N376</f>
        <v>5952.8763735000002</v>
      </c>
      <c r="O407" s="95">
        <f t="shared" si="134"/>
        <v>6733.3161952200007</v>
      </c>
      <c r="P407" s="95">
        <f t="shared" si="134"/>
        <v>6717.5308313750002</v>
      </c>
      <c r="Q407" s="95">
        <f t="shared" si="134"/>
        <v>7132.6259798800002</v>
      </c>
      <c r="R407" s="95">
        <f t="shared" si="134"/>
        <v>7226.297306299999</v>
      </c>
      <c r="S407" s="95">
        <f t="shared" si="134"/>
        <v>9384.1614044549988</v>
      </c>
      <c r="T407" s="244"/>
      <c r="U407" s="244"/>
      <c r="AK407" s="2"/>
    </row>
    <row r="408" spans="2:37" x14ac:dyDescent="0.3">
      <c r="B408" s="28" t="s">
        <v>136</v>
      </c>
      <c r="C408" s="28"/>
      <c r="D408" s="38">
        <f t="shared" ref="D408:S408" si="135">D390/(D390+D405)</f>
        <v>0.56240435212602169</v>
      </c>
      <c r="E408" s="38">
        <f t="shared" si="135"/>
        <v>0.54505588506369151</v>
      </c>
      <c r="F408" s="38">
        <f t="shared" si="135"/>
        <v>0.59180995008676607</v>
      </c>
      <c r="G408" s="38">
        <f t="shared" si="135"/>
        <v>0.69952510843136073</v>
      </c>
      <c r="H408" s="38">
        <f t="shared" si="135"/>
        <v>0.64290793643143507</v>
      </c>
      <c r="I408" s="38">
        <f t="shared" si="135"/>
        <v>0.6427023005454926</v>
      </c>
      <c r="J408" s="38">
        <f t="shared" si="135"/>
        <v>0.59311786013348922</v>
      </c>
      <c r="K408" s="38">
        <f t="shared" si="135"/>
        <v>0.5673545966917557</v>
      </c>
      <c r="L408" s="38">
        <f t="shared" si="135"/>
        <v>0.57770789553301249</v>
      </c>
      <c r="M408" s="38">
        <f t="shared" si="135"/>
        <v>0.5877359232259306</v>
      </c>
      <c r="N408" s="38">
        <f t="shared" si="135"/>
        <v>0.56683595690205568</v>
      </c>
      <c r="O408" s="38">
        <f t="shared" si="135"/>
        <v>0.52331795963997563</v>
      </c>
      <c r="P408" s="38">
        <f t="shared" si="135"/>
        <v>0.55547597667333815</v>
      </c>
      <c r="Q408" s="38">
        <f t="shared" si="135"/>
        <v>0.55349281318421462</v>
      </c>
      <c r="R408" s="38">
        <f t="shared" si="135"/>
        <v>0.59287969521643813</v>
      </c>
      <c r="S408" s="38">
        <f t="shared" si="135"/>
        <v>0.56842827154208408</v>
      </c>
      <c r="T408" s="238"/>
      <c r="U408" s="238"/>
    </row>
    <row r="409" spans="2:37" x14ac:dyDescent="0.3">
      <c r="B409" s="127" t="s">
        <v>138</v>
      </c>
      <c r="C409" s="127"/>
      <c r="D409" s="143">
        <f>D392/(D405+D392)</f>
        <v>0.56240435212602169</v>
      </c>
      <c r="E409" s="143">
        <f t="shared" ref="E409:S409" si="136">E392/(E405+E392)</f>
        <v>0.54505588506369151</v>
      </c>
      <c r="F409" s="143">
        <f t="shared" si="136"/>
        <v>0.59180995008676607</v>
      </c>
      <c r="G409" s="143">
        <f t="shared" si="136"/>
        <v>0.69952510843136073</v>
      </c>
      <c r="H409" s="143">
        <f t="shared" si="136"/>
        <v>0.64290793643143507</v>
      </c>
      <c r="I409" s="143">
        <f t="shared" si="136"/>
        <v>0.6427023005454926</v>
      </c>
      <c r="J409" s="143">
        <f t="shared" si="136"/>
        <v>0.59311786013348922</v>
      </c>
      <c r="K409" s="143">
        <f t="shared" si="136"/>
        <v>0.5673545966917557</v>
      </c>
      <c r="L409" s="143">
        <f t="shared" si="136"/>
        <v>0.57770789553301249</v>
      </c>
      <c r="M409" s="143">
        <f t="shared" si="136"/>
        <v>0.5877359232259306</v>
      </c>
      <c r="N409" s="128">
        <f t="shared" si="136"/>
        <v>0.56683595690205568</v>
      </c>
      <c r="O409" s="128">
        <f t="shared" si="136"/>
        <v>0.52331795963997563</v>
      </c>
      <c r="P409" s="128">
        <f t="shared" si="136"/>
        <v>0.55547597667333815</v>
      </c>
      <c r="Q409" s="128">
        <f t="shared" si="136"/>
        <v>0.55349281318421462</v>
      </c>
      <c r="R409" s="128">
        <f t="shared" si="136"/>
        <v>0.59287969521643813</v>
      </c>
      <c r="S409" s="128">
        <f t="shared" si="136"/>
        <v>0.51716805064048088</v>
      </c>
      <c r="T409" s="234"/>
      <c r="U409" s="234"/>
    </row>
    <row r="410" spans="2:37" x14ac:dyDescent="0.3">
      <c r="B410" s="127" t="s">
        <v>104</v>
      </c>
      <c r="C410" s="127"/>
      <c r="D410" s="143">
        <f>D393/(D393+D405)</f>
        <v>0.56240435212602169</v>
      </c>
      <c r="E410" s="143">
        <f t="shared" ref="E410:S410" si="137">E393/(E393+E405)</f>
        <v>0.54505588506369151</v>
      </c>
      <c r="F410" s="143">
        <f t="shared" si="137"/>
        <v>0.59180995008676607</v>
      </c>
      <c r="G410" s="143">
        <f t="shared" si="137"/>
        <v>0.69952510843136073</v>
      </c>
      <c r="H410" s="143">
        <f t="shared" si="137"/>
        <v>0.64290793643143507</v>
      </c>
      <c r="I410" s="143">
        <f t="shared" si="137"/>
        <v>0.6427023005454926</v>
      </c>
      <c r="J410" s="143">
        <f t="shared" si="137"/>
        <v>0.59311786013348922</v>
      </c>
      <c r="K410" s="143">
        <f t="shared" si="137"/>
        <v>0.5673545966917557</v>
      </c>
      <c r="L410" s="143">
        <f t="shared" si="137"/>
        <v>0.57770789553301249</v>
      </c>
      <c r="M410" s="143">
        <f t="shared" si="137"/>
        <v>0.5877359232259306</v>
      </c>
      <c r="N410" s="128">
        <f t="shared" si="137"/>
        <v>0.54112586270655483</v>
      </c>
      <c r="O410" s="128">
        <f t="shared" si="137"/>
        <v>0.49718350487831958</v>
      </c>
      <c r="P410" s="128">
        <f t="shared" si="137"/>
        <v>0.53271045538641071</v>
      </c>
      <c r="Q410" s="128">
        <f t="shared" si="137"/>
        <v>0.52984218347173029</v>
      </c>
      <c r="R410" s="128">
        <f t="shared" si="137"/>
        <v>0.56940457114127474</v>
      </c>
      <c r="S410" s="128">
        <f t="shared" si="137"/>
        <v>0.49283962172913259</v>
      </c>
      <c r="T410" s="234"/>
      <c r="U410" s="234"/>
    </row>
    <row r="411" spans="2:37" x14ac:dyDescent="0.3">
      <c r="B411" s="127" t="s">
        <v>105</v>
      </c>
      <c r="C411" s="127"/>
      <c r="D411" s="143">
        <f>D394/(D394+D406)</f>
        <v>0.56240435212602169</v>
      </c>
      <c r="E411" s="143">
        <f t="shared" ref="E411:S411" si="138">E394/(E394+E406)</f>
        <v>0.54505588506369151</v>
      </c>
      <c r="F411" s="143">
        <f t="shared" si="138"/>
        <v>0.59180995008676607</v>
      </c>
      <c r="G411" s="143">
        <f t="shared" si="138"/>
        <v>0.69952510843136073</v>
      </c>
      <c r="H411" s="143">
        <f t="shared" si="138"/>
        <v>0.64290793643143507</v>
      </c>
      <c r="I411" s="143">
        <f t="shared" si="138"/>
        <v>0.6427023005454926</v>
      </c>
      <c r="J411" s="143">
        <f t="shared" si="138"/>
        <v>0.59311786013348922</v>
      </c>
      <c r="K411" s="143">
        <f t="shared" si="138"/>
        <v>0.5673545966917557</v>
      </c>
      <c r="L411" s="143">
        <f t="shared" si="138"/>
        <v>0.57770789553301249</v>
      </c>
      <c r="M411" s="143">
        <f t="shared" si="138"/>
        <v>0.5877359232259306</v>
      </c>
      <c r="N411" s="128">
        <f t="shared" si="138"/>
        <v>0.53882163651875248</v>
      </c>
      <c r="O411" s="128">
        <f t="shared" si="138"/>
        <v>0.49732989539067968</v>
      </c>
      <c r="P411" s="128">
        <f t="shared" si="138"/>
        <v>0.53111685977318079</v>
      </c>
      <c r="Q411" s="128">
        <f t="shared" si="138"/>
        <v>0.52834101427642999</v>
      </c>
      <c r="R411" s="128">
        <f t="shared" si="138"/>
        <v>0.56562078522593584</v>
      </c>
      <c r="S411" s="128">
        <f t="shared" si="138"/>
        <v>0.49390682521906254</v>
      </c>
      <c r="T411" s="234"/>
      <c r="U411" s="234"/>
    </row>
    <row r="412" spans="2:37" x14ac:dyDescent="0.3">
      <c r="B412" s="182" t="s">
        <v>89</v>
      </c>
      <c r="C412" s="129"/>
      <c r="D412" s="143">
        <f>D390/(D390+D405)</f>
        <v>0.56240435212602169</v>
      </c>
      <c r="E412" s="143">
        <f t="shared" ref="E412:S412" si="139">E390/(E390+E405)</f>
        <v>0.54505588506369151</v>
      </c>
      <c r="F412" s="143">
        <f t="shared" si="139"/>
        <v>0.59180995008676607</v>
      </c>
      <c r="G412" s="143">
        <f t="shared" si="139"/>
        <v>0.69952510843136073</v>
      </c>
      <c r="H412" s="143">
        <f t="shared" si="139"/>
        <v>0.64290793643143507</v>
      </c>
      <c r="I412" s="143">
        <f t="shared" si="139"/>
        <v>0.6427023005454926</v>
      </c>
      <c r="J412" s="143">
        <f t="shared" si="139"/>
        <v>0.59311786013348922</v>
      </c>
      <c r="K412" s="143">
        <f t="shared" si="139"/>
        <v>0.5673545966917557</v>
      </c>
      <c r="L412" s="143">
        <f t="shared" si="139"/>
        <v>0.57770789553301249</v>
      </c>
      <c r="M412" s="143">
        <f t="shared" si="139"/>
        <v>0.5877359232259306</v>
      </c>
      <c r="N412" s="128">
        <f t="shared" si="139"/>
        <v>0.56683595690205568</v>
      </c>
      <c r="O412" s="128">
        <f t="shared" si="139"/>
        <v>0.52331795963997563</v>
      </c>
      <c r="P412" s="128">
        <f t="shared" si="139"/>
        <v>0.55547597667333815</v>
      </c>
      <c r="Q412" s="128">
        <f t="shared" si="139"/>
        <v>0.55349281318421462</v>
      </c>
      <c r="R412" s="128">
        <f t="shared" si="139"/>
        <v>0.59287969521643813</v>
      </c>
      <c r="S412" s="128">
        <f t="shared" si="139"/>
        <v>0.56842827154208408</v>
      </c>
      <c r="T412" s="234"/>
      <c r="U412" s="234"/>
    </row>
    <row r="413" spans="2:37" x14ac:dyDescent="0.3">
      <c r="B413" s="182" t="s">
        <v>91</v>
      </c>
      <c r="C413" s="129"/>
      <c r="D413" s="143">
        <f>D393/(D393+D407)</f>
        <v>0.56240435212602169</v>
      </c>
      <c r="E413" s="143">
        <f t="shared" ref="E413:S413" si="140">E393/(E393+E407)</f>
        <v>0.54505588506369151</v>
      </c>
      <c r="F413" s="143">
        <f t="shared" si="140"/>
        <v>0.59180995008676607</v>
      </c>
      <c r="G413" s="143">
        <f t="shared" si="140"/>
        <v>0.69952510843136073</v>
      </c>
      <c r="H413" s="143">
        <f t="shared" si="140"/>
        <v>0.64290793643143507</v>
      </c>
      <c r="I413" s="143">
        <f t="shared" si="140"/>
        <v>0.6427023005454926</v>
      </c>
      <c r="J413" s="143">
        <f t="shared" si="140"/>
        <v>0.59311786013348922</v>
      </c>
      <c r="K413" s="143">
        <f t="shared" si="140"/>
        <v>0.5673545966917557</v>
      </c>
      <c r="L413" s="143">
        <f t="shared" si="140"/>
        <v>0.57770789553301249</v>
      </c>
      <c r="M413" s="143">
        <f t="shared" si="140"/>
        <v>0.5877359232259306</v>
      </c>
      <c r="N413" s="128">
        <f t="shared" si="140"/>
        <v>0.51080731613544916</v>
      </c>
      <c r="O413" s="128">
        <f t="shared" si="140"/>
        <v>0.47134183114138378</v>
      </c>
      <c r="P413" s="128">
        <f t="shared" si="140"/>
        <v>0.50675774287302355</v>
      </c>
      <c r="Q413" s="128">
        <f t="shared" si="140"/>
        <v>0.50318921536864536</v>
      </c>
      <c r="R413" s="128">
        <f t="shared" si="140"/>
        <v>0.53836187523543366</v>
      </c>
      <c r="S413" s="128">
        <f t="shared" si="140"/>
        <v>0.41938537889604105</v>
      </c>
      <c r="T413" s="234"/>
      <c r="U413" s="234"/>
    </row>
    <row r="414" spans="2:37" x14ac:dyDescent="0.3"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S414" s="3"/>
      <c r="T414" s="234"/>
      <c r="U414" s="234"/>
    </row>
    <row r="415" spans="2:37" x14ac:dyDescent="0.3">
      <c r="B415" s="1" t="s">
        <v>153</v>
      </c>
      <c r="C415" s="127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S415" s="3"/>
      <c r="T415" s="234"/>
      <c r="U415" s="234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P53"/>
  <sheetViews>
    <sheetView tabSelected="1" zoomScale="85" zoomScaleNormal="85" workbookViewId="0">
      <selection activeCell="I13" sqref="I13"/>
    </sheetView>
  </sheetViews>
  <sheetFormatPr defaultRowHeight="12.75" x14ac:dyDescent="0.2"/>
  <cols>
    <col min="2" max="2" width="17.7109375" customWidth="1"/>
    <col min="10" max="10" width="17.7109375" customWidth="1"/>
    <col min="18" max="18" width="17.7109375" customWidth="1"/>
    <col min="26" max="26" width="17.7109375" customWidth="1"/>
    <col min="34" max="34" width="17.7109375" customWidth="1"/>
  </cols>
  <sheetData>
    <row r="2" spans="2:40" ht="15" x14ac:dyDescent="0.25">
      <c r="B2" s="256" t="s">
        <v>154</v>
      </c>
      <c r="J2" s="256" t="s">
        <v>155</v>
      </c>
      <c r="R2" s="256" t="s">
        <v>156</v>
      </c>
      <c r="Z2" s="256" t="s">
        <v>157</v>
      </c>
      <c r="AH2" s="256" t="s">
        <v>158</v>
      </c>
    </row>
    <row r="4" spans="2:40" x14ac:dyDescent="0.2">
      <c r="B4" s="130" t="s">
        <v>106</v>
      </c>
      <c r="J4" s="130" t="s">
        <v>106</v>
      </c>
      <c r="R4" s="130" t="s">
        <v>106</v>
      </c>
      <c r="Z4" s="130" t="s">
        <v>106</v>
      </c>
      <c r="AH4" s="130" t="s">
        <v>106</v>
      </c>
    </row>
    <row r="6" spans="2:40" x14ac:dyDescent="0.2">
      <c r="B6" s="131"/>
      <c r="C6" s="132" t="s">
        <v>107</v>
      </c>
      <c r="D6" s="133" t="s">
        <v>92</v>
      </c>
      <c r="E6" s="133" t="s">
        <v>108</v>
      </c>
      <c r="F6" s="133" t="s">
        <v>109</v>
      </c>
      <c r="G6" s="134" t="s">
        <v>110</v>
      </c>
      <c r="H6" s="134" t="s">
        <v>111</v>
      </c>
      <c r="J6" s="131"/>
      <c r="K6" s="132" t="s">
        <v>107</v>
      </c>
      <c r="L6" s="133" t="s">
        <v>92</v>
      </c>
      <c r="M6" s="133" t="s">
        <v>108</v>
      </c>
      <c r="N6" s="133" t="s">
        <v>109</v>
      </c>
      <c r="O6" s="134" t="s">
        <v>110</v>
      </c>
      <c r="P6" s="134" t="s">
        <v>111</v>
      </c>
      <c r="R6" s="131"/>
      <c r="S6" s="132" t="s">
        <v>107</v>
      </c>
      <c r="T6" s="133" t="s">
        <v>92</v>
      </c>
      <c r="U6" s="133" t="s">
        <v>108</v>
      </c>
      <c r="V6" s="133" t="s">
        <v>109</v>
      </c>
      <c r="W6" s="134" t="s">
        <v>110</v>
      </c>
      <c r="X6" s="134" t="s">
        <v>111</v>
      </c>
      <c r="Z6" s="131"/>
      <c r="AA6" s="132" t="s">
        <v>107</v>
      </c>
      <c r="AB6" s="133" t="s">
        <v>92</v>
      </c>
      <c r="AC6" s="133" t="s">
        <v>108</v>
      </c>
      <c r="AD6" s="133" t="s">
        <v>109</v>
      </c>
      <c r="AE6" s="134" t="s">
        <v>110</v>
      </c>
      <c r="AF6" s="134" t="s">
        <v>111</v>
      </c>
      <c r="AH6" s="131"/>
      <c r="AI6" s="132" t="s">
        <v>107</v>
      </c>
      <c r="AJ6" s="133" t="s">
        <v>92</v>
      </c>
      <c r="AK6" s="133" t="s">
        <v>108</v>
      </c>
      <c r="AL6" s="133" t="s">
        <v>109</v>
      </c>
      <c r="AM6" s="134" t="s">
        <v>110</v>
      </c>
      <c r="AN6" s="134" t="s">
        <v>111</v>
      </c>
    </row>
    <row r="7" spans="2:40" x14ac:dyDescent="0.2">
      <c r="B7" s="135">
        <v>2006</v>
      </c>
      <c r="C7" s="183">
        <f t="array" ref="C7:C22">TRANSPOSE(Gearing!D260:S260)</f>
        <v>0.6643584211954402</v>
      </c>
      <c r="D7" s="183">
        <f t="array" ref="D7:D22">TRANSPOSE(Gearing!D308:S308)</f>
        <v>0.51325265267928588</v>
      </c>
      <c r="E7" s="183">
        <f t="array" ref="E7:E22">TRANSPOSE(Gearing!D348:S348)</f>
        <v>0.78575465833475455</v>
      </c>
      <c r="F7" s="183">
        <f t="array" ref="F7:F22">TRANSPOSE(Gearing!D410:S410)</f>
        <v>0.56240435212602169</v>
      </c>
      <c r="G7" s="183">
        <f t="array" ref="G7:G22">TRANSPOSE(Gearing!D74:S74)</f>
        <v>0.59770397306461398</v>
      </c>
      <c r="H7" s="183">
        <f>AVERAGE(C7:G7)</f>
        <v>0.62469481148002326</v>
      </c>
      <c r="J7" s="135">
        <v>2006</v>
      </c>
      <c r="K7" s="183">
        <f t="array" ref="K7:K22">TRANSPOSE(Gearing!D260:S260)</f>
        <v>0.6643584211954402</v>
      </c>
      <c r="L7" s="183">
        <f t="array" ref="L7:L22">TRANSPOSE(Gearing!D308:S308)</f>
        <v>0.51325265267928588</v>
      </c>
      <c r="M7" s="183">
        <f t="array" ref="M7:M22">TRANSPOSE(Gearing!D348:S348)</f>
        <v>0.78575465833475455</v>
      </c>
      <c r="N7" s="183">
        <f t="array" ref="N7:N22">TRANSPOSE(Gearing!D409:S409)</f>
        <v>0.56240435212602169</v>
      </c>
      <c r="O7" s="183">
        <f t="array" ref="O7:O22">TRANSPOSE(Gearing!D74:S74)</f>
        <v>0.59770397306461398</v>
      </c>
      <c r="P7" s="183">
        <f>AVERAGE(K7:O7)</f>
        <v>0.62469481148002326</v>
      </c>
      <c r="R7" s="135">
        <v>2006</v>
      </c>
      <c r="S7" s="183">
        <f t="array" ref="S7:S22">TRANSPOSE(Gearing!D261:S261)</f>
        <v>0.68068874855733752</v>
      </c>
      <c r="T7" s="183">
        <f>L7</f>
        <v>0.51325265267928588</v>
      </c>
      <c r="U7" s="183">
        <f>M7</f>
        <v>0.78575465833475455</v>
      </c>
      <c r="V7" s="183">
        <f t="array" ref="V7:V22">TRANSPOSE(Gearing!D412:S412)</f>
        <v>0.56240435212602169</v>
      </c>
      <c r="W7" s="183">
        <f t="array" ref="W7:W22">TRANSPOSE(Gearing!D75:S75)</f>
        <v>0.68481863544346799</v>
      </c>
      <c r="X7" s="183">
        <f>AVERAGE(S7:W7)</f>
        <v>0.64538380942817353</v>
      </c>
      <c r="Z7" s="135">
        <v>2006</v>
      </c>
      <c r="AA7" s="183">
        <f t="array" ref="AA7:AA22">TRANSPOSE(Gearing!D262:S262)</f>
        <v>0.65636171580403513</v>
      </c>
      <c r="AB7" s="183">
        <f>T7</f>
        <v>0.51325265267928588</v>
      </c>
      <c r="AC7" s="183">
        <f>U7</f>
        <v>0.78575465833475455</v>
      </c>
      <c r="AD7" s="183">
        <f t="array" ref="AD7:AD22">TRANSPOSE(Gearing!D411:S411)</f>
        <v>0.56240435212602169</v>
      </c>
      <c r="AE7" s="183">
        <f t="array" ref="AE7:AE22">TRANSPOSE(Gearing!D76:S76)</f>
        <v>0.5765467951241926</v>
      </c>
      <c r="AF7" s="183">
        <f>AVERAGE(AA7:AE7)</f>
        <v>0.61886403481365793</v>
      </c>
      <c r="AH7" s="135">
        <v>2006</v>
      </c>
      <c r="AI7" s="183">
        <f t="array" ref="AI7:AI22">TRANSPOSE(Gearing!D263:S263)</f>
        <v>0.63203468305073274</v>
      </c>
      <c r="AJ7" s="183">
        <f>AB7</f>
        <v>0.51325265267928588</v>
      </c>
      <c r="AK7" s="183">
        <f>AC7</f>
        <v>0.78575465833475455</v>
      </c>
      <c r="AL7" s="183">
        <f t="array" ref="AL7:AL22">TRANSPOSE(Gearing!D413:S413)</f>
        <v>0.56240435212602169</v>
      </c>
      <c r="AM7" s="183">
        <f t="array" ref="AM7:AM22">TRANSPOSE(Gearing!D77:S77)</f>
        <v>0.46827495480491726</v>
      </c>
      <c r="AN7" s="183">
        <f>AVERAGE(AI7:AM7)</f>
        <v>0.59234426019914244</v>
      </c>
    </row>
    <row r="8" spans="2:40" x14ac:dyDescent="0.2">
      <c r="B8" s="136">
        <v>2007</v>
      </c>
      <c r="C8" s="138">
        <v>0.65367511986147742</v>
      </c>
      <c r="D8" s="138">
        <v>0.58893029680051412</v>
      </c>
      <c r="E8" s="138">
        <v>0.67417566948947327</v>
      </c>
      <c r="F8" s="138">
        <v>0.54505588506369151</v>
      </c>
      <c r="G8" s="138">
        <v>0.5729694942245267</v>
      </c>
      <c r="H8" s="138">
        <f t="shared" ref="H8:H21" si="0">AVERAGE(C8:G8)</f>
        <v>0.60696129308793656</v>
      </c>
      <c r="J8" s="136">
        <v>2007</v>
      </c>
      <c r="K8" s="138">
        <v>0.65367511986147742</v>
      </c>
      <c r="L8" s="138">
        <v>0.58893029680051412</v>
      </c>
      <c r="M8" s="138">
        <v>0.67417566948947327</v>
      </c>
      <c r="N8" s="138">
        <v>0.54505588506369151</v>
      </c>
      <c r="O8" s="138">
        <v>0.5729694942245267</v>
      </c>
      <c r="P8" s="138">
        <f t="shared" ref="P8:P22" si="1">AVERAGE(K8:O8)</f>
        <v>0.60696129308793656</v>
      </c>
      <c r="R8" s="136">
        <v>2007</v>
      </c>
      <c r="S8" s="138">
        <v>0.66537606650313996</v>
      </c>
      <c r="T8" s="138">
        <f t="shared" ref="T8:T22" si="2">L8</f>
        <v>0.58893029680051412</v>
      </c>
      <c r="U8" s="138">
        <f t="shared" ref="U8:U22" si="3">M8</f>
        <v>0.67417566948947327</v>
      </c>
      <c r="V8" s="138">
        <v>0.54505588506369151</v>
      </c>
      <c r="W8" s="138">
        <v>0.65785891700314336</v>
      </c>
      <c r="X8" s="138">
        <f>AVERAGE(S8:W8)</f>
        <v>0.62627936697199238</v>
      </c>
      <c r="Z8" s="136">
        <v>2007</v>
      </c>
      <c r="AA8" s="138">
        <v>0.6484830459425287</v>
      </c>
      <c r="AB8" s="138">
        <f>T8</f>
        <v>0.58893029680051412</v>
      </c>
      <c r="AC8" s="138">
        <f>U8</f>
        <v>0.67417566948947327</v>
      </c>
      <c r="AD8" s="138">
        <v>0.54505588506369151</v>
      </c>
      <c r="AE8" s="138">
        <v>0.55846388359158383</v>
      </c>
      <c r="AF8" s="138">
        <f t="shared" ref="AF8:AF21" si="4">AVERAGE(AA8:AE8)</f>
        <v>0.60302175617755827</v>
      </c>
      <c r="AH8" s="136">
        <v>2007</v>
      </c>
      <c r="AI8" s="138">
        <v>0.63159002538191733</v>
      </c>
      <c r="AJ8" s="138">
        <f t="shared" ref="AJ8:AJ22" si="5">AB8</f>
        <v>0.58893029680051412</v>
      </c>
      <c r="AK8" s="138">
        <f t="shared" ref="AK8:AK22" si="6">AC8</f>
        <v>0.67417566948947327</v>
      </c>
      <c r="AL8" s="138">
        <v>0.54505588506369151</v>
      </c>
      <c r="AM8" s="138">
        <v>0.4590688501800243</v>
      </c>
      <c r="AN8" s="138">
        <f t="shared" ref="AN8:AN21" si="7">AVERAGE(AI8:AM8)</f>
        <v>0.57976414538312415</v>
      </c>
    </row>
    <row r="9" spans="2:40" x14ac:dyDescent="0.2">
      <c r="B9" s="135">
        <v>2008</v>
      </c>
      <c r="C9" s="183">
        <v>0.7710087901488698</v>
      </c>
      <c r="D9" s="183">
        <v>0.72565262662079444</v>
      </c>
      <c r="E9" s="183">
        <v>0.75591408237255442</v>
      </c>
      <c r="F9" s="183">
        <v>0.59180995008676607</v>
      </c>
      <c r="G9" s="183">
        <v>0.69688235625108841</v>
      </c>
      <c r="H9" s="183">
        <f t="shared" si="0"/>
        <v>0.70825356109601467</v>
      </c>
      <c r="J9" s="135">
        <v>2008</v>
      </c>
      <c r="K9" s="183">
        <v>0.7710087901488698</v>
      </c>
      <c r="L9" s="183">
        <v>0.72565262662079444</v>
      </c>
      <c r="M9" s="183">
        <v>0.75591408237255442</v>
      </c>
      <c r="N9" s="183">
        <v>0.59180995008676607</v>
      </c>
      <c r="O9" s="183">
        <v>0.69688235625108841</v>
      </c>
      <c r="P9" s="183">
        <f t="shared" si="1"/>
        <v>0.70825356109601467</v>
      </c>
      <c r="R9" s="135">
        <v>2008</v>
      </c>
      <c r="S9" s="183">
        <v>0.77485862496406221</v>
      </c>
      <c r="T9" s="183">
        <f t="shared" si="2"/>
        <v>0.72565262662079444</v>
      </c>
      <c r="U9" s="183">
        <f t="shared" si="3"/>
        <v>0.75591408237255442</v>
      </c>
      <c r="V9" s="183">
        <v>0.59180995008676607</v>
      </c>
      <c r="W9" s="183">
        <v>0.75878263321229189</v>
      </c>
      <c r="X9" s="183">
        <f t="shared" ref="X9:X22" si="8">AVERAGE(S9:W9)</f>
        <v>0.72140358345129385</v>
      </c>
      <c r="Z9" s="135">
        <v>2008</v>
      </c>
      <c r="AA9" s="183">
        <v>0.76645254942584562</v>
      </c>
      <c r="AB9" s="183">
        <f>T9</f>
        <v>0.72565262662079444</v>
      </c>
      <c r="AC9" s="183">
        <f>U9</f>
        <v>0.75591408237255442</v>
      </c>
      <c r="AD9" s="183">
        <v>0.59180995008676607</v>
      </c>
      <c r="AE9" s="183">
        <v>0.65667660567191088</v>
      </c>
      <c r="AF9" s="183">
        <f t="shared" si="4"/>
        <v>0.69930116283557431</v>
      </c>
      <c r="AH9" s="135">
        <v>2008</v>
      </c>
      <c r="AI9" s="183">
        <v>0.75804647388762902</v>
      </c>
      <c r="AJ9" s="183">
        <f t="shared" si="5"/>
        <v>0.72565262662079444</v>
      </c>
      <c r="AK9" s="183">
        <f t="shared" si="6"/>
        <v>0.75591408237255442</v>
      </c>
      <c r="AL9" s="183">
        <v>0.59180995008676607</v>
      </c>
      <c r="AM9" s="183">
        <v>0.55457057813152999</v>
      </c>
      <c r="AN9" s="183">
        <f t="shared" si="7"/>
        <v>0.67719874221985477</v>
      </c>
    </row>
    <row r="10" spans="2:40" x14ac:dyDescent="0.2">
      <c r="B10" s="136">
        <v>2009</v>
      </c>
      <c r="C10" s="138">
        <v>0.75088144367810183</v>
      </c>
      <c r="D10" s="138">
        <v>0.68325428327478244</v>
      </c>
      <c r="E10" s="138">
        <v>0.80276364849533977</v>
      </c>
      <c r="F10" s="138">
        <v>0.69952510843136073</v>
      </c>
      <c r="G10" s="138">
        <v>0.69789951473979261</v>
      </c>
      <c r="H10" s="138">
        <f t="shared" si="0"/>
        <v>0.72686479972387541</v>
      </c>
      <c r="J10" s="136">
        <v>2009</v>
      </c>
      <c r="K10" s="138">
        <v>0.75088144367810183</v>
      </c>
      <c r="L10" s="138">
        <v>0.68325428327478244</v>
      </c>
      <c r="M10" s="138">
        <v>0.80276364849533977</v>
      </c>
      <c r="N10" s="138">
        <v>0.69952510843136073</v>
      </c>
      <c r="O10" s="138">
        <v>0.69789951473979261</v>
      </c>
      <c r="P10" s="138">
        <f t="shared" si="1"/>
        <v>0.72686479972387541</v>
      </c>
      <c r="R10" s="136">
        <v>2009</v>
      </c>
      <c r="S10" s="138">
        <v>0.75088144367810183</v>
      </c>
      <c r="T10" s="138">
        <f t="shared" si="2"/>
        <v>0.68325428327478244</v>
      </c>
      <c r="U10" s="138">
        <f t="shared" si="3"/>
        <v>0.80276364849533977</v>
      </c>
      <c r="V10" s="138">
        <v>0.69952510843136073</v>
      </c>
      <c r="W10" s="138">
        <v>0.75350324410774361</v>
      </c>
      <c r="X10" s="138">
        <f t="shared" si="8"/>
        <v>0.73798554559746565</v>
      </c>
      <c r="Z10" s="136">
        <v>2009</v>
      </c>
      <c r="AA10" s="138">
        <v>0.75088144367810183</v>
      </c>
      <c r="AB10" s="138">
        <f>T10</f>
        <v>0.68325428327478244</v>
      </c>
      <c r="AC10" s="138">
        <f>U10</f>
        <v>0.80276364849533977</v>
      </c>
      <c r="AD10" s="138">
        <v>0.69952510843136073</v>
      </c>
      <c r="AE10" s="138">
        <v>0.66147471042290362</v>
      </c>
      <c r="AF10" s="138">
        <f t="shared" si="4"/>
        <v>0.7195798388604977</v>
      </c>
      <c r="AH10" s="136">
        <v>2009</v>
      </c>
      <c r="AI10" s="138">
        <v>0.75088144367810183</v>
      </c>
      <c r="AJ10" s="138">
        <f t="shared" si="5"/>
        <v>0.68325428327478244</v>
      </c>
      <c r="AK10" s="138">
        <f t="shared" si="6"/>
        <v>0.80276364849533977</v>
      </c>
      <c r="AL10" s="138">
        <v>0.69952510843136073</v>
      </c>
      <c r="AM10" s="138">
        <v>0.56944617673806353</v>
      </c>
      <c r="AN10" s="138">
        <f t="shared" si="7"/>
        <v>0.70117413212352964</v>
      </c>
    </row>
    <row r="11" spans="2:40" x14ac:dyDescent="0.2">
      <c r="B11" s="135">
        <v>2010</v>
      </c>
      <c r="C11" s="183">
        <v>0.74071510542486851</v>
      </c>
      <c r="D11" s="183">
        <v>0.6054366821284034</v>
      </c>
      <c r="E11" s="183">
        <v>0.80030559898159348</v>
      </c>
      <c r="F11" s="183">
        <v>0.64290793643143507</v>
      </c>
      <c r="G11" s="183">
        <v>0.64773077909363463</v>
      </c>
      <c r="H11" s="183">
        <f t="shared" si="0"/>
        <v>0.687419220411987</v>
      </c>
      <c r="J11" s="135">
        <v>2010</v>
      </c>
      <c r="K11" s="183">
        <v>0.74071510542486851</v>
      </c>
      <c r="L11" s="183">
        <v>0.6054366821284034</v>
      </c>
      <c r="M11" s="183">
        <v>0.80030559898159348</v>
      </c>
      <c r="N11" s="183">
        <v>0.64290793643143507</v>
      </c>
      <c r="O11" s="183">
        <v>0.64773077909363463</v>
      </c>
      <c r="P11" s="183">
        <f t="shared" si="1"/>
        <v>0.687419220411987</v>
      </c>
      <c r="R11" s="135">
        <v>2010</v>
      </c>
      <c r="S11" s="183">
        <v>0.74071510542486851</v>
      </c>
      <c r="T11" s="183">
        <f t="shared" si="2"/>
        <v>0.6054366821284034</v>
      </c>
      <c r="U11" s="183">
        <f t="shared" si="3"/>
        <v>0.80030559898159348</v>
      </c>
      <c r="V11" s="183">
        <v>0.64290793643143507</v>
      </c>
      <c r="W11" s="183">
        <v>0.71813297146186095</v>
      </c>
      <c r="X11" s="183">
        <f t="shared" si="8"/>
        <v>0.70149965888563226</v>
      </c>
      <c r="Z11" s="135">
        <v>2010</v>
      </c>
      <c r="AA11" s="183">
        <v>0.74071510542486851</v>
      </c>
      <c r="AB11" s="183">
        <f>T11</f>
        <v>0.6054366821284034</v>
      </c>
      <c r="AC11" s="183">
        <f>U11</f>
        <v>0.80030559898159348</v>
      </c>
      <c r="AD11" s="183">
        <v>0.64290793643143507</v>
      </c>
      <c r="AE11" s="183">
        <v>0.6182062844423617</v>
      </c>
      <c r="AF11" s="183">
        <f t="shared" si="4"/>
        <v>0.68151432148173241</v>
      </c>
      <c r="AH11" s="135">
        <v>2010</v>
      </c>
      <c r="AI11" s="183">
        <v>0.74071510542486851</v>
      </c>
      <c r="AJ11" s="183">
        <f t="shared" si="5"/>
        <v>0.6054366821284034</v>
      </c>
      <c r="AK11" s="183">
        <f t="shared" si="6"/>
        <v>0.80030559898159348</v>
      </c>
      <c r="AL11" s="183">
        <v>0.64290793643143507</v>
      </c>
      <c r="AM11" s="183">
        <v>0.51827959742286267</v>
      </c>
      <c r="AN11" s="183">
        <f t="shared" si="7"/>
        <v>0.66152898407783256</v>
      </c>
    </row>
    <row r="12" spans="2:40" x14ac:dyDescent="0.2">
      <c r="B12" s="136">
        <v>2011</v>
      </c>
      <c r="C12" s="138">
        <v>0.65908410673664919</v>
      </c>
      <c r="D12" s="138">
        <v>0.52829253209211569</v>
      </c>
      <c r="E12" s="138">
        <v>0.78793310921986237</v>
      </c>
      <c r="F12" s="138">
        <v>0.6427023005454926</v>
      </c>
      <c r="G12" s="138">
        <v>0.61916736147207563</v>
      </c>
      <c r="H12" s="138">
        <f t="shared" si="0"/>
        <v>0.64743588201323909</v>
      </c>
      <c r="J12" s="136">
        <v>2011</v>
      </c>
      <c r="K12" s="138">
        <v>0.65908410673664919</v>
      </c>
      <c r="L12" s="138">
        <v>0.52829253209211569</v>
      </c>
      <c r="M12" s="138">
        <v>0.78793310921986237</v>
      </c>
      <c r="N12" s="138">
        <v>0.6427023005454926</v>
      </c>
      <c r="O12" s="138">
        <v>0.61916736147207563</v>
      </c>
      <c r="P12" s="138">
        <f t="shared" si="1"/>
        <v>0.64743588201323909</v>
      </c>
      <c r="R12" s="136">
        <v>2011</v>
      </c>
      <c r="S12" s="138">
        <v>0.65908410673664919</v>
      </c>
      <c r="T12" s="138">
        <f t="shared" si="2"/>
        <v>0.52829253209211569</v>
      </c>
      <c r="U12" s="138">
        <f t="shared" si="3"/>
        <v>0.78793310921986237</v>
      </c>
      <c r="V12" s="138">
        <v>0.6427023005454926</v>
      </c>
      <c r="W12" s="138">
        <v>0.68812485809894464</v>
      </c>
      <c r="X12" s="138">
        <f t="shared" si="8"/>
        <v>0.66122738133861292</v>
      </c>
      <c r="Z12" s="136">
        <v>2011</v>
      </c>
      <c r="AA12" s="138">
        <v>0.65908410673664919</v>
      </c>
      <c r="AB12" s="138">
        <f>T12</f>
        <v>0.52829253209211569</v>
      </c>
      <c r="AC12" s="138">
        <f>U12</f>
        <v>0.78793310921986237</v>
      </c>
      <c r="AD12" s="138">
        <v>0.6427023005454926</v>
      </c>
      <c r="AE12" s="138">
        <v>0.59758968641116839</v>
      </c>
      <c r="AF12" s="138">
        <f t="shared" si="4"/>
        <v>0.64312034700105769</v>
      </c>
      <c r="AH12" s="136">
        <v>2011</v>
      </c>
      <c r="AI12" s="138">
        <v>0.65908410673664919</v>
      </c>
      <c r="AJ12" s="138">
        <f t="shared" si="5"/>
        <v>0.52829253209211569</v>
      </c>
      <c r="AK12" s="138">
        <f t="shared" si="6"/>
        <v>0.78793310921986237</v>
      </c>
      <c r="AL12" s="138">
        <v>0.6427023005454926</v>
      </c>
      <c r="AM12" s="138">
        <v>0.50705451472339214</v>
      </c>
      <c r="AN12" s="138">
        <f t="shared" si="7"/>
        <v>0.62501331266350246</v>
      </c>
    </row>
    <row r="13" spans="2:40" x14ac:dyDescent="0.2">
      <c r="B13" s="135">
        <v>2012</v>
      </c>
      <c r="C13" s="183">
        <v>0.63107910587658389</v>
      </c>
      <c r="D13" s="183">
        <v>0.47467815649500239</v>
      </c>
      <c r="E13" s="183">
        <v>0.71507886633077278</v>
      </c>
      <c r="F13" s="183">
        <v>0.59311786013348922</v>
      </c>
      <c r="G13" s="183">
        <v>0.59080818522740064</v>
      </c>
      <c r="H13" s="183">
        <f t="shared" si="0"/>
        <v>0.60095243481264971</v>
      </c>
      <c r="J13" s="135">
        <v>2012</v>
      </c>
      <c r="K13" s="183">
        <v>0.63107910587658389</v>
      </c>
      <c r="L13" s="183">
        <v>0.47467815649500239</v>
      </c>
      <c r="M13" s="183">
        <v>0.71507886633077278</v>
      </c>
      <c r="N13" s="183">
        <v>0.59311786013348922</v>
      </c>
      <c r="O13" s="183">
        <v>0.59080818522740064</v>
      </c>
      <c r="P13" s="183">
        <f t="shared" si="1"/>
        <v>0.60095243481264971</v>
      </c>
      <c r="R13" s="135">
        <v>2012</v>
      </c>
      <c r="S13" s="183">
        <v>0.63107910587658389</v>
      </c>
      <c r="T13" s="183">
        <f t="shared" si="2"/>
        <v>0.47467815649500239</v>
      </c>
      <c r="U13" s="183">
        <f t="shared" si="3"/>
        <v>0.71507886633077278</v>
      </c>
      <c r="V13" s="183">
        <v>0.59311786013348922</v>
      </c>
      <c r="W13" s="183">
        <v>0.65795698377077405</v>
      </c>
      <c r="X13" s="183">
        <f t="shared" si="8"/>
        <v>0.61438219452132448</v>
      </c>
      <c r="Z13" s="135">
        <v>2012</v>
      </c>
      <c r="AA13" s="183">
        <v>0.63107910587658389</v>
      </c>
      <c r="AB13" s="183">
        <f>T13</f>
        <v>0.47467815649500239</v>
      </c>
      <c r="AC13" s="183">
        <f>U13</f>
        <v>0.71507886633077278</v>
      </c>
      <c r="AD13" s="183">
        <v>0.59311786013348922</v>
      </c>
      <c r="AE13" s="183">
        <v>0.57590646843887516</v>
      </c>
      <c r="AF13" s="183">
        <f t="shared" si="4"/>
        <v>0.59797209145494468</v>
      </c>
      <c r="AH13" s="135">
        <v>2012</v>
      </c>
      <c r="AI13" s="183">
        <v>0.63107910587658389</v>
      </c>
      <c r="AJ13" s="183">
        <f t="shared" si="5"/>
        <v>0.47467815649500239</v>
      </c>
      <c r="AK13" s="183">
        <f t="shared" si="6"/>
        <v>0.71507886633077278</v>
      </c>
      <c r="AL13" s="183">
        <v>0.59311786013348922</v>
      </c>
      <c r="AM13" s="183">
        <v>0.49385595310697639</v>
      </c>
      <c r="AN13" s="183">
        <f t="shared" si="7"/>
        <v>0.58156198838856488</v>
      </c>
    </row>
    <row r="14" spans="2:40" x14ac:dyDescent="0.2">
      <c r="B14" s="136">
        <v>2013</v>
      </c>
      <c r="C14" s="138">
        <v>0.53204917026483822</v>
      </c>
      <c r="D14" s="138">
        <v>0.46287697910029391</v>
      </c>
      <c r="E14" s="138">
        <v>0.70702353152416275</v>
      </c>
      <c r="F14" s="138">
        <v>0.5673545966917557</v>
      </c>
      <c r="G14" s="138">
        <v>0.61510322201027079</v>
      </c>
      <c r="H14" s="138">
        <f t="shared" si="0"/>
        <v>0.57688149991826432</v>
      </c>
      <c r="J14" s="136">
        <v>2013</v>
      </c>
      <c r="K14" s="138">
        <v>0.53204917026483822</v>
      </c>
      <c r="L14" s="138">
        <v>0.46287697910029391</v>
      </c>
      <c r="M14" s="138">
        <v>0.70702353152416275</v>
      </c>
      <c r="N14" s="138">
        <v>0.5673545966917557</v>
      </c>
      <c r="O14" s="138">
        <v>0.61510322201027079</v>
      </c>
      <c r="P14" s="138">
        <f t="shared" si="1"/>
        <v>0.57688149991826432</v>
      </c>
      <c r="R14" s="136">
        <v>2013</v>
      </c>
      <c r="S14" s="138">
        <v>0.53204917026483822</v>
      </c>
      <c r="T14" s="138">
        <f t="shared" si="2"/>
        <v>0.46287697910029391</v>
      </c>
      <c r="U14" s="138">
        <f t="shared" si="3"/>
        <v>0.70702353152416275</v>
      </c>
      <c r="V14" s="138">
        <v>0.5673545966917557</v>
      </c>
      <c r="W14" s="138">
        <v>0.67665522152643376</v>
      </c>
      <c r="X14" s="138">
        <f t="shared" si="8"/>
        <v>0.58919189982149689</v>
      </c>
      <c r="Z14" s="136">
        <v>2013</v>
      </c>
      <c r="AA14" s="138">
        <v>0.53204917026483822</v>
      </c>
      <c r="AB14" s="138">
        <f>T14</f>
        <v>0.46287697910029391</v>
      </c>
      <c r="AC14" s="138">
        <f>U14</f>
        <v>0.70702353152416275</v>
      </c>
      <c r="AD14" s="138">
        <v>0.5673545966917557</v>
      </c>
      <c r="AE14" s="138">
        <v>0.59669612205352851</v>
      </c>
      <c r="AF14" s="138">
        <f t="shared" si="4"/>
        <v>0.57320007992691591</v>
      </c>
      <c r="AH14" s="136">
        <v>2013</v>
      </c>
      <c r="AI14" s="138">
        <v>0.53204917026483822</v>
      </c>
      <c r="AJ14" s="138">
        <f t="shared" si="5"/>
        <v>0.46287697910029391</v>
      </c>
      <c r="AK14" s="138">
        <f t="shared" si="6"/>
        <v>0.70702353152416275</v>
      </c>
      <c r="AL14" s="138">
        <v>0.5673545966917557</v>
      </c>
      <c r="AM14" s="138">
        <v>0.51673702258062326</v>
      </c>
      <c r="AN14" s="138">
        <f t="shared" si="7"/>
        <v>0.5572082600323347</v>
      </c>
    </row>
    <row r="15" spans="2:40" x14ac:dyDescent="0.2">
      <c r="B15" s="135">
        <v>2014</v>
      </c>
      <c r="C15" s="183">
        <v>0.46727102373240237</v>
      </c>
      <c r="D15" s="183">
        <v>0.4498385601699561</v>
      </c>
      <c r="E15" s="183">
        <v>0.63992499974973915</v>
      </c>
      <c r="F15" s="183">
        <v>0.57770789553301249</v>
      </c>
      <c r="G15" s="183">
        <v>0.55063668704052926</v>
      </c>
      <c r="H15" s="183">
        <f t="shared" si="0"/>
        <v>0.53707583324512786</v>
      </c>
      <c r="J15" s="135">
        <v>2014</v>
      </c>
      <c r="K15" s="183">
        <v>0.46727102373240237</v>
      </c>
      <c r="L15" s="183">
        <v>0.4498385601699561</v>
      </c>
      <c r="M15" s="183">
        <v>0.63992499974973915</v>
      </c>
      <c r="N15" s="183">
        <v>0.57770789553301249</v>
      </c>
      <c r="O15" s="183">
        <v>0.55063668704052926</v>
      </c>
      <c r="P15" s="183">
        <f t="shared" si="1"/>
        <v>0.53707583324512786</v>
      </c>
      <c r="R15" s="135">
        <v>2014</v>
      </c>
      <c r="S15" s="183">
        <v>0.46727102373240237</v>
      </c>
      <c r="T15" s="183">
        <f t="shared" si="2"/>
        <v>0.4498385601699561</v>
      </c>
      <c r="U15" s="183">
        <f t="shared" si="3"/>
        <v>0.63992499974973915</v>
      </c>
      <c r="V15" s="183">
        <v>0.57770789553301249</v>
      </c>
      <c r="W15" s="183">
        <v>0.61024418810951642</v>
      </c>
      <c r="X15" s="183">
        <f t="shared" si="8"/>
        <v>0.54899733345892532</v>
      </c>
      <c r="Z15" s="135">
        <v>2014</v>
      </c>
      <c r="AA15" s="183">
        <v>0.46727102373240237</v>
      </c>
      <c r="AB15" s="183">
        <f>T15</f>
        <v>0.4498385601699561</v>
      </c>
      <c r="AC15" s="183">
        <f>U15</f>
        <v>0.63992499974973915</v>
      </c>
      <c r="AD15" s="183">
        <v>0.57770789553301249</v>
      </c>
      <c r="AE15" s="183">
        <v>0.54391979162461312</v>
      </c>
      <c r="AF15" s="183">
        <f t="shared" si="4"/>
        <v>0.53573245416194459</v>
      </c>
      <c r="AH15" s="135">
        <v>2014</v>
      </c>
      <c r="AI15" s="183">
        <v>0.46727102373240237</v>
      </c>
      <c r="AJ15" s="183">
        <f>AB15</f>
        <v>0.4498385601699561</v>
      </c>
      <c r="AK15" s="183">
        <f t="shared" si="6"/>
        <v>0.63992499974973915</v>
      </c>
      <c r="AL15" s="183">
        <v>0.57770789553301249</v>
      </c>
      <c r="AM15" s="183">
        <v>0.47759539513970994</v>
      </c>
      <c r="AN15" s="183">
        <f t="shared" si="7"/>
        <v>0.52246757486496398</v>
      </c>
    </row>
    <row r="16" spans="2:40" x14ac:dyDescent="0.2">
      <c r="B16" s="136">
        <v>2015</v>
      </c>
      <c r="C16" s="138" t="str">
        <v>n/a</v>
      </c>
      <c r="D16" s="138">
        <v>0.50335241790503027</v>
      </c>
      <c r="E16" s="138">
        <v>0.62418812976187898</v>
      </c>
      <c r="F16" s="138">
        <v>0.5877359232259306</v>
      </c>
      <c r="G16" s="138">
        <v>0.56278788774083821</v>
      </c>
      <c r="H16" s="138">
        <f t="shared" si="0"/>
        <v>0.5695160896584196</v>
      </c>
      <c r="J16" s="136">
        <v>2015</v>
      </c>
      <c r="K16" s="138" t="str">
        <v>n/a</v>
      </c>
      <c r="L16" s="138">
        <v>0.50335241790503027</v>
      </c>
      <c r="M16" s="138">
        <v>0.62418812976187898</v>
      </c>
      <c r="N16" s="138">
        <v>0.5877359232259306</v>
      </c>
      <c r="O16" s="138">
        <v>0.56278788774083821</v>
      </c>
      <c r="P16" s="138">
        <f t="shared" si="1"/>
        <v>0.5695160896584196</v>
      </c>
      <c r="R16" s="136">
        <v>2015</v>
      </c>
      <c r="S16" s="138" t="str">
        <v>n/a</v>
      </c>
      <c r="T16" s="138">
        <f t="shared" si="2"/>
        <v>0.50335241790503027</v>
      </c>
      <c r="U16" s="138">
        <f t="shared" si="3"/>
        <v>0.62418812976187898</v>
      </c>
      <c r="V16" s="138">
        <v>0.5877359232259306</v>
      </c>
      <c r="W16" s="138">
        <v>0.61779085310556003</v>
      </c>
      <c r="X16" s="138">
        <f t="shared" si="8"/>
        <v>0.58326683099960008</v>
      </c>
      <c r="Z16" s="136">
        <v>2015</v>
      </c>
      <c r="AA16" s="138" t="str">
        <v>n/a</v>
      </c>
      <c r="AB16" s="138">
        <f>T16</f>
        <v>0.50335241790503027</v>
      </c>
      <c r="AC16" s="138">
        <f>U16</f>
        <v>0.62418812976187898</v>
      </c>
      <c r="AD16" s="138">
        <v>0.5877359232259306</v>
      </c>
      <c r="AE16" s="138">
        <v>0.55488892996291139</v>
      </c>
      <c r="AF16" s="138">
        <f t="shared" si="4"/>
        <v>0.56754135021393792</v>
      </c>
      <c r="AH16" s="136">
        <v>2015</v>
      </c>
      <c r="AI16" s="138" t="str">
        <v>n/a</v>
      </c>
      <c r="AJ16" s="138">
        <f t="shared" si="5"/>
        <v>0.50335241790503027</v>
      </c>
      <c r="AK16" s="138">
        <f t="shared" si="6"/>
        <v>0.62418812976187898</v>
      </c>
      <c r="AL16" s="138">
        <v>0.5877359232259306</v>
      </c>
      <c r="AM16" s="138">
        <v>0.49198700682026264</v>
      </c>
      <c r="AN16" s="138">
        <f t="shared" si="7"/>
        <v>0.55181586942827565</v>
      </c>
    </row>
    <row r="17" spans="2:42" x14ac:dyDescent="0.2">
      <c r="B17" s="135">
        <v>2016</v>
      </c>
      <c r="C17" s="183" t="str">
        <v>n/a</v>
      </c>
      <c r="D17" s="183">
        <v>0.48571462034076029</v>
      </c>
      <c r="E17" s="183">
        <v>0.50731959794151371</v>
      </c>
      <c r="F17" s="183">
        <v>0.54112586270655483</v>
      </c>
      <c r="G17" s="183">
        <v>0.54028870019821551</v>
      </c>
      <c r="H17" s="183">
        <f t="shared" si="0"/>
        <v>0.51861219529676106</v>
      </c>
      <c r="J17" s="135">
        <v>2016</v>
      </c>
      <c r="K17" s="183" t="str">
        <v>n/a</v>
      </c>
      <c r="L17" s="183">
        <v>0.48571462034076029</v>
      </c>
      <c r="M17" s="183">
        <v>0.50731959794151371</v>
      </c>
      <c r="N17" s="183">
        <v>0.56683595690205568</v>
      </c>
      <c r="O17" s="183">
        <v>0.54028870019821551</v>
      </c>
      <c r="P17" s="183">
        <f t="shared" si="1"/>
        <v>0.52503971884563638</v>
      </c>
      <c r="R17" s="135">
        <v>2016</v>
      </c>
      <c r="S17" s="183" t="str">
        <v>n/a</v>
      </c>
      <c r="T17" s="183">
        <f t="shared" si="2"/>
        <v>0.48571462034076029</v>
      </c>
      <c r="U17" s="183">
        <f t="shared" si="3"/>
        <v>0.50731959794151371</v>
      </c>
      <c r="V17" s="183">
        <v>0.56683595690205568</v>
      </c>
      <c r="W17" s="183">
        <v>0.59740625307443673</v>
      </c>
      <c r="X17" s="183">
        <f t="shared" si="8"/>
        <v>0.53931910706469166</v>
      </c>
      <c r="Z17" s="135">
        <v>2016</v>
      </c>
      <c r="AA17" s="183" t="str">
        <v>n/a</v>
      </c>
      <c r="AB17" s="183">
        <f>T17</f>
        <v>0.48571462034076029</v>
      </c>
      <c r="AC17" s="183">
        <f>U17</f>
        <v>0.50731959794151371</v>
      </c>
      <c r="AD17" s="183">
        <v>0.53882163651875248</v>
      </c>
      <c r="AE17" s="183">
        <v>0.53528296732874292</v>
      </c>
      <c r="AF17" s="183">
        <f t="shared" si="4"/>
        <v>0.51678470553244238</v>
      </c>
      <c r="AH17" s="135">
        <v>2016</v>
      </c>
      <c r="AI17" s="183" t="str">
        <v>n/a</v>
      </c>
      <c r="AJ17" s="183">
        <f t="shared" si="5"/>
        <v>0.48571462034076029</v>
      </c>
      <c r="AK17" s="183">
        <f t="shared" si="6"/>
        <v>0.50731959794151371</v>
      </c>
      <c r="AL17" s="183">
        <v>0.51080731613544916</v>
      </c>
      <c r="AM17" s="183">
        <v>0.47315968158304916</v>
      </c>
      <c r="AN17" s="183">
        <f t="shared" si="7"/>
        <v>0.4942503040001931</v>
      </c>
    </row>
    <row r="18" spans="2:42" x14ac:dyDescent="0.2">
      <c r="B18" s="136">
        <v>2017</v>
      </c>
      <c r="C18" s="184" t="str">
        <v>n/a</v>
      </c>
      <c r="D18" s="138">
        <v>0.48701153371221551</v>
      </c>
      <c r="E18" s="137" t="str">
        <v>n/a</v>
      </c>
      <c r="F18" s="137">
        <v>0.49718350487831958</v>
      </c>
      <c r="G18" s="137">
        <v>0.52382780877916879</v>
      </c>
      <c r="H18" s="138">
        <f t="shared" si="0"/>
        <v>0.50267428245656798</v>
      </c>
      <c r="J18" s="136">
        <v>2017</v>
      </c>
      <c r="K18" s="184" t="str">
        <v>n/a</v>
      </c>
      <c r="L18" s="138">
        <v>0.48701153371221551</v>
      </c>
      <c r="M18" s="137" t="str">
        <v>n/a</v>
      </c>
      <c r="N18" s="137">
        <v>0.52331795963997563</v>
      </c>
      <c r="O18" s="137">
        <v>0.52382780877916879</v>
      </c>
      <c r="P18" s="137">
        <f t="shared" si="1"/>
        <v>0.51138576737711994</v>
      </c>
      <c r="R18" s="136">
        <v>2017</v>
      </c>
      <c r="S18" s="184" t="str">
        <v>n/a</v>
      </c>
      <c r="T18" s="184">
        <f t="shared" si="2"/>
        <v>0.48701153371221551</v>
      </c>
      <c r="U18" s="137" t="str">
        <f t="shared" si="3"/>
        <v>n/a</v>
      </c>
      <c r="V18" s="137">
        <v>0.52331795963997563</v>
      </c>
      <c r="W18" s="137">
        <v>0.57865268448617091</v>
      </c>
      <c r="X18" s="138">
        <f t="shared" si="8"/>
        <v>0.52966072594612068</v>
      </c>
      <c r="Z18" s="136">
        <v>2017</v>
      </c>
      <c r="AA18" s="184" t="str">
        <v>n/a</v>
      </c>
      <c r="AB18" s="138">
        <f>T18</f>
        <v>0.48701153371221551</v>
      </c>
      <c r="AC18" s="137" t="str">
        <f t="shared" ref="AC18:AC22" si="9">U18</f>
        <v>n/a</v>
      </c>
      <c r="AD18" s="137">
        <v>0.49732989539067968</v>
      </c>
      <c r="AE18" s="137">
        <v>0.52108435445996792</v>
      </c>
      <c r="AF18" s="138">
        <f t="shared" si="4"/>
        <v>0.50180859452095439</v>
      </c>
      <c r="AH18" s="136">
        <v>2017</v>
      </c>
      <c r="AI18" s="184" t="str">
        <v>n/a</v>
      </c>
      <c r="AJ18" s="138">
        <f t="shared" si="5"/>
        <v>0.48701153371221551</v>
      </c>
      <c r="AK18" s="137" t="str">
        <f t="shared" si="6"/>
        <v>n/a</v>
      </c>
      <c r="AL18" s="137">
        <v>0.47134183114138378</v>
      </c>
      <c r="AM18" s="137">
        <v>0.46351602443376488</v>
      </c>
      <c r="AN18" s="138">
        <f t="shared" si="7"/>
        <v>0.47395646309578804</v>
      </c>
    </row>
    <row r="19" spans="2:42" x14ac:dyDescent="0.2">
      <c r="B19" s="135">
        <v>2018</v>
      </c>
      <c r="C19" s="183" t="str">
        <v>n/a</v>
      </c>
      <c r="D19" s="183">
        <v>0.45366426767190737</v>
      </c>
      <c r="E19" s="183" t="str">
        <v>n/a</v>
      </c>
      <c r="F19" s="183">
        <v>0.53271045538641071</v>
      </c>
      <c r="G19" s="183">
        <v>0.56574696259380375</v>
      </c>
      <c r="H19" s="183">
        <f t="shared" si="0"/>
        <v>0.51737389521737398</v>
      </c>
      <c r="J19" s="135">
        <v>2018</v>
      </c>
      <c r="K19" s="183" t="str">
        <v>n/a</v>
      </c>
      <c r="L19" s="183">
        <v>0.45366426767190737</v>
      </c>
      <c r="M19" s="183" t="str">
        <v>n/a</v>
      </c>
      <c r="N19" s="183">
        <v>0.55547597667333815</v>
      </c>
      <c r="O19" s="183">
        <v>0.56574696259380375</v>
      </c>
      <c r="P19" s="183">
        <f t="shared" si="1"/>
        <v>0.5249624023130165</v>
      </c>
      <c r="R19" s="135">
        <v>2018</v>
      </c>
      <c r="S19" s="183" t="str">
        <v>n/a</v>
      </c>
      <c r="T19" s="183">
        <f t="shared" si="2"/>
        <v>0.45366426767190737</v>
      </c>
      <c r="U19" s="183" t="str">
        <f t="shared" si="3"/>
        <v>n/a</v>
      </c>
      <c r="V19" s="183">
        <v>0.55547597667333815</v>
      </c>
      <c r="W19" s="183">
        <v>0.61352288655728793</v>
      </c>
      <c r="X19" s="183">
        <f t="shared" si="8"/>
        <v>0.54088771030084448</v>
      </c>
      <c r="Z19" s="135">
        <v>2018</v>
      </c>
      <c r="AA19" s="183" t="str">
        <v>n/a</v>
      </c>
      <c r="AB19" s="183">
        <f>T19</f>
        <v>0.45366426767190737</v>
      </c>
      <c r="AC19" s="183" t="str">
        <f t="shared" si="9"/>
        <v>n/a</v>
      </c>
      <c r="AD19" s="183">
        <v>0.53111685977318079</v>
      </c>
      <c r="AE19" s="183">
        <v>0.558513571885765</v>
      </c>
      <c r="AF19" s="183">
        <f t="shared" si="4"/>
        <v>0.51443156644361776</v>
      </c>
      <c r="AH19" s="135">
        <v>2018</v>
      </c>
      <c r="AI19" s="183" t="str">
        <v>n/a</v>
      </c>
      <c r="AJ19" s="183">
        <f t="shared" si="5"/>
        <v>0.45366426767190737</v>
      </c>
      <c r="AK19" s="183" t="str">
        <f t="shared" si="6"/>
        <v>n/a</v>
      </c>
      <c r="AL19" s="183">
        <v>0.50675774287302355</v>
      </c>
      <c r="AM19" s="183">
        <v>0.50350425721424197</v>
      </c>
      <c r="AN19" s="183">
        <f t="shared" si="7"/>
        <v>0.48797542258639098</v>
      </c>
    </row>
    <row r="20" spans="2:42" x14ac:dyDescent="0.2">
      <c r="B20" s="136">
        <v>2019</v>
      </c>
      <c r="C20" s="184" t="str">
        <v>n/a</v>
      </c>
      <c r="D20" s="138">
        <v>0.44724068944714235</v>
      </c>
      <c r="E20" s="137" t="str">
        <v>n/a</v>
      </c>
      <c r="F20" s="137">
        <v>0.52984218347173029</v>
      </c>
      <c r="G20" s="137">
        <v>0.59149174026891205</v>
      </c>
      <c r="H20" s="138">
        <f t="shared" si="0"/>
        <v>0.52285820439592823</v>
      </c>
      <c r="J20" s="136">
        <v>2019</v>
      </c>
      <c r="K20" s="184" t="str">
        <v>n/a</v>
      </c>
      <c r="L20" s="138">
        <v>0.44724068944714235</v>
      </c>
      <c r="M20" s="137" t="str">
        <v>n/a</v>
      </c>
      <c r="N20" s="137">
        <v>0.55349281318421462</v>
      </c>
      <c r="O20" s="137">
        <v>0.59149174026891205</v>
      </c>
      <c r="P20" s="137">
        <f t="shared" si="1"/>
        <v>0.53074174763342297</v>
      </c>
      <c r="R20" s="136">
        <v>2019</v>
      </c>
      <c r="S20" s="184" t="str">
        <v>n/a</v>
      </c>
      <c r="T20" s="184">
        <f t="shared" si="2"/>
        <v>0.44724068944714235</v>
      </c>
      <c r="U20" s="137" t="str">
        <f t="shared" si="3"/>
        <v>n/a</v>
      </c>
      <c r="V20" s="137">
        <v>0.55349281318421462</v>
      </c>
      <c r="W20" s="137">
        <v>0.63422428259420249</v>
      </c>
      <c r="X20" s="138">
        <f t="shared" si="8"/>
        <v>0.54498592840851978</v>
      </c>
      <c r="Z20" s="136">
        <v>2019</v>
      </c>
      <c r="AA20" s="184" t="str">
        <v>n/a</v>
      </c>
      <c r="AB20" s="138">
        <f>T20</f>
        <v>0.44724068944714235</v>
      </c>
      <c r="AC20" s="137" t="str">
        <f t="shared" si="9"/>
        <v>n/a</v>
      </c>
      <c r="AD20" s="137">
        <v>0.52834101427642999</v>
      </c>
      <c r="AE20" s="137">
        <v>0.58192112677377872</v>
      </c>
      <c r="AF20" s="138">
        <f t="shared" si="4"/>
        <v>0.51916761016578372</v>
      </c>
      <c r="AH20" s="136">
        <v>2019</v>
      </c>
      <c r="AI20" s="184" t="str">
        <v>n/a</v>
      </c>
      <c r="AJ20" s="138">
        <f t="shared" si="5"/>
        <v>0.44724068944714235</v>
      </c>
      <c r="AK20" s="137" t="str">
        <f t="shared" si="6"/>
        <v>n/a</v>
      </c>
      <c r="AL20" s="137">
        <v>0.50318921536864536</v>
      </c>
      <c r="AM20" s="137">
        <v>0.52961797095335494</v>
      </c>
      <c r="AN20" s="138">
        <f t="shared" si="7"/>
        <v>0.49334929192304755</v>
      </c>
    </row>
    <row r="21" spans="2:42" x14ac:dyDescent="0.2">
      <c r="B21" s="135">
        <v>2020</v>
      </c>
      <c r="C21" s="183" t="str">
        <v>n/a</v>
      </c>
      <c r="D21" s="183">
        <v>0.45396665552178911</v>
      </c>
      <c r="E21" s="183" t="str">
        <v>n/a</v>
      </c>
      <c r="F21" s="183">
        <v>0.56940457114127474</v>
      </c>
      <c r="G21" s="183">
        <v>0.59160005091397794</v>
      </c>
      <c r="H21" s="183">
        <f t="shared" si="0"/>
        <v>0.53832375919234732</v>
      </c>
      <c r="J21" s="135">
        <v>2020</v>
      </c>
      <c r="K21" s="183" t="str">
        <v>n/a</v>
      </c>
      <c r="L21" s="183">
        <v>0.45396665552178911</v>
      </c>
      <c r="M21" s="183" t="str">
        <v>n/a</v>
      </c>
      <c r="N21" s="183">
        <v>0.59287969521643813</v>
      </c>
      <c r="O21" s="183">
        <v>0.59160005091397794</v>
      </c>
      <c r="P21" s="183">
        <f t="shared" si="1"/>
        <v>0.54614880055073511</v>
      </c>
      <c r="R21" s="135">
        <v>2020</v>
      </c>
      <c r="S21" s="183" t="str">
        <v>n/a</v>
      </c>
      <c r="T21" s="183">
        <f t="shared" si="2"/>
        <v>0.45396665552178911</v>
      </c>
      <c r="U21" s="183" t="str">
        <f t="shared" si="3"/>
        <v>n/a</v>
      </c>
      <c r="V21" s="183">
        <v>0.59287969521643813</v>
      </c>
      <c r="W21" s="183">
        <v>0.63150257761000061</v>
      </c>
      <c r="X21" s="183">
        <f t="shared" si="8"/>
        <v>0.55944964278274256</v>
      </c>
      <c r="Z21" s="135">
        <v>2020</v>
      </c>
      <c r="AA21" s="183" t="str">
        <v>n/a</v>
      </c>
      <c r="AB21" s="183">
        <f>T21</f>
        <v>0.45396665552178911</v>
      </c>
      <c r="AC21" s="183" t="str">
        <f t="shared" si="9"/>
        <v>n/a</v>
      </c>
      <c r="AD21" s="183">
        <v>0.56562078522593584</v>
      </c>
      <c r="AE21" s="183">
        <v>0.580486734269965</v>
      </c>
      <c r="AF21" s="183">
        <f t="shared" si="4"/>
        <v>0.53335805833923</v>
      </c>
      <c r="AH21" s="135">
        <v>2020</v>
      </c>
      <c r="AI21" s="183" t="str">
        <v>n/a</v>
      </c>
      <c r="AJ21" s="183">
        <f t="shared" si="5"/>
        <v>0.45396665552178911</v>
      </c>
      <c r="AK21" s="183" t="str">
        <f t="shared" si="6"/>
        <v>n/a</v>
      </c>
      <c r="AL21" s="183">
        <v>0.53836187523543366</v>
      </c>
      <c r="AM21" s="183">
        <v>0.53149816989694387</v>
      </c>
      <c r="AN21" s="183">
        <f t="shared" si="7"/>
        <v>0.5079422335513889</v>
      </c>
    </row>
    <row r="22" spans="2:42" x14ac:dyDescent="0.2">
      <c r="B22" s="139">
        <v>2021</v>
      </c>
      <c r="C22" s="138" t="str">
        <v>n/a</v>
      </c>
      <c r="D22" s="138">
        <v>0.48587479527715</v>
      </c>
      <c r="E22" s="138" t="str">
        <v>n/a</v>
      </c>
      <c r="F22" s="138">
        <v>0.49283962172913259</v>
      </c>
      <c r="G22" s="138">
        <v>0.57581971110104613</v>
      </c>
      <c r="H22" s="138">
        <f>AVERAGE(C22:G22)</f>
        <v>0.51817804270244283</v>
      </c>
      <c r="J22" s="139">
        <v>2021</v>
      </c>
      <c r="K22" s="138" t="str">
        <v>n/a</v>
      </c>
      <c r="L22" s="138">
        <v>0.48587479527715</v>
      </c>
      <c r="M22" s="138" t="str">
        <v>n/a</v>
      </c>
      <c r="N22" s="138">
        <v>0.51716805064048088</v>
      </c>
      <c r="O22" s="138">
        <v>0.57581971110104613</v>
      </c>
      <c r="P22" s="138">
        <f t="shared" si="1"/>
        <v>0.52628751900622561</v>
      </c>
      <c r="R22" s="139">
        <v>2021</v>
      </c>
      <c r="S22" s="138" t="str">
        <v>n/a</v>
      </c>
      <c r="T22" s="138">
        <f t="shared" si="2"/>
        <v>0.48587479527715</v>
      </c>
      <c r="U22" s="138" t="str">
        <f t="shared" si="3"/>
        <v>n/a</v>
      </c>
      <c r="V22" s="138">
        <v>0.56842827154208408</v>
      </c>
      <c r="W22" s="138">
        <v>0.61397493714232776</v>
      </c>
      <c r="X22" s="138">
        <f t="shared" si="8"/>
        <v>0.55609266798718726</v>
      </c>
      <c r="Z22" s="139">
        <v>2021</v>
      </c>
      <c r="AA22" s="138" t="str">
        <v>n/a</v>
      </c>
      <c r="AB22" s="138">
        <f>T22</f>
        <v>0.48587479527715</v>
      </c>
      <c r="AC22" s="138" t="str">
        <f t="shared" si="9"/>
        <v>n/a</v>
      </c>
      <c r="AD22" s="138">
        <v>0.49390682521906254</v>
      </c>
      <c r="AE22" s="138">
        <v>0.56434070189596575</v>
      </c>
      <c r="AF22" s="138">
        <f>AVERAGE(AA22:AE22)</f>
        <v>0.51470744079739272</v>
      </c>
      <c r="AH22" s="139">
        <v>2021</v>
      </c>
      <c r="AI22" s="138" t="str">
        <v>n/a</v>
      </c>
      <c r="AJ22" s="138">
        <f t="shared" si="5"/>
        <v>0.48587479527715</v>
      </c>
      <c r="AK22" s="138" t="str">
        <f t="shared" si="6"/>
        <v>n/a</v>
      </c>
      <c r="AL22" s="138">
        <v>0.41938537889604105</v>
      </c>
      <c r="AM22" s="138">
        <v>0.51918667446997602</v>
      </c>
      <c r="AN22" s="138">
        <f>AVERAGE(AI22:AM22)</f>
        <v>0.474815616214389</v>
      </c>
    </row>
    <row r="23" spans="2:42" x14ac:dyDescent="0.2">
      <c r="B23" s="177" t="s">
        <v>140</v>
      </c>
      <c r="C23" s="185" t="str">
        <f t="shared" ref="C23:G23" si="10">IFERROR(AVERAGE(C18:C22),"n/a")</f>
        <v>n/a</v>
      </c>
      <c r="D23" s="185">
        <f t="shared" si="10"/>
        <v>0.46555158832604082</v>
      </c>
      <c r="E23" s="185" t="str">
        <f t="shared" si="10"/>
        <v>n/a</v>
      </c>
      <c r="F23" s="185">
        <f t="shared" si="10"/>
        <v>0.52439606732137356</v>
      </c>
      <c r="G23" s="185">
        <f t="shared" si="10"/>
        <v>0.56969725473138166</v>
      </c>
      <c r="H23" s="185">
        <f>AVERAGE(C18:G22)</f>
        <v>0.51988163679293209</v>
      </c>
      <c r="J23" s="177" t="s">
        <v>140</v>
      </c>
      <c r="K23" s="185" t="str">
        <f t="shared" ref="K23:O23" si="11">IFERROR(AVERAGE(K18:K22),"n/a")</f>
        <v>n/a</v>
      </c>
      <c r="L23" s="185">
        <f t="shared" si="11"/>
        <v>0.46555158832604082</v>
      </c>
      <c r="M23" s="185" t="str">
        <f t="shared" si="11"/>
        <v>n/a</v>
      </c>
      <c r="N23" s="185">
        <f t="shared" si="11"/>
        <v>0.54846689907088941</v>
      </c>
      <c r="O23" s="185">
        <f t="shared" si="11"/>
        <v>0.56969725473138166</v>
      </c>
      <c r="P23" s="185">
        <f>AVERAGE(K18:O22)</f>
        <v>0.527905247376104</v>
      </c>
      <c r="R23" s="177" t="s">
        <v>140</v>
      </c>
      <c r="S23" s="185" t="str">
        <f t="shared" ref="S23:W23" si="12">IFERROR(AVERAGE(S18:S22),"n/a")</f>
        <v>n/a</v>
      </c>
      <c r="T23" s="185">
        <f t="shared" si="12"/>
        <v>0.46555158832604082</v>
      </c>
      <c r="U23" s="185" t="str">
        <f t="shared" si="12"/>
        <v>n/a</v>
      </c>
      <c r="V23" s="185">
        <f t="shared" si="12"/>
        <v>0.55871894325121008</v>
      </c>
      <c r="W23" s="185">
        <f t="shared" si="12"/>
        <v>0.61437547367799783</v>
      </c>
      <c r="X23" s="185">
        <f>AVERAGE(S18:W22)</f>
        <v>0.54621533508508302</v>
      </c>
      <c r="Z23" s="177" t="s">
        <v>140</v>
      </c>
      <c r="AA23" s="185" t="str">
        <f t="shared" ref="AA23:AE23" si="13">IFERROR(AVERAGE(AA18:AA22),"n/a")</f>
        <v>n/a</v>
      </c>
      <c r="AB23" s="185">
        <f t="shared" si="13"/>
        <v>0.46555158832604082</v>
      </c>
      <c r="AC23" s="185" t="str">
        <f t="shared" si="13"/>
        <v>n/a</v>
      </c>
      <c r="AD23" s="185">
        <f t="shared" si="13"/>
        <v>0.52326307597705779</v>
      </c>
      <c r="AE23" s="185">
        <f t="shared" si="13"/>
        <v>0.56126929785708846</v>
      </c>
      <c r="AF23" s="185">
        <f>AVERAGE(AA18:AE22)</f>
        <v>0.51669465405339576</v>
      </c>
      <c r="AH23" s="177" t="s">
        <v>140</v>
      </c>
      <c r="AI23" s="185" t="str">
        <f t="shared" ref="AI23:AM23" si="14">IFERROR(AVERAGE(AI18:AI22),"n/a")</f>
        <v>n/a</v>
      </c>
      <c r="AJ23" s="185">
        <f t="shared" si="14"/>
        <v>0.46555158832604082</v>
      </c>
      <c r="AK23" s="185" t="str">
        <f t="shared" si="14"/>
        <v>n/a</v>
      </c>
      <c r="AL23" s="185">
        <f t="shared" si="14"/>
        <v>0.48780720870290545</v>
      </c>
      <c r="AM23" s="185">
        <f t="shared" si="14"/>
        <v>0.50946461939365639</v>
      </c>
      <c r="AN23" s="185">
        <f>AVERAGE(AI18:AM22)</f>
        <v>0.48760780547420085</v>
      </c>
    </row>
    <row r="24" spans="2:42" x14ac:dyDescent="0.2">
      <c r="B24" s="179" t="s">
        <v>112</v>
      </c>
      <c r="C24" s="180">
        <f t="shared" ref="C24:G24" si="15">AVERAGE(C13:C22)</f>
        <v>0.54346643329127486</v>
      </c>
      <c r="D24" s="180">
        <f t="shared" si="15"/>
        <v>0.47042186756412468</v>
      </c>
      <c r="E24" s="180">
        <f t="shared" si="15"/>
        <v>0.63870702506161359</v>
      </c>
      <c r="F24" s="180">
        <f t="shared" si="15"/>
        <v>0.54890224748976113</v>
      </c>
      <c r="G24" s="180">
        <f t="shared" si="15"/>
        <v>0.57081109558741638</v>
      </c>
      <c r="H24" s="181">
        <f>AVERAGE(C13:G22)</f>
        <v>0.54540227714723455</v>
      </c>
      <c r="J24" s="179" t="s">
        <v>112</v>
      </c>
      <c r="K24" s="180">
        <f t="shared" ref="K24:O24" si="16">AVERAGE(K13:K22)</f>
        <v>0.54346643329127486</v>
      </c>
      <c r="L24" s="180">
        <f t="shared" si="16"/>
        <v>0.47042186756412468</v>
      </c>
      <c r="M24" s="180">
        <f t="shared" si="16"/>
        <v>0.63870702506161359</v>
      </c>
      <c r="N24" s="180">
        <f t="shared" si="16"/>
        <v>0.56350867278406913</v>
      </c>
      <c r="O24" s="180">
        <f t="shared" si="16"/>
        <v>0.57081109558741638</v>
      </c>
      <c r="P24" s="180">
        <f>AVERAGE(K13:O22)</f>
        <v>0.54924607327731567</v>
      </c>
      <c r="R24" s="179" t="s">
        <v>112</v>
      </c>
      <c r="S24" s="180">
        <f t="shared" ref="S24:W24" si="17">AVERAGE(S13:S22)</f>
        <v>0.54346643329127486</v>
      </c>
      <c r="T24" s="180">
        <f t="shared" si="17"/>
        <v>0.47042186756412468</v>
      </c>
      <c r="U24" s="180">
        <f t="shared" si="17"/>
        <v>0.63870702506161359</v>
      </c>
      <c r="V24" s="180">
        <f t="shared" si="17"/>
        <v>0.56863469487422935</v>
      </c>
      <c r="W24" s="180">
        <f t="shared" si="17"/>
        <v>0.62319308679767116</v>
      </c>
      <c r="X24" s="181">
        <f>AVERAGE(S13:W22)</f>
        <v>0.56437976098795128</v>
      </c>
      <c r="Z24" s="179" t="s">
        <v>112</v>
      </c>
      <c r="AA24" s="180">
        <f t="shared" ref="AA24:AE24" si="18">AVERAGE(AA13:AA22)</f>
        <v>0.54346643329127486</v>
      </c>
      <c r="AB24" s="180">
        <f t="shared" si="18"/>
        <v>0.47042186756412468</v>
      </c>
      <c r="AC24" s="180">
        <f t="shared" si="18"/>
        <v>0.63870702506161359</v>
      </c>
      <c r="AD24" s="180">
        <f t="shared" si="18"/>
        <v>0.54810532919882293</v>
      </c>
      <c r="AE24" s="180">
        <f t="shared" si="18"/>
        <v>0.56130407686941142</v>
      </c>
      <c r="AF24" s="181">
        <f>AVERAGE(AA13:AE22)</f>
        <v>0.54269071477646003</v>
      </c>
      <c r="AH24" s="179" t="s">
        <v>112</v>
      </c>
      <c r="AI24" s="180">
        <f t="shared" ref="AI24:AM24" si="19">AVERAGE(AI13:AI22)</f>
        <v>0.54346643329127486</v>
      </c>
      <c r="AJ24" s="180">
        <f t="shared" si="19"/>
        <v>0.47042186756412468</v>
      </c>
      <c r="AK24" s="180">
        <f t="shared" si="19"/>
        <v>0.63870702506161359</v>
      </c>
      <c r="AL24" s="180">
        <f t="shared" si="19"/>
        <v>0.52757596352341651</v>
      </c>
      <c r="AM24" s="180">
        <f t="shared" si="19"/>
        <v>0.50006581561989027</v>
      </c>
      <c r="AN24" s="181">
        <f>AVERAGE(AI13:AM22)</f>
        <v>0.52117291821726863</v>
      </c>
      <c r="AP24" s="194"/>
    </row>
    <row r="25" spans="2:42" x14ac:dyDescent="0.2">
      <c r="B25" s="177" t="s">
        <v>139</v>
      </c>
      <c r="C25" s="178">
        <f t="shared" ref="C25:G25" si="20">AVERAGE(C7:C22)</f>
        <v>0.65223580965769234</v>
      </c>
      <c r="D25" s="178">
        <f t="shared" si="20"/>
        <v>0.52181485932732152</v>
      </c>
      <c r="E25" s="178">
        <f t="shared" si="20"/>
        <v>0.70912562656378586</v>
      </c>
      <c r="F25" s="178">
        <f t="shared" si="20"/>
        <v>0.57333925047389867</v>
      </c>
      <c r="G25" s="178">
        <f t="shared" si="20"/>
        <v>0.59627902716999348</v>
      </c>
      <c r="H25" s="178">
        <f>AVERAGE(C7:G22)</f>
        <v>0.59902109368618084</v>
      </c>
      <c r="J25" s="177" t="s">
        <v>139</v>
      </c>
      <c r="K25" s="178">
        <f t="shared" ref="K25:O25" si="21">AVERAGE(K7:K22)</f>
        <v>0.65223580965769234</v>
      </c>
      <c r="L25" s="178">
        <f t="shared" si="21"/>
        <v>0.52181485932732152</v>
      </c>
      <c r="M25" s="178">
        <f t="shared" si="21"/>
        <v>0.70912562656378586</v>
      </c>
      <c r="N25" s="178">
        <f t="shared" si="21"/>
        <v>0.58246826628284121</v>
      </c>
      <c r="O25" s="178">
        <f t="shared" si="21"/>
        <v>0.59627902716999348</v>
      </c>
      <c r="P25" s="178">
        <f>AVERAGE(K7:O22)</f>
        <v>0.60116909740593194</v>
      </c>
      <c r="R25" s="177" t="s">
        <v>139</v>
      </c>
      <c r="S25" s="178">
        <f t="shared" ref="S25:W25" si="22">AVERAGE(S7:S22)</f>
        <v>0.6557781550819981</v>
      </c>
      <c r="T25" s="178">
        <f t="shared" si="22"/>
        <v>0.52181485932732152</v>
      </c>
      <c r="U25" s="178">
        <f t="shared" si="22"/>
        <v>0.70912562656378586</v>
      </c>
      <c r="V25" s="178">
        <f t="shared" si="22"/>
        <v>0.58567203008919144</v>
      </c>
      <c r="W25" s="178">
        <f t="shared" si="22"/>
        <v>0.65582200795651002</v>
      </c>
      <c r="X25" s="178">
        <f>AVERAGE(S7:W22)</f>
        <v>0.61640187714570593</v>
      </c>
      <c r="Z25" s="177" t="s">
        <v>139</v>
      </c>
      <c r="AA25" s="178">
        <f t="shared" ref="AA25:AE25" si="23">AVERAGE(AA7:AA22)</f>
        <v>0.65026414076509476</v>
      </c>
      <c r="AB25" s="178">
        <f t="shared" si="23"/>
        <v>0.52181485932732152</v>
      </c>
      <c r="AC25" s="178">
        <f t="shared" si="23"/>
        <v>0.70912562656378586</v>
      </c>
      <c r="AD25" s="178">
        <f t="shared" si="23"/>
        <v>0.57284117654206235</v>
      </c>
      <c r="AE25" s="178">
        <f t="shared" si="23"/>
        <v>0.58012492089738965</v>
      </c>
      <c r="AF25" s="178">
        <f>AVERAGE(AA7:AE22)</f>
        <v>0.59484197746111578</v>
      </c>
      <c r="AH25" s="177" t="s">
        <v>139</v>
      </c>
      <c r="AI25" s="178">
        <f t="shared" ref="AI25:AM25" si="24">AVERAGE(AI7:AI22)</f>
        <v>0.64475012644819141</v>
      </c>
      <c r="AJ25" s="178">
        <f t="shared" si="24"/>
        <v>0.52181485932732152</v>
      </c>
      <c r="AK25" s="178">
        <f t="shared" si="24"/>
        <v>0.70912562656378586</v>
      </c>
      <c r="AL25" s="178">
        <f t="shared" si="24"/>
        <v>0.56001032299493336</v>
      </c>
      <c r="AM25" s="178">
        <f t="shared" si="24"/>
        <v>0.50483455176248082</v>
      </c>
      <c r="AN25" s="178">
        <f>AVERAGE(AI7:AM22)</f>
        <v>0.5733777761116341</v>
      </c>
      <c r="AP25" s="194"/>
    </row>
    <row r="26" spans="2:42" x14ac:dyDescent="0.2">
      <c r="H26" s="141"/>
      <c r="J26" s="177"/>
      <c r="K26" s="178"/>
      <c r="L26" s="178"/>
      <c r="M26" s="178"/>
      <c r="N26" s="178"/>
      <c r="O26" s="178"/>
      <c r="P26" s="178"/>
      <c r="X26" s="141"/>
      <c r="AF26" s="141"/>
      <c r="AN26" s="141"/>
    </row>
    <row r="27" spans="2:42" x14ac:dyDescent="0.2">
      <c r="B27" s="135" t="s">
        <v>113</v>
      </c>
      <c r="J27" s="135" t="s">
        <v>113</v>
      </c>
      <c r="R27" s="135" t="s">
        <v>113</v>
      </c>
      <c r="Z27" s="135" t="s">
        <v>113</v>
      </c>
      <c r="AH27" s="135" t="s">
        <v>113</v>
      </c>
    </row>
    <row r="29" spans="2:42" x14ac:dyDescent="0.2">
      <c r="B29" s="142"/>
      <c r="J29" s="142"/>
      <c r="R29" s="142"/>
      <c r="Z29" s="142"/>
      <c r="AH29" s="142"/>
    </row>
    <row r="30" spans="2:42" x14ac:dyDescent="0.2">
      <c r="B30" s="130" t="s">
        <v>114</v>
      </c>
      <c r="J30" s="130" t="s">
        <v>114</v>
      </c>
      <c r="R30" s="130" t="s">
        <v>114</v>
      </c>
      <c r="Z30" s="130" t="s">
        <v>114</v>
      </c>
      <c r="AH30" s="130" t="s">
        <v>114</v>
      </c>
    </row>
    <row r="32" spans="2:42" x14ac:dyDescent="0.2">
      <c r="B32" s="131"/>
      <c r="C32" s="132" t="s">
        <v>107</v>
      </c>
      <c r="D32" s="133" t="s">
        <v>92</v>
      </c>
      <c r="E32" s="133" t="s">
        <v>108</v>
      </c>
      <c r="F32" s="133" t="s">
        <v>109</v>
      </c>
      <c r="G32" s="134" t="s">
        <v>110</v>
      </c>
      <c r="H32" s="134" t="s">
        <v>111</v>
      </c>
      <c r="J32" s="186"/>
      <c r="K32" s="187" t="s">
        <v>107</v>
      </c>
      <c r="L32" s="188" t="s">
        <v>92</v>
      </c>
      <c r="M32" s="188" t="s">
        <v>108</v>
      </c>
      <c r="N32" s="188" t="s">
        <v>109</v>
      </c>
      <c r="O32" s="189" t="s">
        <v>110</v>
      </c>
      <c r="P32" s="189" t="s">
        <v>111</v>
      </c>
      <c r="R32" s="131"/>
      <c r="S32" s="132" t="s">
        <v>107</v>
      </c>
      <c r="T32" s="133" t="s">
        <v>92</v>
      </c>
      <c r="U32" s="133" t="s">
        <v>108</v>
      </c>
      <c r="V32" s="133" t="s">
        <v>109</v>
      </c>
      <c r="W32" s="134" t="s">
        <v>110</v>
      </c>
      <c r="X32" s="134" t="s">
        <v>111</v>
      </c>
      <c r="Z32" s="131"/>
      <c r="AA32" s="132" t="s">
        <v>107</v>
      </c>
      <c r="AB32" s="133" t="s">
        <v>92</v>
      </c>
      <c r="AC32" s="133" t="s">
        <v>108</v>
      </c>
      <c r="AD32" s="133" t="s">
        <v>109</v>
      </c>
      <c r="AE32" s="134" t="s">
        <v>110</v>
      </c>
      <c r="AF32" s="134" t="s">
        <v>111</v>
      </c>
      <c r="AH32" s="131"/>
      <c r="AI32" s="132" t="s">
        <v>107</v>
      </c>
      <c r="AJ32" s="133" t="s">
        <v>92</v>
      </c>
      <c r="AK32" s="133" t="s">
        <v>108</v>
      </c>
      <c r="AL32" s="133" t="s">
        <v>109</v>
      </c>
      <c r="AM32" s="134" t="s">
        <v>110</v>
      </c>
      <c r="AN32" s="134" t="s">
        <v>111</v>
      </c>
    </row>
    <row r="33" spans="2:40" x14ac:dyDescent="0.2">
      <c r="B33" s="135">
        <v>2006</v>
      </c>
      <c r="C33" s="183">
        <f t="array" ref="C33:C48">TRANSPOSE(Gearing!D253:S253)</f>
        <v>0.91408880647802027</v>
      </c>
      <c r="D33" s="183">
        <f t="array" ref="D33:D48">TRANSPOSE(Gearing!D306:S306)</f>
        <v>0.67245017195452206</v>
      </c>
      <c r="E33" s="183">
        <f t="array" ref="E33:E48">TRANSPOSE(Gearing!D346:S346)</f>
        <v>0.81967809355787014</v>
      </c>
      <c r="F33" s="183">
        <f t="array" ref="F33:F48">TRANSPOSE(Gearing!D401:S401)</f>
        <v>0.57225735038623704</v>
      </c>
      <c r="G33" s="183">
        <f t="array" ref="G33:G48">TRANSPOSE(Gearing!D67:S67)</f>
        <v>0.81006135190153783</v>
      </c>
      <c r="H33" s="183">
        <f>AVERAGE(C33:G33)</f>
        <v>0.75770715485563744</v>
      </c>
      <c r="J33" s="140">
        <v>2006</v>
      </c>
      <c r="K33" s="190">
        <f t="array" ref="K33:K48">TRANSPOSE(Gearing!D253:S253)</f>
        <v>0.91408880647802027</v>
      </c>
      <c r="L33" s="190">
        <f t="array" ref="L33:L48">TRANSPOSE(Gearing!D306:S306)</f>
        <v>0.67245017195452206</v>
      </c>
      <c r="M33" s="190">
        <f t="array" ref="M33:M48">TRANSPOSE(Gearing!D346:S346)</f>
        <v>0.81967809355787014</v>
      </c>
      <c r="N33" s="190">
        <f t="array" ref="N33:N48">TRANSPOSE(Gearing!D400:S400)</f>
        <v>0.57225735038623704</v>
      </c>
      <c r="O33" s="190">
        <f t="array" ref="O33:O48">TRANSPOSE(Gearing!D67:S67)</f>
        <v>0.81006135190153783</v>
      </c>
      <c r="P33" s="190">
        <f>AVERAGE(K33:O33)</f>
        <v>0.75770715485563744</v>
      </c>
      <c r="R33" s="135">
        <v>2006</v>
      </c>
      <c r="S33" s="183">
        <f t="array" ref="S33:S48">TRANSPOSE(Gearing!D254:S254)</f>
        <v>0.9197366650878982</v>
      </c>
      <c r="T33" s="183">
        <f>L33</f>
        <v>0.67245017195452206</v>
      </c>
      <c r="U33" s="183">
        <f t="shared" ref="U33:U48" si="25">M33</f>
        <v>0.81967809355787014</v>
      </c>
      <c r="V33" s="183">
        <f t="array" ref="V33:V48">TRANSPOSE(Gearing!D403:S403)</f>
        <v>0.57225735038623704</v>
      </c>
      <c r="W33" s="183">
        <f t="array" ref="W33:W48">TRANSPOSE(Gearing!D68:S68)</f>
        <v>0.86182214678844737</v>
      </c>
      <c r="X33" s="183">
        <f>AVERAGE(S33:W33)</f>
        <v>0.76918888555499487</v>
      </c>
      <c r="Z33" s="135">
        <v>2006</v>
      </c>
      <c r="AA33" s="183">
        <f t="array" ref="AA33:AA48">TRANSPOSE(Gearing!D255:S255)</f>
        <v>0.88686633481811306</v>
      </c>
      <c r="AB33" s="183">
        <f>T33</f>
        <v>0.67245017195452206</v>
      </c>
      <c r="AC33" s="183">
        <f>U33</f>
        <v>0.81967809355787014</v>
      </c>
      <c r="AD33" s="183">
        <f t="array" ref="AD33:AD48">TRANSPOSE(Gearing!D402:S402)</f>
        <v>0.57225735038623704</v>
      </c>
      <c r="AE33" s="183">
        <f t="array" ref="AE33:AE48">TRANSPOSE(Gearing!D69:S69)</f>
        <v>0.72556553075715557</v>
      </c>
      <c r="AF33" s="183">
        <f>AVERAGE(AA33:AE33)</f>
        <v>0.73536349629477959</v>
      </c>
      <c r="AH33" s="135">
        <v>2006</v>
      </c>
      <c r="AI33" s="183">
        <f t="array" ref="AI33:AI48">TRANSPOSE(Gearing!D256:S256)</f>
        <v>0.8539960045483278</v>
      </c>
      <c r="AJ33" s="183">
        <f>AB33</f>
        <v>0.67245017195452206</v>
      </c>
      <c r="AK33" s="183">
        <f>AC33</f>
        <v>0.81967809355787014</v>
      </c>
      <c r="AL33" s="183">
        <f t="array" ref="AL33:AL48">TRANSPOSE(Gearing!D404:S404)</f>
        <v>0.57225735038623704</v>
      </c>
      <c r="AM33" s="183">
        <f t="array" ref="AM33:AM48">TRANSPOSE(Gearing!D70:S70)</f>
        <v>0.58930891472586377</v>
      </c>
      <c r="AN33" s="183">
        <f>AVERAGE(AI33:AM33)</f>
        <v>0.70153810703456421</v>
      </c>
    </row>
    <row r="34" spans="2:40" x14ac:dyDescent="0.2">
      <c r="B34" s="136">
        <v>2007</v>
      </c>
      <c r="C34" s="138">
        <v>0.89823319084141451</v>
      </c>
      <c r="D34" s="138">
        <v>0.6911555098034573</v>
      </c>
      <c r="E34" s="138">
        <v>0.75249562870230635</v>
      </c>
      <c r="F34" s="138">
        <v>0.57304178288493435</v>
      </c>
      <c r="G34" s="138">
        <v>0.80154358644258616</v>
      </c>
      <c r="H34" s="138">
        <f t="shared" ref="H34:H47" si="26">AVERAGE(C34:G34)</f>
        <v>0.74329393973493985</v>
      </c>
      <c r="J34" s="139">
        <v>2007</v>
      </c>
      <c r="K34" s="137">
        <v>0.89823319084141451</v>
      </c>
      <c r="L34" s="137">
        <v>0.6911555098034573</v>
      </c>
      <c r="M34" s="137">
        <v>0.75249562870230635</v>
      </c>
      <c r="N34" s="137">
        <v>0.57304178288493435</v>
      </c>
      <c r="O34" s="137">
        <v>0.80154358644258616</v>
      </c>
      <c r="P34" s="137">
        <f t="shared" ref="P34:P48" si="27">AVERAGE(K34:O34)</f>
        <v>0.74329393973493985</v>
      </c>
      <c r="R34" s="136">
        <v>2007</v>
      </c>
      <c r="S34" s="138">
        <v>0.90289887569655114</v>
      </c>
      <c r="T34" s="138">
        <f t="shared" ref="T34:T48" si="28">L34</f>
        <v>0.6911555098034573</v>
      </c>
      <c r="U34" s="138">
        <f t="shared" si="25"/>
        <v>0.75249562870230635</v>
      </c>
      <c r="V34" s="138">
        <v>0.57304178288493435</v>
      </c>
      <c r="W34" s="138">
        <v>0.85267785357173032</v>
      </c>
      <c r="X34" s="138">
        <f t="shared" ref="X34:X47" si="29">AVERAGE(S34:W34)</f>
        <v>0.75445393013179596</v>
      </c>
      <c r="Z34" s="136">
        <v>2007</v>
      </c>
      <c r="AA34" s="138">
        <v>0.87997546435196428</v>
      </c>
      <c r="AB34" s="138">
        <f>T34</f>
        <v>0.6911555098034573</v>
      </c>
      <c r="AC34" s="138">
        <f>U34</f>
        <v>0.75249562870230635</v>
      </c>
      <c r="AD34" s="138">
        <v>0.57304178288493435</v>
      </c>
      <c r="AE34" s="138">
        <v>0.64123730304513615</v>
      </c>
      <c r="AF34" s="138">
        <f t="shared" ref="AF34:AF47" si="30">AVERAGE(AA34:AE34)</f>
        <v>0.70758113775755971</v>
      </c>
      <c r="AH34" s="136">
        <v>2007</v>
      </c>
      <c r="AI34" s="138">
        <v>0.85705205300737741</v>
      </c>
      <c r="AJ34" s="138">
        <f t="shared" ref="AJ34:AJ46" si="31">AB34</f>
        <v>0.6911555098034573</v>
      </c>
      <c r="AK34" s="138">
        <f t="shared" ref="AK34:AK43" si="32">AC34</f>
        <v>0.75249562870230635</v>
      </c>
      <c r="AL34" s="138">
        <v>0.57304178288493435</v>
      </c>
      <c r="AM34" s="138">
        <v>0.55108118786156945</v>
      </c>
      <c r="AN34" s="138">
        <f t="shared" ref="AN34:AN47" si="33">AVERAGE(AI34:AM34)</f>
        <v>0.68496523245192897</v>
      </c>
    </row>
    <row r="35" spans="2:40" x14ac:dyDescent="0.2">
      <c r="B35" s="135">
        <v>2008</v>
      </c>
      <c r="C35" s="183">
        <v>0.82416545095683513</v>
      </c>
      <c r="D35" s="183">
        <v>0.71334255528874102</v>
      </c>
      <c r="E35" s="183">
        <v>0.75893121393129892</v>
      </c>
      <c r="F35" s="183">
        <v>0.58442778228823411</v>
      </c>
      <c r="G35" s="183">
        <v>0.88527580541358342</v>
      </c>
      <c r="H35" s="183">
        <f t="shared" si="26"/>
        <v>0.75322856157573859</v>
      </c>
      <c r="J35" s="140">
        <v>2008</v>
      </c>
      <c r="K35" s="190">
        <v>0.82416545095683513</v>
      </c>
      <c r="L35" s="190">
        <v>0.71334255528874102</v>
      </c>
      <c r="M35" s="190">
        <v>0.75893121393129892</v>
      </c>
      <c r="N35" s="190">
        <v>0.58442778228823411</v>
      </c>
      <c r="O35" s="190">
        <v>0.88527580541358342</v>
      </c>
      <c r="P35" s="190">
        <f t="shared" si="27"/>
        <v>0.75322856157573859</v>
      </c>
      <c r="R35" s="135">
        <v>2008</v>
      </c>
      <c r="S35" s="183">
        <v>0.82732175964941845</v>
      </c>
      <c r="T35" s="183">
        <f t="shared" si="28"/>
        <v>0.71334255528874102</v>
      </c>
      <c r="U35" s="183">
        <f t="shared" si="25"/>
        <v>0.75893121393129892</v>
      </c>
      <c r="V35" s="183">
        <v>0.58442778228823411</v>
      </c>
      <c r="W35" s="183">
        <v>0.91348029162834932</v>
      </c>
      <c r="X35" s="183">
        <f t="shared" si="29"/>
        <v>0.75950072055720841</v>
      </c>
      <c r="Z35" s="135">
        <v>2008</v>
      </c>
      <c r="AA35" s="183">
        <v>0.81834653632226528</v>
      </c>
      <c r="AB35" s="183">
        <f>T35</f>
        <v>0.71334255528874102</v>
      </c>
      <c r="AC35" s="183">
        <f>U35</f>
        <v>0.75893121393129892</v>
      </c>
      <c r="AD35" s="183">
        <v>0.58442778228823411</v>
      </c>
      <c r="AE35" s="183">
        <v>0.70401735267891774</v>
      </c>
      <c r="AF35" s="183">
        <f t="shared" si="30"/>
        <v>0.71581308810189148</v>
      </c>
      <c r="AH35" s="135">
        <v>2008</v>
      </c>
      <c r="AI35" s="183">
        <v>0.80937131299511211</v>
      </c>
      <c r="AJ35" s="183">
        <f t="shared" si="31"/>
        <v>0.71334255528874102</v>
      </c>
      <c r="AK35" s="183">
        <f t="shared" si="32"/>
        <v>0.75893121393129892</v>
      </c>
      <c r="AL35" s="183">
        <v>0.58442778228823411</v>
      </c>
      <c r="AM35" s="183">
        <v>0.62683365764544774</v>
      </c>
      <c r="AN35" s="183">
        <f t="shared" si="33"/>
        <v>0.69858130442976685</v>
      </c>
    </row>
    <row r="36" spans="2:40" x14ac:dyDescent="0.2">
      <c r="B36" s="136">
        <v>2009</v>
      </c>
      <c r="C36" s="138">
        <v>0.7995564296773654</v>
      </c>
      <c r="D36" s="138">
        <v>0.69823198079380178</v>
      </c>
      <c r="E36" s="138">
        <v>0.78659218886830096</v>
      </c>
      <c r="F36" s="138">
        <v>0.66848214285714291</v>
      </c>
      <c r="G36" s="138">
        <v>0.85095290540423663</v>
      </c>
      <c r="H36" s="138">
        <f t="shared" si="26"/>
        <v>0.76076312952016956</v>
      </c>
      <c r="J36" s="139">
        <v>2009</v>
      </c>
      <c r="K36" s="137">
        <v>0.7995564296773654</v>
      </c>
      <c r="L36" s="137">
        <v>0.69823198079380178</v>
      </c>
      <c r="M36" s="137">
        <v>0.78659218886830096</v>
      </c>
      <c r="N36" s="137">
        <v>0.66848214285714291</v>
      </c>
      <c r="O36" s="137">
        <v>0.85095290540423663</v>
      </c>
      <c r="P36" s="137">
        <f t="shared" si="27"/>
        <v>0.76076312952016956</v>
      </c>
      <c r="R36" s="136">
        <v>2009</v>
      </c>
      <c r="S36" s="138">
        <v>0.7995564296773654</v>
      </c>
      <c r="T36" s="138">
        <f t="shared" si="28"/>
        <v>0.69823198079380178</v>
      </c>
      <c r="U36" s="138">
        <f t="shared" si="25"/>
        <v>0.78659218886830096</v>
      </c>
      <c r="V36" s="138">
        <v>0.66848214285714291</v>
      </c>
      <c r="W36" s="138">
        <v>0.88310453587001958</v>
      </c>
      <c r="X36" s="138">
        <f t="shared" si="29"/>
        <v>0.76719345561332619</v>
      </c>
      <c r="Z36" s="136">
        <v>2009</v>
      </c>
      <c r="AA36" s="138">
        <v>0.7995564296773654</v>
      </c>
      <c r="AB36" s="138">
        <f>T36</f>
        <v>0.69823198079380178</v>
      </c>
      <c r="AC36" s="138">
        <f>U36</f>
        <v>0.78659218886830096</v>
      </c>
      <c r="AD36" s="138">
        <v>0.66848214285714291</v>
      </c>
      <c r="AE36" s="138">
        <v>0.69977176506141736</v>
      </c>
      <c r="AF36" s="138">
        <f t="shared" si="30"/>
        <v>0.73052690145160581</v>
      </c>
      <c r="AH36" s="136">
        <v>2009</v>
      </c>
      <c r="AI36" s="138">
        <v>0.7995564296773654</v>
      </c>
      <c r="AJ36" s="138">
        <f t="shared" si="31"/>
        <v>0.69823198079380178</v>
      </c>
      <c r="AK36" s="138">
        <f t="shared" si="32"/>
        <v>0.78659218886830096</v>
      </c>
      <c r="AL36" s="138">
        <v>0.66848214285714291</v>
      </c>
      <c r="AM36" s="138">
        <v>0.62198208686665613</v>
      </c>
      <c r="AN36" s="138">
        <f t="shared" si="33"/>
        <v>0.71496896581265346</v>
      </c>
    </row>
    <row r="37" spans="2:40" x14ac:dyDescent="0.2">
      <c r="B37" s="135">
        <v>2010</v>
      </c>
      <c r="C37" s="183">
        <v>0.7885373085828018</v>
      </c>
      <c r="D37" s="183">
        <v>0.68226583091147885</v>
      </c>
      <c r="E37" s="183">
        <v>0.7885672110951516</v>
      </c>
      <c r="F37" s="183">
        <v>0.61503448467270783</v>
      </c>
      <c r="G37" s="183">
        <v>0.66346079803512348</v>
      </c>
      <c r="H37" s="183">
        <f t="shared" si="26"/>
        <v>0.70757312665945271</v>
      </c>
      <c r="J37" s="140">
        <v>2010</v>
      </c>
      <c r="K37" s="190">
        <v>0.7885373085828018</v>
      </c>
      <c r="L37" s="190">
        <v>0.68226583091147885</v>
      </c>
      <c r="M37" s="190">
        <v>0.7885672110951516</v>
      </c>
      <c r="N37" s="190">
        <v>0.61503448467270783</v>
      </c>
      <c r="O37" s="190">
        <v>0.66346079803512348</v>
      </c>
      <c r="P37" s="190">
        <f t="shared" si="27"/>
        <v>0.70757312665945271</v>
      </c>
      <c r="R37" s="135">
        <v>2010</v>
      </c>
      <c r="S37" s="183">
        <v>0.7885373085828018</v>
      </c>
      <c r="T37" s="183">
        <f t="shared" si="28"/>
        <v>0.68226583091147885</v>
      </c>
      <c r="U37" s="183">
        <f t="shared" si="25"/>
        <v>0.7885672110951516</v>
      </c>
      <c r="V37" s="183">
        <v>0.61503448467270783</v>
      </c>
      <c r="W37" s="183">
        <v>0.73201990795222172</v>
      </c>
      <c r="X37" s="183">
        <f t="shared" si="29"/>
        <v>0.72128494864287229</v>
      </c>
      <c r="Z37" s="135">
        <v>2010</v>
      </c>
      <c r="AA37" s="183">
        <v>0.7885373085828018</v>
      </c>
      <c r="AB37" s="183">
        <f>T37</f>
        <v>0.68226583091147885</v>
      </c>
      <c r="AC37" s="183">
        <f>U37</f>
        <v>0.7885672110951516</v>
      </c>
      <c r="AD37" s="183">
        <v>0.61503448467270783</v>
      </c>
      <c r="AE37" s="183">
        <v>0.57190699425673153</v>
      </c>
      <c r="AF37" s="183">
        <f t="shared" si="30"/>
        <v>0.68926236590377432</v>
      </c>
      <c r="AH37" s="135">
        <v>2010</v>
      </c>
      <c r="AI37" s="183">
        <v>0.7885373085828018</v>
      </c>
      <c r="AJ37" s="183">
        <f t="shared" si="31"/>
        <v>0.68226583091147885</v>
      </c>
      <c r="AK37" s="183">
        <f t="shared" si="32"/>
        <v>0.7885672110951516</v>
      </c>
      <c r="AL37" s="183">
        <v>0.61503448467270783</v>
      </c>
      <c r="AM37" s="183">
        <v>0.48766332295052961</v>
      </c>
      <c r="AN37" s="183">
        <f t="shared" si="33"/>
        <v>0.67241363164253387</v>
      </c>
    </row>
    <row r="38" spans="2:40" x14ac:dyDescent="0.2">
      <c r="B38" s="136">
        <v>2011</v>
      </c>
      <c r="C38" s="138">
        <v>0.78294232844410694</v>
      </c>
      <c r="D38" s="138">
        <v>0.6341073880539877</v>
      </c>
      <c r="E38" s="138">
        <v>0.77411083259302849</v>
      </c>
      <c r="F38" s="138">
        <v>0.60424638421903265</v>
      </c>
      <c r="G38" s="138">
        <v>0.6905672068599864</v>
      </c>
      <c r="H38" s="138">
        <f t="shared" si="26"/>
        <v>0.69719482803402855</v>
      </c>
      <c r="J38" s="139">
        <v>2011</v>
      </c>
      <c r="K38" s="137">
        <v>0.78294232844410694</v>
      </c>
      <c r="L38" s="137">
        <v>0.6341073880539877</v>
      </c>
      <c r="M38" s="137">
        <v>0.77411083259302849</v>
      </c>
      <c r="N38" s="137">
        <v>0.60424638421903265</v>
      </c>
      <c r="O38" s="137">
        <v>0.6905672068599864</v>
      </c>
      <c r="P38" s="137">
        <f t="shared" si="27"/>
        <v>0.69719482803402855</v>
      </c>
      <c r="R38" s="136">
        <v>2011</v>
      </c>
      <c r="S38" s="138">
        <v>0.78294232844410694</v>
      </c>
      <c r="T38" s="138">
        <f t="shared" si="28"/>
        <v>0.6341073880539877</v>
      </c>
      <c r="U38" s="138">
        <f t="shared" si="25"/>
        <v>0.77411083259302849</v>
      </c>
      <c r="V38" s="138">
        <v>0.60424638421903265</v>
      </c>
      <c r="W38" s="138">
        <v>0.75177923079308706</v>
      </c>
      <c r="X38" s="138">
        <f t="shared" si="29"/>
        <v>0.70943723282064863</v>
      </c>
      <c r="Z38" s="136">
        <v>2011</v>
      </c>
      <c r="AA38" s="138">
        <v>0.78294232844410694</v>
      </c>
      <c r="AB38" s="138">
        <f>T38</f>
        <v>0.6341073880539877</v>
      </c>
      <c r="AC38" s="138">
        <f>U38</f>
        <v>0.77411083259302849</v>
      </c>
      <c r="AD38" s="138">
        <v>0.60424638421903265</v>
      </c>
      <c r="AE38" s="138">
        <v>0.65286918426578966</v>
      </c>
      <c r="AF38" s="138">
        <f t="shared" si="30"/>
        <v>0.68965522351518915</v>
      </c>
      <c r="AH38" s="136">
        <v>2011</v>
      </c>
      <c r="AI38" s="138">
        <v>0.78294232844410694</v>
      </c>
      <c r="AJ38" s="138">
        <f t="shared" si="31"/>
        <v>0.6341073880539877</v>
      </c>
      <c r="AK38" s="138">
        <f t="shared" si="32"/>
        <v>0.77411083259302849</v>
      </c>
      <c r="AL38" s="138">
        <v>0.60424638421903265</v>
      </c>
      <c r="AM38" s="138">
        <v>0.55395913773849237</v>
      </c>
      <c r="AN38" s="138">
        <f t="shared" si="33"/>
        <v>0.66987321420972967</v>
      </c>
    </row>
    <row r="39" spans="2:40" x14ac:dyDescent="0.2">
      <c r="B39" s="135">
        <v>2012</v>
      </c>
      <c r="C39" s="183">
        <v>0.78371998672223653</v>
      </c>
      <c r="D39" s="183">
        <v>0.64291011392065645</v>
      </c>
      <c r="E39" s="183">
        <v>0.76564970330082227</v>
      </c>
      <c r="F39" s="183">
        <v>0.60785653059037825</v>
      </c>
      <c r="G39" s="183">
        <v>0.68465345363062202</v>
      </c>
      <c r="H39" s="183">
        <f t="shared" si="26"/>
        <v>0.6969579576329431</v>
      </c>
      <c r="J39" s="140">
        <v>2012</v>
      </c>
      <c r="K39" s="190">
        <v>0.78371998672223653</v>
      </c>
      <c r="L39" s="190">
        <v>0.64291011392065645</v>
      </c>
      <c r="M39" s="190">
        <v>0.76564970330082227</v>
      </c>
      <c r="N39" s="190">
        <v>0.60785653059037825</v>
      </c>
      <c r="O39" s="190">
        <v>0.68465345363062202</v>
      </c>
      <c r="P39" s="190">
        <f t="shared" si="27"/>
        <v>0.6969579576329431</v>
      </c>
      <c r="R39" s="135">
        <v>2012</v>
      </c>
      <c r="S39" s="183">
        <v>0.78371998672223653</v>
      </c>
      <c r="T39" s="183">
        <f t="shared" si="28"/>
        <v>0.64291011392065645</v>
      </c>
      <c r="U39" s="183">
        <f t="shared" si="25"/>
        <v>0.76564970330082227</v>
      </c>
      <c r="V39" s="183">
        <v>0.60785653059037825</v>
      </c>
      <c r="W39" s="183">
        <v>0.74309858235524662</v>
      </c>
      <c r="X39" s="183">
        <f t="shared" si="29"/>
        <v>0.70864698337786802</v>
      </c>
      <c r="Z39" s="135">
        <v>2012</v>
      </c>
      <c r="AA39" s="183">
        <v>0.78371998672223653</v>
      </c>
      <c r="AB39" s="183">
        <f>T39</f>
        <v>0.64291011392065645</v>
      </c>
      <c r="AC39" s="183">
        <f>U39</f>
        <v>0.76564970330082227</v>
      </c>
      <c r="AD39" s="183">
        <v>0.60785653059037825</v>
      </c>
      <c r="AE39" s="183">
        <v>0.65043048530850511</v>
      </c>
      <c r="AF39" s="183">
        <f t="shared" si="30"/>
        <v>0.69011336396851974</v>
      </c>
      <c r="AH39" s="135">
        <v>2012</v>
      </c>
      <c r="AI39" s="183">
        <v>0.78371998672223653</v>
      </c>
      <c r="AJ39" s="183">
        <f t="shared" si="31"/>
        <v>0.64291011392065645</v>
      </c>
      <c r="AK39" s="183">
        <f t="shared" si="32"/>
        <v>0.76564970330082227</v>
      </c>
      <c r="AL39" s="183">
        <v>0.60785653059037825</v>
      </c>
      <c r="AM39" s="183">
        <v>0.5577623882617635</v>
      </c>
      <c r="AN39" s="183">
        <f t="shared" si="33"/>
        <v>0.67157974455917135</v>
      </c>
    </row>
    <row r="40" spans="2:40" x14ac:dyDescent="0.2">
      <c r="B40" s="136">
        <v>2013</v>
      </c>
      <c r="C40" s="138">
        <v>0.70610620395908241</v>
      </c>
      <c r="D40" s="138">
        <v>0.63197471369873393</v>
      </c>
      <c r="E40" s="138">
        <v>0.78842640742646664</v>
      </c>
      <c r="F40" s="138">
        <v>0.60557933511584405</v>
      </c>
      <c r="G40" s="138">
        <v>0.67778085551023037</v>
      </c>
      <c r="H40" s="138">
        <f t="shared" si="26"/>
        <v>0.6819735031420715</v>
      </c>
      <c r="J40" s="139">
        <v>2013</v>
      </c>
      <c r="K40" s="137">
        <v>0.70610620395908241</v>
      </c>
      <c r="L40" s="137">
        <v>0.63197471369873393</v>
      </c>
      <c r="M40" s="137">
        <v>0.78842640742646664</v>
      </c>
      <c r="N40" s="137">
        <v>0.60557933511584405</v>
      </c>
      <c r="O40" s="137">
        <v>0.67778085551023037</v>
      </c>
      <c r="P40" s="137">
        <f t="shared" si="27"/>
        <v>0.6819735031420715</v>
      </c>
      <c r="R40" s="136">
        <v>2013</v>
      </c>
      <c r="S40" s="138">
        <v>0.70610620395908241</v>
      </c>
      <c r="T40" s="138">
        <f t="shared" si="28"/>
        <v>0.63197471369873393</v>
      </c>
      <c r="U40" s="138">
        <f t="shared" si="25"/>
        <v>0.78842640742646664</v>
      </c>
      <c r="V40" s="138">
        <v>0.60557933511584405</v>
      </c>
      <c r="W40" s="138">
        <v>0.73364981806466756</v>
      </c>
      <c r="X40" s="138">
        <f t="shared" si="29"/>
        <v>0.69314729565295896</v>
      </c>
      <c r="Z40" s="136">
        <v>2013</v>
      </c>
      <c r="AA40" s="138">
        <v>0.70610620395908241</v>
      </c>
      <c r="AB40" s="138">
        <f>T40</f>
        <v>0.63197471369873393</v>
      </c>
      <c r="AC40" s="138">
        <f>U40</f>
        <v>0.78842640742646664</v>
      </c>
      <c r="AD40" s="138">
        <v>0.60557933511584405</v>
      </c>
      <c r="AE40" s="138">
        <v>0.646955772242367</v>
      </c>
      <c r="AF40" s="138">
        <f t="shared" si="30"/>
        <v>0.67580848648849889</v>
      </c>
      <c r="AH40" s="136">
        <v>2013</v>
      </c>
      <c r="AI40" s="138">
        <v>0.70610620395908241</v>
      </c>
      <c r="AJ40" s="138">
        <f t="shared" si="31"/>
        <v>0.63197471369873393</v>
      </c>
      <c r="AK40" s="138">
        <f t="shared" si="32"/>
        <v>0.78842640742646664</v>
      </c>
      <c r="AL40" s="138">
        <v>0.60557933511584405</v>
      </c>
      <c r="AM40" s="138">
        <v>0.56026172642006644</v>
      </c>
      <c r="AN40" s="138">
        <f t="shared" si="33"/>
        <v>0.65846967732403872</v>
      </c>
    </row>
    <row r="41" spans="2:40" x14ac:dyDescent="0.2">
      <c r="B41" s="135">
        <v>2014</v>
      </c>
      <c r="C41" s="183">
        <v>0.71342031686859275</v>
      </c>
      <c r="D41" s="183">
        <v>0.6534950724325489</v>
      </c>
      <c r="E41" s="183">
        <v>0.7584501375609235</v>
      </c>
      <c r="F41" s="183">
        <v>0.63793647123126407</v>
      </c>
      <c r="G41" s="183">
        <v>0.67466514925717791</v>
      </c>
      <c r="H41" s="183">
        <f t="shared" si="26"/>
        <v>0.68759342947010138</v>
      </c>
      <c r="J41" s="140">
        <v>2014</v>
      </c>
      <c r="K41" s="190">
        <v>0.71342031686859275</v>
      </c>
      <c r="L41" s="190">
        <v>0.6534950724325489</v>
      </c>
      <c r="M41" s="190">
        <v>0.7584501375609235</v>
      </c>
      <c r="N41" s="190">
        <v>0.63793647123126407</v>
      </c>
      <c r="O41" s="190">
        <v>0.67466514925717791</v>
      </c>
      <c r="P41" s="190">
        <f t="shared" si="27"/>
        <v>0.68759342947010138</v>
      </c>
      <c r="R41" s="135">
        <v>2014</v>
      </c>
      <c r="S41" s="183">
        <v>0.71342031686859275</v>
      </c>
      <c r="T41" s="183">
        <f t="shared" si="28"/>
        <v>0.6534950724325489</v>
      </c>
      <c r="U41" s="183">
        <f t="shared" si="25"/>
        <v>0.7584501375609235</v>
      </c>
      <c r="V41" s="183">
        <v>0.63793647123126407</v>
      </c>
      <c r="W41" s="183">
        <v>0.72600693987641207</v>
      </c>
      <c r="X41" s="183">
        <f t="shared" si="29"/>
        <v>0.69786178759394824</v>
      </c>
      <c r="Z41" s="135">
        <v>2014</v>
      </c>
      <c r="AA41" s="183">
        <v>0.71342031686859275</v>
      </c>
      <c r="AB41" s="183">
        <f>T41</f>
        <v>0.6534950724325489</v>
      </c>
      <c r="AC41" s="183">
        <f>U41</f>
        <v>0.7584501375609235</v>
      </c>
      <c r="AD41" s="183">
        <v>0.63793647123126407</v>
      </c>
      <c r="AE41" s="183">
        <v>0.64710086740675854</v>
      </c>
      <c r="AF41" s="183">
        <f t="shared" si="30"/>
        <v>0.68208057310001746</v>
      </c>
      <c r="AH41" s="135">
        <v>2014</v>
      </c>
      <c r="AI41" s="183">
        <v>0.71342031686859275</v>
      </c>
      <c r="AJ41" s="183">
        <f t="shared" si="31"/>
        <v>0.6534950724325489</v>
      </c>
      <c r="AK41" s="183">
        <f t="shared" si="32"/>
        <v>0.7584501375609235</v>
      </c>
      <c r="AL41" s="183">
        <v>0.63793647123126407</v>
      </c>
      <c r="AM41" s="183">
        <v>0.5681947949371049</v>
      </c>
      <c r="AN41" s="183">
        <f t="shared" si="33"/>
        <v>0.6662993586060868</v>
      </c>
    </row>
    <row r="42" spans="2:40" x14ac:dyDescent="0.2">
      <c r="B42" s="136">
        <v>2015</v>
      </c>
      <c r="C42" s="138" t="str">
        <v>n/a</v>
      </c>
      <c r="D42" s="138">
        <v>0.67982978412536066</v>
      </c>
      <c r="E42" s="138">
        <v>0.74171771693105126</v>
      </c>
      <c r="F42" s="138">
        <v>0.68955269520014517</v>
      </c>
      <c r="G42" s="138">
        <v>0.65844681272478855</v>
      </c>
      <c r="H42" s="138">
        <f t="shared" si="26"/>
        <v>0.69238675224533641</v>
      </c>
      <c r="J42" s="139">
        <v>2015</v>
      </c>
      <c r="K42" s="137" t="str">
        <v>n/a</v>
      </c>
      <c r="L42" s="137">
        <v>0.67982978412536066</v>
      </c>
      <c r="M42" s="137">
        <v>0.74171771693105126</v>
      </c>
      <c r="N42" s="137">
        <v>0.68955269520014517</v>
      </c>
      <c r="O42" s="137">
        <v>0.65844681272478855</v>
      </c>
      <c r="P42" s="137">
        <f t="shared" si="27"/>
        <v>0.69238675224533641</v>
      </c>
      <c r="R42" s="136">
        <v>2015</v>
      </c>
      <c r="S42" s="138" t="str">
        <v>n/a</v>
      </c>
      <c r="T42" s="138">
        <f t="shared" si="28"/>
        <v>0.67982978412536066</v>
      </c>
      <c r="U42" s="138">
        <f t="shared" si="25"/>
        <v>0.74171771693105126</v>
      </c>
      <c r="V42" s="138">
        <v>0.68955269520014517</v>
      </c>
      <c r="W42" s="138">
        <v>0.70766657002543243</v>
      </c>
      <c r="X42" s="138">
        <f t="shared" si="29"/>
        <v>0.70469169157049738</v>
      </c>
      <c r="Z42" s="136">
        <v>2015</v>
      </c>
      <c r="AA42" s="138" t="str">
        <v>n/a</v>
      </c>
      <c r="AB42" s="138">
        <f>T42</f>
        <v>0.67982978412536066</v>
      </c>
      <c r="AC42" s="138">
        <f>U42</f>
        <v>0.74171771693105126</v>
      </c>
      <c r="AD42" s="138">
        <v>0.68955269520014517</v>
      </c>
      <c r="AE42" s="138">
        <v>0.6356137256451746</v>
      </c>
      <c r="AF42" s="138">
        <f t="shared" si="30"/>
        <v>0.6866784804754329</v>
      </c>
      <c r="AH42" s="136">
        <v>2015</v>
      </c>
      <c r="AI42" s="138" t="str">
        <v>n/a</v>
      </c>
      <c r="AJ42" s="138">
        <f t="shared" si="31"/>
        <v>0.67982978412536066</v>
      </c>
      <c r="AK42" s="138">
        <f t="shared" si="32"/>
        <v>0.74171771693105126</v>
      </c>
      <c r="AL42" s="138">
        <v>0.68955269520014517</v>
      </c>
      <c r="AM42" s="138">
        <v>0.56356088126491688</v>
      </c>
      <c r="AN42" s="138">
        <f t="shared" si="33"/>
        <v>0.66866526938036852</v>
      </c>
    </row>
    <row r="43" spans="2:40" x14ac:dyDescent="0.2">
      <c r="B43" s="135">
        <v>2016</v>
      </c>
      <c r="C43" s="183" t="str">
        <v>n/a</v>
      </c>
      <c r="D43" s="183">
        <v>0.70704433179118376</v>
      </c>
      <c r="E43" s="183">
        <v>0.64739655800252882</v>
      </c>
      <c r="F43" s="183">
        <v>0.63598227897316262</v>
      </c>
      <c r="G43" s="183">
        <v>0.68762938748366065</v>
      </c>
      <c r="H43" s="183">
        <f t="shared" si="26"/>
        <v>0.66951313906263399</v>
      </c>
      <c r="J43" s="140">
        <v>2016</v>
      </c>
      <c r="K43" s="190" t="str">
        <v>n/a</v>
      </c>
      <c r="L43" s="190">
        <v>0.70704433179118376</v>
      </c>
      <c r="M43" s="190">
        <v>0.64739655800252882</v>
      </c>
      <c r="N43" s="190">
        <v>0.65971976471713456</v>
      </c>
      <c r="O43" s="190">
        <v>0.68762938748366065</v>
      </c>
      <c r="P43" s="190">
        <f t="shared" si="27"/>
        <v>0.67544751049862695</v>
      </c>
      <c r="R43" s="135">
        <v>2016</v>
      </c>
      <c r="S43" s="183" t="str">
        <v>n/a</v>
      </c>
      <c r="T43" s="183">
        <f t="shared" si="28"/>
        <v>0.70704433179118376</v>
      </c>
      <c r="U43" s="183">
        <f t="shared" si="25"/>
        <v>0.64739655800252882</v>
      </c>
      <c r="V43" s="183">
        <v>0.65971976471713456</v>
      </c>
      <c r="W43" s="183">
        <v>0.73540560392470922</v>
      </c>
      <c r="X43" s="183">
        <f t="shared" si="29"/>
        <v>0.68739156460888906</v>
      </c>
      <c r="Z43" s="135">
        <v>2016</v>
      </c>
      <c r="AA43" s="183" t="str">
        <v>n/a</v>
      </c>
      <c r="AB43" s="183">
        <f>T43</f>
        <v>0.70704433179118376</v>
      </c>
      <c r="AC43" s="183">
        <f>U43</f>
        <v>0.64739655800252882</v>
      </c>
      <c r="AD43" s="183">
        <v>0.62711491559466315</v>
      </c>
      <c r="AE43" s="183">
        <v>0.64504014992762226</v>
      </c>
      <c r="AF43" s="183">
        <f t="shared" si="30"/>
        <v>0.65664898882899947</v>
      </c>
      <c r="AH43" s="135">
        <v>2016</v>
      </c>
      <c r="AI43" s="183" t="str">
        <v>n/a</v>
      </c>
      <c r="AJ43" s="183">
        <f t="shared" si="31"/>
        <v>0.70704433179118376</v>
      </c>
      <c r="AK43" s="183">
        <f t="shared" si="32"/>
        <v>0.64739655800252882</v>
      </c>
      <c r="AL43" s="183">
        <v>0.59451006647219162</v>
      </c>
      <c r="AM43" s="183">
        <v>0.58245838505484981</v>
      </c>
      <c r="AN43" s="183">
        <f t="shared" si="33"/>
        <v>0.63285233533018848</v>
      </c>
    </row>
    <row r="44" spans="2:40" x14ac:dyDescent="0.2">
      <c r="B44" s="136">
        <v>2017</v>
      </c>
      <c r="C44" s="184" t="str">
        <v>n/a</v>
      </c>
      <c r="D44" s="138">
        <v>0.70917478449366134</v>
      </c>
      <c r="E44" s="137" t="str">
        <v>n/a</v>
      </c>
      <c r="F44" s="137">
        <v>0.61878845975447605</v>
      </c>
      <c r="G44" s="137">
        <v>0.69101000982152305</v>
      </c>
      <c r="H44" s="138">
        <f t="shared" si="26"/>
        <v>0.67299108468988678</v>
      </c>
      <c r="J44" s="139">
        <v>2017</v>
      </c>
      <c r="K44" s="137" t="str">
        <v>n/a</v>
      </c>
      <c r="L44" s="191">
        <v>0.70917478449366134</v>
      </c>
      <c r="M44" s="137" t="str">
        <v>n/a</v>
      </c>
      <c r="N44" s="137">
        <v>0.64313903335681277</v>
      </c>
      <c r="O44" s="137">
        <v>0.69101000982152305</v>
      </c>
      <c r="P44" s="137">
        <f t="shared" si="27"/>
        <v>0.68110794255733242</v>
      </c>
      <c r="R44" s="136">
        <v>2017</v>
      </c>
      <c r="S44" s="184" t="str">
        <v>n/a</v>
      </c>
      <c r="T44" s="138">
        <f t="shared" si="28"/>
        <v>0.70917478449366134</v>
      </c>
      <c r="U44" s="137" t="str">
        <f t="shared" si="25"/>
        <v>n/a</v>
      </c>
      <c r="V44" s="137">
        <v>0.64313903335681277</v>
      </c>
      <c r="W44" s="137">
        <v>0.7362769645080941</v>
      </c>
      <c r="X44" s="138">
        <f t="shared" si="29"/>
        <v>0.696196927452856</v>
      </c>
      <c r="Z44" s="136">
        <v>2017</v>
      </c>
      <c r="AA44" s="184" t="str">
        <v>n/a</v>
      </c>
      <c r="AB44" s="138">
        <f>T44</f>
        <v>0.70917478449366134</v>
      </c>
      <c r="AC44" s="137" t="s">
        <v>141</v>
      </c>
      <c r="AD44" s="137">
        <v>0.61120063297856941</v>
      </c>
      <c r="AE44" s="137">
        <v>0.64895510619747365</v>
      </c>
      <c r="AF44" s="138">
        <f t="shared" si="30"/>
        <v>0.65644350788990147</v>
      </c>
      <c r="AH44" s="136">
        <v>2017</v>
      </c>
      <c r="AI44" s="184" t="str">
        <v>n/a</v>
      </c>
      <c r="AJ44" s="138">
        <f t="shared" si="31"/>
        <v>0.70917478449366134</v>
      </c>
      <c r="AK44" s="137" t="s">
        <v>141</v>
      </c>
      <c r="AL44" s="137">
        <v>0.57926223260032617</v>
      </c>
      <c r="AM44" s="137">
        <v>0.58977721977389019</v>
      </c>
      <c r="AN44" s="138">
        <f t="shared" si="33"/>
        <v>0.62607141228929264</v>
      </c>
    </row>
    <row r="45" spans="2:40" x14ac:dyDescent="0.2">
      <c r="B45" s="135">
        <v>2018</v>
      </c>
      <c r="C45" s="183" t="str">
        <v>n/a</v>
      </c>
      <c r="D45" s="183">
        <v>0.7004645208323792</v>
      </c>
      <c r="E45" s="183" t="str">
        <v>n/a</v>
      </c>
      <c r="F45" s="183">
        <v>0.65996022031823753</v>
      </c>
      <c r="G45" s="183">
        <v>0.72839278339315483</v>
      </c>
      <c r="H45" s="183">
        <f t="shared" si="26"/>
        <v>0.69627250818125719</v>
      </c>
      <c r="J45" s="140">
        <v>2018</v>
      </c>
      <c r="K45" s="190" t="str">
        <v>n/a</v>
      </c>
      <c r="L45" s="190">
        <v>0.7004645208323792</v>
      </c>
      <c r="M45" s="190" t="str">
        <v>n/a</v>
      </c>
      <c r="N45" s="190">
        <v>0.6802474575356755</v>
      </c>
      <c r="O45" s="190">
        <v>0.72839278339315483</v>
      </c>
      <c r="P45" s="190">
        <f t="shared" si="27"/>
        <v>0.70303492058706984</v>
      </c>
      <c r="R45" s="135">
        <v>2018</v>
      </c>
      <c r="S45" s="183" t="str">
        <v>n/a</v>
      </c>
      <c r="T45" s="183">
        <f t="shared" si="28"/>
        <v>0.7004645208323792</v>
      </c>
      <c r="U45" s="183" t="str">
        <f t="shared" si="25"/>
        <v>n/a</v>
      </c>
      <c r="V45" s="183">
        <v>0.6802474575356755</v>
      </c>
      <c r="W45" s="183">
        <v>0.76568578603873994</v>
      </c>
      <c r="X45" s="183">
        <f t="shared" si="29"/>
        <v>0.71546592146893151</v>
      </c>
      <c r="Z45" s="135">
        <v>2018</v>
      </c>
      <c r="AA45" s="183" t="str">
        <v>n/a</v>
      </c>
      <c r="AB45" s="183">
        <f>T45</f>
        <v>0.7004645208323792</v>
      </c>
      <c r="AC45" s="183" t="s">
        <v>141</v>
      </c>
      <c r="AD45" s="183">
        <v>0.65041677531898823</v>
      </c>
      <c r="AE45" s="183">
        <v>0.68298289154863401</v>
      </c>
      <c r="AF45" s="183">
        <f t="shared" si="30"/>
        <v>0.67795472923333389</v>
      </c>
      <c r="AH45" s="135">
        <v>2018</v>
      </c>
      <c r="AI45" s="183" t="str">
        <v>n/a</v>
      </c>
      <c r="AJ45" s="183">
        <f t="shared" si="31"/>
        <v>0.7004645208323792</v>
      </c>
      <c r="AK45" s="183" t="s">
        <v>141</v>
      </c>
      <c r="AL45" s="183">
        <v>0.62058609310230106</v>
      </c>
      <c r="AM45" s="183">
        <v>0.62838088261429548</v>
      </c>
      <c r="AN45" s="183">
        <f t="shared" si="33"/>
        <v>0.64981049884965858</v>
      </c>
    </row>
    <row r="46" spans="2:40" x14ac:dyDescent="0.2">
      <c r="B46" s="136">
        <v>2019</v>
      </c>
      <c r="C46" s="184" t="str">
        <v>n/a</v>
      </c>
      <c r="D46" s="138">
        <v>0.74123137847857679</v>
      </c>
      <c r="E46" s="137" t="str">
        <v>n/a</v>
      </c>
      <c r="F46" s="137">
        <v>0.68714865931724578</v>
      </c>
      <c r="G46" s="137">
        <v>0.7583263507705108</v>
      </c>
      <c r="H46" s="138">
        <f t="shared" si="26"/>
        <v>0.72890212952211109</v>
      </c>
      <c r="J46" s="139">
        <v>2019</v>
      </c>
      <c r="K46" s="137" t="str">
        <v>n/a</v>
      </c>
      <c r="L46" s="191">
        <v>0.74123137847857679</v>
      </c>
      <c r="M46" s="137" t="str">
        <v>n/a</v>
      </c>
      <c r="N46" s="137">
        <v>0.70725824395888026</v>
      </c>
      <c r="O46" s="137">
        <v>0.7583263507705108</v>
      </c>
      <c r="P46" s="137">
        <f t="shared" si="27"/>
        <v>0.73560532440265591</v>
      </c>
      <c r="R46" s="136">
        <v>2019</v>
      </c>
      <c r="S46" s="184" t="str">
        <v>n/a</v>
      </c>
      <c r="T46" s="138">
        <f t="shared" si="28"/>
        <v>0.74123137847857679</v>
      </c>
      <c r="U46" s="137" t="str">
        <f t="shared" si="25"/>
        <v>n/a</v>
      </c>
      <c r="V46" s="137">
        <v>0.70725824395888026</v>
      </c>
      <c r="W46" s="137">
        <v>0.78980863239364507</v>
      </c>
      <c r="X46" s="138">
        <f t="shared" si="29"/>
        <v>0.74609941827703408</v>
      </c>
      <c r="Z46" s="136">
        <v>2019</v>
      </c>
      <c r="AA46" s="184" t="str">
        <v>n/a</v>
      </c>
      <c r="AB46" s="138">
        <f>T46</f>
        <v>0.74123137847857679</v>
      </c>
      <c r="AC46" s="137" t="s">
        <v>141</v>
      </c>
      <c r="AD46" s="137">
        <v>0.67511904232121389</v>
      </c>
      <c r="AE46" s="137">
        <v>0.71229419967811136</v>
      </c>
      <c r="AF46" s="138">
        <f t="shared" si="30"/>
        <v>0.70954820682596731</v>
      </c>
      <c r="AH46" s="136">
        <v>2019</v>
      </c>
      <c r="AI46" s="184" t="str">
        <v>n/a</v>
      </c>
      <c r="AJ46" s="138">
        <f t="shared" si="31"/>
        <v>0.74123137847857679</v>
      </c>
      <c r="AK46" s="137" t="s">
        <v>141</v>
      </c>
      <c r="AL46" s="137">
        <v>0.64297984068354763</v>
      </c>
      <c r="AM46" s="137">
        <v>0.65954088610228523</v>
      </c>
      <c r="AN46" s="138">
        <f t="shared" si="33"/>
        <v>0.68125070175480318</v>
      </c>
    </row>
    <row r="47" spans="2:40" x14ac:dyDescent="0.2">
      <c r="B47" s="135">
        <v>2020</v>
      </c>
      <c r="C47" s="183" t="str">
        <v>n/a</v>
      </c>
      <c r="D47" s="183">
        <v>0.77203442265333033</v>
      </c>
      <c r="E47" s="183" t="str">
        <v>n/a</v>
      </c>
      <c r="F47" s="183">
        <v>0.73710956975045705</v>
      </c>
      <c r="G47" s="183">
        <v>0.76897149476572391</v>
      </c>
      <c r="H47" s="183">
        <f t="shared" si="26"/>
        <v>0.7593718290565038</v>
      </c>
      <c r="J47" s="140">
        <v>2020</v>
      </c>
      <c r="K47" s="190" t="str">
        <v>n/a</v>
      </c>
      <c r="L47" s="190">
        <v>0.77203442265333033</v>
      </c>
      <c r="M47" s="190" t="str">
        <v>n/a</v>
      </c>
      <c r="N47" s="190">
        <v>0.75536980213733995</v>
      </c>
      <c r="O47" s="190">
        <v>0.76897149476572391</v>
      </c>
      <c r="P47" s="190">
        <f t="shared" si="27"/>
        <v>0.76545857318546473</v>
      </c>
      <c r="R47" s="135">
        <v>2020</v>
      </c>
      <c r="S47" s="183" t="str">
        <v>n/a</v>
      </c>
      <c r="T47" s="183">
        <f t="shared" si="28"/>
        <v>0.77203442265333033</v>
      </c>
      <c r="U47" s="183" t="str">
        <f t="shared" si="25"/>
        <v>n/a</v>
      </c>
      <c r="V47" s="183">
        <v>0.75536980213733995</v>
      </c>
      <c r="W47" s="183">
        <v>0.79747663118593837</v>
      </c>
      <c r="X47" s="183">
        <f t="shared" si="29"/>
        <v>0.77496028532553618</v>
      </c>
      <c r="Z47" s="135">
        <v>2020</v>
      </c>
      <c r="AA47" s="183" t="str">
        <v>n/a</v>
      </c>
      <c r="AB47" s="183">
        <f>T47</f>
        <v>0.77203442265333033</v>
      </c>
      <c r="AC47" s="183" t="s">
        <v>141</v>
      </c>
      <c r="AD47" s="183">
        <v>0.72064006250864787</v>
      </c>
      <c r="AE47" s="183">
        <v>0.72133031342096143</v>
      </c>
      <c r="AF47" s="183">
        <f t="shared" si="30"/>
        <v>0.73800159952764643</v>
      </c>
      <c r="AH47" s="135">
        <v>2020</v>
      </c>
      <c r="AI47" s="183" t="str">
        <v>n/a</v>
      </c>
      <c r="AJ47" s="183">
        <f>AB47</f>
        <v>0.77203442265333033</v>
      </c>
      <c r="AK47" s="183" t="s">
        <v>141</v>
      </c>
      <c r="AL47" s="183">
        <v>0.68591032287995579</v>
      </c>
      <c r="AM47" s="183">
        <v>0.67042948107043254</v>
      </c>
      <c r="AN47" s="183">
        <f t="shared" si="33"/>
        <v>0.70945807553457296</v>
      </c>
    </row>
    <row r="48" spans="2:40" x14ac:dyDescent="0.2">
      <c r="B48" s="139">
        <v>2021</v>
      </c>
      <c r="C48" s="138" t="str">
        <v>n/a</v>
      </c>
      <c r="D48" s="138">
        <v>0.76970707034199082</v>
      </c>
      <c r="E48" s="138" t="str">
        <v>n/a</v>
      </c>
      <c r="F48" s="138">
        <v>0.66368033525241843</v>
      </c>
      <c r="G48" s="138">
        <v>0.75702742660175915</v>
      </c>
      <c r="H48" s="138">
        <f>AVERAGE(C48:G48)</f>
        <v>0.73013827739872283</v>
      </c>
      <c r="J48" s="139">
        <v>2021</v>
      </c>
      <c r="K48" s="137" t="str">
        <v>n/a</v>
      </c>
      <c r="L48" s="191">
        <v>0.76970707034199082</v>
      </c>
      <c r="M48" s="137" t="str">
        <v>n/a</v>
      </c>
      <c r="N48" s="137">
        <v>0.68505070510351906</v>
      </c>
      <c r="O48" s="137">
        <v>0.75702742660175915</v>
      </c>
      <c r="P48" s="137">
        <f t="shared" si="27"/>
        <v>0.73726173401575634</v>
      </c>
      <c r="R48" s="139">
        <v>2021</v>
      </c>
      <c r="S48" s="138" t="str">
        <v>n/a</v>
      </c>
      <c r="T48" s="138">
        <f t="shared" si="28"/>
        <v>0.76970707034199082</v>
      </c>
      <c r="U48" s="138" t="str">
        <f t="shared" si="25"/>
        <v>n/a</v>
      </c>
      <c r="V48" s="138">
        <v>0.72786620292978188</v>
      </c>
      <c r="W48" s="138">
        <v>0.78496978759034342</v>
      </c>
      <c r="X48" s="138">
        <f>AVERAGE(S48:W48)</f>
        <v>0.7608476869540387</v>
      </c>
      <c r="Z48" s="139">
        <v>2021</v>
      </c>
      <c r="AA48" s="138" t="str">
        <v>n/a</v>
      </c>
      <c r="AB48" s="138">
        <f>T48</f>
        <v>0.76970707034199082</v>
      </c>
      <c r="AC48" s="138" t="s">
        <v>141</v>
      </c>
      <c r="AD48" s="138">
        <v>0.63244230357864384</v>
      </c>
      <c r="AE48" s="138">
        <v>0.7101448000464764</v>
      </c>
      <c r="AF48" s="138">
        <f>AVERAGE(AA48:AE48)</f>
        <v>0.70409805798903691</v>
      </c>
      <c r="AH48" s="139">
        <v>2021</v>
      </c>
      <c r="AI48" s="138" t="str">
        <v>n/a</v>
      </c>
      <c r="AJ48" s="138">
        <f>AB48</f>
        <v>0.76970707034199082</v>
      </c>
      <c r="AK48" s="138" t="s">
        <v>141</v>
      </c>
      <c r="AL48" s="138">
        <v>0.53701840422750569</v>
      </c>
      <c r="AM48" s="138">
        <v>0.66208025450921304</v>
      </c>
      <c r="AN48" s="138">
        <f>AVERAGE(AI48:AM48)</f>
        <v>0.65626857635956981</v>
      </c>
    </row>
    <row r="49" spans="2:40" x14ac:dyDescent="0.2">
      <c r="B49" s="177" t="s">
        <v>140</v>
      </c>
      <c r="C49" s="185" t="str">
        <f t="shared" ref="C49:G49" si="34">IFERROR(AVERAGE(C44:C48),"n/a")</f>
        <v>n/a</v>
      </c>
      <c r="D49" s="185">
        <f t="shared" si="34"/>
        <v>0.73852243535998763</v>
      </c>
      <c r="E49" s="185" t="str">
        <f t="shared" si="34"/>
        <v>n/a</v>
      </c>
      <c r="F49" s="185">
        <f t="shared" si="34"/>
        <v>0.67333744887856706</v>
      </c>
      <c r="G49" s="185">
        <f t="shared" si="34"/>
        <v>0.74074561307053433</v>
      </c>
      <c r="H49" s="185">
        <f>AVERAGE(C44:G48)</f>
        <v>0.71753516576969634</v>
      </c>
      <c r="J49" s="177" t="s">
        <v>140</v>
      </c>
      <c r="K49" s="185" t="str">
        <f t="shared" ref="K49:O49" si="35">IFERROR(AVERAGE(K44:K48),"n/a")</f>
        <v>n/a</v>
      </c>
      <c r="L49" s="185">
        <f t="shared" si="35"/>
        <v>0.73852243535998763</v>
      </c>
      <c r="M49" s="185" t="str">
        <f t="shared" si="35"/>
        <v>n/a</v>
      </c>
      <c r="N49" s="185">
        <f t="shared" si="35"/>
        <v>0.69421304841844544</v>
      </c>
      <c r="O49" s="185">
        <f t="shared" si="35"/>
        <v>0.74074561307053433</v>
      </c>
      <c r="P49" s="185">
        <f>AVERAGE(K44:O48)</f>
        <v>0.72449369894965576</v>
      </c>
      <c r="R49" s="177" t="s">
        <v>140</v>
      </c>
      <c r="S49" s="185" t="str">
        <f t="shared" ref="S49:W49" si="36">IFERROR(AVERAGE(S44:S48),"n/a")</f>
        <v>n/a</v>
      </c>
      <c r="T49" s="185">
        <f t="shared" si="36"/>
        <v>0.73852243535998763</v>
      </c>
      <c r="U49" s="185" t="str">
        <f t="shared" si="36"/>
        <v>n/a</v>
      </c>
      <c r="V49" s="185">
        <f t="shared" si="36"/>
        <v>0.70277614798369803</v>
      </c>
      <c r="W49" s="185">
        <f t="shared" si="36"/>
        <v>0.77484356034335211</v>
      </c>
      <c r="X49" s="185">
        <f>AVERAGE(S44:W48)</f>
        <v>0.7387140478956794</v>
      </c>
      <c r="Z49" s="177" t="s">
        <v>140</v>
      </c>
      <c r="AA49" s="185" t="str">
        <f t="shared" ref="AA49:AE49" si="37">IFERROR(AVERAGE(AA44:AA48),"n/a")</f>
        <v>n/a</v>
      </c>
      <c r="AB49" s="185">
        <f t="shared" si="37"/>
        <v>0.73852243535998763</v>
      </c>
      <c r="AC49" s="185" t="str">
        <f t="shared" si="37"/>
        <v>n/a</v>
      </c>
      <c r="AD49" s="185">
        <f t="shared" si="37"/>
        <v>0.65796376334121265</v>
      </c>
      <c r="AE49" s="185">
        <f t="shared" si="37"/>
        <v>0.69514146217833139</v>
      </c>
      <c r="AF49" s="185">
        <f>AVERAGE(AA44:AE48)</f>
        <v>0.69720922029317722</v>
      </c>
      <c r="AH49" s="177" t="s">
        <v>140</v>
      </c>
      <c r="AI49" s="185" t="str">
        <f t="shared" ref="AI49:AM49" si="38">IFERROR(AVERAGE(AI44:AI48),"n/a")</f>
        <v>n/a</v>
      </c>
      <c r="AJ49" s="185">
        <f t="shared" si="38"/>
        <v>0.73852243535998763</v>
      </c>
      <c r="AK49" s="185" t="str">
        <f t="shared" si="38"/>
        <v>n/a</v>
      </c>
      <c r="AL49" s="185">
        <f t="shared" si="38"/>
        <v>0.61315137869872738</v>
      </c>
      <c r="AM49" s="185">
        <f t="shared" si="38"/>
        <v>0.64204174481402332</v>
      </c>
      <c r="AN49" s="185">
        <f>AVERAGE(AI44:AM48)</f>
        <v>0.66457185295757948</v>
      </c>
    </row>
    <row r="50" spans="2:40" x14ac:dyDescent="0.2">
      <c r="B50" s="179" t="s">
        <v>112</v>
      </c>
      <c r="C50" s="180">
        <f t="shared" ref="C50:G50" si="39">AVERAGE(C39:C48)</f>
        <v>0.73441550251663734</v>
      </c>
      <c r="D50" s="180">
        <f t="shared" si="39"/>
        <v>0.70078661927684216</v>
      </c>
      <c r="E50" s="180">
        <f t="shared" si="39"/>
        <v>0.7403281046443585</v>
      </c>
      <c r="F50" s="180">
        <f t="shared" si="39"/>
        <v>0.6543594555503629</v>
      </c>
      <c r="G50" s="180">
        <f t="shared" si="39"/>
        <v>0.70869037239591515</v>
      </c>
      <c r="H50" s="181">
        <f>AVERAGE(C39:G48)</f>
        <v>0.69850661850007645</v>
      </c>
      <c r="J50" s="179" t="s">
        <v>112</v>
      </c>
      <c r="K50" s="180">
        <f t="shared" ref="K50:O50" si="40">AVERAGE(K39:K48)</f>
        <v>0.73441550251663734</v>
      </c>
      <c r="L50" s="180">
        <f t="shared" si="40"/>
        <v>0.70078661927684216</v>
      </c>
      <c r="M50" s="180">
        <f t="shared" si="40"/>
        <v>0.7403281046443585</v>
      </c>
      <c r="N50" s="180">
        <f t="shared" si="40"/>
        <v>0.6671710038946993</v>
      </c>
      <c r="O50" s="180">
        <f t="shared" si="40"/>
        <v>0.70869037239591515</v>
      </c>
      <c r="P50" s="180">
        <f>AVERAGE(K39:O48)</f>
        <v>0.70187807859069118</v>
      </c>
      <c r="R50" s="179" t="s">
        <v>112</v>
      </c>
      <c r="S50" s="180">
        <f t="shared" ref="S50:W50" si="41">AVERAGE(S39:S48)</f>
        <v>0.73441550251663734</v>
      </c>
      <c r="T50" s="180">
        <f t="shared" si="41"/>
        <v>0.70078661927684216</v>
      </c>
      <c r="U50" s="180">
        <f t="shared" si="41"/>
        <v>0.7403281046443585</v>
      </c>
      <c r="V50" s="180">
        <f t="shared" si="41"/>
        <v>0.67145255367732559</v>
      </c>
      <c r="W50" s="180">
        <f t="shared" si="41"/>
        <v>0.75200453159632297</v>
      </c>
      <c r="X50" s="181">
        <f>AVERAGE(S39:W48)</f>
        <v>0.71440326516517394</v>
      </c>
      <c r="Z50" s="179" t="s">
        <v>112</v>
      </c>
      <c r="AA50" s="180">
        <f t="shared" ref="AA50:AE50" si="42">AVERAGE(AA39:AA48)</f>
        <v>0.73441550251663734</v>
      </c>
      <c r="AB50" s="180">
        <f t="shared" si="42"/>
        <v>0.70078661927684216</v>
      </c>
      <c r="AC50" s="180">
        <f t="shared" si="42"/>
        <v>0.7403281046443585</v>
      </c>
      <c r="AD50" s="180">
        <f t="shared" si="42"/>
        <v>0.64578587644383578</v>
      </c>
      <c r="AE50" s="180">
        <f t="shared" si="42"/>
        <v>0.6700848311422084</v>
      </c>
      <c r="AF50" s="181">
        <f>AVERAGE(AA39:AE48)</f>
        <v>0.68609106051054114</v>
      </c>
      <c r="AH50" s="179" t="s">
        <v>112</v>
      </c>
      <c r="AI50" s="180">
        <f t="shared" ref="AI50:AM50" si="43">AVERAGE(AI39:AI48)</f>
        <v>0.73441550251663734</v>
      </c>
      <c r="AJ50" s="180">
        <f t="shared" si="43"/>
        <v>0.70078661927684216</v>
      </c>
      <c r="AK50" s="180">
        <f t="shared" si="43"/>
        <v>0.7403281046443585</v>
      </c>
      <c r="AL50" s="180">
        <f t="shared" si="43"/>
        <v>0.62011919921034597</v>
      </c>
      <c r="AM50" s="180">
        <f t="shared" si="43"/>
        <v>0.60424469000088188</v>
      </c>
      <c r="AN50" s="181">
        <f>AVERAGE(AI39:AM48)</f>
        <v>0.66201031883295791</v>
      </c>
    </row>
    <row r="51" spans="2:40" x14ac:dyDescent="0.2">
      <c r="B51" s="177" t="s">
        <v>139</v>
      </c>
      <c r="C51" s="178">
        <f t="shared" ref="C51:G51" si="44">AVERAGE(C33:C48)</f>
        <v>0.80119666917005072</v>
      </c>
      <c r="D51" s="178">
        <f t="shared" si="44"/>
        <v>0.69371372684840082</v>
      </c>
      <c r="E51" s="178">
        <f t="shared" si="44"/>
        <v>0.76200142654270453</v>
      </c>
      <c r="F51" s="178">
        <f t="shared" si="44"/>
        <v>0.63506778017574483</v>
      </c>
      <c r="G51" s="178">
        <f t="shared" si="44"/>
        <v>0.73679783612601291</v>
      </c>
      <c r="H51" s="178">
        <f>AVERAGE(C33:G48)</f>
        <v>0.71532434124856947</v>
      </c>
      <c r="J51" s="177" t="s">
        <v>139</v>
      </c>
      <c r="K51" s="178">
        <f t="shared" ref="K51:O51" si="45">AVERAGE(K33:K48)</f>
        <v>0.80119666917005072</v>
      </c>
      <c r="L51" s="178">
        <f t="shared" si="45"/>
        <v>0.69371372684840082</v>
      </c>
      <c r="M51" s="178">
        <f t="shared" si="45"/>
        <v>0.76200142654270453</v>
      </c>
      <c r="N51" s="178">
        <f t="shared" si="45"/>
        <v>0.64307499789095524</v>
      </c>
      <c r="O51" s="178">
        <f t="shared" si="45"/>
        <v>0.73679783612601291</v>
      </c>
      <c r="P51" s="178">
        <f>AVERAGE(K33:O48)</f>
        <v>0.7172083924756778</v>
      </c>
      <c r="R51" s="177" t="s">
        <v>139</v>
      </c>
      <c r="S51" s="178">
        <f t="shared" ref="S51:W51" si="46">AVERAGE(S33:S48)</f>
        <v>0.80269331940978383</v>
      </c>
      <c r="T51" s="178">
        <f t="shared" si="46"/>
        <v>0.69371372684840082</v>
      </c>
      <c r="U51" s="178">
        <f t="shared" si="46"/>
        <v>0.76200142654270453</v>
      </c>
      <c r="V51" s="178">
        <f t="shared" si="46"/>
        <v>0.64575096650509667</v>
      </c>
      <c r="W51" s="178">
        <f t="shared" si="46"/>
        <v>0.7821830801604428</v>
      </c>
      <c r="X51" s="178">
        <f>AVERAGE(S33:W48)</f>
        <v>0.72871499916001203</v>
      </c>
      <c r="Z51" s="177" t="s">
        <v>139</v>
      </c>
      <c r="AA51" s="178">
        <f t="shared" ref="AA51:AE51" si="47">AVERAGE(AA33:AA48)</f>
        <v>0.79549676774961442</v>
      </c>
      <c r="AB51" s="178">
        <f t="shared" si="47"/>
        <v>0.69371372684840082</v>
      </c>
      <c r="AC51" s="178">
        <f t="shared" si="47"/>
        <v>0.76200142654270453</v>
      </c>
      <c r="AD51" s="178">
        <f t="shared" si="47"/>
        <v>0.62970929323416547</v>
      </c>
      <c r="AE51" s="178">
        <f t="shared" si="47"/>
        <v>0.66851352759295213</v>
      </c>
      <c r="AF51" s="178">
        <f>AVERAGE(AA33:AE48)</f>
        <v>0.69724222594889063</v>
      </c>
      <c r="AH51" s="177" t="s">
        <v>139</v>
      </c>
      <c r="AI51" s="178">
        <f t="shared" ref="AI51:AM51" si="48">AVERAGE(AI33:AI48)</f>
        <v>0.78830021608944489</v>
      </c>
      <c r="AJ51" s="178">
        <f t="shared" si="48"/>
        <v>0.69371372684840082</v>
      </c>
      <c r="AK51" s="178">
        <f t="shared" si="48"/>
        <v>0.76200142654270453</v>
      </c>
      <c r="AL51" s="178">
        <f t="shared" si="48"/>
        <v>0.61366761996323438</v>
      </c>
      <c r="AM51" s="178">
        <f t="shared" si="48"/>
        <v>0.59207970048733605</v>
      </c>
      <c r="AN51" s="178">
        <f>AVERAGE(AI33:AM48)</f>
        <v>0.67453079990526876</v>
      </c>
    </row>
    <row r="53" spans="2:40" x14ac:dyDescent="0.2">
      <c r="B53" s="135" t="s">
        <v>113</v>
      </c>
      <c r="J53" s="135" t="s">
        <v>113</v>
      </c>
      <c r="R53" s="135" t="s">
        <v>113</v>
      </c>
      <c r="Z53" s="135" t="s">
        <v>113</v>
      </c>
      <c r="AH53" s="135" t="s">
        <v>113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20"/>
  <sheetViews>
    <sheetView workbookViewId="0">
      <selection activeCell="C15" sqref="C15"/>
    </sheetView>
  </sheetViews>
  <sheetFormatPr defaultRowHeight="12.75" x14ac:dyDescent="0.2"/>
  <cols>
    <col min="1" max="1" width="9.140625" style="195"/>
    <col min="2" max="2" width="33.5703125" style="195" customWidth="1"/>
    <col min="3" max="3" width="29.42578125" style="195" customWidth="1"/>
    <col min="4" max="4" width="21" style="195" customWidth="1"/>
    <col min="5" max="5" width="23.5703125" style="195" customWidth="1"/>
    <col min="6" max="6" width="18.42578125" style="195" customWidth="1"/>
    <col min="7" max="7" width="20.140625" style="195" customWidth="1"/>
    <col min="8" max="8" width="7.42578125" style="195" customWidth="1"/>
    <col min="9" max="16384" width="9.140625" style="195"/>
  </cols>
  <sheetData>
    <row r="2" spans="2:7" x14ac:dyDescent="0.2">
      <c r="B2" s="196" t="s">
        <v>152</v>
      </c>
    </row>
    <row r="4" spans="2:7" ht="38.25" x14ac:dyDescent="0.2">
      <c r="B4" s="197"/>
      <c r="C4" s="198" t="s">
        <v>142</v>
      </c>
      <c r="D4" s="198" t="s">
        <v>150</v>
      </c>
      <c r="E4" s="198" t="s">
        <v>151</v>
      </c>
      <c r="F4" s="198" t="str">
        <f>Summary!Z2</f>
        <v>50% hybrids as debt / 50% as equity approach</v>
      </c>
      <c r="G4" s="198" t="s">
        <v>159</v>
      </c>
    </row>
    <row r="5" spans="2:7" x14ac:dyDescent="0.2">
      <c r="B5" s="199" t="s">
        <v>115</v>
      </c>
      <c r="C5" s="197"/>
      <c r="D5" s="197"/>
      <c r="E5" s="197"/>
      <c r="F5" s="197"/>
      <c r="G5" s="197"/>
    </row>
    <row r="6" spans="2:7" x14ac:dyDescent="0.2">
      <c r="B6" s="200" t="s">
        <v>117</v>
      </c>
      <c r="C6" s="201">
        <f>Summary!P23</f>
        <v>0.527905247376104</v>
      </c>
      <c r="D6" s="201">
        <f>Summary!X23</f>
        <v>0.54621533508508302</v>
      </c>
      <c r="E6" s="201">
        <f>Summary!AN23</f>
        <v>0.48760780547420085</v>
      </c>
      <c r="F6" s="201">
        <f>Summary!AF23</f>
        <v>0.51669465405339576</v>
      </c>
      <c r="G6" s="201">
        <f>Summary!H23</f>
        <v>0.51988163679293209</v>
      </c>
    </row>
    <row r="7" spans="2:7" x14ac:dyDescent="0.2">
      <c r="B7" s="200" t="s">
        <v>118</v>
      </c>
      <c r="C7" s="201">
        <f>Summary!P24</f>
        <v>0.54924607327731567</v>
      </c>
      <c r="D7" s="201">
        <f>Summary!X24</f>
        <v>0.56437976098795128</v>
      </c>
      <c r="E7" s="201">
        <f>Summary!AN24</f>
        <v>0.52117291821726863</v>
      </c>
      <c r="F7" s="201">
        <f>Summary!AF24</f>
        <v>0.54269071477646003</v>
      </c>
      <c r="G7" s="201">
        <f>Summary!H24</f>
        <v>0.54540227714723455</v>
      </c>
    </row>
    <row r="8" spans="2:7" x14ac:dyDescent="0.2">
      <c r="B8" s="200" t="s">
        <v>139</v>
      </c>
      <c r="C8" s="201">
        <f>Summary!P25</f>
        <v>0.60116909740593194</v>
      </c>
      <c r="D8" s="201">
        <f>Summary!X25</f>
        <v>0.61640187714570593</v>
      </c>
      <c r="E8" s="201">
        <f>Summary!AN25</f>
        <v>0.5733777761116341</v>
      </c>
      <c r="F8" s="201">
        <f>Summary!AF25</f>
        <v>0.59484197746111578</v>
      </c>
      <c r="G8" s="201">
        <f>Summary!H25</f>
        <v>0.59902109368618084</v>
      </c>
    </row>
    <row r="9" spans="2:7" x14ac:dyDescent="0.2">
      <c r="B9" s="197"/>
      <c r="C9" s="197"/>
      <c r="D9" s="197"/>
      <c r="E9" s="197"/>
      <c r="F9" s="197"/>
      <c r="G9" s="197"/>
    </row>
    <row r="10" spans="2:7" x14ac:dyDescent="0.2">
      <c r="B10" s="199" t="s">
        <v>116</v>
      </c>
      <c r="C10" s="197"/>
      <c r="D10" s="197"/>
      <c r="E10" s="197"/>
      <c r="F10" s="197"/>
      <c r="G10" s="197"/>
    </row>
    <row r="11" spans="2:7" x14ac:dyDescent="0.2">
      <c r="B11" s="200" t="s">
        <v>117</v>
      </c>
      <c r="C11" s="201">
        <f>Summary!P49</f>
        <v>0.72449369894965576</v>
      </c>
      <c r="D11" s="201">
        <f>Summary!X49</f>
        <v>0.7387140478956794</v>
      </c>
      <c r="E11" s="201">
        <f>Summary!AN49</f>
        <v>0.66457185295757948</v>
      </c>
      <c r="F11" s="201">
        <f>Summary!AF49</f>
        <v>0.69720922029317722</v>
      </c>
      <c r="G11" s="201">
        <f>Summary!H49</f>
        <v>0.71753516576969634</v>
      </c>
    </row>
    <row r="12" spans="2:7" x14ac:dyDescent="0.2">
      <c r="B12" s="200" t="s">
        <v>118</v>
      </c>
      <c r="C12" s="201">
        <f>Summary!P50</f>
        <v>0.70187807859069118</v>
      </c>
      <c r="D12" s="201">
        <f>Summary!X50</f>
        <v>0.71440326516517394</v>
      </c>
      <c r="E12" s="201">
        <f>Summary!AN50</f>
        <v>0.66201031883295791</v>
      </c>
      <c r="F12" s="201">
        <f>Summary!AF50</f>
        <v>0.68609106051054114</v>
      </c>
      <c r="G12" s="201">
        <f>Summary!H50</f>
        <v>0.69850661850007645</v>
      </c>
    </row>
    <row r="13" spans="2:7" x14ac:dyDescent="0.2">
      <c r="B13" s="200" t="s">
        <v>139</v>
      </c>
      <c r="C13" s="201">
        <f>Summary!P51</f>
        <v>0.7172083924756778</v>
      </c>
      <c r="D13" s="201">
        <f>Summary!X51</f>
        <v>0.72871499916001203</v>
      </c>
      <c r="E13" s="201">
        <f>Summary!AN51</f>
        <v>0.67453079990526876</v>
      </c>
      <c r="F13" s="201">
        <f>Summary!AF51</f>
        <v>0.69724222594889063</v>
      </c>
      <c r="G13" s="201">
        <f>Summary!H51</f>
        <v>0.71532434124856947</v>
      </c>
    </row>
    <row r="14" spans="2:7" x14ac:dyDescent="0.2">
      <c r="B14" s="202"/>
      <c r="C14" s="203"/>
      <c r="D14" s="203"/>
      <c r="E14" s="203"/>
      <c r="F14" s="203"/>
      <c r="G14" s="203"/>
    </row>
    <row r="17" spans="2:6" x14ac:dyDescent="0.2">
      <c r="B17" s="204"/>
      <c r="C17" s="204"/>
      <c r="D17" s="204"/>
      <c r="E17" s="204"/>
      <c r="F17" s="204"/>
    </row>
    <row r="18" spans="2:6" x14ac:dyDescent="0.2">
      <c r="B18" s="204"/>
      <c r="C18" s="204"/>
      <c r="D18" s="204"/>
      <c r="E18" s="204"/>
      <c r="F18" s="204"/>
    </row>
    <row r="19" spans="2:6" x14ac:dyDescent="0.2">
      <c r="B19" s="205"/>
      <c r="C19" s="204"/>
      <c r="D19" s="204"/>
      <c r="E19" s="204"/>
      <c r="F19" s="204"/>
    </row>
    <row r="20" spans="2:6" x14ac:dyDescent="0.2">
      <c r="B20" s="20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Gearing</vt:lpstr>
      <vt:lpstr>Summary</vt:lpstr>
      <vt:lpstr>Comparison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Ji, Wei</dc:creator>
  <cp:lastModifiedBy>LIU, Richard</cp:lastModifiedBy>
  <dcterms:created xsi:type="dcterms:W3CDTF">2021-05-27T05:48:12Z</dcterms:created>
  <dcterms:modified xsi:type="dcterms:W3CDTF">2022-06-10T05:55:50Z</dcterms:modified>
</cp:coreProperties>
</file>