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7935" tabRatio="807"/>
  </bookViews>
  <sheets>
    <sheet name="Index" sheetId="1" r:id="rId1"/>
    <sheet name="Input|General" sheetId="54" r:id="rId2"/>
    <sheet name="Input|Inflation" sheetId="55" r:id="rId3"/>
    <sheet name="Input|Reported opex" sheetId="56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  <externalReference r:id="rId12"/>
    <externalReference r:id="rId13"/>
  </externalReference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E50" i="2" l="1"/>
  <c r="C50" i="2"/>
  <c r="E49" i="2"/>
  <c r="C49" i="2"/>
  <c r="E39" i="2"/>
  <c r="T93" i="2" l="1"/>
  <c r="S93" i="2"/>
  <c r="R93" i="2"/>
  <c r="Q93" i="2"/>
  <c r="P93" i="2"/>
  <c r="P85" i="2"/>
  <c r="P84" i="2"/>
  <c r="P83" i="2"/>
  <c r="P82" i="2"/>
  <c r="P81" i="2"/>
  <c r="P80" i="2"/>
  <c r="T64" i="2"/>
  <c r="S64" i="2"/>
  <c r="R64" i="2"/>
  <c r="Q64" i="2"/>
  <c r="P64" i="2"/>
  <c r="O64" i="2"/>
  <c r="T63" i="2"/>
  <c r="S63" i="2"/>
  <c r="R63" i="2"/>
  <c r="Q63" i="2"/>
  <c r="P63" i="2"/>
  <c r="O63" i="2"/>
  <c r="T62" i="2"/>
  <c r="S62" i="2"/>
  <c r="R62" i="2"/>
  <c r="Q62" i="2"/>
  <c r="P62" i="2"/>
  <c r="O62" i="2"/>
  <c r="T54" i="2"/>
  <c r="S54" i="2"/>
  <c r="R54" i="2"/>
  <c r="Q54" i="2"/>
  <c r="P54" i="2"/>
  <c r="T53" i="2"/>
  <c r="S53" i="2"/>
  <c r="R53" i="2"/>
  <c r="Q53" i="2"/>
  <c r="P53" i="2"/>
  <c r="T52" i="2"/>
  <c r="S52" i="2"/>
  <c r="R52" i="2"/>
  <c r="Q52" i="2"/>
  <c r="P52" i="2"/>
  <c r="T51" i="2"/>
  <c r="S51" i="2"/>
  <c r="R51" i="2"/>
  <c r="Q51" i="2"/>
  <c r="P51" i="2"/>
  <c r="T48" i="2"/>
  <c r="S48" i="2"/>
  <c r="R48" i="2"/>
  <c r="Q48" i="2"/>
  <c r="P48" i="2"/>
  <c r="T47" i="2"/>
  <c r="S47" i="2"/>
  <c r="R47" i="2"/>
  <c r="Q47" i="2"/>
  <c r="P47" i="2"/>
  <c r="T43" i="2"/>
  <c r="S43" i="2"/>
  <c r="R43" i="2"/>
  <c r="Q43" i="2"/>
  <c r="P43" i="2"/>
  <c r="T42" i="2"/>
  <c r="S42" i="2"/>
  <c r="R42" i="2"/>
  <c r="Q42" i="2"/>
  <c r="P42" i="2"/>
  <c r="T41" i="2"/>
  <c r="S41" i="2"/>
  <c r="R41" i="2"/>
  <c r="Q41" i="2"/>
  <c r="P41" i="2"/>
  <c r="T40" i="2"/>
  <c r="S40" i="2"/>
  <c r="R40" i="2"/>
  <c r="Q40" i="2"/>
  <c r="P40" i="2"/>
  <c r="T38" i="2"/>
  <c r="S38" i="2"/>
  <c r="R38" i="2"/>
  <c r="Q38" i="2"/>
  <c r="P38" i="2"/>
  <c r="T37" i="2"/>
  <c r="S37" i="2"/>
  <c r="R37" i="2"/>
  <c r="Q37" i="2"/>
  <c r="P37" i="2"/>
  <c r="T36" i="2"/>
  <c r="S36" i="2"/>
  <c r="R36" i="2"/>
  <c r="Q36" i="2"/>
  <c r="P36" i="2"/>
  <c r="F58" i="55"/>
  <c r="E58" i="55"/>
  <c r="F57" i="55"/>
  <c r="E57" i="55"/>
  <c r="F56" i="55"/>
  <c r="E56" i="55"/>
  <c r="F55" i="55"/>
  <c r="E55" i="55"/>
  <c r="F54" i="55"/>
  <c r="E54" i="55"/>
  <c r="F53" i="55"/>
  <c r="E53" i="55"/>
  <c r="F52" i="55"/>
  <c r="E52" i="55"/>
  <c r="F51" i="55"/>
  <c r="E51" i="55"/>
  <c r="S26" i="53"/>
  <c r="R26" i="53"/>
  <c r="Q26" i="53"/>
  <c r="P26" i="53"/>
  <c r="O26" i="53"/>
  <c r="S15" i="53" l="1"/>
  <c r="R15" i="53"/>
  <c r="Q15" i="53"/>
  <c r="P15" i="53"/>
  <c r="O15" i="53"/>
  <c r="S13" i="53"/>
  <c r="R13" i="53"/>
  <c r="Q13" i="53"/>
  <c r="P13" i="53"/>
  <c r="O13" i="53"/>
  <c r="S12" i="53"/>
  <c r="R12" i="53"/>
  <c r="Q12" i="53"/>
  <c r="P12" i="53"/>
  <c r="O12" i="53"/>
  <c r="C15" i="53"/>
  <c r="C14" i="53"/>
  <c r="C13" i="53"/>
  <c r="C12" i="53"/>
  <c r="C15" i="16" l="1"/>
  <c r="D15" i="16" s="1"/>
  <c r="G14" i="16"/>
  <c r="C14" i="16"/>
  <c r="D14" i="16" s="1"/>
  <c r="C13" i="16"/>
  <c r="D13" i="16" s="1"/>
  <c r="C12" i="16"/>
  <c r="D12" i="16" s="1"/>
  <c r="G11" i="16"/>
  <c r="C11" i="16"/>
  <c r="D11" i="16" s="1"/>
  <c r="C10" i="16"/>
  <c r="D10" i="16" s="1"/>
  <c r="B2" i="16"/>
  <c r="B1" i="16"/>
  <c r="C24" i="4"/>
  <c r="C9" i="4"/>
  <c r="B2" i="4"/>
  <c r="B1" i="4"/>
  <c r="F12" i="44"/>
  <c r="E12" i="44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N12" i="44" s="1"/>
  <c r="M4" i="44"/>
  <c r="M11" i="44" s="1"/>
  <c r="M12" i="44" s="1"/>
  <c r="L4" i="44"/>
  <c r="L11" i="44" s="1"/>
  <c r="L12" i="44" s="1"/>
  <c r="K4" i="44"/>
  <c r="K11" i="44" s="1"/>
  <c r="K12" i="44" s="1"/>
  <c r="J4" i="44"/>
  <c r="J11" i="44" s="1"/>
  <c r="J12" i="44" s="1"/>
  <c r="B2" i="44"/>
  <c r="S1" i="44"/>
  <c r="G15" i="16" s="1"/>
  <c r="B1" i="44"/>
  <c r="F70" i="42"/>
  <c r="E70" i="42"/>
  <c r="F69" i="42"/>
  <c r="E69" i="42"/>
  <c r="F63" i="42"/>
  <c r="E63" i="42"/>
  <c r="F61" i="42"/>
  <c r="E61" i="42"/>
  <c r="C61" i="42"/>
  <c r="F60" i="42"/>
  <c r="E60" i="42"/>
  <c r="C60" i="42"/>
  <c r="F59" i="42"/>
  <c r="E59" i="42"/>
  <c r="C59" i="42"/>
  <c r="F58" i="42"/>
  <c r="E58" i="42"/>
  <c r="C58" i="42"/>
  <c r="F57" i="42"/>
  <c r="E57" i="42"/>
  <c r="C57" i="42"/>
  <c r="F56" i="42"/>
  <c r="E56" i="42"/>
  <c r="C56" i="42"/>
  <c r="F55" i="42"/>
  <c r="E55" i="42"/>
  <c r="C55" i="42"/>
  <c r="F54" i="42"/>
  <c r="E54" i="42"/>
  <c r="C54" i="42"/>
  <c r="F53" i="42"/>
  <c r="E53" i="42"/>
  <c r="C53" i="42"/>
  <c r="S45" i="42"/>
  <c r="R45" i="42"/>
  <c r="Q45" i="42"/>
  <c r="P45" i="42"/>
  <c r="O45" i="42"/>
  <c r="N45" i="42"/>
  <c r="M45" i="42"/>
  <c r="L45" i="42"/>
  <c r="K45" i="42"/>
  <c r="J45" i="42"/>
  <c r="S43" i="42"/>
  <c r="R43" i="42"/>
  <c r="Q43" i="42"/>
  <c r="P43" i="42"/>
  <c r="N43" i="42"/>
  <c r="M43" i="42"/>
  <c r="L43" i="42"/>
  <c r="K43" i="42"/>
  <c r="J43" i="42"/>
  <c r="N41" i="42"/>
  <c r="M41" i="42"/>
  <c r="L41" i="42"/>
  <c r="K41" i="42"/>
  <c r="J41" i="42"/>
  <c r="F34" i="42"/>
  <c r="E34" i="42"/>
  <c r="F32" i="42"/>
  <c r="E32" i="42"/>
  <c r="F30" i="42"/>
  <c r="E30" i="42"/>
  <c r="F29" i="42"/>
  <c r="E29" i="42"/>
  <c r="C29" i="42"/>
  <c r="C30" i="42" s="1"/>
  <c r="F27" i="42"/>
  <c r="E27" i="42"/>
  <c r="F26" i="42"/>
  <c r="E26" i="42"/>
  <c r="C26" i="42"/>
  <c r="C27" i="42" s="1"/>
  <c r="F24" i="42"/>
  <c r="E24" i="42"/>
  <c r="F23" i="42"/>
  <c r="E23" i="42"/>
  <c r="C23" i="42"/>
  <c r="C24" i="42" s="1"/>
  <c r="F21" i="42"/>
  <c r="E21" i="42"/>
  <c r="F20" i="42"/>
  <c r="E20" i="42"/>
  <c r="C20" i="42"/>
  <c r="C21" i="42" s="1"/>
  <c r="F18" i="42"/>
  <c r="E18" i="42"/>
  <c r="F17" i="42"/>
  <c r="E17" i="42"/>
  <c r="C17" i="42"/>
  <c r="C18" i="42" s="1"/>
  <c r="F15" i="42"/>
  <c r="E15" i="42"/>
  <c r="F13" i="42"/>
  <c r="E13" i="42"/>
  <c r="F12" i="42"/>
  <c r="E12" i="42"/>
  <c r="S4" i="42"/>
  <c r="R4" i="42"/>
  <c r="Q4" i="42"/>
  <c r="P4" i="42"/>
  <c r="O4" i="42"/>
  <c r="N4" i="42"/>
  <c r="N38" i="42" s="1"/>
  <c r="M4" i="42"/>
  <c r="M51" i="42" s="1"/>
  <c r="L4" i="42"/>
  <c r="L38" i="42" s="1"/>
  <c r="K4" i="42"/>
  <c r="K51" i="42" s="1"/>
  <c r="J4" i="42"/>
  <c r="J38" i="42" s="1"/>
  <c r="B2" i="42"/>
  <c r="B1" i="42"/>
  <c r="S4" i="53"/>
  <c r="S10" i="53" s="1"/>
  <c r="R4" i="53"/>
  <c r="R24" i="53" s="1"/>
  <c r="Q4" i="53"/>
  <c r="Q24" i="53" s="1"/>
  <c r="P4" i="53"/>
  <c r="P10" i="53" s="1"/>
  <c r="O4" i="53"/>
  <c r="O10" i="53" s="1"/>
  <c r="N4" i="53"/>
  <c r="N10" i="53" s="1"/>
  <c r="M4" i="53"/>
  <c r="M24" i="53" s="1"/>
  <c r="L4" i="53"/>
  <c r="L10" i="53" s="1"/>
  <c r="K4" i="53"/>
  <c r="K24" i="53" s="1"/>
  <c r="J4" i="53"/>
  <c r="J10" i="53" s="1"/>
  <c r="B2" i="53"/>
  <c r="S1" i="53"/>
  <c r="G13" i="16" s="1"/>
  <c r="B1" i="53"/>
  <c r="E93" i="2"/>
  <c r="P87" i="2"/>
  <c r="W87" i="2" s="1"/>
  <c r="C85" i="2"/>
  <c r="C84" i="2"/>
  <c r="C83" i="2"/>
  <c r="C82" i="2"/>
  <c r="C81" i="2"/>
  <c r="C80" i="2"/>
  <c r="T76" i="2"/>
  <c r="S76" i="2"/>
  <c r="R76" i="2"/>
  <c r="Q76" i="2"/>
  <c r="P76" i="2"/>
  <c r="C76" i="2"/>
  <c r="T75" i="2"/>
  <c r="S75" i="2"/>
  <c r="R75" i="2"/>
  <c r="Q75" i="2"/>
  <c r="P75" i="2"/>
  <c r="C75" i="2"/>
  <c r="T74" i="2"/>
  <c r="S74" i="2"/>
  <c r="R74" i="2"/>
  <c r="Q74" i="2"/>
  <c r="P74" i="2"/>
  <c r="C74" i="2"/>
  <c r="T73" i="2"/>
  <c r="S73" i="2"/>
  <c r="R73" i="2"/>
  <c r="Q73" i="2"/>
  <c r="P73" i="2"/>
  <c r="C73" i="2"/>
  <c r="T72" i="2"/>
  <c r="S72" i="2"/>
  <c r="R72" i="2"/>
  <c r="Q72" i="2"/>
  <c r="P72" i="2"/>
  <c r="C72" i="2"/>
  <c r="T71" i="2"/>
  <c r="S71" i="2"/>
  <c r="R71" i="2"/>
  <c r="Q71" i="2"/>
  <c r="P71" i="2"/>
  <c r="C71" i="2"/>
  <c r="U69" i="2"/>
  <c r="T56" i="2"/>
  <c r="S56" i="2"/>
  <c r="R56" i="2"/>
  <c r="Q56" i="2"/>
  <c r="P56" i="2"/>
  <c r="E54" i="2"/>
  <c r="C54" i="2"/>
  <c r="E53" i="2"/>
  <c r="C53" i="2"/>
  <c r="E52" i="2"/>
  <c r="C52" i="2"/>
  <c r="E51" i="2"/>
  <c r="C51" i="2"/>
  <c r="E48" i="2"/>
  <c r="C48" i="2"/>
  <c r="E47" i="2"/>
  <c r="C47" i="2"/>
  <c r="E43" i="2"/>
  <c r="E42" i="2"/>
  <c r="E41" i="2"/>
  <c r="E40" i="2"/>
  <c r="O43" i="42"/>
  <c r="E38" i="2"/>
  <c r="E37" i="2"/>
  <c r="E36" i="2"/>
  <c r="O12" i="2"/>
  <c r="N21" i="2" s="1"/>
  <c r="N12" i="2"/>
  <c r="M20" i="2" s="1"/>
  <c r="M12" i="2"/>
  <c r="M18" i="2" s="1"/>
  <c r="M27" i="2" s="1"/>
  <c r="L12" i="2"/>
  <c r="L17" i="2" s="1"/>
  <c r="K12" i="2"/>
  <c r="K26" i="2" s="1"/>
  <c r="J12" i="2"/>
  <c r="J25" i="2" s="1"/>
  <c r="E12" i="2"/>
  <c r="T4" i="2"/>
  <c r="T69" i="2" s="1"/>
  <c r="S4" i="2"/>
  <c r="S60" i="2" s="1"/>
  <c r="R4" i="2"/>
  <c r="R91" i="2" s="1"/>
  <c r="Q4" i="2"/>
  <c r="Q34" i="2" s="1"/>
  <c r="P4" i="2"/>
  <c r="P69" i="2" s="1"/>
  <c r="O4" i="2"/>
  <c r="O91" i="2" s="1"/>
  <c r="N4" i="2"/>
  <c r="N91" i="2" s="1"/>
  <c r="M4" i="2"/>
  <c r="M91" i="2" s="1"/>
  <c r="L4" i="2"/>
  <c r="L69" i="2" s="1"/>
  <c r="K4" i="2"/>
  <c r="K14" i="2" s="1"/>
  <c r="J4" i="2"/>
  <c r="J10" i="2" s="1"/>
  <c r="B2" i="2"/>
  <c r="B1" i="2"/>
  <c r="E55" i="56"/>
  <c r="E54" i="56"/>
  <c r="E53" i="56"/>
  <c r="E52" i="56"/>
  <c r="E51" i="56"/>
  <c r="S46" i="56"/>
  <c r="R46" i="56"/>
  <c r="Q46" i="56"/>
  <c r="P46" i="56"/>
  <c r="O46" i="56"/>
  <c r="N46" i="56"/>
  <c r="K46" i="56"/>
  <c r="J46" i="56"/>
  <c r="F44" i="56"/>
  <c r="E44" i="56"/>
  <c r="F43" i="56"/>
  <c r="E43" i="56"/>
  <c r="F42" i="56"/>
  <c r="E42" i="56"/>
  <c r="F41" i="56"/>
  <c r="E41" i="56"/>
  <c r="F37" i="56"/>
  <c r="E37" i="56"/>
  <c r="F36" i="56"/>
  <c r="E36" i="56"/>
  <c r="F35" i="56"/>
  <c r="E35" i="56"/>
  <c r="F34" i="56"/>
  <c r="E34" i="56"/>
  <c r="F33" i="56"/>
  <c r="E33" i="56"/>
  <c r="L46" i="56"/>
  <c r="F32" i="56"/>
  <c r="E32" i="56"/>
  <c r="S24" i="56"/>
  <c r="R24" i="56"/>
  <c r="Q24" i="56"/>
  <c r="P24" i="56"/>
  <c r="O24" i="56"/>
  <c r="N24" i="56"/>
  <c r="M24" i="56"/>
  <c r="L24" i="56"/>
  <c r="K24" i="56"/>
  <c r="J24" i="56"/>
  <c r="E22" i="56"/>
  <c r="E21" i="56"/>
  <c r="E20" i="56"/>
  <c r="E19" i="56"/>
  <c r="E18" i="56"/>
  <c r="E17" i="56"/>
  <c r="E16" i="56"/>
  <c r="E15" i="56"/>
  <c r="E14" i="56"/>
  <c r="E13" i="56"/>
  <c r="S4" i="56"/>
  <c r="S29" i="56" s="1"/>
  <c r="R4" i="56"/>
  <c r="R29" i="56" s="1"/>
  <c r="Q4" i="56"/>
  <c r="Q50" i="56" s="1"/>
  <c r="P4" i="56"/>
  <c r="P50" i="56" s="1"/>
  <c r="O4" i="56"/>
  <c r="O29" i="56" s="1"/>
  <c r="N4" i="56"/>
  <c r="N29" i="56" s="1"/>
  <c r="M4" i="56"/>
  <c r="M50" i="56" s="1"/>
  <c r="L4" i="56"/>
  <c r="L50" i="56" s="1"/>
  <c r="K4" i="56"/>
  <c r="K29" i="56" s="1"/>
  <c r="J4" i="56"/>
  <c r="J10" i="56" s="1"/>
  <c r="C2" i="56"/>
  <c r="S1" i="56"/>
  <c r="C1" i="56"/>
  <c r="S58" i="55"/>
  <c r="S57" i="55"/>
  <c r="S56" i="55"/>
  <c r="S55" i="55"/>
  <c r="S54" i="55"/>
  <c r="S53" i="55"/>
  <c r="S52" i="55"/>
  <c r="S51" i="55"/>
  <c r="S50" i="55"/>
  <c r="S49" i="55"/>
  <c r="S48" i="55"/>
  <c r="S47" i="55"/>
  <c r="S46" i="55"/>
  <c r="S45" i="55"/>
  <c r="S44" i="55"/>
  <c r="S43" i="55"/>
  <c r="S42" i="55"/>
  <c r="S41" i="55"/>
  <c r="S40" i="55"/>
  <c r="S39" i="55"/>
  <c r="S38" i="55"/>
  <c r="S37" i="55"/>
  <c r="S36" i="55"/>
  <c r="S35" i="55"/>
  <c r="S34" i="55"/>
  <c r="S33" i="55"/>
  <c r="S32" i="55"/>
  <c r="S31" i="55"/>
  <c r="S30" i="55"/>
  <c r="S29" i="55"/>
  <c r="S28" i="55"/>
  <c r="S27" i="55"/>
  <c r="S26" i="55"/>
  <c r="S25" i="55"/>
  <c r="S24" i="55"/>
  <c r="S23" i="55"/>
  <c r="S22" i="55"/>
  <c r="S21" i="55"/>
  <c r="S20" i="55"/>
  <c r="S19" i="55"/>
  <c r="S18" i="55"/>
  <c r="S17" i="55"/>
  <c r="S16" i="55"/>
  <c r="S15" i="55"/>
  <c r="S14" i="55"/>
  <c r="S13" i="55"/>
  <c r="S12" i="55"/>
  <c r="S11" i="55"/>
  <c r="S10" i="55"/>
  <c r="S9" i="55"/>
  <c r="B2" i="55"/>
  <c r="B1" i="55"/>
  <c r="S12" i="54"/>
  <c r="S11" i="54"/>
  <c r="S10" i="54"/>
  <c r="S9" i="54"/>
  <c r="S8" i="54"/>
  <c r="S7" i="54"/>
  <c r="B2" i="54"/>
  <c r="B1" i="54"/>
  <c r="M47" i="42" l="1"/>
  <c r="K47" i="42"/>
  <c r="N47" i="42"/>
  <c r="L27" i="2"/>
  <c r="M17" i="2"/>
  <c r="M26" i="2" s="1"/>
  <c r="L26" i="2"/>
  <c r="J17" i="2"/>
  <c r="J26" i="2" s="1"/>
  <c r="K18" i="2"/>
  <c r="L19" i="2"/>
  <c r="M28" i="2"/>
  <c r="K16" i="2"/>
  <c r="K60" i="2"/>
  <c r="K45" i="2"/>
  <c r="S1" i="54"/>
  <c r="G10" i="16" s="1"/>
  <c r="J67" i="42"/>
  <c r="J50" i="56"/>
  <c r="J24" i="53"/>
  <c r="K91" i="2"/>
  <c r="J51" i="42"/>
  <c r="J29" i="56"/>
  <c r="K34" i="2"/>
  <c r="K69" i="2"/>
  <c r="K10" i="2"/>
  <c r="K23" i="2" s="1"/>
  <c r="J10" i="42"/>
  <c r="L47" i="42"/>
  <c r="J47" i="42"/>
  <c r="S51" i="42"/>
  <c r="R38" i="42"/>
  <c r="P10" i="42"/>
  <c r="P12" i="42" s="1"/>
  <c r="O51" i="42"/>
  <c r="M32" i="56"/>
  <c r="M46" i="56" s="1"/>
  <c r="L20" i="2"/>
  <c r="M29" i="2"/>
  <c r="N30" i="2"/>
  <c r="M21" i="2"/>
  <c r="O20" i="2"/>
  <c r="O29" i="2" s="1"/>
  <c r="O30" i="2"/>
  <c r="N18" i="2"/>
  <c r="N29" i="2"/>
  <c r="S1" i="55"/>
  <c r="N19" i="2"/>
  <c r="S41" i="42"/>
  <c r="S47" i="42" s="1"/>
  <c r="W56" i="2"/>
  <c r="T1" i="2" s="1"/>
  <c r="G12" i="16" s="1"/>
  <c r="R41" i="42"/>
  <c r="R47" i="42" s="1"/>
  <c r="O41" i="42"/>
  <c r="O47" i="42" s="1"/>
  <c r="P41" i="42"/>
  <c r="P47" i="42" s="1"/>
  <c r="Q41" i="42"/>
  <c r="Q47" i="42" s="1"/>
  <c r="M10" i="2"/>
  <c r="M23" i="2" s="1"/>
  <c r="P24" i="53"/>
  <c r="R50" i="56"/>
  <c r="Q45" i="2"/>
  <c r="Q60" i="2"/>
  <c r="K10" i="56"/>
  <c r="S10" i="56"/>
  <c r="N50" i="56"/>
  <c r="Q10" i="2"/>
  <c r="N14" i="2"/>
  <c r="M45" i="2"/>
  <c r="M60" i="2"/>
  <c r="Q91" i="2"/>
  <c r="R10" i="53"/>
  <c r="N24" i="53"/>
  <c r="S24" i="53"/>
  <c r="K10" i="42"/>
  <c r="K15" i="42" s="1"/>
  <c r="S10" i="42"/>
  <c r="S29" i="42" s="1"/>
  <c r="K38" i="42"/>
  <c r="K67" i="42"/>
  <c r="N10" i="56"/>
  <c r="O50" i="56"/>
  <c r="L10" i="2"/>
  <c r="L23" i="2" s="1"/>
  <c r="T10" i="2"/>
  <c r="J14" i="2"/>
  <c r="P45" i="2"/>
  <c r="P60" i="2"/>
  <c r="Q69" i="2"/>
  <c r="K10" i="53"/>
  <c r="O24" i="53"/>
  <c r="L10" i="42"/>
  <c r="L20" i="42" s="1"/>
  <c r="O67" i="42"/>
  <c r="O10" i="56"/>
  <c r="O10" i="42"/>
  <c r="O38" i="42"/>
  <c r="S67" i="42"/>
  <c r="R10" i="56"/>
  <c r="K50" i="56"/>
  <c r="S50" i="56"/>
  <c r="P10" i="2"/>
  <c r="M14" i="2"/>
  <c r="L45" i="2"/>
  <c r="T45" i="2"/>
  <c r="L60" i="2"/>
  <c r="P91" i="2"/>
  <c r="S38" i="42"/>
  <c r="J23" i="2"/>
  <c r="L29" i="56"/>
  <c r="P29" i="56"/>
  <c r="O34" i="2"/>
  <c r="S34" i="2"/>
  <c r="O69" i="2"/>
  <c r="Q10" i="53"/>
  <c r="R10" i="42"/>
  <c r="N67" i="42"/>
  <c r="M29" i="56"/>
  <c r="Q29" i="56"/>
  <c r="O14" i="2"/>
  <c r="L34" i="2"/>
  <c r="P34" i="2"/>
  <c r="T34" i="2"/>
  <c r="L91" i="2"/>
  <c r="M10" i="53"/>
  <c r="N10" i="42"/>
  <c r="L10" i="56"/>
  <c r="P10" i="56"/>
  <c r="N10" i="2"/>
  <c r="R10" i="2"/>
  <c r="L14" i="2"/>
  <c r="M34" i="2"/>
  <c r="N45" i="2"/>
  <c r="R45" i="2"/>
  <c r="N60" i="2"/>
  <c r="R60" i="2"/>
  <c r="M69" i="2"/>
  <c r="R69" i="2"/>
  <c r="S91" i="2"/>
  <c r="L24" i="53"/>
  <c r="L51" i="42"/>
  <c r="L67" i="42"/>
  <c r="P51" i="42"/>
  <c r="P67" i="42"/>
  <c r="P38" i="42"/>
  <c r="N51" i="42"/>
  <c r="R67" i="42"/>
  <c r="R51" i="42"/>
  <c r="M10" i="56"/>
  <c r="Q10" i="56"/>
  <c r="O10" i="2"/>
  <c r="S10" i="2"/>
  <c r="N34" i="2"/>
  <c r="R34" i="2"/>
  <c r="O45" i="2"/>
  <c r="S45" i="2"/>
  <c r="O60" i="2"/>
  <c r="T60" i="2"/>
  <c r="N69" i="2"/>
  <c r="S69" i="2"/>
  <c r="T91" i="2"/>
  <c r="M67" i="42"/>
  <c r="M38" i="42"/>
  <c r="M10" i="42"/>
  <c r="Q67" i="42"/>
  <c r="Q38" i="42"/>
  <c r="Q10" i="42"/>
  <c r="Q51" i="42"/>
  <c r="N17" i="2" l="1"/>
  <c r="N26" i="2" s="1"/>
  <c r="K27" i="2"/>
  <c r="J18" i="2"/>
  <c r="J27" i="2" s="1"/>
  <c r="K25" i="2"/>
  <c r="L16" i="2"/>
  <c r="K19" i="2"/>
  <c r="L28" i="2"/>
  <c r="C16" i="2" a="1"/>
  <c r="C17" i="2" s="1"/>
  <c r="S1" i="16"/>
  <c r="V1" i="56" s="1"/>
  <c r="J26" i="42"/>
  <c r="J29" i="42"/>
  <c r="J17" i="42"/>
  <c r="J15" i="42"/>
  <c r="J20" i="42"/>
  <c r="J12" i="42"/>
  <c r="J23" i="42"/>
  <c r="C25" i="2" a="1"/>
  <c r="C28" i="2" s="1"/>
  <c r="P20" i="42"/>
  <c r="P23" i="42"/>
  <c r="P26" i="42"/>
  <c r="P15" i="42"/>
  <c r="P17" i="42"/>
  <c r="P29" i="42"/>
  <c r="O18" i="2"/>
  <c r="O27" i="2" s="1"/>
  <c r="N27" i="2"/>
  <c r="L21" i="2"/>
  <c r="M30" i="2"/>
  <c r="N28" i="2"/>
  <c r="O19" i="2"/>
  <c r="O28" i="2" s="1"/>
  <c r="L29" i="2"/>
  <c r="K20" i="2"/>
  <c r="K17" i="42"/>
  <c r="L15" i="42"/>
  <c r="L23" i="42"/>
  <c r="K20" i="42"/>
  <c r="S15" i="42"/>
  <c r="S12" i="42"/>
  <c r="L26" i="42"/>
  <c r="L12" i="42"/>
  <c r="L17" i="42"/>
  <c r="L29" i="42"/>
  <c r="O26" i="42"/>
  <c r="O29" i="42"/>
  <c r="O23" i="42"/>
  <c r="O20" i="42"/>
  <c r="O17" i="42"/>
  <c r="O12" i="42"/>
  <c r="O15" i="42"/>
  <c r="K29" i="42"/>
  <c r="K26" i="42"/>
  <c r="K23" i="42"/>
  <c r="K12" i="42"/>
  <c r="M29" i="42"/>
  <c r="M26" i="42"/>
  <c r="M23" i="42"/>
  <c r="M20" i="42"/>
  <c r="M17" i="42"/>
  <c r="M15" i="42"/>
  <c r="M12" i="42"/>
  <c r="R15" i="42"/>
  <c r="R29" i="42"/>
  <c r="R12" i="42"/>
  <c r="N23" i="2"/>
  <c r="Q29" i="42"/>
  <c r="Q26" i="42"/>
  <c r="Q23" i="42"/>
  <c r="Q20" i="42"/>
  <c r="Q17" i="42"/>
  <c r="Q15" i="42"/>
  <c r="Q12" i="42"/>
  <c r="O23" i="2"/>
  <c r="N12" i="42"/>
  <c r="N23" i="42"/>
  <c r="N26" i="42"/>
  <c r="N29" i="42"/>
  <c r="N17" i="42"/>
  <c r="O17" i="2" l="1"/>
  <c r="O26" i="2" s="1"/>
  <c r="K28" i="2"/>
  <c r="J19" i="2"/>
  <c r="J28" i="2" s="1"/>
  <c r="M16" i="2"/>
  <c r="L25" i="2"/>
  <c r="C20" i="2"/>
  <c r="C18" i="2"/>
  <c r="C21" i="2"/>
  <c r="C30" i="2"/>
  <c r="C29" i="2"/>
  <c r="C27" i="2"/>
  <c r="V1" i="42"/>
  <c r="C16" i="2"/>
  <c r="C19" i="2"/>
  <c r="V1" i="44"/>
  <c r="W1" i="2"/>
  <c r="V1" i="55"/>
  <c r="V1" i="53"/>
  <c r="V1" i="54"/>
  <c r="V1" i="4"/>
  <c r="C26" i="2"/>
  <c r="C25" i="2"/>
  <c r="K29" i="2"/>
  <c r="J20" i="2"/>
  <c r="J29" i="2" s="1"/>
  <c r="K21" i="2"/>
  <c r="L30" i="2"/>
  <c r="S13" i="42" l="1"/>
  <c r="M25" i="2"/>
  <c r="N16" i="2"/>
  <c r="M13" i="42"/>
  <c r="M69" i="42" s="1"/>
  <c r="R53" i="42"/>
  <c r="N54" i="42"/>
  <c r="P59" i="42"/>
  <c r="N24" i="42"/>
  <c r="S59" i="42"/>
  <c r="M61" i="42"/>
  <c r="O30" i="42"/>
  <c r="Q56" i="42"/>
  <c r="S58" i="42"/>
  <c r="N59" i="42"/>
  <c r="P56" i="42"/>
  <c r="M58" i="42"/>
  <c r="P60" i="42"/>
  <c r="Q27" i="42"/>
  <c r="Q59" i="42"/>
  <c r="Q54" i="42"/>
  <c r="R60" i="42"/>
  <c r="N57" i="42"/>
  <c r="L55" i="42"/>
  <c r="L57" i="42"/>
  <c r="K24" i="42"/>
  <c r="O53" i="42"/>
  <c r="J60" i="42"/>
  <c r="K61" i="42"/>
  <c r="P58" i="42"/>
  <c r="R61" i="42"/>
  <c r="N56" i="42"/>
  <c r="P21" i="42"/>
  <c r="K57" i="42"/>
  <c r="M27" i="42"/>
  <c r="L24" i="42"/>
  <c r="Q21" i="42"/>
  <c r="O13" i="42"/>
  <c r="R18" i="42"/>
  <c r="R13" i="42"/>
  <c r="P13" i="42"/>
  <c r="L13" i="42"/>
  <c r="L69" i="42" s="1"/>
  <c r="K13" i="42"/>
  <c r="K69" i="42" s="1"/>
  <c r="Q13" i="42"/>
  <c r="N13" i="42"/>
  <c r="K21" i="42"/>
  <c r="O27" i="42"/>
  <c r="P27" i="42"/>
  <c r="S30" i="42"/>
  <c r="P24" i="42"/>
  <c r="J58" i="42"/>
  <c r="J61" i="42"/>
  <c r="J53" i="42"/>
  <c r="O59" i="42"/>
  <c r="N61" i="42"/>
  <c r="S57" i="42"/>
  <c r="M54" i="42"/>
  <c r="M60" i="42"/>
  <c r="N58" i="42"/>
  <c r="O57" i="42"/>
  <c r="K58" i="42"/>
  <c r="L58" i="42"/>
  <c r="R56" i="42"/>
  <c r="Q18" i="42"/>
  <c r="P18" i="42"/>
  <c r="P30" i="42"/>
  <c r="Q24" i="42"/>
  <c r="M30" i="42"/>
  <c r="S18" i="42"/>
  <c r="J27" i="42"/>
  <c r="R54" i="42"/>
  <c r="O56" i="42"/>
  <c r="K54" i="42"/>
  <c r="M57" i="42"/>
  <c r="O58" i="42"/>
  <c r="S60" i="42"/>
  <c r="K59" i="42"/>
  <c r="S54" i="42"/>
  <c r="Q58" i="42"/>
  <c r="P57" i="42"/>
  <c r="Q57" i="42"/>
  <c r="S24" i="42"/>
  <c r="L30" i="42"/>
  <c r="K18" i="42"/>
  <c r="J18" i="42"/>
  <c r="O18" i="42"/>
  <c r="N27" i="42"/>
  <c r="M55" i="42"/>
  <c r="N53" i="42"/>
  <c r="M59" i="42"/>
  <c r="K53" i="42"/>
  <c r="K56" i="42"/>
  <c r="Q53" i="42"/>
  <c r="P54" i="42"/>
  <c r="L53" i="42"/>
  <c r="S53" i="42"/>
  <c r="N60" i="42"/>
  <c r="J54" i="42"/>
  <c r="J57" i="42"/>
  <c r="J55" i="42"/>
  <c r="P53" i="42"/>
  <c r="S61" i="42"/>
  <c r="J56" i="42"/>
  <c r="O61" i="42"/>
  <c r="S21" i="42"/>
  <c r="L21" i="42"/>
  <c r="S27" i="42"/>
  <c r="N18" i="42"/>
  <c r="J24" i="42"/>
  <c r="M21" i="42"/>
  <c r="R30" i="42"/>
  <c r="R21" i="42"/>
  <c r="L18" i="42"/>
  <c r="M18" i="42"/>
  <c r="R27" i="42"/>
  <c r="R57" i="42"/>
  <c r="J59" i="42"/>
  <c r="K55" i="42"/>
  <c r="M53" i="42"/>
  <c r="K60" i="42"/>
  <c r="L61" i="42"/>
  <c r="L56" i="42"/>
  <c r="L59" i="42"/>
  <c r="Q61" i="42"/>
  <c r="L54" i="42"/>
  <c r="M56" i="42"/>
  <c r="R59" i="42"/>
  <c r="R58" i="42"/>
  <c r="O60" i="42"/>
  <c r="Q60" i="42"/>
  <c r="P61" i="42"/>
  <c r="N55" i="42"/>
  <c r="S56" i="42"/>
  <c r="O54" i="42"/>
  <c r="J21" i="42"/>
  <c r="Q30" i="42"/>
  <c r="N30" i="42"/>
  <c r="R24" i="42"/>
  <c r="M24" i="42"/>
  <c r="O21" i="42"/>
  <c r="O24" i="42"/>
  <c r="L60" i="42"/>
  <c r="K30" i="42"/>
  <c r="L27" i="42"/>
  <c r="J30" i="42"/>
  <c r="K27" i="42"/>
  <c r="J21" i="2"/>
  <c r="J30" i="2" s="1"/>
  <c r="K30" i="2"/>
  <c r="J13" i="42" s="1"/>
  <c r="J69" i="42" s="1"/>
  <c r="O16" i="2" l="1"/>
  <c r="O25" i="2" s="1"/>
  <c r="N25" i="2"/>
  <c r="P32" i="42"/>
  <c r="P34" i="42" s="1"/>
  <c r="S63" i="42"/>
  <c r="J32" i="42"/>
  <c r="J34" i="42" s="1"/>
  <c r="S32" i="42"/>
  <c r="S34" i="42" s="1"/>
  <c r="Q32" i="42"/>
  <c r="Q34" i="42" s="1"/>
  <c r="O32" i="42"/>
  <c r="O34" i="42" s="1"/>
  <c r="N63" i="42"/>
  <c r="R63" i="42"/>
  <c r="L63" i="42"/>
  <c r="O63" i="42"/>
  <c r="K32" i="42"/>
  <c r="K34" i="42" s="1"/>
  <c r="R32" i="42"/>
  <c r="R34" i="42" s="1"/>
  <c r="Q63" i="42"/>
  <c r="M63" i="42"/>
  <c r="K63" i="42"/>
  <c r="M32" i="42"/>
  <c r="M34" i="42" s="1"/>
  <c r="L32" i="42"/>
  <c r="L34" i="42" s="1"/>
  <c r="J63" i="42"/>
  <c r="P63" i="42"/>
  <c r="N15" i="42"/>
  <c r="N69" i="42" s="1"/>
  <c r="N20" i="42" l="1"/>
  <c r="N21" i="42" s="1"/>
  <c r="N32" i="42" s="1"/>
  <c r="N34" i="42" s="1"/>
  <c r="S69" i="42" l="1" a="1"/>
  <c r="S69" i="42" s="1"/>
  <c r="Q69" i="42" a="1"/>
  <c r="Q69" i="42" s="1"/>
  <c r="R69" i="42" a="1"/>
  <c r="R69" i="42" s="1"/>
  <c r="O69" i="42" a="1"/>
  <c r="O69" i="42" s="1"/>
  <c r="P69" i="42" a="1"/>
  <c r="P69" i="42" s="1"/>
  <c r="P12" i="44" l="1"/>
  <c r="P70" i="42"/>
  <c r="O12" i="44"/>
  <c r="O70" i="42"/>
  <c r="R12" i="44"/>
  <c r="R70" i="42"/>
  <c r="Q12" i="44"/>
  <c r="Q70" i="42"/>
  <c r="S12" i="44"/>
  <c r="S70" i="42"/>
  <c r="S13" i="44" l="1"/>
</calcChain>
</file>

<file path=xl/sharedStrings.xml><?xml version="1.0" encoding="utf-8"?>
<sst xmlns="http://schemas.openxmlformats.org/spreadsheetml/2006/main" count="493" uniqueCount="143">
  <si>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</si>
  <si>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</si>
  <si>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</si>
  <si>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</si>
  <si>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</si>
  <si>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</si>
  <si>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</si>
  <si>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</si>
  <si>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</si>
  <si>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</si>
  <si>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</si>
  <si>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</si>
  <si>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</si>
  <si>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</si>
  <si>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</si>
  <si>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</si>
  <si>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</si>
  <si>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</si>
  <si>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</si>
  <si>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</si>
  <si>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</si>
  <si>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</si>
  <si>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</si>
  <si>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</si>
  <si>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</si>
  <si>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</si>
  <si>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</si>
  <si>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</si>
  <si>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</si>
  <si>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</si>
  <si>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</si>
  <si>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</si>
  <si>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</si>
  <si>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</si>
  <si>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</si>
  <si>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</si>
  <si>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</si>
  <si>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</si>
  <si>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</si>
  <si>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</si>
  <si>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</si>
  <si>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</si>
  <si>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</si>
  <si>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</si>
  <si>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</si>
  <si>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</si>
  <si>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</si>
  <si>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</si>
  <si>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</si>
  <si>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</si>
  <si>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</si>
  <si>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</si>
  <si>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</si>
  <si>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</si>
  <si>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</si>
  <si>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</si>
  <si>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</si>
  <si>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</si>
  <si>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</si>
  <si>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</si>
  <si>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</si>
  <si>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</si>
  <si>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</si>
  <si>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</si>
  <si>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</si>
  <si>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</si>
  <si>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</si>
  <si>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</si>
  <si>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</si>
  <si>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</si>
  <si>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</si>
  <si>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</si>
  <si>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</si>
  <si>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</si>
  <si>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</si>
  <si>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Years</t>
  </si>
  <si>
    <t>Forecast base year</t>
  </si>
  <si>
    <t>PTRM</t>
  </si>
  <si>
    <t>Total opex</t>
  </si>
  <si>
    <t>Estimate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</si>
  <si>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</si>
  <si>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</si>
  <si>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</si>
  <si>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</si>
  <si>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</si>
  <si>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</si>
  <si>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</si>
  <si>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</si>
  <si>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</si>
  <si>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</si>
  <si>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</si>
  <si>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</si>
  <si>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</si>
  <si>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</si>
  <si>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</si>
  <si>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</si>
  <si>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</si>
  <si>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</si>
  <si>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</si>
  <si>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</si>
  <si>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</si>
  <si>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</si>
  <si>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</si>
  <si>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</si>
  <si>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</si>
  <si>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</si>
  <si>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</si>
  <si>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nominal</t>
  </si>
  <si>
    <t>Forecast productivity change</t>
  </si>
  <si>
    <t>Forecast rate of change</t>
  </si>
  <si>
    <t>Step changes</t>
  </si>
  <si>
    <t>Calc | Opex forecast</t>
  </si>
  <si>
    <t>Estimated final year opex</t>
  </si>
  <si>
    <t>Efficiency adjustment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</si>
  <si>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</si>
  <si>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</si>
  <si>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</si>
  <si>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</si>
  <si>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Remove movement in provisions</t>
  </si>
  <si>
    <t>Expenditure related to category specific forecasts</t>
  </si>
  <si>
    <t>Input | Adjustments</t>
  </si>
  <si>
    <t>Adjustment</t>
  </si>
  <si>
    <t>Adjustment 5</t>
  </si>
  <si>
    <t>PWC</t>
  </si>
  <si>
    <t>UC</t>
  </si>
  <si>
    <t>DAE</t>
  </si>
  <si>
    <t>Economic Insights</t>
  </si>
  <si>
    <t>PWC RIN</t>
  </si>
  <si>
    <t>Calculates the opex forecast from RY2020 to RY2024</t>
  </si>
  <si>
    <t>Corporate depreciation adjustment</t>
  </si>
  <si>
    <t>Capitalisation adjustment</t>
  </si>
  <si>
    <t>Service classification adjustment</t>
  </si>
  <si>
    <t>Other classification changes</t>
  </si>
  <si>
    <t>WPI - DAE (6 February 2017)</t>
  </si>
  <si>
    <t>Ratcheted Maximum Demand (MW)</t>
  </si>
  <si>
    <t>Circuit Length (km)</t>
  </si>
  <si>
    <t>Customer numbers (#)</t>
  </si>
  <si>
    <t>Total opex (ACS Metering only)</t>
  </si>
  <si>
    <t>Total opex (SCS and Metering ACS)(excluding carryover amounts)</t>
  </si>
  <si>
    <t>WPI - BIS Shrapnel (October 2016)</t>
  </si>
  <si>
    <t>BIS Shrapnel</t>
  </si>
  <si>
    <t xml:space="preserve">WPI - average of DAE and BIS Shrapnel </t>
  </si>
  <si>
    <t>AER Applied - WPI DAE (DAE 2018, Table vii)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</si>
</sst>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0_ ;\-0\ "/>
    <numFmt numFmtId="203" formatCode="_-* #,##0.00000_-;\-* #,##0.00000_-;_-* &quot;-&quot;??_-;_-@_-"/>
    <numFmt numFmtId="204" formatCode="_-* #,##0.000000_-;\-* #,##0.000000_-;_-* &quot;-&quot;??_-;_-@_-"/>
  </numFmts>
  <fonts count="10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8"/>
      <color theme="10"/>
      <name val="Arial"/>
      <family val="2"/>
    </font>
    <font>
      <b/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35">
    <xf numFmtId="0" fontId="0" fillId="0" borderId="0"/>
    <xf numFmtId="166" fontId="5" fillId="8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1" borderId="0" applyNumberFormat="0" applyBorder="0" applyAlignment="0" applyProtection="0"/>
    <xf numFmtId="0" fontId="28" fillId="0" borderId="0" applyNumberFormat="0" applyFill="0" applyBorder="0" applyAlignment="0"/>
    <xf numFmtId="175" fontId="21" fillId="5" borderId="0" applyNumberFormat="0" applyFont="0" applyBorder="0" applyAlignment="0">
      <alignment horizontal="right"/>
    </xf>
    <xf numFmtId="175" fontId="21" fillId="5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5" borderId="12" applyNumberFormat="0" applyAlignment="0" applyProtection="0"/>
    <xf numFmtId="0" fontId="31" fillId="32" borderId="13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6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4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5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6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3" borderId="12" applyNumberFormat="0" applyAlignment="0" applyProtection="0"/>
    <xf numFmtId="175" fontId="21" fillId="37" borderId="0" applyFont="0" applyBorder="0" applyAlignment="0">
      <alignment horizontal="right"/>
      <protection locked="0"/>
    </xf>
    <xf numFmtId="175" fontId="21" fillId="37" borderId="0" applyFont="0" applyBorder="0" applyAlignment="0">
      <alignment horizontal="right"/>
      <protection locked="0"/>
    </xf>
    <xf numFmtId="181" fontId="21" fillId="7" borderId="0" applyFont="0" applyBorder="0">
      <alignment horizontal="right"/>
      <protection locked="0"/>
    </xf>
    <xf numFmtId="181" fontId="21" fillId="7" borderId="0" applyFont="0" applyBorder="0">
      <alignment horizontal="right"/>
      <protection locked="0"/>
    </xf>
    <xf numFmtId="175" fontId="21" fillId="11" borderId="0" applyFont="0" applyBorder="0">
      <alignment horizontal="right"/>
      <protection locked="0"/>
    </xf>
    <xf numFmtId="175" fontId="21" fillId="11" borderId="0" applyFont="0" applyBorder="0">
      <alignment horizontal="right"/>
      <protection locked="0"/>
    </xf>
    <xf numFmtId="0" fontId="14" fillId="5" borderId="0"/>
    <xf numFmtId="0" fontId="49" fillId="0" borderId="17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6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4" borderId="18" applyNumberFormat="0" applyFont="0" applyAlignment="0" applyProtection="0"/>
    <xf numFmtId="0" fontId="55" fillId="15" borderId="19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20"/>
    <xf numFmtId="0" fontId="58" fillId="0" borderId="21">
      <alignment horizontal="center"/>
    </xf>
    <xf numFmtId="3" fontId="32" fillId="0" borderId="0" applyFont="0" applyFill="0" applyBorder="0" applyAlignment="0" applyProtection="0"/>
    <xf numFmtId="0" fontId="32" fillId="38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7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10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1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2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4" fillId="43" borderId="0"/>
    <xf numFmtId="200" fontId="75" fillId="0" borderId="25">
      <alignment horizontal="center"/>
    </xf>
    <xf numFmtId="0" fontId="76" fillId="44" borderId="6">
      <alignment horizontal="center" vertical="center"/>
    </xf>
    <xf numFmtId="0" fontId="21" fillId="45" borderId="12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6" borderId="0"/>
    <xf numFmtId="0" fontId="21" fillId="39" borderId="26" applyNumberFormat="0" applyFont="0" applyAlignment="0"/>
    <xf numFmtId="0" fontId="82" fillId="8" borderId="27" applyNumberFormat="0"/>
    <xf numFmtId="0" fontId="83" fillId="47" borderId="0"/>
    <xf numFmtId="0" fontId="84" fillId="47" borderId="0" applyNumberFormat="0"/>
    <xf numFmtId="0" fontId="85" fillId="47" borderId="0"/>
    <xf numFmtId="0" fontId="86" fillId="48" borderId="6" applyNumberFormat="0">
      <alignment horizontal="center" vertical="center"/>
    </xf>
    <xf numFmtId="0" fontId="87" fillId="49" borderId="12" applyNumberFormat="0" applyAlignment="0">
      <alignment horizontal="right"/>
    </xf>
    <xf numFmtId="0" fontId="23" fillId="39" borderId="26" applyNumberFormat="0" applyAlignment="0"/>
    <xf numFmtId="0" fontId="75" fillId="0" borderId="0" applyNumberFormat="0" applyFill="0" applyBorder="0"/>
    <xf numFmtId="0" fontId="88" fillId="50" borderId="26" applyNumberFormat="0">
      <protection locked="0"/>
    </xf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5" borderId="0" applyNumberFormat="0" applyFont="0" applyBorder="0" applyAlignment="0">
      <alignment horizontal="right"/>
    </xf>
    <xf numFmtId="41" fontId="21" fillId="5" borderId="0" applyNumberFormat="0" applyFont="0" applyBorder="0" applyAlignment="0">
      <alignment horizontal="right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37" borderId="0" applyFont="0" applyBorder="0" applyAlignment="0">
      <alignment horizontal="right"/>
      <protection locked="0"/>
    </xf>
    <xf numFmtId="41" fontId="21" fillId="37" borderId="0" applyFont="0" applyBorder="0" applyAlignment="0">
      <alignment horizontal="right"/>
      <protection locked="0"/>
    </xf>
    <xf numFmtId="41" fontId="21" fillId="11" borderId="0" applyFont="0" applyBorder="0">
      <alignment horizontal="right"/>
      <protection locked="0"/>
    </xf>
    <xf numFmtId="41" fontId="21" fillId="11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52" borderId="0" applyFont="0" applyBorder="0" applyAlignment="0">
      <alignment horizontal="right"/>
      <protection locked="0"/>
    </xf>
    <xf numFmtId="41" fontId="21" fillId="11" borderId="0" applyFont="0" applyBorder="0">
      <alignment horizontal="right"/>
      <protection locked="0"/>
    </xf>
    <xf numFmtId="9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1" fillId="3" borderId="0"/>
    <xf numFmtId="0" fontId="1" fillId="0" borderId="0"/>
    <xf numFmtId="0" fontId="1" fillId="0" borderId="0"/>
    <xf numFmtId="0" fontId="21" fillId="0" borderId="0" applyFill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30">
    <xf numFmtId="0" fontId="0" fillId="0" borderId="0" xfId="0"/>
    <xf numFmtId="0" fontId="4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6" borderId="0" xfId="0" applyFont="1" applyFill="1" applyBorder="1"/>
    <xf numFmtId="0" fontId="5" fillId="7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9" borderId="0" xfId="0" applyFont="1" applyFill="1" applyBorder="1" applyAlignment="1">
      <alignment horizontal="left" vertical="center"/>
    </xf>
    <xf numFmtId="0" fontId="70" fillId="39" borderId="0" xfId="0" applyFont="1" applyFill="1" applyBorder="1" applyAlignment="1">
      <alignment horizontal="left" indent="9"/>
    </xf>
    <xf numFmtId="0" fontId="71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2" fillId="39" borderId="0" xfId="0" applyNumberFormat="1" applyFont="1" applyFill="1" applyBorder="1" applyAlignment="1">
      <alignment horizontal="center"/>
    </xf>
    <xf numFmtId="0" fontId="72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3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3" fillId="40" borderId="4" xfId="0" applyNumberFormat="1" applyFont="1" applyFill="1" applyBorder="1" applyAlignment="1">
      <alignment horizontal="center" wrapText="1"/>
    </xf>
    <xf numFmtId="0" fontId="22" fillId="40" borderId="4" xfId="0" applyFont="1" applyFill="1" applyBorder="1"/>
    <xf numFmtId="165" fontId="5" fillId="42" borderId="3" xfId="0" applyNumberFormat="1" applyFont="1" applyFill="1" applyBorder="1" applyAlignment="1" applyProtection="1">
      <alignment horizontal="center"/>
      <protection locked="0"/>
    </xf>
    <xf numFmtId="0" fontId="72" fillId="39" borderId="0" xfId="0" applyFont="1" applyFill="1" applyBorder="1" applyAlignment="1">
      <alignment horizontal="left"/>
    </xf>
    <xf numFmtId="0" fontId="72" fillId="39" borderId="0" xfId="0" applyFont="1" applyFill="1" applyBorder="1" applyAlignment="1">
      <alignment horizontal="left" indent="9"/>
    </xf>
    <xf numFmtId="0" fontId="0" fillId="0" borderId="8" xfId="0" applyBorder="1"/>
    <xf numFmtId="0" fontId="5" fillId="41" borderId="0" xfId="0" applyFont="1" applyFill="1" applyBorder="1" applyAlignment="1">
      <alignment horizontal="center"/>
    </xf>
    <xf numFmtId="2" fontId="5" fillId="42" borderId="3" xfId="0" applyNumberFormat="1" applyFont="1" applyFill="1" applyBorder="1" applyAlignment="1" applyProtection="1">
      <alignment horizontal="center"/>
      <protection locked="0"/>
    </xf>
    <xf numFmtId="10" fontId="5" fillId="42" borderId="3" xfId="2" applyNumberFormat="1" applyFont="1" applyFill="1" applyBorder="1" applyAlignment="1" applyProtection="1">
      <alignment horizontal="center"/>
      <protection locked="0"/>
    </xf>
    <xf numFmtId="49" fontId="5" fillId="42" borderId="3" xfId="0" applyNumberFormat="1" applyFont="1" applyFill="1" applyBorder="1" applyAlignment="1" applyProtection="1">
      <alignment horizontal="left" indent="1"/>
      <protection locked="0"/>
    </xf>
    <xf numFmtId="1" fontId="5" fillId="42" borderId="3" xfId="2" applyNumberFormat="1" applyFont="1" applyFill="1" applyBorder="1" applyAlignment="1" applyProtection="1">
      <alignment horizontal="center"/>
      <protection locked="0"/>
    </xf>
    <xf numFmtId="194" fontId="5" fillId="42" borderId="3" xfId="2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 wrapText="1"/>
    </xf>
    <xf numFmtId="191" fontId="5" fillId="42" borderId="3" xfId="0" applyNumberFormat="1" applyFont="1" applyFill="1" applyBorder="1" applyAlignment="1" applyProtection="1">
      <alignment horizontal="center"/>
      <protection locked="0"/>
    </xf>
    <xf numFmtId="195" fontId="5" fillId="0" borderId="0" xfId="0" applyNumberFormat="1" applyFont="1" applyAlignment="1" applyProtection="1">
      <alignment horizontal="left"/>
    </xf>
    <xf numFmtId="193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Protection="1"/>
    <xf numFmtId="164" fontId="18" fillId="41" borderId="10" xfId="0" applyNumberFormat="1" applyFont="1" applyFill="1" applyBorder="1" applyAlignment="1" applyProtection="1">
      <alignment horizontal="center"/>
      <protection locked="0"/>
    </xf>
    <xf numFmtId="194" fontId="5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70" fillId="39" borderId="0" xfId="0" applyFont="1" applyFill="1" applyBorder="1" applyAlignment="1" applyProtection="1">
      <alignment horizontal="left" vertical="center"/>
    </xf>
    <xf numFmtId="0" fontId="70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5" fillId="41" borderId="0" xfId="0" applyFont="1" applyFill="1" applyBorder="1" applyAlignment="1" applyProtection="1">
      <alignment horizontal="center"/>
    </xf>
    <xf numFmtId="0" fontId="5" fillId="6" borderId="0" xfId="0" applyFont="1" applyFill="1" applyBorder="1" applyProtection="1"/>
    <xf numFmtId="0" fontId="5" fillId="7" borderId="0" xfId="0" applyFont="1" applyFill="1" applyBorder="1" applyProtection="1"/>
    <xf numFmtId="43" fontId="22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2" fillId="39" borderId="1" xfId="0" applyFont="1" applyFill="1" applyBorder="1" applyAlignment="1" applyProtection="1">
      <alignment horizontal="left"/>
    </xf>
    <xf numFmtId="0" fontId="72" fillId="39" borderId="1" xfId="0" applyFont="1" applyFill="1" applyBorder="1" applyAlignment="1" applyProtection="1">
      <alignment horizontal="left" indent="9"/>
    </xf>
    <xf numFmtId="0" fontId="22" fillId="39" borderId="2" xfId="0" applyNumberFormat="1" applyFont="1" applyFill="1" applyBorder="1" applyProtection="1"/>
    <xf numFmtId="0" fontId="22" fillId="39" borderId="2" xfId="0" applyFont="1" applyFill="1" applyBorder="1" applyProtection="1"/>
    <xf numFmtId="0" fontId="73" fillId="39" borderId="2" xfId="0" applyNumberFormat="1" applyFont="1" applyFill="1" applyBorder="1" applyAlignment="1" applyProtection="1">
      <alignment horizontal="center"/>
    </xf>
    <xf numFmtId="0" fontId="73" fillId="39" borderId="2" xfId="0" applyNumberFormat="1" applyFont="1" applyFill="1" applyBorder="1" applyProtection="1"/>
    <xf numFmtId="0" fontId="73" fillId="40" borderId="4" xfId="0" applyFont="1" applyFill="1" applyBorder="1" applyProtection="1"/>
    <xf numFmtId="0" fontId="73" fillId="40" borderId="4" xfId="0" applyFont="1" applyFill="1" applyBorder="1" applyAlignment="1" applyProtection="1">
      <alignment horizontal="center"/>
    </xf>
    <xf numFmtId="0" fontId="18" fillId="40" borderId="4" xfId="0" applyFont="1" applyFill="1" applyBorder="1" applyAlignment="1" applyProtection="1">
      <alignment horizontal="center" vertical="center"/>
    </xf>
    <xf numFmtId="0" fontId="18" fillId="40" borderId="4" xfId="0" applyFont="1" applyFill="1" applyBorder="1" applyAlignment="1" applyProtection="1">
      <alignment vertical="center"/>
    </xf>
    <xf numFmtId="0" fontId="73" fillId="40" borderId="4" xfId="0" applyFont="1" applyFill="1" applyBorder="1" applyAlignment="1" applyProtection="1">
      <alignment wrapText="1"/>
    </xf>
    <xf numFmtId="44" fontId="18" fillId="40" borderId="4" xfId="0" applyNumberFormat="1" applyFont="1" applyFill="1" applyBorder="1" applyAlignment="1" applyProtection="1">
      <alignment horizontal="center" wrapText="1"/>
    </xf>
    <xf numFmtId="0" fontId="73" fillId="0" borderId="0" xfId="0" applyFont="1" applyProtection="1"/>
    <xf numFmtId="0" fontId="0" fillId="40" borderId="4" xfId="0" applyFill="1" applyBorder="1" applyProtection="1"/>
    <xf numFmtId="0" fontId="22" fillId="40" borderId="4" xfId="0" applyFont="1" applyFill="1" applyBorder="1" applyProtection="1"/>
    <xf numFmtId="0" fontId="23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3" fillId="40" borderId="4" xfId="0" applyNumberFormat="1" applyFont="1" applyFill="1" applyBorder="1" applyAlignment="1" applyProtection="1">
      <alignment horizontal="center" wrapText="1"/>
    </xf>
    <xf numFmtId="0" fontId="0" fillId="0" borderId="0" xfId="0" applyProtection="1"/>
    <xf numFmtId="164" fontId="7" fillId="0" borderId="0" xfId="0" applyNumberFormat="1" applyFont="1" applyFill="1" applyBorder="1" applyProtection="1"/>
    <xf numFmtId="164" fontId="6" fillId="0" borderId="0" xfId="0" applyNumberFormat="1" applyFont="1" applyFill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Alignment="1" applyProtection="1">
      <alignment horizontal="center"/>
    </xf>
    <xf numFmtId="164" fontId="16" fillId="0" borderId="0" xfId="3" applyNumberFormat="1" applyFont="1" applyFill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6" fillId="0" borderId="7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left" indent="1"/>
    </xf>
    <xf numFmtId="164" fontId="6" fillId="0" borderId="8" xfId="0" applyNumberFormat="1" applyFont="1" applyBorder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4" fontId="7" fillId="0" borderId="8" xfId="0" applyNumberFormat="1" applyFont="1" applyBorder="1" applyProtection="1"/>
    <xf numFmtId="172" fontId="5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 indent="2"/>
    </xf>
    <xf numFmtId="164" fontId="17" fillId="0" borderId="8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Border="1" applyProtection="1"/>
    <xf numFmtId="193" fontId="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9" fontId="5" fillId="0" borderId="7" xfId="0" applyNumberFormat="1" applyFont="1" applyBorder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2" borderId="24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43" fontId="11" fillId="0" borderId="0" xfId="0" applyNumberFormat="1" applyFont="1" applyBorder="1" applyAlignment="1" applyProtection="1">
      <alignment horizontal="center"/>
    </xf>
    <xf numFmtId="0" fontId="9" fillId="39" borderId="2" xfId="0" applyNumberFormat="1" applyFont="1" applyFill="1" applyBorder="1" applyProtection="1"/>
    <xf numFmtId="0" fontId="9" fillId="39" borderId="2" xfId="0" applyFont="1" applyFill="1" applyBorder="1" applyProtection="1"/>
    <xf numFmtId="0" fontId="10" fillId="39" borderId="2" xfId="0" applyNumberFormat="1" applyFont="1" applyFill="1" applyBorder="1" applyAlignment="1" applyProtection="1">
      <alignment horizontal="center"/>
    </xf>
    <xf numFmtId="0" fontId="10" fillId="39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0" fontId="73" fillId="40" borderId="4" xfId="0" applyFont="1" applyFill="1" applyBorder="1" applyAlignment="1" applyProtection="1">
      <alignment horizontal="center" wrapText="1"/>
    </xf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9" borderId="3" xfId="0" applyNumberFormat="1" applyFont="1" applyFill="1" applyBorder="1" applyAlignment="1" applyProtection="1">
      <alignment horizontal="left" indent="1"/>
    </xf>
    <xf numFmtId="0" fontId="73" fillId="39" borderId="2" xfId="0" applyNumberFormat="1" applyFont="1" applyFill="1" applyBorder="1" applyAlignment="1" applyProtection="1">
      <alignment horizontal="center"/>
    </xf>
    <xf numFmtId="196" fontId="7" fillId="0" borderId="23" xfId="0" applyNumberFormat="1" applyFont="1" applyBorder="1" applyAlignment="1" applyProtection="1">
      <alignment horizontal="center"/>
    </xf>
    <xf numFmtId="194" fontId="6" fillId="42" borderId="3" xfId="2" applyNumberFormat="1" applyFont="1" applyFill="1" applyBorder="1" applyAlignment="1" applyProtection="1">
      <alignment horizontal="center"/>
      <protection locked="0"/>
    </xf>
    <xf numFmtId="198" fontId="7" fillId="0" borderId="0" xfId="0" applyNumberFormat="1" applyFont="1" applyBorder="1" applyAlignment="1" applyProtection="1">
      <alignment horizontal="center"/>
    </xf>
    <xf numFmtId="180" fontId="5" fillId="42" borderId="3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93" fontId="5" fillId="0" borderId="0" xfId="0" applyNumberFormat="1" applyFont="1" applyProtection="1">
      <protection locked="0"/>
    </xf>
    <xf numFmtId="10" fontId="7" fillId="0" borderId="0" xfId="2" applyNumberFormat="1" applyFont="1" applyBorder="1" applyAlignment="1" applyProtection="1">
      <alignment horizontal="center"/>
    </xf>
    <xf numFmtId="201" fontId="7" fillId="0" borderId="0" xfId="0" applyNumberFormat="1" applyFont="1" applyAlignment="1" applyProtection="1">
      <alignment horizontal="center"/>
    </xf>
    <xf numFmtId="1" fontId="5" fillId="42" borderId="3" xfId="0" applyNumberFormat="1" applyFont="1" applyFill="1" applyBorder="1" applyAlignment="1" applyProtection="1">
      <alignment horizontal="center"/>
      <protection locked="0"/>
    </xf>
    <xf numFmtId="202" fontId="5" fillId="0" borderId="0" xfId="0" applyNumberFormat="1" applyFont="1" applyAlignment="1">
      <alignment horizontal="left"/>
    </xf>
    <xf numFmtId="202" fontId="7" fillId="0" borderId="7" xfId="0" applyNumberFormat="1" applyFont="1" applyBorder="1" applyAlignment="1" applyProtection="1">
      <alignment horizontal="center"/>
    </xf>
    <xf numFmtId="0" fontId="5" fillId="42" borderId="3" xfId="2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Border="1" applyAlignment="1" applyProtection="1">
      <alignment horizontal="center"/>
    </xf>
    <xf numFmtId="0" fontId="73" fillId="40" borderId="4" xfId="0" applyNumberFormat="1" applyFont="1" applyFill="1" applyBorder="1" applyAlignment="1" applyProtection="1">
      <alignment horizontal="center" wrapText="1"/>
    </xf>
    <xf numFmtId="0" fontId="18" fillId="40" borderId="4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 indent="1"/>
    </xf>
    <xf numFmtId="0" fontId="71" fillId="39" borderId="0" xfId="0" applyFont="1" applyFill="1" applyBorder="1" applyAlignment="1" applyProtection="1">
      <alignment horizontal="right"/>
    </xf>
    <xf numFmtId="0" fontId="6" fillId="0" borderId="24" xfId="0" applyNumberFormat="1" applyFont="1" applyBorder="1" applyAlignment="1" applyProtection="1">
      <alignment horizontal="center"/>
    </xf>
    <xf numFmtId="0" fontId="6" fillId="0" borderId="8" xfId="0" applyNumberFormat="1" applyFont="1" applyBorder="1" applyAlignment="1" applyProtection="1">
      <alignment horizontal="center"/>
    </xf>
    <xf numFmtId="2" fontId="5" fillId="51" borderId="3" xfId="0" applyNumberFormat="1" applyFont="1" applyFill="1" applyBorder="1" applyAlignment="1" applyProtection="1">
      <alignment horizontal="center"/>
      <protection locked="0"/>
    </xf>
    <xf numFmtId="49" fontId="5" fillId="42" borderId="3" xfId="0" applyNumberFormat="1" applyFont="1" applyFill="1" applyBorder="1" applyAlignment="1" applyProtection="1">
      <alignment horizontal="left" indent="1"/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10" fontId="5" fillId="42" borderId="3" xfId="2" applyNumberFormat="1" applyFont="1" applyFill="1" applyBorder="1" applyAlignment="1" applyProtection="1">
      <alignment horizontal="center"/>
      <protection locked="0"/>
    </xf>
    <xf numFmtId="10" fontId="5" fillId="0" borderId="0" xfId="2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0" fontId="18" fillId="41" borderId="10" xfId="0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Alignment="1" applyProtection="1">
      <alignment horizontal="center"/>
    </xf>
    <xf numFmtId="10" fontId="5" fillId="42" borderId="3" xfId="2" applyNumberFormat="1" applyFont="1" applyFill="1" applyBorder="1" applyAlignment="1" applyProtection="1">
      <alignment horizontal="center"/>
      <protection locked="0"/>
    </xf>
    <xf numFmtId="49" fontId="5" fillId="42" borderId="3" xfId="0" applyNumberFormat="1" applyFont="1" applyFill="1" applyBorder="1" applyAlignment="1" applyProtection="1">
      <alignment horizontal="left" indent="1"/>
      <protection locked="0"/>
    </xf>
    <xf numFmtId="192" fontId="5" fillId="9" borderId="3" xfId="0" applyNumberFormat="1" applyFont="1" applyFill="1" applyBorder="1" applyAlignment="1" applyProtection="1">
      <alignment horizontal="left" indent="1"/>
    </xf>
    <xf numFmtId="0" fontId="5" fillId="42" borderId="3" xfId="0" applyNumberFormat="1" applyFont="1" applyFill="1" applyBorder="1" applyAlignment="1" applyProtection="1">
      <alignment horizontal="left" indent="1"/>
      <protection locked="0"/>
    </xf>
    <xf numFmtId="0" fontId="89" fillId="39" borderId="0" xfId="0" applyFont="1" applyFill="1" applyBorder="1" applyProtection="1"/>
    <xf numFmtId="0" fontId="90" fillId="39" borderId="0" xfId="0" applyFont="1" applyFill="1" applyBorder="1" applyAlignment="1" applyProtection="1">
      <alignment horizontal="left" vertical="center"/>
    </xf>
    <xf numFmtId="0" fontId="90" fillId="39" borderId="0" xfId="0" applyFont="1" applyFill="1" applyBorder="1" applyAlignment="1" applyProtection="1">
      <alignment horizontal="left" indent="9"/>
    </xf>
    <xf numFmtId="0" fontId="91" fillId="39" borderId="0" xfId="0" applyFont="1" applyFill="1" applyBorder="1" applyAlignment="1" applyProtection="1"/>
    <xf numFmtId="0" fontId="89" fillId="39" borderId="0" xfId="0" applyFont="1" applyFill="1" applyBorder="1" applyAlignment="1" applyProtection="1">
      <alignment horizontal="right"/>
    </xf>
    <xf numFmtId="0" fontId="92" fillId="41" borderId="0" xfId="0" applyFont="1" applyFill="1" applyBorder="1" applyAlignment="1" applyProtection="1">
      <alignment horizontal="center"/>
    </xf>
    <xf numFmtId="0" fontId="92" fillId="6" borderId="0" xfId="0" applyFont="1" applyFill="1" applyBorder="1" applyProtection="1"/>
    <xf numFmtId="0" fontId="92" fillId="7" borderId="0" xfId="0" applyFont="1" applyFill="1" applyBorder="1" applyProtection="1"/>
    <xf numFmtId="43" fontId="93" fillId="39" borderId="0" xfId="0" applyNumberFormat="1" applyFont="1" applyFill="1" applyBorder="1" applyAlignment="1" applyProtection="1">
      <alignment horizontal="center"/>
    </xf>
    <xf numFmtId="0" fontId="91" fillId="39" borderId="0" xfId="0" applyFont="1" applyFill="1" applyBorder="1" applyAlignment="1" applyProtection="1">
      <alignment horizontal="right"/>
    </xf>
    <xf numFmtId="0" fontId="89" fillId="39" borderId="1" xfId="0" applyFont="1" applyFill="1" applyBorder="1" applyProtection="1"/>
    <xf numFmtId="0" fontId="94" fillId="39" borderId="1" xfId="0" applyFont="1" applyFill="1" applyBorder="1" applyAlignment="1" applyProtection="1">
      <alignment horizontal="left"/>
    </xf>
    <xf numFmtId="0" fontId="94" fillId="39" borderId="1" xfId="0" applyFont="1" applyFill="1" applyBorder="1" applyAlignment="1" applyProtection="1">
      <alignment horizontal="left" indent="9"/>
    </xf>
    <xf numFmtId="0" fontId="93" fillId="39" borderId="2" xfId="0" applyNumberFormat="1" applyFont="1" applyFill="1" applyBorder="1" applyProtection="1"/>
    <xf numFmtId="0" fontId="93" fillId="39" borderId="2" xfId="0" applyFont="1" applyFill="1" applyBorder="1" applyProtection="1"/>
    <xf numFmtId="0" fontId="95" fillId="39" borderId="2" xfId="0" applyNumberFormat="1" applyFont="1" applyFill="1" applyBorder="1" applyAlignment="1" applyProtection="1">
      <alignment horizontal="center"/>
    </xf>
    <xf numFmtId="0" fontId="95" fillId="39" borderId="2" xfId="0" applyNumberFormat="1" applyFont="1" applyFill="1" applyBorder="1" applyProtection="1"/>
    <xf numFmtId="0" fontId="95" fillId="40" borderId="4" xfId="0" applyFont="1" applyFill="1" applyBorder="1" applyProtection="1"/>
    <xf numFmtId="0" fontId="95" fillId="40" borderId="4" xfId="0" applyFont="1" applyFill="1" applyBorder="1" applyAlignment="1" applyProtection="1">
      <alignment horizontal="center"/>
    </xf>
    <xf numFmtId="0" fontId="96" fillId="40" borderId="4" xfId="0" applyFont="1" applyFill="1" applyBorder="1" applyAlignment="1" applyProtection="1">
      <alignment horizontal="center" vertical="center"/>
    </xf>
    <xf numFmtId="0" fontId="96" fillId="40" borderId="4" xfId="0" applyFont="1" applyFill="1" applyBorder="1" applyAlignment="1" applyProtection="1">
      <alignment vertical="center"/>
    </xf>
    <xf numFmtId="0" fontId="95" fillId="40" borderId="4" xfId="0" applyFont="1" applyFill="1" applyBorder="1" applyAlignment="1" applyProtection="1">
      <alignment horizontal="center" wrapText="1"/>
    </xf>
    <xf numFmtId="0" fontId="95" fillId="40" borderId="4" xfId="0" applyFont="1" applyFill="1" applyBorder="1" applyAlignment="1" applyProtection="1">
      <alignment wrapText="1"/>
    </xf>
    <xf numFmtId="44" fontId="96" fillId="40" borderId="4" xfId="0" applyNumberFormat="1" applyFont="1" applyFill="1" applyBorder="1" applyAlignment="1" applyProtection="1">
      <alignment horizontal="center" wrapText="1"/>
    </xf>
    <xf numFmtId="0" fontId="95" fillId="0" borderId="0" xfId="0" applyFont="1" applyProtection="1"/>
    <xf numFmtId="164" fontId="92" fillId="3" borderId="0" xfId="0" applyNumberFormat="1" applyFont="1" applyFill="1" applyProtection="1"/>
    <xf numFmtId="164" fontId="97" fillId="3" borderId="0" xfId="0" applyNumberFormat="1" applyFont="1" applyFill="1" applyAlignment="1" applyProtection="1">
      <alignment horizontal="center"/>
    </xf>
    <xf numFmtId="0" fontId="89" fillId="40" borderId="4" xfId="0" applyFont="1" applyFill="1" applyBorder="1" applyProtection="1"/>
    <xf numFmtId="0" fontId="93" fillId="40" borderId="4" xfId="0" applyFont="1" applyFill="1" applyBorder="1" applyProtection="1"/>
    <xf numFmtId="164" fontId="96" fillId="41" borderId="10" xfId="0" applyNumberFormat="1" applyFont="1" applyFill="1" applyBorder="1" applyAlignment="1" applyProtection="1">
      <alignment horizontal="center"/>
      <protection locked="0"/>
    </xf>
    <xf numFmtId="0" fontId="96" fillId="41" borderId="10" xfId="0" applyNumberFormat="1" applyFont="1" applyFill="1" applyBorder="1" applyAlignment="1" applyProtection="1">
      <alignment horizontal="center"/>
      <protection locked="0"/>
    </xf>
    <xf numFmtId="0" fontId="98" fillId="40" borderId="4" xfId="0" applyFont="1" applyFill="1" applyBorder="1" applyAlignment="1" applyProtection="1">
      <alignment vertical="center"/>
    </xf>
    <xf numFmtId="0" fontId="99" fillId="40" borderId="4" xfId="0" applyFont="1" applyFill="1" applyBorder="1" applyAlignment="1" applyProtection="1"/>
    <xf numFmtId="44" fontId="98" fillId="40" borderId="4" xfId="0" applyNumberFormat="1" applyFont="1" applyFill="1" applyBorder="1" applyAlignment="1" applyProtection="1">
      <alignment horizontal="center" wrapText="1"/>
    </xf>
    <xf numFmtId="0" fontId="89" fillId="40" borderId="4" xfId="0" applyFont="1" applyFill="1" applyBorder="1" applyAlignment="1" applyProtection="1">
      <alignment wrapText="1"/>
    </xf>
    <xf numFmtId="0" fontId="89" fillId="0" borderId="0" xfId="0" applyFont="1" applyProtection="1"/>
    <xf numFmtId="164" fontId="92" fillId="0" borderId="0" xfId="0" applyNumberFormat="1" applyFont="1" applyProtection="1"/>
    <xf numFmtId="164" fontId="97" fillId="0" borderId="0" xfId="0" applyNumberFormat="1" applyFont="1" applyAlignment="1" applyProtection="1">
      <alignment horizontal="center"/>
    </xf>
    <xf numFmtId="164" fontId="92" fillId="0" borderId="0" xfId="0" applyNumberFormat="1" applyFont="1" applyAlignment="1" applyProtection="1">
      <alignment horizontal="center"/>
    </xf>
    <xf numFmtId="164" fontId="100" fillId="0" borderId="0" xfId="0" applyNumberFormat="1" applyFont="1" applyProtection="1"/>
    <xf numFmtId="164" fontId="101" fillId="0" borderId="0" xfId="0" applyNumberFormat="1" applyFont="1" applyAlignment="1" applyProtection="1">
      <alignment horizontal="center"/>
    </xf>
    <xf numFmtId="0" fontId="100" fillId="0" borderId="7" xfId="0" applyNumberFormat="1" applyFont="1" applyBorder="1" applyAlignment="1" applyProtection="1">
      <alignment horizontal="center"/>
    </xf>
    <xf numFmtId="164" fontId="100" fillId="0" borderId="7" xfId="0" applyNumberFormat="1" applyFont="1" applyBorder="1" applyProtection="1"/>
    <xf numFmtId="164" fontId="92" fillId="0" borderId="7" xfId="0" applyNumberFormat="1" applyFont="1" applyBorder="1" applyProtection="1"/>
    <xf numFmtId="164" fontId="92" fillId="0" borderId="0" xfId="0" applyNumberFormat="1" applyFont="1" applyAlignment="1" applyProtection="1">
      <alignment horizontal="left" indent="1"/>
    </xf>
    <xf numFmtId="164" fontId="102" fillId="0" borderId="0" xfId="3" applyNumberFormat="1" applyFont="1" applyAlignment="1" applyProtection="1">
      <alignment horizontal="center"/>
    </xf>
    <xf numFmtId="0" fontId="97" fillId="0" borderId="0" xfId="0" applyNumberFormat="1" applyFont="1" applyAlignment="1" applyProtection="1">
      <alignment horizontal="center"/>
    </xf>
    <xf numFmtId="194" fontId="92" fillId="9" borderId="3" xfId="2" applyNumberFormat="1" applyFont="1" applyFill="1" applyBorder="1" applyAlignment="1" applyProtection="1">
      <alignment horizontal="center"/>
    </xf>
    <xf numFmtId="164" fontId="92" fillId="0" borderId="0" xfId="0" applyNumberFormat="1" applyFont="1" applyProtection="1">
      <protection locked="0"/>
    </xf>
    <xf numFmtId="164" fontId="92" fillId="0" borderId="0" xfId="0" applyNumberFormat="1" applyFont="1" applyBorder="1" applyProtection="1"/>
    <xf numFmtId="197" fontId="103" fillId="0" borderId="9" xfId="5" applyNumberFormat="1" applyFont="1" applyFill="1" applyBorder="1" applyAlignment="1" applyProtection="1">
      <alignment horizontal="center" vertical="center"/>
    </xf>
    <xf numFmtId="203" fontId="5" fillId="0" borderId="0" xfId="0" applyNumberFormat="1" applyFont="1" applyProtection="1"/>
    <xf numFmtId="204" fontId="5" fillId="0" borderId="0" xfId="0" applyNumberFormat="1" applyFont="1" applyProtection="1"/>
    <xf numFmtId="194" fontId="5" fillId="53" borderId="3" xfId="2" applyNumberFormat="1" applyFont="1" applyFill="1" applyBorder="1" applyAlignment="1" applyProtection="1">
      <alignment horizontal="center"/>
      <protection locked="0"/>
    </xf>
    <xf numFmtId="10" fontId="5" fillId="54" borderId="3" xfId="2" applyNumberFormat="1" applyFont="1" applyFill="1" applyBorder="1" applyAlignment="1" applyProtection="1">
      <alignment horizontal="center"/>
      <protection locked="0"/>
    </xf>
    <xf numFmtId="0" fontId="73" fillId="39" borderId="2" xfId="0" applyNumberFormat="1" applyFont="1" applyFill="1" applyBorder="1" applyAlignment="1" applyProtection="1">
      <alignment horizontal="center"/>
    </xf>
    <xf numFmtId="0" fontId="95" fillId="39" borderId="2" xfId="0" applyNumberFormat="1" applyFont="1" applyFill="1" applyBorder="1" applyAlignment="1" applyProtection="1">
      <alignment horizontal="center"/>
    </xf>
  </cellXfs>
  <cellStyles count="335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ockout 2 2" xfId="267"/>
    <cellStyle name="Blockout 3" xfId="266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64"/>
    <cellStyle name="Comma 11" xfId="296"/>
    <cellStyle name="Comma 12" xfId="303"/>
    <cellStyle name="Comma 13" xfId="304"/>
    <cellStyle name="Comma 2" xfId="8"/>
    <cellStyle name="Comma 2 2" xfId="73"/>
    <cellStyle name="Comma 2 2 2" xfId="268"/>
    <cellStyle name="Comma 2 2 2 2" xfId="334"/>
    <cellStyle name="Comma 2 2 3" xfId="306"/>
    <cellStyle name="Comma 2 3" xfId="74"/>
    <cellStyle name="Comma 2 3 2" xfId="75"/>
    <cellStyle name="Comma 2 3 2 2" xfId="270"/>
    <cellStyle name="Comma 2 3 2 3" xfId="308"/>
    <cellStyle name="Comma 2 3 3" xfId="269"/>
    <cellStyle name="Comma 2 3 4" xfId="307"/>
    <cellStyle name="Comma 2 4" xfId="76"/>
    <cellStyle name="Comma 2 4 2" xfId="271"/>
    <cellStyle name="Comma 2 4 3" xfId="309"/>
    <cellStyle name="Comma 2 5" xfId="77"/>
    <cellStyle name="Comma 2 5 2" xfId="272"/>
    <cellStyle name="Comma 2 6" xfId="265"/>
    <cellStyle name="Comma 2 7" xfId="305"/>
    <cellStyle name="Comma 3" xfId="78"/>
    <cellStyle name="Comma 3 2" xfId="79"/>
    <cellStyle name="Comma 3 3" xfId="80"/>
    <cellStyle name="Comma 3 3 2" xfId="273"/>
    <cellStyle name="Comma 4" xfId="81"/>
    <cellStyle name="Comma 4 2" xfId="274"/>
    <cellStyle name="Comma 5" xfId="82"/>
    <cellStyle name="Comma 5 2" xfId="275"/>
    <cellStyle name="Comma 6" xfId="83"/>
    <cellStyle name="Comma 6 2" xfId="276"/>
    <cellStyle name="Comma 6 2 2" xfId="333"/>
    <cellStyle name="Comma 7" xfId="84"/>
    <cellStyle name="Comma 7 2" xfId="277"/>
    <cellStyle name="Comma 7 3" xfId="310"/>
    <cellStyle name="Comma 8" xfId="85"/>
    <cellStyle name="Comma 8 2" xfId="278"/>
    <cellStyle name="Comma 8 3" xfId="311"/>
    <cellStyle name="Comma 9" xfId="298"/>
    <cellStyle name="Comma0" xfId="86"/>
    <cellStyle name="Currency 11" xfId="87"/>
    <cellStyle name="Currency 11 2" xfId="88"/>
    <cellStyle name="Currency 11 2 2" xfId="280"/>
    <cellStyle name="Currency 11 2 3" xfId="313"/>
    <cellStyle name="Currency 11 3" xfId="279"/>
    <cellStyle name="Currency 11 4" xfId="312"/>
    <cellStyle name="Currency 2" xfId="89"/>
    <cellStyle name="Currency 2 2" xfId="90"/>
    <cellStyle name="Currency 2 2 2" xfId="282"/>
    <cellStyle name="Currency 2 2 3" xfId="315"/>
    <cellStyle name="Currency 2 3" xfId="281"/>
    <cellStyle name="Currency 2 4" xfId="314"/>
    <cellStyle name="Currency 3" xfId="91"/>
    <cellStyle name="Currency 3 2" xfId="92"/>
    <cellStyle name="Currency 3 2 2" xfId="284"/>
    <cellStyle name="Currency 3 2 3" xfId="317"/>
    <cellStyle name="Currency 3 3" xfId="283"/>
    <cellStyle name="Currency 3 4" xfId="316"/>
    <cellStyle name="Currency 4" xfId="93"/>
    <cellStyle name="Currency 4 2" xfId="94"/>
    <cellStyle name="Currency 4 2 2" xfId="286"/>
    <cellStyle name="Currency 4 2 3" xfId="319"/>
    <cellStyle name="Currency 4 3" xfId="285"/>
    <cellStyle name="Currency 4 4" xfId="318"/>
    <cellStyle name="Currency 5" xfId="243"/>
    <cellStyle name="Currency 5 2" xfId="295"/>
    <cellStyle name="Currency 5 3" xfId="324"/>
    <cellStyle name="Currency 6" xfId="299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1 2 2" xfId="288"/>
    <cellStyle name="Input1 3" xfId="300"/>
    <cellStyle name="Input1 4" xfId="287"/>
    <cellStyle name="Input2" xfId="127"/>
    <cellStyle name="Input2 2" xfId="128"/>
    <cellStyle name="Input3" xfId="129"/>
    <cellStyle name="Input3 2" xfId="130"/>
    <cellStyle name="Input3 2 2" xfId="290"/>
    <cellStyle name="Input3 3" xfId="301"/>
    <cellStyle name="Input3 4" xfId="289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93"/>
    <cellStyle name="Normal 10 3" xfId="322"/>
    <cellStyle name="Normal 11" xfId="297"/>
    <cellStyle name="Normal 114" xfId="329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 6" xfId="326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2 2" xfId="330"/>
    <cellStyle name="Normal 4 3" xfId="158"/>
    <cellStyle name="Normal 4 3 2" xfId="291"/>
    <cellStyle name="Normal 4 3 2 2" xfId="328"/>
    <cellStyle name="Normal 4 3 3" xfId="320"/>
    <cellStyle name="Normal 4 4" xfId="325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7 2 2" xfId="292"/>
    <cellStyle name="Normal 7 2 2 2" xfId="327"/>
    <cellStyle name="Normal 7 2 3" xfId="321"/>
    <cellStyle name="Normal 7 3" xfId="331"/>
    <cellStyle name="Normal 8" xfId="168"/>
    <cellStyle name="Normal 8 2" xfId="332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5 2" xfId="294"/>
    <cellStyle name="Percent 5 3" xfId="323"/>
    <cellStyle name="Percent 6" xfId="30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0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PWC2019-24/1Proposal/As%20submitted/16%20March%202018%20-%20Audited%20RIN%20and%20updated%20submission/PUBLIC%20-%2016%20March%202018/PWC12.4%20-%20SCS%20Opex%20Model%20-%2016%20Mar%2018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PWC2019-24/1Proposal/As%20submitted/16%20March%202018%20-%20Audited%20RIN%20and%20updated%20submission/PUBLIC%20-%2016%20March%202018/PWC12.6%20-%20Step%20Changes%20Forecast%20Model%20-%2031%20Jan%2018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PWC2019-24/1Proposal/As%20submitted/16%20March%202018%20-%20Audited%20RIN%20and%20updated%20submission/PUBLIC%20-%2016%20March%202018/PWC12.2%20-%20ACS%20Metering%20Post-tax%20Revenue%20Model%20-%2016%20Mar%2018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 refreshError="1"/>
      <sheetData sheetId="1" refreshError="1"/>
      <sheetData sheetId="2">
        <row r="51">
          <cell r="E51">
            <v>111.45</v>
          </cell>
          <cell r="F51" t="str">
            <v>Interpolated</v>
          </cell>
        </row>
        <row r="52">
          <cell r="E52">
            <v>112.2</v>
          </cell>
          <cell r="F52" t="str">
            <v>RBA statement of monetary policy November 2017</v>
          </cell>
        </row>
        <row r="53">
          <cell r="E53">
            <v>112.557</v>
          </cell>
          <cell r="F53" t="str">
            <v>Interpolated</v>
          </cell>
        </row>
        <row r="54">
          <cell r="E54">
            <v>112.914</v>
          </cell>
          <cell r="F54" t="str">
            <v>RBA statement of monetary policy November 2017</v>
          </cell>
        </row>
        <row r="55">
          <cell r="E55">
            <v>113.81925</v>
          </cell>
          <cell r="F55" t="str">
            <v>Interpolated</v>
          </cell>
        </row>
        <row r="56">
          <cell r="E56">
            <v>114.72449999999999</v>
          </cell>
          <cell r="F56" t="str">
            <v>RBA statement of monetary policy November 2017</v>
          </cell>
        </row>
        <row r="57">
          <cell r="E57">
            <v>115.08953249999999</v>
          </cell>
          <cell r="F57" t="str">
            <v>Interpolated</v>
          </cell>
        </row>
        <row r="58">
          <cell r="E58">
            <v>115.454565</v>
          </cell>
          <cell r="F58" t="str">
            <v>RBA statement of monetary policy November 2017</v>
          </cell>
        </row>
      </sheetData>
      <sheetData sheetId="3" refreshError="1"/>
      <sheetData sheetId="4">
        <row r="36">
          <cell r="P36">
            <v>0.01</v>
          </cell>
          <cell r="Q36">
            <v>8.9999999999999993E-3</v>
          </cell>
          <cell r="R36">
            <v>8.9999999999999993E-3</v>
          </cell>
          <cell r="S36">
            <v>0.01</v>
          </cell>
          <cell r="T36">
            <v>9.4999999999999998E-3</v>
          </cell>
        </row>
        <row r="37">
          <cell r="P37">
            <v>8.0000000000000002E-3</v>
          </cell>
          <cell r="Q37">
            <v>1.0999999999999999E-2</v>
          </cell>
          <cell r="R37">
            <v>1.4999999999999999E-2</v>
          </cell>
          <cell r="S37">
            <v>1.6E-2</v>
          </cell>
          <cell r="T37">
            <v>1.2500000000000001E-2</v>
          </cell>
        </row>
        <row r="38">
          <cell r="P38">
            <v>9.0000000000000011E-3</v>
          </cell>
          <cell r="Q38">
            <v>9.9999999999999985E-3</v>
          </cell>
          <cell r="R38">
            <v>1.2E-2</v>
          </cell>
          <cell r="S38">
            <v>1.3000000000000001E-2</v>
          </cell>
          <cell r="T38">
            <v>1.0999999999999999E-2</v>
          </cell>
        </row>
        <row r="43"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54">
          <cell r="P54">
            <v>0.40300000000000002</v>
          </cell>
          <cell r="Q54">
            <v>0.40300000000000002</v>
          </cell>
          <cell r="R54">
            <v>0.40300000000000002</v>
          </cell>
          <cell r="S54">
            <v>0.40300000000000002</v>
          </cell>
          <cell r="T54">
            <v>0.40300000000000002</v>
          </cell>
        </row>
        <row r="62">
          <cell r="O62">
            <v>84420</v>
          </cell>
          <cell r="P62">
            <v>85072</v>
          </cell>
          <cell r="Q62">
            <v>85848</v>
          </cell>
          <cell r="R62">
            <v>86641</v>
          </cell>
          <cell r="S62">
            <v>87028</v>
          </cell>
          <cell r="T62">
            <v>87419</v>
          </cell>
        </row>
        <row r="63">
          <cell r="O63">
            <v>7123.0927471901159</v>
          </cell>
          <cell r="P63">
            <v>7175.8035088600409</v>
          </cell>
          <cell r="Q63">
            <v>7226.1258924276117</v>
          </cell>
          <cell r="R63">
            <v>7302.4494959799531</v>
          </cell>
          <cell r="S63">
            <v>7378.9215694574259</v>
          </cell>
          <cell r="T63">
            <v>7447.2669565348106</v>
          </cell>
        </row>
        <row r="64">
          <cell r="O64">
            <v>344.61873374300001</v>
          </cell>
          <cell r="P64">
            <v>344.61873374300001</v>
          </cell>
          <cell r="Q64">
            <v>344.61873374300001</v>
          </cell>
          <cell r="R64">
            <v>344.61873374300001</v>
          </cell>
          <cell r="S64">
            <v>344.61873374300001</v>
          </cell>
          <cell r="T64">
            <v>344.61873374300001</v>
          </cell>
        </row>
        <row r="80">
          <cell r="P80">
            <v>0.77131394182547641</v>
          </cell>
        </row>
        <row r="81">
          <cell r="P81">
            <v>9.7291875626880645E-2</v>
          </cell>
        </row>
        <row r="82">
          <cell r="P82">
            <v>0.13139418254764293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|GSLs"/>
      <sheetName val="Calc|Step_Changes"/>
    </sheetNames>
    <sheetDataSet>
      <sheetData sheetId="0"/>
      <sheetData sheetId="1">
        <row r="34">
          <cell r="U34">
            <v>267845.98848717083</v>
          </cell>
        </row>
      </sheetData>
      <sheetData sheetId="2">
        <row r="13">
          <cell r="D13" t="str">
            <v>National connections process</v>
          </cell>
        </row>
        <row r="27">
          <cell r="D27" t="str">
            <v>Inspection and testing</v>
          </cell>
          <cell r="N27">
            <v>305544.24</v>
          </cell>
          <cell r="O27">
            <v>305544.24</v>
          </cell>
          <cell r="P27">
            <v>305544.24</v>
          </cell>
          <cell r="Q27">
            <v>305544.24</v>
          </cell>
          <cell r="R27">
            <v>305544.24</v>
          </cell>
        </row>
        <row r="28">
          <cell r="D28" t="str">
            <v>Metering Compliance Type 1-6</v>
          </cell>
          <cell r="N28">
            <v>38284.619999999995</v>
          </cell>
          <cell r="O28">
            <v>38284.619999999995</v>
          </cell>
          <cell r="P28">
            <v>38284.619999999995</v>
          </cell>
          <cell r="Q28">
            <v>38284.619999999995</v>
          </cell>
          <cell r="R28">
            <v>38284.619999999995</v>
          </cell>
        </row>
        <row r="29">
          <cell r="D29" t="str">
            <v>Souther Region metering technicians</v>
          </cell>
        </row>
        <row r="30">
          <cell r="D30" t="str">
            <v>New and replacement meter policy</v>
          </cell>
          <cell r="N30">
            <v>-453666.79407002113</v>
          </cell>
          <cell r="O30">
            <v>-584378.3373576405</v>
          </cell>
          <cell r="P30">
            <v>-720093.63052515499</v>
          </cell>
          <cell r="Q30">
            <v>-851995.95956808317</v>
          </cell>
          <cell r="R30">
            <v>-977879.37597572245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Starting price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>
        <row r="186">
          <cell r="G186">
            <v>8.6157966088687647E-3</v>
          </cell>
          <cell r="H186">
            <v>1.1658097446656412E-2</v>
          </cell>
          <cell r="I186">
            <v>1.2793609940476547E-2</v>
          </cell>
          <cell r="J186">
            <v>1.3814966073065503E-2</v>
          </cell>
          <cell r="K186">
            <v>1.6658603205363609E-2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Q34"/>
  <sheetViews>
    <sheetView showGridLines="0" tabSelected="1" workbookViewId="0"/>
  </sheetViews>
  <sheetFormatPr defaultColWidth="0" defaultRowHeight="11.25" zeroHeight="1"/>
  <cols>
    <col min="1" max="2" width="1.5" style="5" customWidth="1"/>
    <col min="3" max="3" width="30.83203125" style="5" customWidth="1"/>
    <col min="4" max="4" width="189.6640625" style="5" bestFit="1" customWidth="1"/>
    <col min="5" max="5" width="6.5" style="5" customWidth="1"/>
    <col min="6" max="6" width="9.33203125" style="5" customWidth="1"/>
    <col min="7" max="14" width="9.83203125" style="5" customWidth="1"/>
    <col min="15" max="15" width="1.5" style="5" customWidth="1"/>
    <col min="16" max="16" width="10.5" style="5" customWidth="1"/>
    <col min="17" max="17" width="1.5" style="5" customWidth="1"/>
    <col min="18" max="47" width="10.5" style="5" customWidth="1"/>
    <col min="48" max="16384" width="10.5" style="5" hidden="1"/>
  </cols>
  <sheetData>
    <row r="1" spans="1:5" s="1" customFormat="1" ht="15.75" customHeight="1">
      <c r="A1" s="34"/>
      <c r="B1" s="31" t="s">
        <v>100</v>
      </c>
      <c r="C1" s="31"/>
      <c r="D1" s="34"/>
      <c r="E1" s="34"/>
    </row>
    <row r="2" spans="1:5" s="2" customFormat="1" ht="13.5" customHeight="1" thickBot="1">
      <c r="A2" s="38"/>
      <c r="B2" s="37" t="s">
        <v>40</v>
      </c>
      <c r="C2" s="37"/>
      <c r="D2" s="38"/>
      <c r="E2" s="38"/>
    </row>
    <row r="3" spans="1:5" s="3" customFormat="1" ht="3" customHeight="1"/>
    <row r="4" spans="1:5" customFormat="1">
      <c r="A4" s="39"/>
      <c r="B4" s="43" t="s">
        <v>68</v>
      </c>
      <c r="C4" s="39"/>
      <c r="D4" s="39"/>
      <c r="E4" s="39"/>
    </row>
    <row r="5" spans="1:5"/>
    <row r="6" spans="1:5">
      <c r="C6" s="6" t="s">
        <v>0</v>
      </c>
      <c r="D6" s="6" t="s">
        <v>1</v>
      </c>
    </row>
    <row r="7" spans="1:5">
      <c r="C7" s="16" t="s">
        <v>66</v>
      </c>
      <c r="D7" s="4" t="s">
        <v>67</v>
      </c>
    </row>
    <row r="8" spans="1:5">
      <c r="C8" s="16" t="s">
        <v>34</v>
      </c>
      <c r="D8" s="4" t="s">
        <v>102</v>
      </c>
    </row>
    <row r="9" spans="1:5">
      <c r="C9" s="16" t="s">
        <v>61</v>
      </c>
      <c r="D9" s="4" t="s">
        <v>62</v>
      </c>
    </row>
    <row r="10" spans="1:5">
      <c r="C10" s="16" t="s">
        <v>60</v>
      </c>
      <c r="D10" s="4" t="s">
        <v>50</v>
      </c>
    </row>
    <row r="11" spans="1:5">
      <c r="C11" s="16" t="s">
        <v>65</v>
      </c>
      <c r="D11" s="4" t="s">
        <v>51</v>
      </c>
    </row>
    <row r="12" spans="1:5">
      <c r="C12" s="16" t="s">
        <v>55</v>
      </c>
      <c r="D12" s="4" t="s">
        <v>128</v>
      </c>
    </row>
    <row r="13" spans="1:5">
      <c r="C13" s="16" t="s">
        <v>54</v>
      </c>
      <c r="D13" s="4" t="s">
        <v>63</v>
      </c>
    </row>
    <row r="14" spans="1:5">
      <c r="C14" s="16" t="s">
        <v>53</v>
      </c>
      <c r="D14" s="4" t="s">
        <v>64</v>
      </c>
    </row>
    <row r="15" spans="1:5">
      <c r="C15" s="16" t="s">
        <v>25</v>
      </c>
      <c r="D15" s="4" t="s">
        <v>52</v>
      </c>
    </row>
    <row r="16" spans="1:5" ht="12.75">
      <c r="C16" s="7"/>
      <c r="D16" s="4"/>
    </row>
    <row r="17" spans="1:5" customFormat="1">
      <c r="A17" s="39"/>
      <c r="B17" s="43" t="s">
        <v>21</v>
      </c>
      <c r="C17" s="39"/>
      <c r="D17" s="39"/>
      <c r="E17" s="39"/>
    </row>
    <row r="18" spans="1:5"/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W24"/>
  <sheetViews>
    <sheetView showGridLines="0" workbookViewId="0"/>
  </sheetViews>
  <sheetFormatPr defaultColWidth="0" defaultRowHeight="11.25" zeroHeight="1"/>
  <cols>
    <col min="1" max="2" width="1.5" style="25" customWidth="1"/>
    <col min="3" max="3" width="42" style="25" customWidth="1"/>
    <col min="4" max="4" width="27.6640625" style="26" customWidth="1"/>
    <col min="5" max="5" width="15.83203125" style="26" customWidth="1"/>
    <col min="6" max="6" width="10.6640625" style="26" customWidth="1"/>
    <col min="7" max="7" width="16.1640625" style="26" bestFit="1" customWidth="1"/>
    <col min="8" max="9" width="3.33203125" style="26" customWidth="1"/>
    <col min="10" max="23" width="10.83203125" style="25" customWidth="1"/>
    <col min="24" max="47" width="10.5" style="25" customWidth="1"/>
    <col min="48" max="16384" width="10.5" style="25" hidden="1"/>
  </cols>
  <sheetData>
    <row r="1" spans="1:23" s="62" customFormat="1" ht="15.75">
      <c r="B1" s="63" t="str">
        <f>Index!$B$1</f>
        <v>AER opex model</v>
      </c>
      <c r="C1" s="63"/>
      <c r="D1" s="63"/>
      <c r="E1" s="63"/>
      <c r="F1" s="64"/>
      <c r="G1" s="64"/>
      <c r="H1" s="64"/>
      <c r="I1" s="64"/>
      <c r="J1" s="33" t="s">
        <v>2</v>
      </c>
      <c r="L1" s="65" t="s">
        <v>3</v>
      </c>
      <c r="M1" s="66" t="s">
        <v>4</v>
      </c>
      <c r="N1" s="67" t="s">
        <v>5</v>
      </c>
      <c r="O1" s="68" t="s">
        <v>6</v>
      </c>
      <c r="R1" s="65" t="s">
        <v>86</v>
      </c>
      <c r="S1" s="69" t="str">
        <f>IF(COUNTA($S$5:$S$13)=COUNTIF($S5:$S14,"OK"),"OK","Check")</f>
        <v>OK</v>
      </c>
      <c r="U1" s="157" t="s">
        <v>24</v>
      </c>
      <c r="V1" s="69" t="str">
        <f>'Check|List'!$S$1</f>
        <v>Ok</v>
      </c>
    </row>
    <row r="2" spans="1:23" s="70" customFormat="1" ht="13.5" thickBot="1">
      <c r="B2" s="71" t="str">
        <f>Index!$C$7</f>
        <v>Input | General</v>
      </c>
      <c r="C2" s="71"/>
      <c r="D2" s="71"/>
      <c r="E2" s="71"/>
      <c r="F2" s="72"/>
      <c r="G2" s="72"/>
      <c r="H2" s="72"/>
      <c r="I2" s="72"/>
    </row>
    <row r="3" spans="1:23" s="23" customFormat="1" ht="3" customHeight="1">
      <c r="D3" s="24"/>
      <c r="E3" s="24"/>
      <c r="F3" s="24"/>
      <c r="G3" s="24"/>
      <c r="H3" s="24"/>
      <c r="I3" s="24"/>
    </row>
    <row r="4" spans="1:23" s="89" customFormat="1" ht="12.75">
      <c r="A4" s="84"/>
      <c r="B4" s="85" t="s">
        <v>98</v>
      </c>
      <c r="C4" s="84"/>
      <c r="D4" s="84"/>
      <c r="E4" s="84"/>
      <c r="F4" s="86"/>
      <c r="G4" s="86"/>
      <c r="H4" s="86"/>
      <c r="I4" s="86"/>
      <c r="J4" s="87"/>
      <c r="K4" s="88"/>
      <c r="L4" s="87"/>
      <c r="M4" s="88"/>
      <c r="N4" s="87"/>
      <c r="O4" s="87"/>
      <c r="P4" s="87"/>
      <c r="Q4" s="87"/>
      <c r="R4" s="87"/>
      <c r="S4" s="87"/>
      <c r="T4" s="87"/>
      <c r="U4" s="87"/>
      <c r="V4" s="88"/>
      <c r="W4" s="88"/>
    </row>
    <row r="5" spans="1:23"/>
    <row r="6" spans="1:23">
      <c r="C6" s="27" t="s">
        <v>99</v>
      </c>
      <c r="D6" s="28" t="s">
        <v>7</v>
      </c>
      <c r="E6" s="28"/>
      <c r="F6" s="29"/>
      <c r="G6" s="29" t="s">
        <v>74</v>
      </c>
      <c r="H6" s="29"/>
      <c r="I6" s="25"/>
    </row>
    <row r="7" spans="1:23">
      <c r="C7" s="25" t="s">
        <v>69</v>
      </c>
      <c r="D7" s="26" t="s">
        <v>123</v>
      </c>
      <c r="E7" s="25"/>
      <c r="F7" s="25"/>
      <c r="G7" s="44" t="s">
        <v>123</v>
      </c>
      <c r="H7" s="25"/>
      <c r="I7" s="25"/>
      <c r="S7" s="120" t="str">
        <f t="shared" ref="S7:S12" si="0">IF(COUNTBLANK($G7),"Check","Ok")</f>
        <v>Ok</v>
      </c>
    </row>
    <row r="8" spans="1:23">
      <c r="C8" s="25" t="s">
        <v>70</v>
      </c>
      <c r="D8" s="163" t="s">
        <v>123</v>
      </c>
      <c r="E8" s="25"/>
      <c r="F8" s="25"/>
      <c r="G8" s="148">
        <v>2015</v>
      </c>
      <c r="H8" s="25"/>
      <c r="I8" s="25"/>
      <c r="S8" s="120" t="str">
        <f t="shared" si="0"/>
        <v>Ok</v>
      </c>
    </row>
    <row r="9" spans="1:23">
      <c r="C9" s="25" t="s">
        <v>76</v>
      </c>
      <c r="D9" s="163" t="s">
        <v>123</v>
      </c>
      <c r="E9" s="25"/>
      <c r="F9" s="25"/>
      <c r="G9" s="148">
        <v>2018</v>
      </c>
      <c r="H9" s="25"/>
      <c r="I9" s="25"/>
      <c r="S9" s="120" t="str">
        <f t="shared" si="0"/>
        <v>Ok</v>
      </c>
    </row>
    <row r="10" spans="1:23">
      <c r="C10" s="25" t="s">
        <v>71</v>
      </c>
      <c r="D10" s="163" t="s">
        <v>123</v>
      </c>
      <c r="E10" s="25"/>
      <c r="F10" s="25"/>
      <c r="G10" s="148">
        <v>2019</v>
      </c>
      <c r="H10" s="25"/>
      <c r="I10" s="25"/>
      <c r="S10" s="120" t="str">
        <f t="shared" si="0"/>
        <v>Ok</v>
      </c>
    </row>
    <row r="11" spans="1:23">
      <c r="C11" s="25" t="s">
        <v>72</v>
      </c>
      <c r="D11" s="163" t="s">
        <v>123</v>
      </c>
      <c r="E11" s="25"/>
      <c r="F11" s="25"/>
      <c r="G11" s="148">
        <v>2020</v>
      </c>
      <c r="H11" s="25"/>
      <c r="I11" s="25"/>
      <c r="S11" s="120" t="str">
        <f t="shared" si="0"/>
        <v>Ok</v>
      </c>
    </row>
    <row r="12" spans="1:23">
      <c r="C12" s="25" t="s">
        <v>73</v>
      </c>
      <c r="D12" s="163" t="s">
        <v>123</v>
      </c>
      <c r="E12" s="25"/>
      <c r="F12" s="25"/>
      <c r="G12" s="148">
        <v>2024</v>
      </c>
      <c r="H12" s="25"/>
      <c r="I12" s="25"/>
      <c r="S12" s="120" t="str">
        <f t="shared" si="0"/>
        <v>Ok</v>
      </c>
    </row>
    <row r="13" spans="1:23">
      <c r="D13" s="25"/>
      <c r="E13" s="25"/>
      <c r="F13" s="25"/>
      <c r="G13" s="25"/>
      <c r="H13" s="25"/>
      <c r="I13" s="25"/>
    </row>
    <row r="14" spans="1:23" s="89" customFormat="1" ht="12.75">
      <c r="A14" s="84"/>
      <c r="B14" s="85" t="s">
        <v>21</v>
      </c>
      <c r="C14" s="84"/>
      <c r="D14" s="84"/>
      <c r="E14" s="84"/>
      <c r="F14" s="86"/>
      <c r="G14" s="86"/>
      <c r="H14" s="86"/>
      <c r="I14" s="86"/>
      <c r="J14" s="87"/>
      <c r="K14" s="88"/>
      <c r="L14" s="87"/>
      <c r="M14" s="88"/>
      <c r="N14" s="87"/>
      <c r="O14" s="87"/>
      <c r="P14" s="87"/>
      <c r="Q14" s="87"/>
      <c r="R14" s="87"/>
      <c r="S14" s="87"/>
      <c r="T14" s="87"/>
      <c r="U14" s="87"/>
      <c r="V14" s="88"/>
      <c r="W14" s="88"/>
    </row>
    <row r="15" spans="1:23">
      <c r="D15" s="25"/>
      <c r="E15" s="25"/>
      <c r="F15" s="25"/>
      <c r="G15" s="25"/>
      <c r="H15" s="25"/>
      <c r="I15" s="25"/>
    </row>
    <row r="16" spans="1:23">
      <c r="D16" s="25"/>
      <c r="E16" s="25"/>
      <c r="F16" s="25"/>
      <c r="G16" s="25"/>
      <c r="H16" s="25"/>
      <c r="I16" s="25"/>
    </row>
    <row r="17" spans="4:9">
      <c r="D17" s="25"/>
      <c r="E17" s="25"/>
      <c r="F17" s="25"/>
      <c r="G17" s="25"/>
      <c r="H17" s="25"/>
      <c r="I17" s="25"/>
    </row>
    <row r="18" spans="4:9">
      <c r="D18" s="25"/>
      <c r="E18" s="25"/>
      <c r="F18" s="25"/>
      <c r="G18" s="25"/>
      <c r="H18" s="25"/>
      <c r="I18" s="25"/>
    </row>
    <row r="19" spans="4:9">
      <c r="D19" s="25"/>
      <c r="E19" s="25"/>
      <c r="F19" s="25"/>
      <c r="G19" s="25"/>
      <c r="H19" s="25"/>
      <c r="I19" s="25"/>
    </row>
    <row r="20" spans="4:9">
      <c r="D20" s="25"/>
      <c r="E20" s="25"/>
      <c r="F20" s="25"/>
      <c r="G20" s="25"/>
      <c r="H20" s="25"/>
      <c r="I20" s="25"/>
    </row>
    <row r="21" spans="4:9">
      <c r="D21" s="25"/>
      <c r="E21" s="25"/>
      <c r="F21" s="25"/>
      <c r="G21" s="25"/>
      <c r="H21" s="25"/>
      <c r="I21" s="25"/>
    </row>
    <row r="22" spans="4:9">
      <c r="D22" s="25"/>
      <c r="E22" s="25"/>
      <c r="F22" s="25"/>
      <c r="G22" s="25"/>
      <c r="H22" s="25"/>
      <c r="I22" s="25"/>
    </row>
    <row r="23" spans="4:9">
      <c r="D23" s="25"/>
      <c r="E23" s="25"/>
      <c r="F23" s="25"/>
      <c r="G23" s="25"/>
      <c r="H23" s="25"/>
      <c r="I23" s="25"/>
    </row>
    <row r="24" spans="4:9">
      <c r="D24" s="25"/>
      <c r="E24" s="25"/>
      <c r="F24" s="25"/>
      <c r="G24" s="25"/>
      <c r="H24" s="25"/>
      <c r="I24" s="25"/>
    </row>
  </sheetData>
  <conditionalFormatting sqref="W12:W13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V1">
    <cfRule type="cellIs" dxfId="100" priority="3" operator="equal">
      <formula>"Check"</formula>
    </cfRule>
    <cfRule type="cellIs" dxfId="99" priority="4" operator="equal">
      <formula>"Ok"</formula>
    </cfRule>
  </conditionalFormatting>
  <conditionalFormatting sqref="S7:S12">
    <cfRule type="cellIs" dxfId="98" priority="5" operator="equal">
      <formula>"Check"</formula>
    </cfRule>
    <cfRule type="cellIs" dxfId="97" priority="6" operator="equal">
      <formula>"Ok"</formula>
    </cfRule>
  </conditionalFormatting>
  <conditionalFormatting sqref="S1">
    <cfRule type="cellIs" dxfId="96" priority="1" operator="equal">
      <formula>"Check"</formula>
    </cfRule>
    <cfRule type="cellIs" dxfId="95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W70"/>
  <sheetViews>
    <sheetView showGridLines="0" workbookViewId="0"/>
  </sheetViews>
  <sheetFormatPr defaultColWidth="0" defaultRowHeight="11.25" customHeight="1" zeroHeight="1"/>
  <cols>
    <col min="1" max="2" width="1.5" style="25" customWidth="1"/>
    <col min="3" max="3" width="11.6640625" style="25" bestFit="1" customWidth="1"/>
    <col min="4" max="4" width="21.5" style="26" bestFit="1" customWidth="1"/>
    <col min="5" max="8" width="15" style="26" customWidth="1"/>
    <col min="9" max="9" width="3.33203125" style="26" customWidth="1"/>
    <col min="10" max="23" width="10.83203125" style="25" customWidth="1"/>
    <col min="24" max="47" width="10.5" style="25" customWidth="1"/>
    <col min="48" max="16384" width="10.5" style="25" hidden="1"/>
  </cols>
  <sheetData>
    <row r="1" spans="1:23" s="62" customFormat="1" ht="15.75">
      <c r="B1" s="63" t="str">
        <f>Index!$B$1</f>
        <v>AER opex model</v>
      </c>
      <c r="C1" s="63"/>
      <c r="D1" s="63"/>
      <c r="E1" s="63"/>
      <c r="F1" s="64"/>
      <c r="G1" s="64"/>
      <c r="H1" s="64"/>
      <c r="I1" s="64"/>
      <c r="J1" s="33" t="s">
        <v>2</v>
      </c>
      <c r="L1" s="65" t="s">
        <v>3</v>
      </c>
      <c r="M1" s="66" t="s">
        <v>4</v>
      </c>
      <c r="N1" s="67" t="s">
        <v>5</v>
      </c>
      <c r="O1" s="68" t="s">
        <v>6</v>
      </c>
      <c r="R1" s="65" t="s">
        <v>86</v>
      </c>
      <c r="S1" s="69" t="str">
        <f>IF(COUNTA($S$5:$S$60)=COUNTIF($S5:$S60,"OK"),"OK","Check")</f>
        <v>OK</v>
      </c>
      <c r="U1" s="157" t="s">
        <v>24</v>
      </c>
      <c r="V1" s="69" t="str">
        <f>'Check|List'!$S$1</f>
        <v>Ok</v>
      </c>
    </row>
    <row r="2" spans="1:23" s="70" customFormat="1" ht="13.5" thickBot="1">
      <c r="B2" s="71" t="str">
        <f>Index!$C$7</f>
        <v>Input | General</v>
      </c>
      <c r="C2" s="71"/>
      <c r="D2" s="71"/>
      <c r="E2" s="71"/>
      <c r="F2" s="72"/>
      <c r="G2" s="72"/>
      <c r="H2" s="72"/>
      <c r="I2" s="72"/>
    </row>
    <row r="3" spans="1:23" s="23" customFormat="1" ht="3" customHeight="1">
      <c r="D3" s="24"/>
      <c r="E3" s="24"/>
      <c r="F3" s="24"/>
      <c r="G3" s="24"/>
      <c r="H3" s="24"/>
      <c r="I3" s="24"/>
    </row>
    <row r="4" spans="1:23" s="89" customFormat="1" ht="12.75">
      <c r="A4" s="84"/>
      <c r="B4" s="85" t="s">
        <v>98</v>
      </c>
      <c r="C4" s="84"/>
      <c r="D4" s="84"/>
      <c r="E4" s="84"/>
      <c r="F4" s="86"/>
      <c r="G4" s="86"/>
      <c r="H4" s="86"/>
      <c r="I4" s="86"/>
      <c r="J4" s="87"/>
      <c r="K4" s="88"/>
      <c r="L4" s="87"/>
      <c r="M4" s="88"/>
      <c r="N4" s="87"/>
      <c r="O4" s="87"/>
      <c r="P4" s="87"/>
      <c r="Q4" s="87"/>
      <c r="R4" s="87"/>
      <c r="S4" s="87"/>
      <c r="T4" s="87"/>
      <c r="U4" s="87"/>
      <c r="V4" s="88"/>
      <c r="W4" s="88"/>
    </row>
    <row r="5" spans="1:23" ht="11.25" customHeight="1"/>
    <row r="6" spans="1:23" ht="21.75">
      <c r="D6" s="54" t="s">
        <v>103</v>
      </c>
      <c r="E6" s="54" t="s">
        <v>104</v>
      </c>
      <c r="F6" s="54"/>
      <c r="G6" s="54"/>
      <c r="H6" s="25"/>
      <c r="I6" s="25"/>
    </row>
    <row r="7" spans="1:23">
      <c r="C7" s="59" t="s">
        <v>7</v>
      </c>
      <c r="D7" s="58" t="s">
        <v>101</v>
      </c>
      <c r="E7" s="58" t="s">
        <v>101</v>
      </c>
      <c r="F7" s="58"/>
      <c r="G7" s="58"/>
      <c r="H7" s="25"/>
      <c r="I7" s="25"/>
    </row>
    <row r="8" spans="1:23">
      <c r="C8" s="59" t="s">
        <v>8</v>
      </c>
      <c r="D8" s="58" t="s">
        <v>87</v>
      </c>
      <c r="E8" s="58" t="s">
        <v>87</v>
      </c>
      <c r="F8" s="58"/>
      <c r="G8" s="58"/>
      <c r="H8" s="25"/>
      <c r="I8" s="25"/>
    </row>
    <row r="9" spans="1:23">
      <c r="C9" s="56">
        <v>39172</v>
      </c>
      <c r="D9" s="55">
        <v>155.6</v>
      </c>
      <c r="E9" s="25"/>
      <c r="F9" s="25"/>
      <c r="G9" s="25"/>
      <c r="H9" s="25"/>
      <c r="I9" s="25"/>
      <c r="S9" s="120" t="str">
        <f t="shared" ref="S9:S20" si="0">IF(COUNTBLANK($D9),"Check","Ok")</f>
        <v>Ok</v>
      </c>
    </row>
    <row r="10" spans="1:23">
      <c r="C10" s="56">
        <v>39263</v>
      </c>
      <c r="D10" s="55">
        <v>157.5</v>
      </c>
      <c r="E10" s="25"/>
      <c r="F10" s="25"/>
      <c r="G10" s="25"/>
      <c r="H10" s="25"/>
      <c r="I10" s="25"/>
      <c r="S10" s="120" t="str">
        <f t="shared" si="0"/>
        <v>Ok</v>
      </c>
    </row>
    <row r="11" spans="1:23">
      <c r="C11" s="56">
        <v>39355</v>
      </c>
      <c r="D11" s="55">
        <v>158.6</v>
      </c>
      <c r="E11" s="25"/>
      <c r="F11" s="25"/>
      <c r="G11" s="25"/>
      <c r="H11" s="25"/>
      <c r="I11" s="25"/>
      <c r="S11" s="120" t="str">
        <f t="shared" si="0"/>
        <v>Ok</v>
      </c>
    </row>
    <row r="12" spans="1:23">
      <c r="C12" s="56">
        <v>39447</v>
      </c>
      <c r="D12" s="55">
        <v>160.1</v>
      </c>
      <c r="E12" s="25"/>
      <c r="F12" s="57"/>
      <c r="G12" s="25"/>
      <c r="H12" s="25"/>
      <c r="I12" s="25"/>
      <c r="S12" s="120" t="str">
        <f t="shared" si="0"/>
        <v>Ok</v>
      </c>
    </row>
    <row r="13" spans="1:23">
      <c r="C13" s="56">
        <v>39538</v>
      </c>
      <c r="D13" s="55">
        <v>162.19999999999999</v>
      </c>
      <c r="E13" s="25"/>
      <c r="F13" s="57"/>
      <c r="G13" s="25"/>
      <c r="H13" s="25"/>
      <c r="I13" s="25"/>
      <c r="S13" s="120" t="str">
        <f t="shared" si="0"/>
        <v>Ok</v>
      </c>
    </row>
    <row r="14" spans="1:23">
      <c r="C14" s="56">
        <v>39629</v>
      </c>
      <c r="D14" s="55">
        <v>164.6</v>
      </c>
      <c r="E14" s="25"/>
      <c r="F14" s="57"/>
      <c r="G14" s="25"/>
      <c r="H14" s="25"/>
      <c r="I14" s="25"/>
      <c r="S14" s="120" t="str">
        <f t="shared" si="0"/>
        <v>Ok</v>
      </c>
    </row>
    <row r="15" spans="1:23">
      <c r="C15" s="56">
        <v>39721</v>
      </c>
      <c r="D15" s="55">
        <v>166.5</v>
      </c>
      <c r="E15" s="25"/>
      <c r="F15" s="57"/>
      <c r="G15" s="25"/>
      <c r="H15" s="25"/>
      <c r="I15" s="25"/>
      <c r="S15" s="120" t="str">
        <f t="shared" si="0"/>
        <v>Ok</v>
      </c>
    </row>
    <row r="16" spans="1:23">
      <c r="C16" s="56">
        <v>39813</v>
      </c>
      <c r="D16" s="55">
        <v>166</v>
      </c>
      <c r="E16" s="25"/>
      <c r="F16" s="57"/>
      <c r="G16" s="25"/>
      <c r="H16" s="25"/>
      <c r="I16" s="25"/>
      <c r="S16" s="120" t="str">
        <f t="shared" si="0"/>
        <v>Ok</v>
      </c>
    </row>
    <row r="17" spans="3:19">
      <c r="C17" s="56">
        <v>39903</v>
      </c>
      <c r="D17" s="55">
        <v>166.2</v>
      </c>
      <c r="E17" s="25"/>
      <c r="F17" s="57"/>
      <c r="G17" s="25"/>
      <c r="H17" s="25"/>
      <c r="I17" s="25"/>
      <c r="S17" s="120" t="str">
        <f t="shared" si="0"/>
        <v>Ok</v>
      </c>
    </row>
    <row r="18" spans="3:19">
      <c r="C18" s="56">
        <v>39994</v>
      </c>
      <c r="D18" s="55">
        <v>167</v>
      </c>
      <c r="E18" s="25"/>
      <c r="F18" s="57"/>
      <c r="G18" s="25"/>
      <c r="H18" s="25"/>
      <c r="I18" s="25"/>
      <c r="S18" s="120" t="str">
        <f t="shared" si="0"/>
        <v>Ok</v>
      </c>
    </row>
    <row r="19" spans="3:19">
      <c r="C19" s="56">
        <v>40086</v>
      </c>
      <c r="D19" s="55">
        <v>168.6</v>
      </c>
      <c r="E19" s="25"/>
      <c r="F19" s="57"/>
      <c r="G19" s="25"/>
      <c r="H19" s="25"/>
      <c r="I19" s="25"/>
      <c r="S19" s="120" t="str">
        <f t="shared" si="0"/>
        <v>Ok</v>
      </c>
    </row>
    <row r="20" spans="3:19">
      <c r="C20" s="56">
        <v>40178</v>
      </c>
      <c r="D20" s="55">
        <v>169.5</v>
      </c>
      <c r="E20" s="25"/>
      <c r="F20" s="57"/>
      <c r="G20" s="25"/>
      <c r="H20" s="25"/>
      <c r="I20" s="25"/>
      <c r="S20" s="120" t="str">
        <f t="shared" si="0"/>
        <v>Ok</v>
      </c>
    </row>
    <row r="21" spans="3:19">
      <c r="C21" s="56">
        <v>40268</v>
      </c>
      <c r="D21" s="55">
        <v>171</v>
      </c>
      <c r="E21" s="55">
        <v>95.2</v>
      </c>
      <c r="F21" s="57"/>
      <c r="G21" s="57"/>
      <c r="H21" s="25"/>
      <c r="I21" s="25"/>
      <c r="S21" s="120" t="str">
        <f t="shared" ref="S21:S28" si="1">IF(COUNTBLANK($D21:$E21),"Check","Ok")</f>
        <v>Ok</v>
      </c>
    </row>
    <row r="22" spans="3:19">
      <c r="C22" s="56">
        <v>40359</v>
      </c>
      <c r="D22" s="55">
        <v>172.1</v>
      </c>
      <c r="E22" s="55">
        <v>95.8</v>
      </c>
      <c r="F22" s="57"/>
      <c r="G22" s="57"/>
      <c r="H22" s="25"/>
      <c r="I22" s="25"/>
      <c r="S22" s="120" t="str">
        <f t="shared" si="1"/>
        <v>Ok</v>
      </c>
    </row>
    <row r="23" spans="3:19">
      <c r="C23" s="56">
        <v>40451</v>
      </c>
      <c r="D23" s="55">
        <v>173.3</v>
      </c>
      <c r="E23" s="55">
        <v>96.5</v>
      </c>
      <c r="F23" s="57"/>
      <c r="G23" s="57"/>
      <c r="H23" s="25"/>
      <c r="I23" s="25"/>
      <c r="S23" s="120" t="str">
        <f t="shared" si="1"/>
        <v>Ok</v>
      </c>
    </row>
    <row r="24" spans="3:19">
      <c r="C24" s="56">
        <v>40543</v>
      </c>
      <c r="D24" s="55">
        <v>174</v>
      </c>
      <c r="E24" s="55">
        <v>96.9</v>
      </c>
      <c r="F24" s="57"/>
      <c r="G24" s="57"/>
      <c r="H24" s="25"/>
      <c r="I24" s="25"/>
      <c r="S24" s="120" t="str">
        <f t="shared" si="1"/>
        <v>Ok</v>
      </c>
    </row>
    <row r="25" spans="3:19">
      <c r="C25" s="56">
        <v>40633</v>
      </c>
      <c r="D25" s="55">
        <v>176.7</v>
      </c>
      <c r="E25" s="55">
        <v>98.3</v>
      </c>
      <c r="F25" s="57"/>
      <c r="G25" s="57"/>
      <c r="H25" s="25"/>
      <c r="I25" s="25"/>
      <c r="S25" s="120" t="str">
        <f t="shared" si="1"/>
        <v>Ok</v>
      </c>
    </row>
    <row r="26" spans="3:19">
      <c r="C26" s="56">
        <v>40724</v>
      </c>
      <c r="D26" s="55">
        <v>178.3</v>
      </c>
      <c r="E26" s="55">
        <v>99.2</v>
      </c>
      <c r="F26" s="57"/>
      <c r="G26" s="57"/>
      <c r="H26" s="25"/>
      <c r="I26" s="25"/>
      <c r="S26" s="120" t="str">
        <f t="shared" si="1"/>
        <v>Ok</v>
      </c>
    </row>
    <row r="27" spans="3:19">
      <c r="C27" s="56">
        <v>40816</v>
      </c>
      <c r="D27" s="55">
        <v>179.4</v>
      </c>
      <c r="E27" s="55">
        <v>99.8</v>
      </c>
      <c r="F27" s="57"/>
      <c r="G27" s="57"/>
      <c r="H27" s="25"/>
      <c r="I27" s="25"/>
      <c r="S27" s="120" t="str">
        <f t="shared" si="1"/>
        <v>Ok</v>
      </c>
    </row>
    <row r="28" spans="3:19">
      <c r="C28" s="56">
        <v>40908</v>
      </c>
      <c r="D28" s="55">
        <v>179.4</v>
      </c>
      <c r="E28" s="55">
        <v>99.8</v>
      </c>
      <c r="F28" s="57"/>
      <c r="G28" s="57"/>
      <c r="H28" s="25"/>
      <c r="I28" s="25"/>
      <c r="S28" s="120" t="str">
        <f t="shared" si="1"/>
        <v>Ok</v>
      </c>
    </row>
    <row r="29" spans="3:19">
      <c r="C29" s="56">
        <v>40999</v>
      </c>
      <c r="D29" s="55">
        <v>179.5</v>
      </c>
      <c r="E29" s="55">
        <v>99.9</v>
      </c>
      <c r="F29" s="57"/>
      <c r="G29" s="57"/>
      <c r="H29" s="25"/>
      <c r="I29" s="25"/>
      <c r="S29" s="120" t="str">
        <f>IF(COUNTBLANK($E29),"Check","Ok")</f>
        <v>Ok</v>
      </c>
    </row>
    <row r="30" spans="3:19">
      <c r="C30" s="56">
        <v>41090</v>
      </c>
      <c r="D30" s="25"/>
      <c r="E30" s="55">
        <v>100.4</v>
      </c>
      <c r="F30" s="57"/>
      <c r="G30" s="57"/>
      <c r="H30" s="25"/>
      <c r="I30" s="25"/>
      <c r="S30" s="120" t="str">
        <f>IF(COUNTBLANK($E30),"Check","Ok")</f>
        <v>Ok</v>
      </c>
    </row>
    <row r="31" spans="3:19">
      <c r="C31" s="56">
        <v>41182</v>
      </c>
      <c r="D31" s="25"/>
      <c r="E31" s="55">
        <v>101.8</v>
      </c>
      <c r="F31" s="57"/>
      <c r="G31" s="57"/>
      <c r="H31" s="25"/>
      <c r="I31" s="25"/>
      <c r="S31" s="120" t="str">
        <f>IF(COUNTBLANK($E31),"Check","Ok")</f>
        <v>Ok</v>
      </c>
    </row>
    <row r="32" spans="3:19">
      <c r="C32" s="56">
        <v>41274</v>
      </c>
      <c r="D32" s="25"/>
      <c r="E32" s="55">
        <v>102</v>
      </c>
      <c r="F32" s="57"/>
      <c r="G32" s="57"/>
      <c r="H32" s="25"/>
      <c r="I32" s="25"/>
      <c r="S32" s="120" t="str">
        <f>IF(COUNTBLANK($E32),"Check","Ok")</f>
        <v>Ok</v>
      </c>
    </row>
    <row r="33" spans="3:19">
      <c r="C33" s="56">
        <v>41364</v>
      </c>
      <c r="D33" s="25"/>
      <c r="E33" s="55">
        <v>102.4</v>
      </c>
      <c r="F33" s="57"/>
      <c r="G33" s="57"/>
      <c r="H33" s="25"/>
      <c r="I33" s="25"/>
      <c r="S33" s="120" t="str">
        <f t="shared" ref="S33:S58" si="2">IF(COUNTBLANK($E33),"Check","Ok")</f>
        <v>Ok</v>
      </c>
    </row>
    <row r="34" spans="3:19">
      <c r="C34" s="56">
        <v>41455</v>
      </c>
      <c r="D34" s="25"/>
      <c r="E34" s="55">
        <v>102.8</v>
      </c>
      <c r="F34" s="57"/>
      <c r="G34" s="57"/>
      <c r="H34" s="25"/>
      <c r="I34" s="25"/>
      <c r="S34" s="120" t="str">
        <f t="shared" si="2"/>
        <v>Ok</v>
      </c>
    </row>
    <row r="35" spans="3:19">
      <c r="C35" s="56">
        <v>41547</v>
      </c>
      <c r="D35" s="25"/>
      <c r="E35" s="55">
        <v>104</v>
      </c>
      <c r="F35" s="57"/>
      <c r="G35" s="57"/>
      <c r="H35" s="25"/>
      <c r="I35" s="25"/>
      <c r="S35" s="120" t="str">
        <f t="shared" si="2"/>
        <v>Ok</v>
      </c>
    </row>
    <row r="36" spans="3:19">
      <c r="C36" s="56">
        <v>41639</v>
      </c>
      <c r="D36" s="25"/>
      <c r="E36" s="55">
        <v>104.8</v>
      </c>
      <c r="F36" s="57"/>
      <c r="G36" s="57"/>
      <c r="H36" s="25"/>
      <c r="I36" s="25"/>
      <c r="S36" s="120" t="str">
        <f t="shared" si="2"/>
        <v>Ok</v>
      </c>
    </row>
    <row r="37" spans="3:19">
      <c r="C37" s="56">
        <v>41729</v>
      </c>
      <c r="D37" s="25"/>
      <c r="E37" s="55">
        <v>105.4</v>
      </c>
      <c r="F37" s="57"/>
      <c r="G37" s="57"/>
      <c r="H37" s="25"/>
      <c r="I37" s="25"/>
      <c r="S37" s="120" t="str">
        <f t="shared" si="2"/>
        <v>Ok</v>
      </c>
    </row>
    <row r="38" spans="3:19">
      <c r="C38" s="56">
        <v>41820</v>
      </c>
      <c r="D38" s="25"/>
      <c r="E38" s="55">
        <v>105.9</v>
      </c>
      <c r="F38" s="57"/>
      <c r="G38" s="57"/>
      <c r="H38" s="25"/>
      <c r="I38" s="25"/>
      <c r="S38" s="120" t="str">
        <f t="shared" si="2"/>
        <v>Ok</v>
      </c>
    </row>
    <row r="39" spans="3:19">
      <c r="C39" s="56">
        <v>41912</v>
      </c>
      <c r="D39" s="25"/>
      <c r="E39" s="55">
        <v>106.4</v>
      </c>
      <c r="F39" s="57"/>
      <c r="G39" s="57"/>
      <c r="H39" s="25"/>
      <c r="I39" s="25"/>
      <c r="S39" s="120" t="str">
        <f t="shared" si="2"/>
        <v>Ok</v>
      </c>
    </row>
    <row r="40" spans="3:19">
      <c r="C40" s="56">
        <v>42004</v>
      </c>
      <c r="D40" s="25"/>
      <c r="E40" s="55">
        <v>106.6</v>
      </c>
      <c r="F40" s="57"/>
      <c r="G40" s="57"/>
      <c r="H40" s="25"/>
      <c r="I40" s="25"/>
      <c r="S40" s="120" t="str">
        <f t="shared" si="2"/>
        <v>Ok</v>
      </c>
    </row>
    <row r="41" spans="3:19">
      <c r="C41" s="56">
        <v>42094</v>
      </c>
      <c r="D41" s="25"/>
      <c r="E41" s="55">
        <v>106.8</v>
      </c>
      <c r="F41" s="57"/>
      <c r="G41" s="57"/>
      <c r="H41" s="25"/>
      <c r="I41" s="25"/>
      <c r="S41" s="120" t="str">
        <f t="shared" si="2"/>
        <v>Ok</v>
      </c>
    </row>
    <row r="42" spans="3:19">
      <c r="C42" s="56">
        <v>42185</v>
      </c>
      <c r="D42" s="25"/>
      <c r="E42" s="55">
        <v>107.5</v>
      </c>
      <c r="F42" s="57"/>
      <c r="G42" s="57"/>
      <c r="H42" s="25"/>
      <c r="I42" s="25"/>
      <c r="S42" s="120" t="str">
        <f t="shared" si="2"/>
        <v>Ok</v>
      </c>
    </row>
    <row r="43" spans="3:19">
      <c r="C43" s="56">
        <v>42277</v>
      </c>
      <c r="D43" s="25"/>
      <c r="E43" s="55">
        <v>108</v>
      </c>
      <c r="F43" s="57"/>
      <c r="G43" s="57"/>
      <c r="H43" s="25"/>
      <c r="I43" s="25"/>
      <c r="S43" s="120" t="str">
        <f t="shared" si="2"/>
        <v>Ok</v>
      </c>
    </row>
    <row r="44" spans="3:19">
      <c r="C44" s="56">
        <v>42369</v>
      </c>
      <c r="D44" s="25"/>
      <c r="E44" s="55">
        <v>108.4</v>
      </c>
      <c r="F44" s="57"/>
      <c r="G44" s="57"/>
      <c r="H44" s="25"/>
      <c r="I44" s="25"/>
      <c r="S44" s="120" t="str">
        <f t="shared" si="2"/>
        <v>Ok</v>
      </c>
    </row>
    <row r="45" spans="3:19">
      <c r="C45" s="56">
        <v>42460</v>
      </c>
      <c r="D45" s="25"/>
      <c r="E45" s="55">
        <v>108.2</v>
      </c>
      <c r="F45" s="57"/>
      <c r="G45" s="57"/>
      <c r="H45" s="25"/>
      <c r="I45" s="25"/>
      <c r="S45" s="120" t="str">
        <f t="shared" si="2"/>
        <v>Ok</v>
      </c>
    </row>
    <row r="46" spans="3:19">
      <c r="C46" s="56">
        <v>42551</v>
      </c>
      <c r="D46" s="25"/>
      <c r="E46" s="55">
        <v>108.6</v>
      </c>
      <c r="F46" s="145"/>
      <c r="G46" s="57"/>
      <c r="H46" s="25"/>
      <c r="I46" s="25"/>
      <c r="S46" s="120" t="str">
        <f t="shared" si="2"/>
        <v>Ok</v>
      </c>
    </row>
    <row r="47" spans="3:19">
      <c r="C47" s="56">
        <v>42643</v>
      </c>
      <c r="D47" s="25"/>
      <c r="E47" s="55">
        <v>109.4</v>
      </c>
      <c r="F47" s="145"/>
      <c r="G47" s="57"/>
      <c r="H47" s="25"/>
      <c r="I47" s="25"/>
      <c r="S47" s="120" t="str">
        <f t="shared" si="2"/>
        <v>Ok</v>
      </c>
    </row>
    <row r="48" spans="3:19">
      <c r="C48" s="56">
        <v>42735</v>
      </c>
      <c r="D48" s="25"/>
      <c r="E48" s="55">
        <v>110</v>
      </c>
      <c r="F48" s="145"/>
      <c r="G48" s="57"/>
      <c r="H48" s="25"/>
      <c r="I48" s="25"/>
      <c r="S48" s="120" t="str">
        <f t="shared" si="2"/>
        <v>Ok</v>
      </c>
    </row>
    <row r="49" spans="1:23">
      <c r="C49" s="56">
        <v>42825</v>
      </c>
      <c r="D49" s="25"/>
      <c r="E49" s="55">
        <v>110.5</v>
      </c>
      <c r="F49" s="145"/>
      <c r="G49" s="57"/>
      <c r="H49" s="25"/>
      <c r="I49" s="25"/>
      <c r="S49" s="120" t="str">
        <f t="shared" si="2"/>
        <v>Ok</v>
      </c>
    </row>
    <row r="50" spans="1:23">
      <c r="C50" s="56">
        <v>42916</v>
      </c>
      <c r="D50" s="25"/>
      <c r="E50" s="55">
        <v>110.7</v>
      </c>
      <c r="F50" s="145"/>
      <c r="G50" s="57"/>
      <c r="H50" s="25"/>
      <c r="I50" s="25"/>
      <c r="S50" s="120" t="str">
        <f t="shared" si="2"/>
        <v>Ok</v>
      </c>
    </row>
    <row r="51" spans="1:23">
      <c r="C51" s="56">
        <v>43008</v>
      </c>
      <c r="D51" s="25"/>
      <c r="E51" s="55">
        <f>'[1]Input|Inflation'!E51</f>
        <v>111.45</v>
      </c>
      <c r="F51" s="145" t="str">
        <f>'[1]Input|Inflation'!F51</f>
        <v>Interpolated</v>
      </c>
      <c r="G51" s="57"/>
      <c r="H51" s="25"/>
      <c r="I51" s="25"/>
      <c r="S51" s="120" t="str">
        <f t="shared" si="2"/>
        <v>Ok</v>
      </c>
    </row>
    <row r="52" spans="1:23">
      <c r="C52" s="56">
        <v>43100</v>
      </c>
      <c r="D52" s="25"/>
      <c r="E52" s="55">
        <f>'[1]Input|Inflation'!E52</f>
        <v>112.2</v>
      </c>
      <c r="F52" s="145" t="str">
        <f>'[1]Input|Inflation'!F52</f>
        <v>RBA statement of monetary policy November 2017</v>
      </c>
      <c r="G52" s="57"/>
      <c r="H52" s="25"/>
      <c r="I52" s="25"/>
      <c r="S52" s="120" t="str">
        <f t="shared" si="2"/>
        <v>Ok</v>
      </c>
    </row>
    <row r="53" spans="1:23">
      <c r="C53" s="56">
        <v>43190</v>
      </c>
      <c r="D53" s="25"/>
      <c r="E53" s="55">
        <f>'[1]Input|Inflation'!E53</f>
        <v>112.557</v>
      </c>
      <c r="F53" s="145" t="str">
        <f>'[1]Input|Inflation'!F53</f>
        <v>Interpolated</v>
      </c>
      <c r="G53" s="57"/>
      <c r="H53" s="25"/>
      <c r="I53" s="25"/>
      <c r="S53" s="120" t="str">
        <f t="shared" si="2"/>
        <v>Ok</v>
      </c>
    </row>
    <row r="54" spans="1:23">
      <c r="C54" s="56">
        <v>43281</v>
      </c>
      <c r="D54" s="25"/>
      <c r="E54" s="55">
        <f>'[1]Input|Inflation'!E54</f>
        <v>112.914</v>
      </c>
      <c r="F54" s="145" t="str">
        <f>'[1]Input|Inflation'!F54</f>
        <v>RBA statement of monetary policy November 2017</v>
      </c>
      <c r="G54" s="57"/>
      <c r="H54" s="25"/>
      <c r="I54" s="25"/>
      <c r="S54" s="120" t="str">
        <f t="shared" si="2"/>
        <v>Ok</v>
      </c>
    </row>
    <row r="55" spans="1:23">
      <c r="C55" s="56">
        <v>43373</v>
      </c>
      <c r="E55" s="55">
        <f>'[1]Input|Inflation'!E55</f>
        <v>113.81925</v>
      </c>
      <c r="F55" s="145" t="str">
        <f>'[1]Input|Inflation'!F55</f>
        <v>Interpolated</v>
      </c>
      <c r="G55" s="25"/>
      <c r="H55" s="25"/>
      <c r="I55" s="25"/>
      <c r="S55" s="120" t="str">
        <f t="shared" si="2"/>
        <v>Ok</v>
      </c>
    </row>
    <row r="56" spans="1:23">
      <c r="C56" s="56">
        <v>43465</v>
      </c>
      <c r="E56" s="55">
        <f>'[1]Input|Inflation'!E56</f>
        <v>114.72449999999999</v>
      </c>
      <c r="F56" s="145" t="str">
        <f>'[1]Input|Inflation'!F56</f>
        <v>RBA statement of monetary policy November 2017</v>
      </c>
      <c r="G56" s="25"/>
      <c r="H56" s="25"/>
      <c r="I56" s="25"/>
      <c r="S56" s="120" t="str">
        <f t="shared" si="2"/>
        <v>Ok</v>
      </c>
    </row>
    <row r="57" spans="1:23">
      <c r="C57" s="56">
        <v>43555</v>
      </c>
      <c r="E57" s="55">
        <f>'[1]Input|Inflation'!E57</f>
        <v>115.08953249999999</v>
      </c>
      <c r="F57" s="145" t="str">
        <f>'[1]Input|Inflation'!F57</f>
        <v>Interpolated</v>
      </c>
      <c r="G57" s="25"/>
      <c r="H57" s="25"/>
      <c r="I57" s="25"/>
      <c r="S57" s="120" t="str">
        <f t="shared" si="2"/>
        <v>Ok</v>
      </c>
    </row>
    <row r="58" spans="1:23">
      <c r="C58" s="56">
        <v>43646</v>
      </c>
      <c r="E58" s="55">
        <f>'[1]Input|Inflation'!E58</f>
        <v>115.454565</v>
      </c>
      <c r="F58" s="145" t="str">
        <f>'[1]Input|Inflation'!F58</f>
        <v>RBA statement of monetary policy November 2017</v>
      </c>
      <c r="G58" s="25"/>
      <c r="H58" s="25"/>
      <c r="I58" s="25"/>
      <c r="S58" s="120" t="str">
        <f t="shared" si="2"/>
        <v>Ok</v>
      </c>
    </row>
    <row r="59" spans="1:23">
      <c r="E59" s="25"/>
      <c r="F59" s="25"/>
      <c r="G59" s="25"/>
      <c r="H59" s="25"/>
      <c r="I59" s="25"/>
      <c r="S59" s="121"/>
    </row>
    <row r="60" spans="1:23" s="89" customFormat="1" ht="12.75">
      <c r="A60" s="84"/>
      <c r="B60" s="85" t="s">
        <v>21</v>
      </c>
      <c r="C60" s="84"/>
      <c r="D60" s="84"/>
      <c r="E60" s="84"/>
      <c r="F60" s="86"/>
      <c r="G60" s="86"/>
      <c r="H60" s="86"/>
      <c r="I60" s="86"/>
      <c r="J60" s="87"/>
      <c r="K60" s="88"/>
      <c r="L60" s="87"/>
      <c r="M60" s="88"/>
      <c r="N60" s="87"/>
      <c r="O60" s="87"/>
      <c r="P60" s="87"/>
      <c r="Q60" s="87"/>
      <c r="R60" s="87"/>
      <c r="S60" s="87"/>
      <c r="T60" s="87"/>
      <c r="U60" s="87"/>
      <c r="V60" s="88"/>
      <c r="W60" s="88"/>
    </row>
    <row r="61" spans="1:23" s="26" customFormat="1"/>
    <row r="62" spans="1:23" s="26" customFormat="1"/>
    <row r="63" spans="1:23" ht="11.25" customHeight="1">
      <c r="D63" s="25"/>
      <c r="E63" s="25"/>
      <c r="F63" s="25"/>
      <c r="G63" s="25"/>
      <c r="H63" s="25"/>
      <c r="I63" s="25"/>
    </row>
    <row r="64" spans="1:23" ht="11.25" customHeight="1">
      <c r="D64" s="25"/>
      <c r="E64" s="25"/>
      <c r="F64" s="25"/>
      <c r="G64" s="25"/>
      <c r="H64" s="25"/>
      <c r="I64" s="25"/>
    </row>
    <row r="65" spans="4:9" ht="11.25" customHeight="1">
      <c r="D65" s="25"/>
      <c r="E65" s="25"/>
      <c r="F65" s="25"/>
      <c r="G65" s="25"/>
      <c r="H65" s="25"/>
      <c r="I65" s="25"/>
    </row>
    <row r="66" spans="4:9" ht="11.25" customHeight="1">
      <c r="D66" s="25"/>
      <c r="E66" s="25"/>
      <c r="F66" s="25"/>
      <c r="G66" s="25"/>
      <c r="H66" s="25"/>
      <c r="I66" s="25"/>
    </row>
    <row r="67" spans="4:9" ht="11.25" customHeight="1">
      <c r="D67" s="25"/>
      <c r="E67" s="25"/>
      <c r="F67" s="25"/>
      <c r="G67" s="25"/>
      <c r="H67" s="25"/>
      <c r="I67" s="25"/>
    </row>
    <row r="68" spans="4:9" ht="11.25" customHeight="1">
      <c r="D68" s="25"/>
      <c r="E68" s="25"/>
      <c r="F68" s="25"/>
      <c r="G68" s="25"/>
      <c r="H68" s="25"/>
      <c r="I68" s="25"/>
    </row>
    <row r="69" spans="4:9" ht="11.25" customHeight="1">
      <c r="D69" s="25"/>
      <c r="E69" s="25"/>
      <c r="F69" s="25"/>
      <c r="G69" s="25"/>
      <c r="H69" s="25"/>
      <c r="I69" s="25"/>
    </row>
    <row r="70" spans="4:9" ht="11.25" customHeight="1">
      <c r="D70" s="25"/>
      <c r="E70" s="25"/>
      <c r="F70" s="25"/>
      <c r="G70" s="25"/>
      <c r="H70" s="25"/>
      <c r="I70" s="25"/>
    </row>
  </sheetData>
  <conditionalFormatting sqref="W14:W59 S9:S59">
    <cfRule type="cellIs" dxfId="94" priority="7" operator="equal">
      <formula>"Check"</formula>
    </cfRule>
    <cfRule type="cellIs" dxfId="93" priority="8" operator="equal">
      <formula>"Ok"</formula>
    </cfRule>
  </conditionalFormatting>
  <conditionalFormatting sqref="V1">
    <cfRule type="cellIs" dxfId="92" priority="3" operator="equal">
      <formula>"Check"</formula>
    </cfRule>
    <cfRule type="cellIs" dxfId="91" priority="4" operator="equal">
      <formula>"Ok"</formula>
    </cfRule>
  </conditionalFormatting>
  <conditionalFormatting sqref="S1">
    <cfRule type="cellIs" dxfId="90" priority="1" operator="equal">
      <formula>"Check"</formula>
    </cfRule>
    <cfRule type="cellIs" dxfId="89" priority="2" operator="equal">
      <formula>"Ok"</formula>
    </cfRule>
  </conditionalFormatting>
  <dataValidations count="2">
    <dataValidation type="list" allowBlank="1" showInputMessage="1" showErrorMessage="1" sqref="F59">
      <formula1>"Real 2010,Real 2011,Real 2012,Real 2013,Real 2014,Real 2015,Nominal"</formula1>
    </dataValidation>
    <dataValidation type="list" allowBlank="1" showInputMessage="1" showErrorMessage="1" sqref="I12:I59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58"/>
  <sheetViews>
    <sheetView workbookViewId="0">
      <selection activeCell="M32" sqref="M32"/>
    </sheetView>
  </sheetViews>
  <sheetFormatPr defaultColWidth="0" defaultRowHeight="11.25" zeroHeight="1"/>
  <cols>
    <col min="1" max="2" width="1.5" customWidth="1"/>
    <col min="3" max="3" width="65" customWidth="1"/>
    <col min="4" max="4" width="27.6640625" customWidth="1"/>
    <col min="5" max="5" width="15.83203125" customWidth="1"/>
    <col min="6" max="6" width="10.6640625" customWidth="1"/>
    <col min="7" max="9" width="3.33203125" customWidth="1"/>
    <col min="10" max="23" width="10.83203125" customWidth="1"/>
    <col min="24" max="16384" width="9.33203125" hidden="1"/>
  </cols>
  <sheetData>
    <row r="1" spans="1:23" ht="15.75">
      <c r="A1" s="62"/>
      <c r="B1" s="63"/>
      <c r="C1" s="63" t="str">
        <f>Index!$B$1</f>
        <v>AER opex model</v>
      </c>
      <c r="D1" s="63"/>
      <c r="E1" s="63"/>
      <c r="F1" s="64"/>
      <c r="G1" s="64"/>
      <c r="H1" s="64"/>
      <c r="I1" s="64"/>
      <c r="J1" s="33" t="s">
        <v>2</v>
      </c>
      <c r="K1" s="62"/>
      <c r="L1" s="65" t="s">
        <v>3</v>
      </c>
      <c r="M1" s="66" t="s">
        <v>4</v>
      </c>
      <c r="N1" s="67" t="s">
        <v>5</v>
      </c>
      <c r="O1" s="68" t="s">
        <v>6</v>
      </c>
      <c r="P1" s="62"/>
      <c r="Q1" s="62"/>
      <c r="R1" s="65" t="s">
        <v>86</v>
      </c>
      <c r="S1" s="69" t="str">
        <f>IF(COUNTA($W$32:$W$251)=COUNTIF($W$32:$W$251,"OK"),"OK","Check")</f>
        <v>OK</v>
      </c>
      <c r="T1" s="62"/>
      <c r="U1" s="157" t="s">
        <v>24</v>
      </c>
      <c r="V1" s="69" t="str">
        <f>'Check|List'!$S$1</f>
        <v>Ok</v>
      </c>
      <c r="W1" s="62"/>
    </row>
    <row r="2" spans="1:23" ht="13.5" thickBot="1">
      <c r="A2" s="70"/>
      <c r="B2" s="71"/>
      <c r="C2" s="71" t="str">
        <f>Index!$C$9</f>
        <v>Input | Reported opex</v>
      </c>
      <c r="D2" s="71"/>
      <c r="E2" s="71"/>
      <c r="F2" s="72"/>
      <c r="G2" s="72"/>
      <c r="H2" s="72"/>
      <c r="I2" s="72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>
      <c r="A3" s="122"/>
      <c r="B3" s="122"/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5"/>
      <c r="U3" s="125"/>
      <c r="V3" s="125"/>
      <c r="W3" s="125"/>
    </row>
    <row r="4" spans="1:23">
      <c r="A4" s="77"/>
      <c r="B4" s="77"/>
      <c r="C4" s="77"/>
      <c r="D4" s="78" t="s">
        <v>7</v>
      </c>
      <c r="E4" s="78" t="s">
        <v>8</v>
      </c>
      <c r="F4" s="79" t="s">
        <v>22</v>
      </c>
      <c r="G4" s="80"/>
      <c r="H4" s="80"/>
      <c r="I4" s="80"/>
      <c r="J4" s="132">
        <f>'Input|General'!$G$8</f>
        <v>2015</v>
      </c>
      <c r="K4" s="132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L4" s="132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132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132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132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132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132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132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132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81"/>
      <c r="U4" s="81"/>
      <c r="V4" s="82"/>
      <c r="W4" s="82"/>
    </row>
    <row r="5" spans="1:23">
      <c r="A5" s="23"/>
      <c r="B5" s="23"/>
      <c r="C5" s="23"/>
      <c r="D5" s="24"/>
      <c r="E5" s="24"/>
      <c r="F5" s="24"/>
      <c r="G5" s="24"/>
      <c r="H5" s="24"/>
      <c r="I5" s="2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4"/>
      <c r="E6" s="24"/>
      <c r="F6" s="24"/>
      <c r="G6" s="24"/>
      <c r="H6" s="24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4"/>
      <c r="E7" s="24"/>
      <c r="F7" s="24"/>
      <c r="G7" s="24"/>
      <c r="H7" s="24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2.75">
      <c r="A8" s="84"/>
      <c r="B8" s="85" t="s">
        <v>44</v>
      </c>
      <c r="C8" s="84"/>
      <c r="D8" s="84"/>
      <c r="E8" s="84"/>
      <c r="F8" s="86"/>
      <c r="G8" s="86"/>
      <c r="H8" s="86"/>
      <c r="I8" s="86"/>
      <c r="J8" s="87"/>
      <c r="K8" s="88"/>
      <c r="L8" s="87"/>
      <c r="M8" s="88"/>
      <c r="N8" s="87"/>
      <c r="O8" s="87"/>
      <c r="P8" s="87"/>
      <c r="Q8" s="87"/>
      <c r="R8" s="87"/>
      <c r="S8" s="87"/>
      <c r="T8" s="87"/>
      <c r="U8" s="87"/>
      <c r="V8" s="88"/>
      <c r="W8" s="88"/>
    </row>
    <row r="9" spans="1:23">
      <c r="A9" s="25"/>
      <c r="B9" s="25"/>
      <c r="C9" s="25"/>
      <c r="D9" s="26"/>
      <c r="E9" s="26"/>
      <c r="F9" s="26"/>
      <c r="G9" s="28"/>
      <c r="H9" s="28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>
      <c r="A10" s="25"/>
      <c r="B10" s="25"/>
      <c r="C10" s="59" t="s">
        <v>80</v>
      </c>
      <c r="D10" s="28" t="s">
        <v>7</v>
      </c>
      <c r="E10" s="28" t="s">
        <v>8</v>
      </c>
      <c r="F10" s="28" t="s">
        <v>22</v>
      </c>
      <c r="G10" s="28"/>
      <c r="H10" s="28"/>
      <c r="I10" s="26"/>
      <c r="J10" s="150">
        <f>IF(RIGHT(J$4,2)&lt;=RIGHT('Input|General'!$G$10,2),'Input|Reported opex'!J$4,"")</f>
        <v>2015</v>
      </c>
      <c r="K10" s="150">
        <f ca="1">IF(RIGHT(K$4,2)&lt;=RIGHT('Input|General'!$G$10,2),'Input|Reported opex'!K$4,"")</f>
        <v>2016</v>
      </c>
      <c r="L10" s="150">
        <f ca="1">IF(RIGHT(L$4,2)&lt;=RIGHT('Input|General'!$G$10,2),'Input|Reported opex'!L$4,"")</f>
        <v>2017</v>
      </c>
      <c r="M10" s="150">
        <f ca="1">IF(RIGHT(M$4,2)&lt;=RIGHT('Input|General'!$G$10,2),'Input|Reported opex'!M$4,"")</f>
        <v>2018</v>
      </c>
      <c r="N10" s="150">
        <f ca="1">IF(RIGHT(N$4,2)&lt;=RIGHT('Input|General'!$G$10,2),'Input|Reported opex'!N$4,"")</f>
        <v>2019</v>
      </c>
      <c r="O10" s="92" t="str">
        <f ca="1">IF(RIGHT(O$4,2)&lt;=RIGHT('Input|General'!$G$10,2),'Input|Reported opex'!O$4,"")</f>
        <v/>
      </c>
      <c r="P10" s="92" t="str">
        <f ca="1">IF(RIGHT(P$4,2)&lt;=RIGHT('Input|General'!$G$10,2),'Input|Reported opex'!P$4,"")</f>
        <v/>
      </c>
      <c r="Q10" s="92" t="str">
        <f ca="1">IF(RIGHT(Q$4,2)&lt;=RIGHT('Input|General'!$G$10,2),'Input|Reported opex'!Q$4,"")</f>
        <v/>
      </c>
      <c r="R10" s="92" t="str">
        <f ca="1">IF(RIGHT(R$4,2)&lt;=RIGHT('Input|General'!$G$10,2),'Input|Reported opex'!R$4,"")</f>
        <v/>
      </c>
      <c r="S10" s="92" t="str">
        <f ca="1">IF(RIGHT(S$4,2)&lt;=RIGHT('Input|General'!$G$10,2),'Input|Reported opex'!S$4,"")</f>
        <v/>
      </c>
      <c r="T10" s="126" t="s">
        <v>56</v>
      </c>
      <c r="U10" s="127"/>
      <c r="V10" s="127"/>
      <c r="W10" s="25"/>
    </row>
    <row r="11" spans="1:23">
      <c r="A11" s="25"/>
      <c r="B11" s="25"/>
      <c r="C11" s="98"/>
      <c r="D11" s="26"/>
      <c r="E11" s="26"/>
      <c r="F11" s="26"/>
      <c r="G11" s="28"/>
      <c r="H11" s="28"/>
      <c r="I11" s="26"/>
      <c r="J11" s="20"/>
      <c r="K11" s="20"/>
      <c r="L11" s="20"/>
      <c r="M11" s="20"/>
      <c r="N11" s="20"/>
      <c r="O11" s="25"/>
      <c r="P11" s="25"/>
      <c r="Q11" s="25"/>
      <c r="R11" s="25"/>
      <c r="S11" s="25"/>
      <c r="T11" s="25"/>
      <c r="U11" s="25"/>
      <c r="V11" s="25"/>
      <c r="W11" s="25"/>
    </row>
    <row r="12" spans="1:23">
      <c r="A12" s="25"/>
      <c r="B12" s="25"/>
      <c r="C12" s="98"/>
      <c r="D12" s="26"/>
      <c r="E12" s="26"/>
      <c r="F12" s="26"/>
      <c r="G12" s="28"/>
      <c r="H12" s="28"/>
      <c r="I12" s="26"/>
      <c r="J12" s="20"/>
      <c r="K12" s="20"/>
      <c r="L12" s="20"/>
      <c r="M12" s="20"/>
      <c r="N12" s="20"/>
      <c r="O12" s="25"/>
      <c r="P12" s="25"/>
      <c r="Q12" s="25"/>
      <c r="R12" s="25"/>
      <c r="S12" s="25"/>
      <c r="T12" s="25"/>
      <c r="U12" s="25"/>
      <c r="V12" s="25"/>
      <c r="W12" s="25"/>
    </row>
    <row r="13" spans="1:23">
      <c r="A13" s="25"/>
      <c r="B13" s="25"/>
      <c r="C13" s="51" t="s">
        <v>138</v>
      </c>
      <c r="D13" s="26" t="s">
        <v>124</v>
      </c>
      <c r="E13" s="26" t="str">
        <f>$E$24</f>
        <v>$millions</v>
      </c>
      <c r="F13" s="166">
        <v>2014</v>
      </c>
      <c r="G13" s="28"/>
      <c r="H13" s="28"/>
      <c r="I13" s="26"/>
      <c r="J13" s="49"/>
      <c r="K13" s="49"/>
      <c r="L13" s="49"/>
      <c r="M13" s="49"/>
      <c r="N13" s="49"/>
      <c r="O13" s="25"/>
      <c r="P13" s="25"/>
      <c r="Q13" s="25"/>
      <c r="R13" s="25"/>
      <c r="S13" s="25"/>
      <c r="T13" s="144"/>
      <c r="U13" s="25"/>
      <c r="V13" s="25"/>
      <c r="W13" s="25"/>
    </row>
    <row r="14" spans="1:23">
      <c r="A14" s="25"/>
      <c r="B14" s="25"/>
      <c r="C14" s="51" t="s">
        <v>114</v>
      </c>
      <c r="D14" s="26" t="s">
        <v>124</v>
      </c>
      <c r="E14" s="26" t="str">
        <f t="shared" ref="E14:E22" si="0">$E$24</f>
        <v>$millions</v>
      </c>
      <c r="F14" s="166">
        <v>2014</v>
      </c>
      <c r="G14" s="28"/>
      <c r="H14" s="28"/>
      <c r="I14" s="26"/>
      <c r="J14" s="49"/>
      <c r="K14" s="49"/>
      <c r="L14" s="49"/>
      <c r="M14" s="49"/>
      <c r="N14" s="49"/>
      <c r="O14" s="25"/>
      <c r="P14" s="25"/>
      <c r="Q14" s="25"/>
      <c r="R14" s="25"/>
      <c r="S14" s="25"/>
      <c r="T14" s="144"/>
      <c r="U14" s="25"/>
      <c r="V14" s="25"/>
      <c r="W14" s="25"/>
    </row>
    <row r="15" spans="1:23">
      <c r="A15" s="25"/>
      <c r="B15" s="25"/>
      <c r="C15" s="51"/>
      <c r="D15" s="26" t="s">
        <v>124</v>
      </c>
      <c r="E15" s="26" t="str">
        <f t="shared" si="0"/>
        <v>$millions</v>
      </c>
      <c r="F15" s="166">
        <v>2014</v>
      </c>
      <c r="G15" s="28"/>
      <c r="H15" s="28"/>
      <c r="I15" s="26"/>
      <c r="J15" s="49"/>
      <c r="K15" s="49"/>
      <c r="L15" s="49"/>
      <c r="M15" s="49"/>
      <c r="N15" s="49"/>
      <c r="O15" s="25"/>
      <c r="P15" s="25"/>
      <c r="Q15" s="25"/>
      <c r="R15" s="25"/>
      <c r="S15" s="25"/>
      <c r="T15" s="144"/>
      <c r="U15" s="25"/>
      <c r="V15" s="25"/>
      <c r="W15" s="25"/>
    </row>
    <row r="16" spans="1:23">
      <c r="A16" s="25"/>
      <c r="B16" s="25"/>
      <c r="C16" s="51"/>
      <c r="D16" s="26" t="s">
        <v>124</v>
      </c>
      <c r="E16" s="26" t="str">
        <f t="shared" si="0"/>
        <v>$millions</v>
      </c>
      <c r="F16" s="166">
        <v>2014</v>
      </c>
      <c r="G16" s="28"/>
      <c r="H16" s="28"/>
      <c r="I16" s="26"/>
      <c r="J16" s="49"/>
      <c r="K16" s="49"/>
      <c r="L16" s="49"/>
      <c r="M16" s="49"/>
      <c r="N16" s="49"/>
      <c r="O16" s="25"/>
      <c r="P16" s="25"/>
      <c r="Q16" s="25"/>
      <c r="R16" s="25"/>
      <c r="S16" s="25"/>
      <c r="T16" s="144"/>
      <c r="U16" s="25"/>
      <c r="V16" s="25"/>
      <c r="W16" s="25"/>
    </row>
    <row r="17" spans="1:23">
      <c r="A17" s="25"/>
      <c r="B17" s="25"/>
      <c r="C17" s="51"/>
      <c r="D17" s="26" t="s">
        <v>124</v>
      </c>
      <c r="E17" s="26" t="str">
        <f t="shared" si="0"/>
        <v>$millions</v>
      </c>
      <c r="F17" s="166">
        <v>2014</v>
      </c>
      <c r="G17" s="28"/>
      <c r="H17" s="28"/>
      <c r="I17" s="26"/>
      <c r="J17" s="49"/>
      <c r="K17" s="49"/>
      <c r="L17" s="49"/>
      <c r="M17" s="49"/>
      <c r="N17" s="49"/>
      <c r="O17" s="25"/>
      <c r="P17" s="25"/>
      <c r="Q17" s="25"/>
      <c r="R17" s="25"/>
      <c r="S17" s="25"/>
      <c r="T17" s="144"/>
      <c r="U17" s="25"/>
      <c r="V17" s="25"/>
      <c r="W17" s="25"/>
    </row>
    <row r="18" spans="1:23">
      <c r="A18" s="25"/>
      <c r="B18" s="25"/>
      <c r="C18" s="51"/>
      <c r="D18" s="26" t="s">
        <v>124</v>
      </c>
      <c r="E18" s="26" t="str">
        <f t="shared" si="0"/>
        <v>$millions</v>
      </c>
      <c r="F18" s="166">
        <v>2014</v>
      </c>
      <c r="G18" s="28"/>
      <c r="H18" s="28"/>
      <c r="I18" s="26"/>
      <c r="J18" s="49"/>
      <c r="K18" s="49"/>
      <c r="L18" s="49"/>
      <c r="M18" s="49"/>
      <c r="N18" s="49"/>
      <c r="O18" s="25"/>
      <c r="P18" s="25"/>
      <c r="Q18" s="25"/>
      <c r="R18" s="25"/>
      <c r="S18" s="25"/>
      <c r="T18" s="144"/>
      <c r="U18" s="25"/>
      <c r="V18" s="25"/>
      <c r="W18" s="25"/>
    </row>
    <row r="19" spans="1:23">
      <c r="A19" s="25"/>
      <c r="B19" s="25"/>
      <c r="C19" s="51"/>
      <c r="D19" s="26" t="s">
        <v>124</v>
      </c>
      <c r="E19" s="26" t="str">
        <f t="shared" si="0"/>
        <v>$millions</v>
      </c>
      <c r="F19" s="166">
        <v>2014</v>
      </c>
      <c r="G19" s="28"/>
      <c r="H19" s="28"/>
      <c r="I19" s="26"/>
      <c r="J19" s="49"/>
      <c r="K19" s="49"/>
      <c r="L19" s="49"/>
      <c r="M19" s="49"/>
      <c r="N19" s="49"/>
      <c r="O19" s="25"/>
      <c r="P19" s="25"/>
      <c r="Q19" s="25"/>
      <c r="R19" s="25"/>
      <c r="S19" s="25"/>
      <c r="T19" s="144"/>
      <c r="U19" s="25"/>
      <c r="V19" s="25"/>
      <c r="W19" s="25"/>
    </row>
    <row r="20" spans="1:23">
      <c r="A20" s="25"/>
      <c r="B20" s="25"/>
      <c r="C20" s="51"/>
      <c r="D20" s="26" t="s">
        <v>124</v>
      </c>
      <c r="E20" s="26" t="str">
        <f t="shared" si="0"/>
        <v>$millions</v>
      </c>
      <c r="F20" s="166">
        <v>2014</v>
      </c>
      <c r="G20" s="28"/>
      <c r="H20" s="28"/>
      <c r="I20" s="26"/>
      <c r="J20" s="49"/>
      <c r="K20" s="49"/>
      <c r="L20" s="49"/>
      <c r="M20" s="49"/>
      <c r="N20" s="49"/>
      <c r="O20" s="25"/>
      <c r="P20" s="25"/>
      <c r="Q20" s="25"/>
      <c r="R20" s="25"/>
      <c r="S20" s="25"/>
      <c r="T20" s="144"/>
      <c r="U20" s="25"/>
      <c r="V20" s="25"/>
      <c r="W20" s="25"/>
    </row>
    <row r="21" spans="1:23">
      <c r="A21" s="25"/>
      <c r="B21" s="25"/>
      <c r="C21" s="51"/>
      <c r="D21" s="26" t="s">
        <v>124</v>
      </c>
      <c r="E21" s="26" t="str">
        <f t="shared" si="0"/>
        <v>$millions</v>
      </c>
      <c r="F21" s="166">
        <v>2014</v>
      </c>
      <c r="G21" s="28"/>
      <c r="H21" s="28"/>
      <c r="I21" s="26"/>
      <c r="J21" s="49"/>
      <c r="K21" s="49"/>
      <c r="L21" s="49"/>
      <c r="M21" s="49"/>
      <c r="N21" s="49"/>
      <c r="O21" s="25"/>
      <c r="P21" s="25"/>
      <c r="Q21" s="25"/>
      <c r="R21" s="25"/>
      <c r="S21" s="25"/>
      <c r="T21" s="144"/>
      <c r="U21" s="25"/>
      <c r="V21" s="25"/>
      <c r="W21" s="25"/>
    </row>
    <row r="22" spans="1:23">
      <c r="A22" s="25"/>
      <c r="B22" s="25"/>
      <c r="C22" s="51"/>
      <c r="D22" s="26" t="s">
        <v>124</v>
      </c>
      <c r="E22" s="26" t="str">
        <f t="shared" si="0"/>
        <v>$millions</v>
      </c>
      <c r="F22" s="166">
        <v>2014</v>
      </c>
      <c r="G22" s="28"/>
      <c r="H22" s="28"/>
      <c r="I22" s="26"/>
      <c r="J22" s="49"/>
      <c r="K22" s="49"/>
      <c r="L22" s="49"/>
      <c r="M22" s="49"/>
      <c r="N22" s="49"/>
      <c r="O22" s="25"/>
      <c r="P22" s="25"/>
      <c r="Q22" s="25"/>
      <c r="R22" s="25"/>
      <c r="S22" s="25"/>
      <c r="T22" s="144"/>
      <c r="U22" s="25"/>
      <c r="V22" s="25"/>
      <c r="W22" s="25"/>
    </row>
    <row r="23" spans="1:23">
      <c r="A23" s="25"/>
      <c r="B23" s="25"/>
      <c r="C23" s="98"/>
      <c r="D23" s="26"/>
      <c r="E23" s="26"/>
      <c r="F23" s="166"/>
      <c r="G23" s="28"/>
      <c r="H23" s="28"/>
      <c r="I23" s="26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5"/>
      <c r="U23" s="25"/>
      <c r="V23" s="25"/>
      <c r="W23" s="25"/>
    </row>
    <row r="24" spans="1:23">
      <c r="A24" s="25"/>
      <c r="B24" s="25"/>
      <c r="C24" s="128" t="s">
        <v>78</v>
      </c>
      <c r="D24" s="129" t="s">
        <v>30</v>
      </c>
      <c r="E24" s="119" t="s">
        <v>15</v>
      </c>
      <c r="F24" s="158">
        <v>2014</v>
      </c>
      <c r="G24" s="28"/>
      <c r="H24" s="28"/>
      <c r="I24" s="26"/>
      <c r="J24" s="118">
        <f t="shared" ref="J24:S24" si="1">SUM(J13:J22)</f>
        <v>0</v>
      </c>
      <c r="K24" s="118">
        <f t="shared" si="1"/>
        <v>0</v>
      </c>
      <c r="L24" s="118">
        <f t="shared" si="1"/>
        <v>0</v>
      </c>
      <c r="M24" s="118">
        <f t="shared" si="1"/>
        <v>0</v>
      </c>
      <c r="N24" s="118">
        <f t="shared" si="1"/>
        <v>0</v>
      </c>
      <c r="O24" s="118">
        <f t="shared" si="1"/>
        <v>0</v>
      </c>
      <c r="P24" s="118">
        <f t="shared" si="1"/>
        <v>0</v>
      </c>
      <c r="Q24" s="118">
        <f t="shared" si="1"/>
        <v>0</v>
      </c>
      <c r="R24" s="118">
        <f t="shared" si="1"/>
        <v>0</v>
      </c>
      <c r="S24" s="118">
        <f t="shared" si="1"/>
        <v>0</v>
      </c>
      <c r="T24" s="25"/>
      <c r="U24" s="25"/>
      <c r="V24" s="25"/>
      <c r="W24" s="25"/>
    </row>
    <row r="25" spans="1:23">
      <c r="A25" s="25"/>
      <c r="B25" s="25"/>
      <c r="C25" s="25"/>
      <c r="D25" s="26"/>
      <c r="E25" s="26"/>
      <c r="F25" s="26"/>
      <c r="G25" s="28"/>
      <c r="H25" s="28"/>
      <c r="I25" s="2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2.75">
      <c r="A26" s="84"/>
      <c r="B26" s="85" t="s">
        <v>61</v>
      </c>
      <c r="C26" s="84"/>
      <c r="D26" s="84"/>
      <c r="E26" s="84"/>
      <c r="F26" s="86"/>
      <c r="G26" s="86"/>
      <c r="H26" s="86"/>
      <c r="I26" s="86"/>
      <c r="J26" s="87"/>
      <c r="K26" s="88"/>
      <c r="L26" s="87"/>
      <c r="M26" s="88"/>
      <c r="N26" s="87"/>
      <c r="O26" s="87"/>
      <c r="P26" s="87"/>
      <c r="Q26" s="87"/>
      <c r="R26" s="87"/>
      <c r="S26" s="87"/>
      <c r="T26" s="87"/>
      <c r="U26" s="87"/>
      <c r="V26" s="88"/>
      <c r="W26" s="88"/>
    </row>
    <row r="27" spans="1:23">
      <c r="A27" s="25"/>
      <c r="B27" s="25"/>
      <c r="C27" s="25"/>
      <c r="D27" s="26"/>
      <c r="E27" s="26"/>
      <c r="F27" s="26"/>
      <c r="G27" s="26"/>
      <c r="H27" s="26"/>
      <c r="I27" s="2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>
      <c r="A28" s="25"/>
      <c r="B28" s="25"/>
      <c r="C28" s="25"/>
      <c r="D28" s="26"/>
      <c r="E28" s="26"/>
      <c r="F28" s="26"/>
      <c r="G28" s="26"/>
      <c r="H28" s="26"/>
      <c r="I28" s="26"/>
      <c r="J28" s="44" t="s">
        <v>23</v>
      </c>
      <c r="K28" s="44" t="s">
        <v>23</v>
      </c>
      <c r="L28" s="44" t="s">
        <v>23</v>
      </c>
      <c r="M28" s="44" t="s">
        <v>79</v>
      </c>
      <c r="N28" s="44" t="s">
        <v>79</v>
      </c>
      <c r="O28" s="25"/>
      <c r="P28" s="25"/>
      <c r="Q28" s="25"/>
      <c r="R28" s="25"/>
      <c r="S28" s="25"/>
      <c r="T28" s="25"/>
      <c r="U28" s="25"/>
      <c r="V28" s="25"/>
      <c r="W28" s="25"/>
    </row>
    <row r="29" spans="1:23">
      <c r="A29" s="25"/>
      <c r="B29" s="25"/>
      <c r="C29" s="59" t="s">
        <v>80</v>
      </c>
      <c r="D29" s="28" t="s">
        <v>7</v>
      </c>
      <c r="E29" s="28" t="s">
        <v>8</v>
      </c>
      <c r="F29" s="28" t="s">
        <v>22</v>
      </c>
      <c r="G29" s="28"/>
      <c r="H29" s="28"/>
      <c r="I29" s="28"/>
      <c r="J29" s="150">
        <f>IF(RIGHT(J4,2)&lt;=RIGHT('Input|General'!$G$10,2),'Input|Reported opex'!J4,"")</f>
        <v>2015</v>
      </c>
      <c r="K29" s="150">
        <f ca="1">IF(RIGHT(K4,2)&lt;=RIGHT('Input|General'!$G$10,2),'Input|Reported opex'!K4,"")</f>
        <v>2016</v>
      </c>
      <c r="L29" s="150">
        <f ca="1">IF(RIGHT(L4,2)&lt;=RIGHT('Input|General'!$G$10,2),'Input|Reported opex'!L4,"")</f>
        <v>2017</v>
      </c>
      <c r="M29" s="150">
        <f ca="1">IF(RIGHT(M4,2)&lt;=RIGHT('Input|General'!$G$10,2),'Input|Reported opex'!M4,"")</f>
        <v>2018</v>
      </c>
      <c r="N29" s="150">
        <f ca="1">IF(RIGHT(N4,2)&lt;=RIGHT('Input|General'!$G$10,2),'Input|Reported opex'!N4,"")</f>
        <v>2019</v>
      </c>
      <c r="O29" s="92" t="str">
        <f ca="1">IF(RIGHT(O$4,2)&lt;=RIGHT('Input|General'!$G$10,2),'Input|Reported opex'!O$4,"")</f>
        <v/>
      </c>
      <c r="P29" s="92" t="str">
        <f ca="1">IF(RIGHT(P$4,2)&lt;=RIGHT('Input|General'!$G$10,2),'Input|Reported opex'!P$4,"")</f>
        <v/>
      </c>
      <c r="Q29" s="92" t="str">
        <f ca="1">IF(RIGHT(Q$4,2)&lt;=RIGHT('Input|General'!$G$10,2),'Input|Reported opex'!Q$4,"")</f>
        <v/>
      </c>
      <c r="R29" s="92" t="str">
        <f ca="1">IF(RIGHT(R$4,2)&lt;=RIGHT('Input|General'!$G$10,2),'Input|Reported opex'!R$4,"")</f>
        <v/>
      </c>
      <c r="S29" s="92" t="str">
        <f ca="1">IF(RIGHT(S$4,2)&lt;=RIGHT('Input|General'!$G$10,2),'Input|Reported opex'!S$4,"")</f>
        <v/>
      </c>
      <c r="T29" s="126" t="s">
        <v>56</v>
      </c>
      <c r="U29" s="127"/>
      <c r="V29" s="127"/>
      <c r="W29" s="25"/>
    </row>
    <row r="30" spans="1:23">
      <c r="A30" s="25"/>
      <c r="B30" s="25"/>
      <c r="C30" s="98"/>
      <c r="D30" s="26"/>
      <c r="E30" s="26"/>
      <c r="F30" s="26"/>
      <c r="G30" s="28"/>
      <c r="H30" s="28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>
      <c r="A31" s="25"/>
      <c r="B31" s="25"/>
      <c r="C31" s="98"/>
      <c r="D31" s="26"/>
      <c r="E31" s="26"/>
      <c r="F31" s="26"/>
      <c r="G31" s="28"/>
      <c r="H31" s="28"/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144"/>
      <c r="U31" s="25"/>
      <c r="V31" s="25"/>
      <c r="W31" s="25"/>
    </row>
    <row r="32" spans="1:23">
      <c r="A32" s="25"/>
      <c r="B32" s="25"/>
      <c r="C32" s="51" t="s">
        <v>137</v>
      </c>
      <c r="D32" s="26" t="s">
        <v>127</v>
      </c>
      <c r="E32" s="26" t="str">
        <f t="shared" ref="E32:E37" si="2">$E$46</f>
        <v>$millions</v>
      </c>
      <c r="F32" s="166" t="str">
        <f t="shared" ref="F32:F37" si="3">$F$46</f>
        <v>nominal</v>
      </c>
      <c r="G32" s="28"/>
      <c r="H32" s="28"/>
      <c r="I32" s="26"/>
      <c r="J32" s="49"/>
      <c r="K32" s="49"/>
      <c r="L32" s="49">
        <v>4.6136060857584171</v>
      </c>
      <c r="M32" s="160">
        <f>L32*(1+'Input|Rate of change'!N12)</f>
        <v>4.7058782074735852</v>
      </c>
      <c r="N32" s="49"/>
      <c r="O32" s="25"/>
      <c r="P32" s="25"/>
      <c r="Q32" s="25"/>
      <c r="R32" s="25"/>
      <c r="S32" s="25"/>
      <c r="T32" s="144"/>
      <c r="U32" s="25"/>
      <c r="V32" s="25"/>
      <c r="W32" s="25"/>
    </row>
    <row r="33" spans="1:23">
      <c r="A33" s="25"/>
      <c r="B33" s="25"/>
      <c r="C33" s="51"/>
      <c r="D33" s="26"/>
      <c r="E33" s="26" t="str">
        <f t="shared" si="2"/>
        <v>$millions</v>
      </c>
      <c r="F33" s="166" t="str">
        <f t="shared" si="3"/>
        <v>nominal</v>
      </c>
      <c r="G33" s="28"/>
      <c r="H33" s="28"/>
      <c r="I33" s="26"/>
      <c r="J33" s="49"/>
      <c r="K33" s="49"/>
      <c r="L33" s="49"/>
      <c r="M33" s="49"/>
      <c r="N33" s="49"/>
      <c r="O33" s="25"/>
      <c r="P33" s="25"/>
      <c r="Q33" s="25"/>
      <c r="R33" s="25"/>
      <c r="S33" s="25"/>
      <c r="T33" s="144"/>
      <c r="U33" s="25"/>
      <c r="V33" s="25"/>
      <c r="W33" s="25"/>
    </row>
    <row r="34" spans="1:23">
      <c r="A34" s="25"/>
      <c r="B34" s="25"/>
      <c r="C34" s="51"/>
      <c r="D34" s="26"/>
      <c r="E34" s="26" t="str">
        <f t="shared" si="2"/>
        <v>$millions</v>
      </c>
      <c r="F34" s="166" t="str">
        <f t="shared" si="3"/>
        <v>nominal</v>
      </c>
      <c r="G34" s="28"/>
      <c r="H34" s="28"/>
      <c r="I34" s="26"/>
      <c r="J34" s="49"/>
      <c r="K34" s="49"/>
      <c r="L34" s="49"/>
      <c r="M34" s="49"/>
      <c r="N34" s="49"/>
      <c r="O34" s="25"/>
      <c r="P34" s="25"/>
      <c r="Q34" s="25"/>
      <c r="R34" s="25"/>
      <c r="S34" s="25"/>
      <c r="T34" s="144"/>
      <c r="U34" s="25"/>
      <c r="V34" s="25"/>
      <c r="W34" s="25"/>
    </row>
    <row r="35" spans="1:23">
      <c r="A35" s="25"/>
      <c r="B35" s="25"/>
      <c r="C35" s="51"/>
      <c r="D35" s="26"/>
      <c r="E35" s="26" t="str">
        <f t="shared" si="2"/>
        <v>$millions</v>
      </c>
      <c r="F35" s="166" t="str">
        <f t="shared" si="3"/>
        <v>nominal</v>
      </c>
      <c r="G35" s="28"/>
      <c r="H35" s="28"/>
      <c r="I35" s="26"/>
      <c r="J35" s="49"/>
      <c r="K35" s="49"/>
      <c r="L35" s="49"/>
      <c r="M35" s="49"/>
      <c r="N35" s="49"/>
      <c r="O35" s="25"/>
      <c r="P35" s="25"/>
      <c r="Q35" s="25"/>
      <c r="R35" s="25"/>
      <c r="S35" s="25"/>
      <c r="T35" s="144"/>
      <c r="U35" s="25"/>
      <c r="V35" s="25"/>
      <c r="W35" s="25"/>
    </row>
    <row r="36" spans="1:23">
      <c r="A36" s="25"/>
      <c r="B36" s="25"/>
      <c r="C36" s="51"/>
      <c r="D36" s="26"/>
      <c r="E36" s="26" t="str">
        <f t="shared" si="2"/>
        <v>$millions</v>
      </c>
      <c r="F36" s="166" t="str">
        <f t="shared" si="3"/>
        <v>nominal</v>
      </c>
      <c r="G36" s="28"/>
      <c r="H36" s="28"/>
      <c r="I36" s="26"/>
      <c r="J36" s="49"/>
      <c r="K36" s="49"/>
      <c r="L36" s="49"/>
      <c r="M36" s="49"/>
      <c r="N36" s="49"/>
      <c r="O36" s="25"/>
      <c r="P36" s="25"/>
      <c r="Q36" s="25"/>
      <c r="R36" s="25"/>
      <c r="S36" s="25"/>
      <c r="T36" s="144"/>
      <c r="U36" s="25"/>
      <c r="V36" s="25"/>
      <c r="W36" s="25"/>
    </row>
    <row r="37" spans="1:23">
      <c r="A37" s="25"/>
      <c r="B37" s="25"/>
      <c r="C37" s="51" t="s">
        <v>118</v>
      </c>
      <c r="D37" s="163" t="s">
        <v>127</v>
      </c>
      <c r="E37" s="26" t="str">
        <f t="shared" si="2"/>
        <v>$millions</v>
      </c>
      <c r="F37" s="166" t="str">
        <f t="shared" si="3"/>
        <v>nominal</v>
      </c>
      <c r="G37" s="28"/>
      <c r="H37" s="28"/>
      <c r="I37" s="26"/>
      <c r="J37" s="49"/>
      <c r="K37" s="49"/>
      <c r="L37" s="49"/>
      <c r="M37" s="49">
        <v>0</v>
      </c>
      <c r="N37" s="49"/>
      <c r="O37" s="25"/>
      <c r="P37" s="25"/>
      <c r="Q37" s="25"/>
      <c r="R37" s="25"/>
      <c r="S37" s="25"/>
      <c r="T37" s="144"/>
      <c r="U37" s="25"/>
      <c r="V37" s="25"/>
      <c r="W37" s="25"/>
    </row>
    <row r="38" spans="1:23">
      <c r="A38" s="25"/>
      <c r="B38" s="25"/>
      <c r="C38" s="25"/>
      <c r="D38" s="26"/>
      <c r="E38" s="26"/>
      <c r="F38" s="26"/>
      <c r="G38" s="26"/>
      <c r="H38" s="26"/>
      <c r="I38" s="26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44"/>
      <c r="U38" s="25"/>
      <c r="V38" s="25"/>
      <c r="W38" s="25"/>
    </row>
    <row r="39" spans="1:23">
      <c r="A39" s="25"/>
      <c r="B39" s="25"/>
      <c r="C39" s="59" t="s">
        <v>119</v>
      </c>
      <c r="D39" s="26"/>
      <c r="E39" s="26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44"/>
      <c r="U39" s="25"/>
      <c r="V39" s="25"/>
      <c r="W39" s="25"/>
    </row>
    <row r="40" spans="1:23">
      <c r="A40" s="25"/>
      <c r="B40" s="25"/>
      <c r="C40" s="25"/>
      <c r="D40" s="26"/>
      <c r="E40" s="26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44"/>
      <c r="U40" s="25"/>
      <c r="V40" s="25"/>
      <c r="W40" s="25"/>
    </row>
    <row r="41" spans="1:23">
      <c r="A41" s="25"/>
      <c r="B41" s="25"/>
      <c r="C41" s="51" t="s">
        <v>114</v>
      </c>
      <c r="D41" s="163" t="s">
        <v>127</v>
      </c>
      <c r="E41" s="26" t="str">
        <f>$E$46</f>
        <v>$millions</v>
      </c>
      <c r="F41" s="166" t="str">
        <f>$F$46</f>
        <v>nominal</v>
      </c>
      <c r="G41" s="28"/>
      <c r="H41" s="28"/>
      <c r="I41" s="26"/>
      <c r="J41" s="49"/>
      <c r="K41" s="49"/>
      <c r="L41" s="49"/>
      <c r="M41" s="49">
        <v>0</v>
      </c>
      <c r="N41" s="49"/>
      <c r="O41" s="25"/>
      <c r="P41" s="25"/>
      <c r="Q41" s="25"/>
      <c r="R41" s="25"/>
      <c r="S41" s="25"/>
      <c r="T41" s="144"/>
      <c r="U41" s="25"/>
      <c r="V41" s="25"/>
      <c r="W41" s="25"/>
    </row>
    <row r="42" spans="1:23">
      <c r="A42" s="25"/>
      <c r="B42" s="25"/>
      <c r="C42" s="51"/>
      <c r="D42" s="26"/>
      <c r="E42" s="26" t="str">
        <f>$E$46</f>
        <v>$millions</v>
      </c>
      <c r="F42" s="166" t="str">
        <f>$F$46</f>
        <v>nominal</v>
      </c>
      <c r="G42" s="28"/>
      <c r="H42" s="28"/>
      <c r="I42" s="26"/>
      <c r="J42" s="49"/>
      <c r="K42" s="49"/>
      <c r="L42" s="49"/>
      <c r="M42" s="49"/>
      <c r="N42" s="49"/>
      <c r="O42" s="25"/>
      <c r="P42" s="25"/>
      <c r="Q42" s="25"/>
      <c r="R42" s="25"/>
      <c r="S42" s="25"/>
      <c r="T42" s="144"/>
      <c r="U42" s="25"/>
      <c r="V42" s="25"/>
      <c r="W42" s="25"/>
    </row>
    <row r="43" spans="1:23">
      <c r="A43" s="25"/>
      <c r="B43" s="25"/>
      <c r="C43" s="51"/>
      <c r="D43" s="26"/>
      <c r="E43" s="26" t="str">
        <f>$E$46</f>
        <v>$millions</v>
      </c>
      <c r="F43" s="166" t="str">
        <f>$F$46</f>
        <v>nominal</v>
      </c>
      <c r="G43" s="28"/>
      <c r="H43" s="28"/>
      <c r="I43" s="26"/>
      <c r="J43" s="49"/>
      <c r="K43" s="49"/>
      <c r="L43" s="49"/>
      <c r="M43" s="49"/>
      <c r="N43" s="49"/>
      <c r="O43" s="25"/>
      <c r="P43" s="25"/>
      <c r="Q43" s="25"/>
      <c r="R43" s="25"/>
      <c r="S43" s="25"/>
      <c r="T43" s="144"/>
      <c r="U43" s="25"/>
      <c r="V43" s="25"/>
      <c r="W43" s="25"/>
    </row>
    <row r="44" spans="1:23">
      <c r="A44" s="25"/>
      <c r="B44" s="25"/>
      <c r="C44" s="51"/>
      <c r="D44" s="26"/>
      <c r="E44" s="26" t="str">
        <f>$E$46</f>
        <v>$millions</v>
      </c>
      <c r="F44" s="166" t="str">
        <f>$F$46</f>
        <v>nominal</v>
      </c>
      <c r="G44" s="28"/>
      <c r="H44" s="28"/>
      <c r="I44" s="26"/>
      <c r="J44" s="49"/>
      <c r="K44" s="49"/>
      <c r="L44" s="49"/>
      <c r="M44" s="49"/>
      <c r="N44" s="49"/>
      <c r="O44" s="25"/>
      <c r="P44" s="25"/>
      <c r="Q44" s="25"/>
      <c r="R44" s="25"/>
      <c r="S44" s="25"/>
      <c r="T44" s="144"/>
      <c r="U44" s="25"/>
      <c r="V44" s="25"/>
      <c r="W44" s="25"/>
    </row>
    <row r="45" spans="1:23">
      <c r="A45" s="25"/>
      <c r="B45" s="25"/>
      <c r="C45" s="98"/>
      <c r="D45" s="26"/>
      <c r="E45" s="26"/>
      <c r="F45" s="26"/>
      <c r="G45" s="28"/>
      <c r="H45" s="28"/>
      <c r="I45" s="26"/>
      <c r="J45" s="25"/>
      <c r="K45" s="25"/>
      <c r="L45" s="25"/>
      <c r="M45" s="25"/>
      <c r="N45" s="130"/>
      <c r="O45" s="25"/>
      <c r="P45" s="25"/>
      <c r="Q45" s="25"/>
      <c r="R45" s="25"/>
      <c r="S45" s="25"/>
      <c r="T45" s="25"/>
      <c r="U45" s="25"/>
      <c r="V45" s="25"/>
      <c r="W45" s="25"/>
    </row>
    <row r="46" spans="1:23">
      <c r="A46" s="25"/>
      <c r="B46" s="25"/>
      <c r="C46" s="128" t="s">
        <v>78</v>
      </c>
      <c r="D46" s="129" t="s">
        <v>30</v>
      </c>
      <c r="E46" s="119" t="s">
        <v>15</v>
      </c>
      <c r="F46" s="158" t="s">
        <v>107</v>
      </c>
      <c r="G46" s="28"/>
      <c r="H46" s="28"/>
      <c r="I46" s="26"/>
      <c r="J46" s="118">
        <f>SUM(J32:J44)</f>
        <v>0</v>
      </c>
      <c r="K46" s="118">
        <f t="shared" ref="K46:S46" si="4">SUM(K32:K44)</f>
        <v>0</v>
      </c>
      <c r="L46" s="118">
        <f t="shared" si="4"/>
        <v>4.6136060857584171</v>
      </c>
      <c r="M46" s="118">
        <f t="shared" si="4"/>
        <v>4.7058782074735852</v>
      </c>
      <c r="N46" s="118">
        <f t="shared" si="4"/>
        <v>0</v>
      </c>
      <c r="O46" s="118">
        <f t="shared" si="4"/>
        <v>0</v>
      </c>
      <c r="P46" s="118">
        <f t="shared" si="4"/>
        <v>0</v>
      </c>
      <c r="Q46" s="118">
        <f t="shared" si="4"/>
        <v>0</v>
      </c>
      <c r="R46" s="118">
        <f t="shared" si="4"/>
        <v>0</v>
      </c>
      <c r="S46" s="118">
        <f t="shared" si="4"/>
        <v>0</v>
      </c>
      <c r="T46" s="25"/>
      <c r="U46" s="25"/>
      <c r="V46" s="25"/>
      <c r="W46" s="25"/>
    </row>
    <row r="47" spans="1:23">
      <c r="A47" s="25"/>
      <c r="B47" s="25"/>
      <c r="C47" s="25"/>
      <c r="D47" s="26"/>
      <c r="E47" s="26"/>
      <c r="F47" s="26"/>
      <c r="G47" s="28"/>
      <c r="H47" s="28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2.75">
      <c r="A48" s="84"/>
      <c r="B48" s="85" t="s">
        <v>120</v>
      </c>
      <c r="C48" s="84"/>
      <c r="D48" s="84"/>
      <c r="E48" s="84"/>
      <c r="F48" s="86"/>
      <c r="G48" s="86"/>
      <c r="H48" s="86"/>
      <c r="I48" s="86"/>
      <c r="J48" s="87"/>
      <c r="K48" s="88"/>
      <c r="L48" s="87"/>
      <c r="M48" s="88"/>
      <c r="N48" s="87"/>
      <c r="O48" s="87"/>
      <c r="P48" s="87"/>
      <c r="Q48" s="87"/>
      <c r="R48" s="87"/>
      <c r="S48" s="87"/>
      <c r="T48" s="87"/>
      <c r="U48" s="87"/>
      <c r="V48" s="88"/>
      <c r="W48" s="88"/>
    </row>
    <row r="49" spans="1:23">
      <c r="A49" s="25"/>
      <c r="B49" s="25"/>
      <c r="C49" s="25"/>
      <c r="D49" s="26"/>
      <c r="E49" s="26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>
      <c r="A50" s="25"/>
      <c r="B50" s="25"/>
      <c r="C50" s="59" t="s">
        <v>121</v>
      </c>
      <c r="D50" s="28" t="s">
        <v>7</v>
      </c>
      <c r="E50" s="28" t="s">
        <v>8</v>
      </c>
      <c r="F50" s="28" t="s">
        <v>22</v>
      </c>
      <c r="G50" s="28"/>
      <c r="H50" s="28"/>
      <c r="I50" s="28"/>
      <c r="J50" s="92" t="str">
        <f>IF(RIGHT(J4,2)=RIGHT('Input|General'!$G$10,2),'Input|Reported opex'!J4,"")</f>
        <v/>
      </c>
      <c r="K50" s="92" t="str">
        <f ca="1">IF(RIGHT(K4,2)=RIGHT('Input|General'!$G$10,2),'Input|Reported opex'!K4,"")</f>
        <v/>
      </c>
      <c r="L50" s="92" t="str">
        <f ca="1">IF(RIGHT(L4,2)=RIGHT('Input|General'!$G$10,2),'Input|Reported opex'!L4,"")</f>
        <v/>
      </c>
      <c r="M50" s="92" t="str">
        <f ca="1">IF(RIGHT(M4,2)=RIGHT('Input|General'!$G$10,2),'Input|Reported opex'!M4,"")</f>
        <v/>
      </c>
      <c r="N50" s="150">
        <f ca="1">IF(RIGHT(N$4,2)=RIGHT('Input|General'!$G$10,2),N$4,"")</f>
        <v>2019</v>
      </c>
      <c r="O50" s="92" t="str">
        <f ca="1">IF(RIGHT(O$4,2)&lt;=RIGHT('Input|General'!$G$10,2),'Input|Reported opex'!O$4,"")</f>
        <v/>
      </c>
      <c r="P50" s="92" t="str">
        <f ca="1">IF(RIGHT(P$4,2)&lt;=RIGHT('Input|General'!$G$10,2),'Input|Reported opex'!P$4,"")</f>
        <v/>
      </c>
      <c r="Q50" s="92" t="str">
        <f ca="1">IF(RIGHT(Q$4,2)&lt;=RIGHT('Input|General'!$G$10,2),'Input|Reported opex'!Q$4,"")</f>
        <v/>
      </c>
      <c r="R50" s="92" t="str">
        <f ca="1">IF(RIGHT(R$4,2)&lt;=RIGHT('Input|General'!$G$10,2),'Input|Reported opex'!R$4,"")</f>
        <v/>
      </c>
      <c r="S50" s="92" t="str">
        <f ca="1">IF(RIGHT(S$4,2)&lt;=RIGHT('Input|General'!$G$10,2),'Input|Reported opex'!S$4,"")</f>
        <v/>
      </c>
      <c r="T50" s="126" t="s">
        <v>56</v>
      </c>
      <c r="U50" s="127"/>
      <c r="V50" s="127"/>
      <c r="W50" s="25"/>
    </row>
    <row r="51" spans="1:23">
      <c r="A51" s="25"/>
      <c r="B51" s="25"/>
      <c r="C51" s="51" t="s">
        <v>129</v>
      </c>
      <c r="D51" s="26" t="s">
        <v>123</v>
      </c>
      <c r="E51" s="26" t="str">
        <f>$E$46</f>
        <v>$millions</v>
      </c>
      <c r="F51" s="166">
        <v>2017</v>
      </c>
      <c r="G51" s="28"/>
      <c r="H51" s="28"/>
      <c r="I51" s="28"/>
      <c r="J51" s="108"/>
      <c r="K51" s="108"/>
      <c r="L51" s="108"/>
      <c r="M51" s="108"/>
      <c r="N51" s="49"/>
      <c r="O51" s="108"/>
      <c r="P51" s="108"/>
      <c r="Q51" s="108"/>
      <c r="R51" s="108"/>
      <c r="S51" s="108"/>
      <c r="T51" s="112"/>
      <c r="U51" s="131"/>
      <c r="V51" s="131"/>
      <c r="W51" s="25"/>
    </row>
    <row r="52" spans="1:23">
      <c r="A52" s="25"/>
      <c r="B52" s="25"/>
      <c r="C52" s="51" t="s">
        <v>130</v>
      </c>
      <c r="D52" s="163" t="s">
        <v>123</v>
      </c>
      <c r="E52" s="26" t="str">
        <f>$E$46</f>
        <v>$millions</v>
      </c>
      <c r="F52" s="166">
        <v>2017</v>
      </c>
      <c r="G52" s="28"/>
      <c r="H52" s="28"/>
      <c r="I52" s="28"/>
      <c r="J52" s="108"/>
      <c r="K52" s="108"/>
      <c r="L52" s="108"/>
      <c r="M52" s="108"/>
      <c r="N52" s="49">
        <v>-0.13328844044014879</v>
      </c>
      <c r="O52" s="108"/>
      <c r="P52" s="108"/>
      <c r="Q52" s="108"/>
      <c r="R52" s="108"/>
      <c r="S52" s="108"/>
      <c r="T52" s="112"/>
      <c r="U52" s="131"/>
      <c r="V52" s="131"/>
      <c r="W52" s="25"/>
    </row>
    <row r="53" spans="1:23">
      <c r="A53" s="25"/>
      <c r="B53" s="25"/>
      <c r="C53" s="51" t="s">
        <v>131</v>
      </c>
      <c r="D53" s="163" t="s">
        <v>123</v>
      </c>
      <c r="E53" s="26" t="str">
        <f>$E$46</f>
        <v>$millions</v>
      </c>
      <c r="F53" s="166">
        <v>2017</v>
      </c>
      <c r="G53" s="28"/>
      <c r="H53" s="28"/>
      <c r="I53" s="28"/>
      <c r="J53" s="108"/>
      <c r="K53" s="108"/>
      <c r="L53" s="108"/>
      <c r="M53" s="108"/>
      <c r="N53" s="49"/>
      <c r="O53" s="108"/>
      <c r="P53" s="108"/>
      <c r="Q53" s="108"/>
      <c r="R53" s="108"/>
      <c r="S53" s="108"/>
      <c r="T53" s="112"/>
      <c r="U53" s="131"/>
      <c r="V53" s="131"/>
      <c r="W53" s="25"/>
    </row>
    <row r="54" spans="1:23">
      <c r="A54" s="25"/>
      <c r="B54" s="25"/>
      <c r="C54" s="51" t="s">
        <v>132</v>
      </c>
      <c r="D54" s="163" t="s">
        <v>123</v>
      </c>
      <c r="E54" s="26" t="str">
        <f>$E$46</f>
        <v>$millions</v>
      </c>
      <c r="F54" s="166">
        <v>2017</v>
      </c>
      <c r="G54" s="28"/>
      <c r="H54" s="28"/>
      <c r="I54" s="28"/>
      <c r="J54" s="108"/>
      <c r="K54" s="108"/>
      <c r="L54" s="108"/>
      <c r="M54" s="108"/>
      <c r="N54" s="49"/>
      <c r="O54" s="108"/>
      <c r="P54" s="108"/>
      <c r="Q54" s="108"/>
      <c r="R54" s="108"/>
      <c r="S54" s="108"/>
      <c r="T54" s="112"/>
      <c r="U54" s="131"/>
      <c r="V54" s="131"/>
      <c r="W54" s="25"/>
    </row>
    <row r="55" spans="1:23">
      <c r="A55" s="25"/>
      <c r="B55" s="25"/>
      <c r="C55" s="51" t="s">
        <v>122</v>
      </c>
      <c r="D55" s="163" t="s">
        <v>123</v>
      </c>
      <c r="E55" s="26" t="str">
        <f>$E$46</f>
        <v>$millions</v>
      </c>
      <c r="F55" s="166">
        <v>2017</v>
      </c>
      <c r="G55" s="28"/>
      <c r="H55" s="28"/>
      <c r="I55" s="28"/>
      <c r="J55" s="108"/>
      <c r="K55" s="108"/>
      <c r="L55" s="108"/>
      <c r="M55" s="108"/>
      <c r="N55" s="49"/>
      <c r="O55" s="108"/>
      <c r="P55" s="108"/>
      <c r="Q55" s="108"/>
      <c r="R55" s="108"/>
      <c r="S55" s="108"/>
      <c r="T55" s="112"/>
      <c r="U55" s="131"/>
      <c r="V55" s="131"/>
      <c r="W55" s="25"/>
    </row>
    <row r="56" spans="1:23">
      <c r="A56" s="25"/>
      <c r="B56" s="25"/>
      <c r="C56" s="51" t="s">
        <v>93</v>
      </c>
      <c r="D56" s="163" t="s">
        <v>123</v>
      </c>
      <c r="E56" s="26" t="s">
        <v>31</v>
      </c>
      <c r="F56" s="28"/>
      <c r="G56" s="28"/>
      <c r="H56" s="28"/>
      <c r="I56" s="28"/>
      <c r="J56" s="25"/>
      <c r="K56" s="108"/>
      <c r="L56" s="108"/>
      <c r="M56" s="108"/>
      <c r="N56" s="143">
        <v>0</v>
      </c>
      <c r="O56" s="146"/>
      <c r="P56" s="108"/>
      <c r="Q56" s="108"/>
      <c r="R56" s="108"/>
      <c r="S56" s="108"/>
      <c r="T56" s="112"/>
      <c r="U56" s="131"/>
      <c r="V56" s="131"/>
      <c r="W56" s="25"/>
    </row>
    <row r="57" spans="1:23">
      <c r="A57" s="25"/>
      <c r="B57" s="25"/>
      <c r="C57" s="98"/>
      <c r="D57" s="26"/>
      <c r="E57" s="26"/>
      <c r="F57" s="26"/>
      <c r="G57" s="28"/>
      <c r="H57" s="28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2.75">
      <c r="A58" s="84"/>
      <c r="B58" s="85" t="s">
        <v>21</v>
      </c>
      <c r="C58" s="84"/>
      <c r="D58" s="84"/>
      <c r="E58" s="84"/>
      <c r="F58" s="86"/>
      <c r="G58" s="86"/>
      <c r="H58" s="86"/>
      <c r="I58" s="86"/>
      <c r="J58" s="87"/>
      <c r="K58" s="88"/>
      <c r="L58" s="87"/>
      <c r="M58" s="88"/>
      <c r="N58" s="87"/>
      <c r="O58" s="87"/>
      <c r="P58" s="87"/>
      <c r="Q58" s="87"/>
      <c r="R58" s="87"/>
      <c r="S58" s="87"/>
      <c r="T58" s="87"/>
      <c r="U58" s="87"/>
      <c r="V58" s="88"/>
      <c r="W58" s="88"/>
    </row>
  </sheetData>
  <conditionalFormatting sqref="W32:W37 W41:W44">
    <cfRule type="cellIs" dxfId="88" priority="13" operator="equal">
      <formula>"Check"</formula>
    </cfRule>
    <cfRule type="cellIs" dxfId="87" priority="14" operator="equal">
      <formula>"Ok"</formula>
    </cfRule>
  </conditionalFormatting>
  <conditionalFormatting sqref="W46">
    <cfRule type="cellIs" dxfId="86" priority="11" operator="equal">
      <formula>"Check"</formula>
    </cfRule>
    <cfRule type="cellIs" dxfId="85" priority="12" operator="equal">
      <formula>"Ok"</formula>
    </cfRule>
  </conditionalFormatting>
  <conditionalFormatting sqref="W24">
    <cfRule type="cellIs" dxfId="84" priority="9" operator="equal">
      <formula>"Check"</formula>
    </cfRule>
    <cfRule type="cellIs" dxfId="83" priority="10" operator="equal">
      <formula>"Ok"</formula>
    </cfRule>
  </conditionalFormatting>
  <conditionalFormatting sqref="V1">
    <cfRule type="cellIs" dxfId="82" priority="7" operator="equal">
      <formula>"Check"</formula>
    </cfRule>
    <cfRule type="cellIs" dxfId="81" priority="8" operator="equal">
      <formula>"Ok"</formula>
    </cfRule>
  </conditionalFormatting>
  <conditionalFormatting sqref="S1">
    <cfRule type="cellIs" dxfId="80" priority="5" operator="equal">
      <formula>"Check"</formula>
    </cfRule>
    <cfRule type="cellIs" dxfId="79" priority="6" operator="equal">
      <formula>"Ok"</formula>
    </cfRule>
  </conditionalFormatting>
  <conditionalFormatting sqref="J24:S24">
    <cfRule type="cellIs" dxfId="78" priority="4" operator="equal">
      <formula>0</formula>
    </cfRule>
  </conditionalFormatting>
  <conditionalFormatting sqref="J46:S46">
    <cfRule type="cellIs" dxfId="77" priority="3" operator="equal">
      <formula>0</formula>
    </cfRule>
  </conditionalFormatting>
  <conditionalFormatting sqref="W38:W40">
    <cfRule type="cellIs" dxfId="76" priority="1" operator="equal">
      <formula>"Check"</formula>
    </cfRule>
    <cfRule type="cellIs" dxfId="75" priority="2" operator="equal">
      <formula>"Ok"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57"/>
  <sheetViews>
    <sheetView showGridLines="0" topLeftCell="A25" workbookViewId="0">
      <selection activeCell="P50" sqref="P50"/>
    </sheetView>
  </sheetViews>
  <sheetFormatPr defaultColWidth="0" defaultRowHeight="11.25" zeroHeight="1" outlineLevelRow="1"/>
  <cols>
    <col min="1" max="2" width="1.5" style="25" customWidth="1"/>
    <col min="3" max="3" width="57.5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33203125" style="26" customWidth="1"/>
    <col min="10" max="10" width="10.83203125" style="26" customWidth="1"/>
    <col min="11" max="23" width="10.83203125" style="25" customWidth="1"/>
    <col min="24" max="50" width="10.5" style="25" customWidth="1"/>
    <col min="51" max="16384" width="10.5" style="25" hidden="1"/>
  </cols>
  <sheetData>
    <row r="1" spans="1:23" s="62" customFormat="1" ht="15.75">
      <c r="B1" s="63" t="str">
        <f>Index!$B$1</f>
        <v>AER opex model</v>
      </c>
      <c r="C1" s="63"/>
      <c r="D1" s="63"/>
      <c r="E1" s="63"/>
      <c r="F1" s="64"/>
      <c r="G1" s="64"/>
      <c r="H1" s="64"/>
      <c r="I1" s="64"/>
      <c r="J1" s="64"/>
      <c r="K1" s="33" t="s">
        <v>2</v>
      </c>
      <c r="M1" s="65" t="s">
        <v>3</v>
      </c>
      <c r="N1" s="66" t="s">
        <v>4</v>
      </c>
      <c r="O1" s="67" t="s">
        <v>5</v>
      </c>
      <c r="P1" s="68" t="s">
        <v>6</v>
      </c>
      <c r="S1" s="65" t="s">
        <v>86</v>
      </c>
      <c r="T1" s="69" t="str">
        <f>IF(COUNTIF(W5:W94,"Check")=0,"Ok","Check")</f>
        <v>Ok</v>
      </c>
      <c r="V1" s="157" t="s">
        <v>24</v>
      </c>
      <c r="W1" s="69" t="str">
        <f>'Check|List'!$S$1</f>
        <v>Ok</v>
      </c>
    </row>
    <row r="2" spans="1:23" s="70" customFormat="1" ht="13.5" thickBot="1">
      <c r="B2" s="71" t="str">
        <f>Index!$C$10</f>
        <v>Input | Rate of change</v>
      </c>
      <c r="C2" s="71"/>
      <c r="D2" s="71"/>
      <c r="E2" s="71"/>
      <c r="F2" s="72"/>
      <c r="G2" s="72"/>
      <c r="H2" s="72"/>
      <c r="I2" s="72"/>
      <c r="J2" s="72"/>
    </row>
    <row r="3" spans="1:23" s="73" customFormat="1">
      <c r="C3" s="74"/>
      <c r="D3" s="75"/>
      <c r="E3" s="75"/>
      <c r="F3" s="75"/>
      <c r="G3" s="75"/>
      <c r="H3" s="75"/>
      <c r="I3" s="75"/>
      <c r="J3" s="139"/>
      <c r="K3" s="228"/>
      <c r="L3" s="228"/>
      <c r="M3" s="228"/>
      <c r="N3" s="75"/>
      <c r="O3" s="228"/>
      <c r="P3" s="228"/>
      <c r="Q3" s="228"/>
      <c r="R3" s="228"/>
      <c r="S3" s="228"/>
      <c r="T3" s="228"/>
      <c r="U3" s="76"/>
      <c r="V3" s="76"/>
      <c r="W3" s="76"/>
    </row>
    <row r="4" spans="1:23" s="83" customFormat="1" ht="10.5">
      <c r="A4" s="77"/>
      <c r="B4" s="77"/>
      <c r="C4" s="77"/>
      <c r="D4" s="78" t="s">
        <v>7</v>
      </c>
      <c r="E4" s="78" t="s">
        <v>8</v>
      </c>
      <c r="F4" s="79" t="s">
        <v>22</v>
      </c>
      <c r="G4" s="80"/>
      <c r="H4" s="80"/>
      <c r="I4" s="80"/>
      <c r="J4" s="81">
        <f ca="1">IF(OFFSET('Lookup|Tables'!$G$26:$G$43,MATCH('Input|General'!$G$8,'Lookup|Tables'!$G$26:$G$42,0)-2,0,1,1)&lt;='Input|General'!$G$12,OFFSET('Lookup|Tables'!$G$26:$G$43,MATCH('Input|General'!$G$8,'Lookup|Tables'!$G$26:$G$42,0)-2,0,1,1),"")</f>
        <v>2014</v>
      </c>
      <c r="K4" s="81">
        <f>'Input|General'!$G$8</f>
        <v>2015</v>
      </c>
      <c r="L4" s="81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M4" s="81">
        <f ca="1">IF(OFFSET('Lookup|Tables'!$G$26:$G$43,MATCH('Input|General'!$G$8,'Lookup|Tables'!$G$26:$G$42,0)+1,0,1,1)&lt;='Input|General'!$G$12,OFFSET('Lookup|Tables'!$G$26:$G$43,MATCH('Input|General'!$G$8,'Lookup|Tables'!$G$26:$G$42,0)+1,0,1,1),"")</f>
        <v>2017</v>
      </c>
      <c r="N4" s="81">
        <f ca="1">IF(OFFSET('Lookup|Tables'!$G$26:$G$43,MATCH('Input|General'!$G$8,'Lookup|Tables'!$G$26:$G$42,0)+2,0,1,1)&lt;='Input|General'!$G$12,OFFSET('Lookup|Tables'!$G$26:$G$43,MATCH('Input|General'!$G$8,'Lookup|Tables'!$G$26:$G$42,0)+2,0,1,1),"")</f>
        <v>2018</v>
      </c>
      <c r="O4" s="81">
        <f ca="1">IF(OFFSET('Lookup|Tables'!$G$26:$G$43,MATCH('Input|General'!$G$8,'Lookup|Tables'!$G$26:$G$42,0)+3,0,1,1)&lt;='Input|General'!$G$12,OFFSET('Lookup|Tables'!$G$26:$G$43,MATCH('Input|General'!$G$8,'Lookup|Tables'!$G$26:$G$42,0)+3,0,1,1),"")</f>
        <v>2019</v>
      </c>
      <c r="P4" s="81">
        <f ca="1">IF(OFFSET('Lookup|Tables'!$G$26:$G$43,MATCH('Input|General'!$G$8,'Lookup|Tables'!$G$26:$G$42,0)+4,0,1,1)&lt;='Input|General'!$G$12,OFFSET('Lookup|Tables'!$G$26:$G$43,MATCH('Input|General'!$G$8,'Lookup|Tables'!$G$26:$G$42,0)+4,0,1,1),"")</f>
        <v>2020</v>
      </c>
      <c r="Q4" s="81">
        <f ca="1">IF(OFFSET('Lookup|Tables'!$G$26:$G$43,MATCH('Input|General'!$G$8,'Lookup|Tables'!$G$26:$G$42,0)+5,0,1,1)&lt;='Input|General'!$G$12,OFFSET('Lookup|Tables'!$G$26:$G$43,MATCH('Input|General'!$G$8,'Lookup|Tables'!$G$26:$G$42,0)+5,0,1,1),"")</f>
        <v>2021</v>
      </c>
      <c r="R4" s="81">
        <f ca="1">IF(OFFSET('Lookup|Tables'!$G$26:$G$43,MATCH('Input|General'!$G$8,'Lookup|Tables'!$G$26:$G$42,0)+6,0,1,1)&lt;='Input|General'!$G$12,OFFSET('Lookup|Tables'!$G$26:$G$43,MATCH('Input|General'!$G$8,'Lookup|Tables'!$G$26:$G$42,0)+6,0,1,1),"")</f>
        <v>2022</v>
      </c>
      <c r="S4" s="81">
        <f ca="1">IF(OFFSET('Lookup|Tables'!$G$26:$G$43,MATCH('Input|General'!$G$8,'Lookup|Tables'!$G$26:$G$42,0)+7,0,1,1)&lt;='Input|General'!$G$12,OFFSET('Lookup|Tables'!$G$26:$G$43,MATCH('Input|General'!$G$8,'Lookup|Tables'!$G$26:$G$42,0)+7,0,1,1),"")</f>
        <v>2023</v>
      </c>
      <c r="T4" s="81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U4" s="81"/>
      <c r="V4" s="81"/>
      <c r="W4" s="82"/>
    </row>
    <row r="5" spans="1:23" s="23" customFormat="1" ht="3" customHeight="1">
      <c r="D5" s="24"/>
      <c r="E5" s="24"/>
      <c r="F5" s="24"/>
      <c r="G5" s="24"/>
      <c r="H5" s="24"/>
      <c r="I5" s="24"/>
      <c r="J5" s="24"/>
    </row>
    <row r="6" spans="1:23" s="23" customFormat="1" ht="9" customHeight="1">
      <c r="D6" s="24"/>
      <c r="E6" s="24"/>
      <c r="F6" s="24"/>
      <c r="G6" s="24"/>
      <c r="H6" s="24"/>
      <c r="I6" s="24"/>
      <c r="J6" s="24"/>
    </row>
    <row r="7" spans="1:23" s="23" customFormat="1" ht="3" customHeight="1">
      <c r="D7" s="24"/>
      <c r="E7" s="24"/>
      <c r="F7" s="24"/>
      <c r="G7" s="24"/>
      <c r="H7" s="24"/>
      <c r="I7" s="24"/>
      <c r="J7" s="24"/>
    </row>
    <row r="8" spans="1:23" s="89" customFormat="1" ht="12.75">
      <c r="A8" s="84"/>
      <c r="B8" s="85" t="s">
        <v>34</v>
      </c>
      <c r="C8" s="84"/>
      <c r="D8" s="84"/>
      <c r="E8" s="84"/>
      <c r="F8" s="86"/>
      <c r="G8" s="86"/>
      <c r="H8" s="86"/>
      <c r="I8" s="86"/>
      <c r="J8" s="86"/>
      <c r="K8" s="87"/>
      <c r="L8" s="88"/>
      <c r="M8" s="87"/>
      <c r="N8" s="88"/>
      <c r="O8" s="87"/>
      <c r="P8" s="87"/>
      <c r="Q8" s="87"/>
      <c r="R8" s="87"/>
      <c r="S8" s="87"/>
      <c r="T8" s="87"/>
      <c r="U8" s="87"/>
      <c r="V8" s="87"/>
      <c r="W8" s="88"/>
    </row>
    <row r="9" spans="1:23" ht="11.25" customHeight="1" outlineLevel="1"/>
    <row r="10" spans="1:23" ht="11.25" customHeight="1" outlineLevel="1">
      <c r="C10" s="59" t="s">
        <v>33</v>
      </c>
      <c r="J10" s="150">
        <f ca="1">J$4</f>
        <v>2014</v>
      </c>
      <c r="K10" s="150">
        <f>K$4</f>
        <v>2015</v>
      </c>
      <c r="L10" s="150">
        <f t="shared" ref="L10:T10" ca="1" si="0">L$4</f>
        <v>2016</v>
      </c>
      <c r="M10" s="150">
        <f t="shared" ca="1" si="0"/>
        <v>2017</v>
      </c>
      <c r="N10" s="150">
        <f t="shared" ca="1" si="0"/>
        <v>2018</v>
      </c>
      <c r="O10" s="150">
        <f t="shared" ca="1" si="0"/>
        <v>2019</v>
      </c>
      <c r="P10" s="150">
        <f t="shared" ca="1" si="0"/>
        <v>2020</v>
      </c>
      <c r="Q10" s="150">
        <f t="shared" ca="1" si="0"/>
        <v>2021</v>
      </c>
      <c r="R10" s="150">
        <f t="shared" ca="1" si="0"/>
        <v>2022</v>
      </c>
      <c r="S10" s="150">
        <f t="shared" ca="1" si="0"/>
        <v>2023</v>
      </c>
      <c r="T10" s="150">
        <f t="shared" ca="1" si="0"/>
        <v>2024</v>
      </c>
    </row>
    <row r="11" spans="1:23" ht="11.25" customHeight="1" outlineLevel="1">
      <c r="C11" s="59"/>
      <c r="J11" s="25"/>
      <c r="P11" s="133"/>
      <c r="Q11" s="133"/>
      <c r="R11" s="133"/>
      <c r="S11" s="133"/>
      <c r="T11" s="133"/>
      <c r="U11" s="108"/>
      <c r="V11" s="108"/>
      <c r="W11" s="108"/>
    </row>
    <row r="12" spans="1:23" ht="11.25" customHeight="1" outlineLevel="1">
      <c r="C12" s="98" t="s">
        <v>33</v>
      </c>
      <c r="D12" s="134" t="s">
        <v>105</v>
      </c>
      <c r="E12" s="26" t="str">
        <f>percent</f>
        <v>Per cent</v>
      </c>
      <c r="J12" s="133">
        <f>'Input|Inflation'!E38/'Input|Inflation'!E34-1</f>
        <v>3.0155642023346418E-2</v>
      </c>
      <c r="K12" s="133">
        <f>'Input|Inflation'!$E42/'Input|Inflation'!$E38-1</f>
        <v>1.5108593012275628E-2</v>
      </c>
      <c r="L12" s="133">
        <f>'Input|Inflation'!E46/'Input|Inflation'!E42-1</f>
        <v>1.0232558139534831E-2</v>
      </c>
      <c r="M12" s="133">
        <f>'Input|Inflation'!E50/'Input|Inflation'!E46-1</f>
        <v>1.9337016574585641E-2</v>
      </c>
      <c r="N12" s="133">
        <f>'Input|Inflation'!E54/'Input|Inflation'!E50-1</f>
        <v>2.0000000000000018E-2</v>
      </c>
      <c r="O12" s="133">
        <f>'Input|Inflation'!E58/'Input|Inflation'!E54-1</f>
        <v>2.2499999999999964E-2</v>
      </c>
      <c r="P12" s="133"/>
      <c r="Q12" s="133"/>
      <c r="R12" s="133"/>
      <c r="S12" s="133"/>
      <c r="T12" s="133"/>
      <c r="U12" s="135"/>
    </row>
    <row r="13" spans="1:23" ht="11.25" customHeight="1" outlineLevel="1">
      <c r="D13" s="25"/>
      <c r="E13" s="25"/>
      <c r="F13" s="25"/>
      <c r="G13" s="25"/>
      <c r="H13" s="25"/>
      <c r="I13" s="25"/>
      <c r="J13" s="25"/>
    </row>
    <row r="14" spans="1:23" ht="11.25" customHeight="1" outlineLevel="1">
      <c r="C14" s="59" t="s">
        <v>106</v>
      </c>
      <c r="I14" s="25"/>
      <c r="J14" s="150">
        <f ca="1">J$4</f>
        <v>2014</v>
      </c>
      <c r="K14" s="150">
        <f>K$4</f>
        <v>2015</v>
      </c>
      <c r="L14" s="150">
        <f ca="1">L4</f>
        <v>2016</v>
      </c>
      <c r="M14" s="150">
        <f ca="1">M4</f>
        <v>2017</v>
      </c>
      <c r="N14" s="150">
        <f ca="1">N4</f>
        <v>2018</v>
      </c>
      <c r="O14" s="150">
        <f ca="1">O4</f>
        <v>2019</v>
      </c>
      <c r="P14" s="22"/>
      <c r="Q14" s="22"/>
      <c r="R14" s="22"/>
      <c r="S14" s="22"/>
      <c r="T14" s="22"/>
    </row>
    <row r="15" spans="1:23" ht="11.25" customHeight="1" outlineLevel="1">
      <c r="C15" s="59"/>
      <c r="I15" s="25"/>
      <c r="J15" s="108"/>
      <c r="K15" s="108"/>
      <c r="L15" s="108"/>
      <c r="M15" s="108"/>
      <c r="N15" s="108"/>
      <c r="O15" s="108"/>
      <c r="P15" s="22"/>
      <c r="Q15" s="22"/>
      <c r="R15" s="22"/>
      <c r="S15" s="22"/>
      <c r="T15" s="22"/>
    </row>
    <row r="16" spans="1:23" ht="11.25" customHeight="1" outlineLevel="1">
      <c r="C16" s="156">
        <f t="array" ref="C16:C21" ca="1">TRANSPOSE(J10:O10)</f>
        <v>2014</v>
      </c>
      <c r="D16" s="134" t="s">
        <v>105</v>
      </c>
      <c r="E16" s="26" t="s">
        <v>87</v>
      </c>
      <c r="J16" s="19">
        <v>1</v>
      </c>
      <c r="K16" s="19">
        <f>J16*(1+K$12)</f>
        <v>1.0151085930122756</v>
      </c>
      <c r="L16" s="19">
        <f>K16*(1+L$12)</f>
        <v>1.0254957507082152</v>
      </c>
      <c r="M16" s="19">
        <f>L16*(1+M$12)</f>
        <v>1.0453257790368271</v>
      </c>
      <c r="N16" s="19">
        <f>M16*(1+N$12)</f>
        <v>1.0662322946175637</v>
      </c>
      <c r="O16" s="19">
        <f>N16*(1+O$12)</f>
        <v>1.0902225212464589</v>
      </c>
      <c r="P16" s="131"/>
    </row>
    <row r="17" spans="1:23" ht="11.25" customHeight="1" outlineLevel="1">
      <c r="C17" s="156">
        <v>2015</v>
      </c>
      <c r="D17" s="134" t="s">
        <v>105</v>
      </c>
      <c r="E17" s="26" t="s">
        <v>87</v>
      </c>
      <c r="I17" s="19"/>
      <c r="J17" s="19">
        <f>K17/(1+K$12)</f>
        <v>0.98511627906976751</v>
      </c>
      <c r="K17" s="19">
        <v>1</v>
      </c>
      <c r="L17" s="19">
        <f>K17*(1+L$12)</f>
        <v>1.0102325581395348</v>
      </c>
      <c r="M17" s="19">
        <f>L17*(1+M$12)</f>
        <v>1.029767441860465</v>
      </c>
      <c r="N17" s="19">
        <f>M17*(1+N$12)</f>
        <v>1.0503627906976742</v>
      </c>
      <c r="O17" s="19">
        <f>N17*(1+O$12)</f>
        <v>1.0739959534883718</v>
      </c>
      <c r="P17" s="131"/>
    </row>
    <row r="18" spans="1:23" ht="11.25" customHeight="1" outlineLevel="1">
      <c r="C18" s="156">
        <f ca="1"/>
        <v>2016</v>
      </c>
      <c r="D18" s="134" t="s">
        <v>105</v>
      </c>
      <c r="E18" s="26" t="s">
        <v>87</v>
      </c>
      <c r="I18" s="19"/>
      <c r="J18" s="19">
        <f>K18/(1+K$12)</f>
        <v>0.97513812154696156</v>
      </c>
      <c r="K18" s="19">
        <f>L18/(1+L$12)</f>
        <v>0.98987108655616951</v>
      </c>
      <c r="L18" s="19">
        <v>1</v>
      </c>
      <c r="M18" s="19">
        <f>L18*(1+M$12)</f>
        <v>1.0193370165745856</v>
      </c>
      <c r="N18" s="19">
        <f>M18*(1+N$12)</f>
        <v>1.0397237569060773</v>
      </c>
      <c r="O18" s="19">
        <f>N18*(1+O$12)</f>
        <v>1.063117541436464</v>
      </c>
      <c r="P18" s="131"/>
    </row>
    <row r="19" spans="1:23" ht="11.25" customHeight="1" outlineLevel="1">
      <c r="C19" s="156">
        <f ca="1"/>
        <v>2017</v>
      </c>
      <c r="D19" s="134" t="s">
        <v>105</v>
      </c>
      <c r="E19" s="26" t="s">
        <v>87</v>
      </c>
      <c r="I19" s="19"/>
      <c r="J19" s="19">
        <f t="shared" ref="J19:N21" si="1">K19/(1+K$12)</f>
        <v>0.95663956639566416</v>
      </c>
      <c r="K19" s="19">
        <f t="shared" si="1"/>
        <v>0.97109304426377607</v>
      </c>
      <c r="L19" s="19">
        <f t="shared" si="1"/>
        <v>0.98102981029810299</v>
      </c>
      <c r="M19" s="19">
        <v>1</v>
      </c>
      <c r="N19" s="19">
        <f>M19*(1+N$12)</f>
        <v>1.02</v>
      </c>
      <c r="O19" s="19">
        <f>N19*(1+O$12)</f>
        <v>1.04295</v>
      </c>
      <c r="P19" s="131"/>
    </row>
    <row r="20" spans="1:23" ht="11.25" customHeight="1" outlineLevel="1">
      <c r="C20" s="156">
        <f ca="1"/>
        <v>2018</v>
      </c>
      <c r="D20" s="134" t="s">
        <v>105</v>
      </c>
      <c r="E20" s="26" t="s">
        <v>87</v>
      </c>
      <c r="I20" s="19"/>
      <c r="J20" s="19">
        <f t="shared" si="1"/>
        <v>0.93788192783888624</v>
      </c>
      <c r="K20" s="19">
        <f t="shared" si="1"/>
        <v>0.95205200418017244</v>
      </c>
      <c r="L20" s="19">
        <f t="shared" si="1"/>
        <v>0.96179393166480676</v>
      </c>
      <c r="M20" s="19">
        <f t="shared" si="1"/>
        <v>0.98039215686274506</v>
      </c>
      <c r="N20" s="19">
        <v>1</v>
      </c>
      <c r="O20" s="19">
        <f>N20*(1+O$12)</f>
        <v>1.0225</v>
      </c>
      <c r="P20" s="131"/>
      <c r="Q20" s="136"/>
    </row>
    <row r="21" spans="1:23" ht="11.25" customHeight="1" outlineLevel="1">
      <c r="C21" s="156">
        <f ca="1"/>
        <v>2019</v>
      </c>
      <c r="D21" s="134" t="s">
        <v>105</v>
      </c>
      <c r="E21" s="26" t="s">
        <v>87</v>
      </c>
      <c r="I21" s="19"/>
      <c r="J21" s="19">
        <f t="shared" si="1"/>
        <v>0.91724393920673475</v>
      </c>
      <c r="K21" s="19">
        <f t="shared" si="1"/>
        <v>0.93110220457718584</v>
      </c>
      <c r="L21" s="19">
        <f t="shared" si="1"/>
        <v>0.94062976201937099</v>
      </c>
      <c r="M21" s="19">
        <f t="shared" si="1"/>
        <v>0.95881873531808814</v>
      </c>
      <c r="N21" s="19">
        <f t="shared" si="1"/>
        <v>0.97799511002444994</v>
      </c>
      <c r="O21" s="19">
        <v>1</v>
      </c>
    </row>
    <row r="22" spans="1:23" ht="11.25" customHeight="1" outlineLevel="1">
      <c r="C22" s="9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3" ht="11.25" customHeight="1" outlineLevel="1">
      <c r="C23" s="59" t="s">
        <v>46</v>
      </c>
      <c r="J23" s="150">
        <f t="shared" ref="J23:O23" ca="1" si="2">J10</f>
        <v>2014</v>
      </c>
      <c r="K23" s="150">
        <f t="shared" si="2"/>
        <v>2015</v>
      </c>
      <c r="L23" s="150">
        <f t="shared" ca="1" si="2"/>
        <v>2016</v>
      </c>
      <c r="M23" s="150">
        <f t="shared" ca="1" si="2"/>
        <v>2017</v>
      </c>
      <c r="N23" s="150">
        <f t="shared" ca="1" si="2"/>
        <v>2018</v>
      </c>
      <c r="O23" s="150">
        <f t="shared" ca="1" si="2"/>
        <v>2019</v>
      </c>
      <c r="P23" s="19"/>
      <c r="Q23" s="19"/>
      <c r="R23" s="19"/>
      <c r="S23" s="19"/>
      <c r="T23" s="19"/>
    </row>
    <row r="24" spans="1:23" ht="11.25" customHeight="1" outlineLevel="1">
      <c r="C24" s="98"/>
      <c r="J24" s="25"/>
      <c r="P24" s="131"/>
      <c r="Q24" s="19"/>
      <c r="R24" s="19"/>
      <c r="S24" s="19"/>
      <c r="T24" s="19"/>
    </row>
    <row r="25" spans="1:23" ht="11.25" customHeight="1" outlineLevel="1">
      <c r="C25" s="156">
        <f t="array" ref="C25:C30" ca="1">TRANSPOSE(J10:O10)</f>
        <v>2014</v>
      </c>
      <c r="D25" s="134" t="s">
        <v>105</v>
      </c>
      <c r="E25" s="26" t="s">
        <v>87</v>
      </c>
      <c r="I25" s="19"/>
      <c r="J25" s="19">
        <f t="shared" ref="J25:O30" si="3">1/J16*(1+J$12)^0.5</f>
        <v>1.0149658329339695</v>
      </c>
      <c r="K25" s="19">
        <f t="shared" si="3"/>
        <v>0.99253024088426012</v>
      </c>
      <c r="L25" s="19">
        <f t="shared" si="3"/>
        <v>0.98011450243194831</v>
      </c>
      <c r="M25" s="19">
        <f t="shared" si="3"/>
        <v>0.96584455776929623</v>
      </c>
      <c r="N25" s="19">
        <f t="shared" si="3"/>
        <v>0.94721431618093777</v>
      </c>
      <c r="O25" s="19">
        <f t="shared" si="3"/>
        <v>0.92750553313807593</v>
      </c>
      <c r="P25" s="131"/>
      <c r="Q25" s="136"/>
      <c r="R25" s="136"/>
      <c r="S25" s="136"/>
      <c r="T25" s="136"/>
      <c r="U25" s="136"/>
      <c r="V25" s="136"/>
    </row>
    <row r="26" spans="1:23" ht="11.25" customHeight="1" outlineLevel="1">
      <c r="C26" s="156">
        <v>2015</v>
      </c>
      <c r="D26" s="134" t="s">
        <v>105</v>
      </c>
      <c r="E26" s="26" t="s">
        <v>87</v>
      </c>
      <c r="I26" s="19"/>
      <c r="J26" s="19">
        <f t="shared" si="3"/>
        <v>1.030300538625134</v>
      </c>
      <c r="K26" s="19">
        <f t="shared" si="3"/>
        <v>1.0075259763461564</v>
      </c>
      <c r="L26" s="19">
        <f t="shared" si="3"/>
        <v>0.99492265355462162</v>
      </c>
      <c r="M26" s="19">
        <f t="shared" si="3"/>
        <v>0.98043711010575396</v>
      </c>
      <c r="N26" s="19">
        <f t="shared" si="3"/>
        <v>0.96152539177951679</v>
      </c>
      <c r="O26" s="19">
        <f t="shared" si="3"/>
        <v>0.94151883675489312</v>
      </c>
      <c r="P26" s="131"/>
      <c r="Q26" s="136"/>
      <c r="R26" s="136"/>
      <c r="S26" s="136"/>
      <c r="T26" s="136"/>
      <c r="U26" s="136"/>
      <c r="V26" s="136"/>
    </row>
    <row r="27" spans="1:23" ht="11.25" customHeight="1" outlineLevel="1">
      <c r="C27" s="156">
        <f ca="1"/>
        <v>2016</v>
      </c>
      <c r="D27" s="134" t="s">
        <v>105</v>
      </c>
      <c r="E27" s="26" t="s">
        <v>87</v>
      </c>
      <c r="I27" s="19"/>
      <c r="J27" s="19">
        <f t="shared" si="3"/>
        <v>1.0408431487878098</v>
      </c>
      <c r="K27" s="19">
        <f t="shared" si="3"/>
        <v>1.0178355444762099</v>
      </c>
      <c r="L27" s="19">
        <f t="shared" si="3"/>
        <v>1.0051032574514596</v>
      </c>
      <c r="M27" s="19">
        <f t="shared" si="3"/>
        <v>0.99046948983706851</v>
      </c>
      <c r="N27" s="19">
        <f t="shared" si="3"/>
        <v>0.97136425625353962</v>
      </c>
      <c r="O27" s="19">
        <f t="shared" si="3"/>
        <v>0.95115298299145479</v>
      </c>
      <c r="P27" s="131"/>
      <c r="Q27" s="136"/>
      <c r="R27" s="136"/>
      <c r="S27" s="136"/>
      <c r="T27" s="136"/>
      <c r="U27" s="136"/>
      <c r="V27" s="136"/>
    </row>
    <row r="28" spans="1:23" ht="11.25" customHeight="1" outlineLevel="1">
      <c r="C28" s="156">
        <f ca="1"/>
        <v>2017</v>
      </c>
      <c r="D28" s="134" t="s">
        <v>105</v>
      </c>
      <c r="E28" s="26" t="s">
        <v>87</v>
      </c>
      <c r="I28" s="19"/>
      <c r="J28" s="19">
        <f t="shared" si="3"/>
        <v>1.0609699500074634</v>
      </c>
      <c r="K28" s="19">
        <f t="shared" si="3"/>
        <v>1.0375174472699489</v>
      </c>
      <c r="L28" s="19">
        <f t="shared" si="3"/>
        <v>1.0245389557999685</v>
      </c>
      <c r="M28" s="19">
        <f t="shared" si="3"/>
        <v>1.0096222147786693</v>
      </c>
      <c r="N28" s="19">
        <f t="shared" si="3"/>
        <v>0.99014754297667429</v>
      </c>
      <c r="O28" s="19">
        <f t="shared" si="3"/>
        <v>0.96954544398852682</v>
      </c>
      <c r="P28" s="131"/>
      <c r="Q28" s="136"/>
      <c r="R28" s="136"/>
      <c r="S28" s="136"/>
      <c r="T28" s="136"/>
      <c r="U28" s="136"/>
      <c r="V28" s="136"/>
    </row>
    <row r="29" spans="1:23" ht="11.25" customHeight="1" outlineLevel="1">
      <c r="C29" s="156">
        <f ca="1"/>
        <v>2018</v>
      </c>
      <c r="D29" s="134" t="s">
        <v>105</v>
      </c>
      <c r="E29" s="26" t="s">
        <v>87</v>
      </c>
      <c r="I29" s="19"/>
      <c r="J29" s="19">
        <f t="shared" si="3"/>
        <v>1.0821893490076131</v>
      </c>
      <c r="K29" s="19">
        <f t="shared" si="3"/>
        <v>1.0582677962153479</v>
      </c>
      <c r="L29" s="19">
        <f t="shared" si="3"/>
        <v>1.0450297349159681</v>
      </c>
      <c r="M29" s="19">
        <f t="shared" si="3"/>
        <v>1.0298146590742427</v>
      </c>
      <c r="N29" s="19">
        <f t="shared" si="3"/>
        <v>1.0099504938362078</v>
      </c>
      <c r="O29" s="19">
        <f t="shared" si="3"/>
        <v>0.98893635286829762</v>
      </c>
      <c r="Q29" s="136"/>
      <c r="R29" s="136"/>
      <c r="S29" s="136"/>
      <c r="T29" s="136"/>
      <c r="U29" s="136"/>
      <c r="V29" s="136"/>
    </row>
    <row r="30" spans="1:23" ht="11.25" customHeight="1" outlineLevel="1">
      <c r="C30" s="156">
        <f ca="1"/>
        <v>2019</v>
      </c>
      <c r="D30" s="134" t="s">
        <v>105</v>
      </c>
      <c r="E30" s="26" t="s">
        <v>87</v>
      </c>
      <c r="I30" s="19"/>
      <c r="J30" s="19">
        <f t="shared" si="3"/>
        <v>1.1065386093602845</v>
      </c>
      <c r="K30" s="19">
        <f t="shared" si="3"/>
        <v>1.0820788216301933</v>
      </c>
      <c r="L30" s="19">
        <f t="shared" si="3"/>
        <v>1.0685429039515772</v>
      </c>
      <c r="M30" s="19">
        <f t="shared" si="3"/>
        <v>1.0529854889034131</v>
      </c>
      <c r="N30" s="19">
        <f t="shared" si="3"/>
        <v>1.0326743799475224</v>
      </c>
      <c r="O30" s="19">
        <f t="shared" si="3"/>
        <v>1.0111874208078342</v>
      </c>
      <c r="P30" s="131"/>
      <c r="Q30" s="136"/>
      <c r="R30" s="136"/>
      <c r="S30" s="136"/>
      <c r="T30" s="136"/>
      <c r="U30" s="136"/>
      <c r="V30" s="136"/>
    </row>
    <row r="31" spans="1:23">
      <c r="C31" s="98"/>
      <c r="K31" s="19"/>
      <c r="L31" s="19"/>
      <c r="M31" s="19"/>
      <c r="N31" s="19"/>
      <c r="O31" s="19"/>
      <c r="P31" s="22"/>
      <c r="Q31" s="19"/>
      <c r="R31" s="19"/>
      <c r="S31" s="19"/>
      <c r="T31" s="19"/>
    </row>
    <row r="32" spans="1:23" s="89" customFormat="1" ht="12.75">
      <c r="A32" s="84"/>
      <c r="B32" s="85" t="s">
        <v>81</v>
      </c>
      <c r="C32" s="84"/>
      <c r="D32" s="84"/>
      <c r="E32" s="84"/>
      <c r="F32" s="86"/>
      <c r="G32" s="86"/>
      <c r="H32" s="86"/>
      <c r="I32" s="86"/>
      <c r="J32" s="86"/>
      <c r="K32" s="87"/>
      <c r="L32" s="88"/>
      <c r="M32" s="87"/>
      <c r="N32" s="88"/>
      <c r="O32" s="87"/>
      <c r="P32" s="87"/>
      <c r="Q32" s="87"/>
      <c r="R32" s="87"/>
      <c r="S32" s="87"/>
      <c r="T32" s="87"/>
      <c r="U32" s="87"/>
      <c r="V32" s="87"/>
      <c r="W32" s="88"/>
    </row>
    <row r="33" spans="3:21" ht="11.25" customHeight="1" outlineLevel="1"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3:21" ht="11.25" customHeight="1" outlineLevel="1">
      <c r="C34" s="59" t="s">
        <v>84</v>
      </c>
      <c r="D34" s="28" t="s">
        <v>7</v>
      </c>
      <c r="E34" s="28" t="s">
        <v>8</v>
      </c>
      <c r="K34" s="92" t="str">
        <f>IF(RIGHT(K$4,2)&gt;=RIGHT('Input|General'!$G$11,2),IF(RIGHT(K$4,2)&lt;=RIGHT('Input|General'!$G$12,2),K$4,""),"")</f>
        <v/>
      </c>
      <c r="L34" s="92" t="str">
        <f ca="1">IF(RIGHT(L$4,2)&gt;=RIGHT('Input|General'!$G$11,2),IF(RIGHT(L$4,2)&lt;=RIGHT('Input|General'!$G$12,2),L$4,""),"")</f>
        <v/>
      </c>
      <c r="M34" s="92" t="str">
        <f ca="1">IF(RIGHT(M$4,2)&gt;=RIGHT('Input|General'!$G$11,2),IF(RIGHT(M$4,2)&lt;=RIGHT('Input|General'!$G$12,2),M$4,""),"")</f>
        <v/>
      </c>
      <c r="N34" s="92" t="str">
        <f ca="1">IF(RIGHT(N$4,2)&gt;=RIGHT('Input|General'!$G$11,2),IF(RIGHT(N$4,2)&lt;=RIGHT('Input|General'!$G$12,2),N$4,""),"")</f>
        <v/>
      </c>
      <c r="O34" s="92" t="str">
        <f ca="1">IF(RIGHT(O$4,2)&gt;=RIGHT('Input|General'!$G$11,2),IF(RIGHT(O$4,2)&lt;=RIGHT('Input|General'!$G$12,2),O$4,""),"")</f>
        <v/>
      </c>
      <c r="P34" s="150">
        <f ca="1">IF(RIGHT(P$4,2)&gt;=RIGHT('Input|General'!$G$11,2),IF(RIGHT(P$4,2)&lt;=RIGHT('Input|General'!$G$12,2),P$4,""),"")</f>
        <v>2020</v>
      </c>
      <c r="Q34" s="150">
        <f ca="1">IF(RIGHT(Q$4,2)&gt;=RIGHT('Input|General'!$G$11,2),IF(RIGHT(Q$4,2)&lt;=RIGHT('Input|General'!$G$12,2),Q$4,""),"")</f>
        <v>2021</v>
      </c>
      <c r="R34" s="150">
        <f ca="1">IF(RIGHT(R$4,2)&gt;=RIGHT('Input|General'!$G$11,2),IF(RIGHT(R$4,2)&lt;=RIGHT('Input|General'!$G$12,2),R$4,""),"")</f>
        <v>2022</v>
      </c>
      <c r="S34" s="150">
        <f ca="1">IF(RIGHT(S$4,2)&gt;=RIGHT('Input|General'!$G$11,2),IF(RIGHT(S$4,2)&lt;=RIGHT('Input|General'!$G$12,2),S$4,""),"")</f>
        <v>2023</v>
      </c>
      <c r="T34" s="150">
        <f ca="1">IF(RIGHT(T$4,2)&gt;=RIGHT('Input|General'!$G$11,2),IF(RIGHT(T$4,2)&lt;=RIGHT('Input|General'!$G$12,2),T$4,""),"")</f>
        <v>2024</v>
      </c>
    </row>
    <row r="35" spans="3:21" ht="11.25" customHeight="1" outlineLevel="1"/>
    <row r="36" spans="3:21" ht="11.25" customHeight="1" outlineLevel="1">
      <c r="C36" s="170" t="s">
        <v>133</v>
      </c>
      <c r="D36" s="26" t="s">
        <v>125</v>
      </c>
      <c r="E36" s="26" t="str">
        <f t="shared" ref="E36:E43" si="4">percent</f>
        <v>Per cent</v>
      </c>
      <c r="P36" s="50">
        <f>'[1]Input|Rate of change'!P36</f>
        <v>0.01</v>
      </c>
      <c r="Q36" s="50">
        <f>'[1]Input|Rate of change'!Q36</f>
        <v>8.9999999999999993E-3</v>
      </c>
      <c r="R36" s="50">
        <f>'[1]Input|Rate of change'!R36</f>
        <v>8.9999999999999993E-3</v>
      </c>
      <c r="S36" s="50">
        <f>'[1]Input|Rate of change'!S36</f>
        <v>0.01</v>
      </c>
      <c r="T36" s="50">
        <f>'[1]Input|Rate of change'!T36</f>
        <v>9.4999999999999998E-3</v>
      </c>
    </row>
    <row r="37" spans="3:21" ht="11.25" customHeight="1" outlineLevel="1">
      <c r="C37" s="170" t="s">
        <v>139</v>
      </c>
      <c r="D37" s="26" t="s">
        <v>140</v>
      </c>
      <c r="E37" s="26" t="str">
        <f t="shared" si="4"/>
        <v>Per cent</v>
      </c>
      <c r="P37" s="50">
        <f>'[1]Input|Rate of change'!P37</f>
        <v>8.0000000000000002E-3</v>
      </c>
      <c r="Q37" s="50">
        <f>'[1]Input|Rate of change'!Q37</f>
        <v>1.0999999999999999E-2</v>
      </c>
      <c r="R37" s="50">
        <f>'[1]Input|Rate of change'!R37</f>
        <v>1.4999999999999999E-2</v>
      </c>
      <c r="S37" s="50">
        <f>'[1]Input|Rate of change'!S37</f>
        <v>1.6E-2</v>
      </c>
      <c r="T37" s="50">
        <f>'[1]Input|Rate of change'!T37</f>
        <v>1.2500000000000001E-2</v>
      </c>
    </row>
    <row r="38" spans="3:21" ht="11.25" customHeight="1" outlineLevel="1">
      <c r="C38" s="170" t="s">
        <v>141</v>
      </c>
      <c r="D38" s="163" t="s">
        <v>105</v>
      </c>
      <c r="E38" s="26" t="str">
        <f t="shared" si="4"/>
        <v>Per cent</v>
      </c>
      <c r="P38" s="50">
        <f>'[1]Input|Rate of change'!P38</f>
        <v>9.0000000000000011E-3</v>
      </c>
      <c r="Q38" s="50">
        <f>'[1]Input|Rate of change'!Q38</f>
        <v>9.9999999999999985E-3</v>
      </c>
      <c r="R38" s="50">
        <f>'[1]Input|Rate of change'!R38</f>
        <v>1.2E-2</v>
      </c>
      <c r="S38" s="50">
        <f>'[1]Input|Rate of change'!S38</f>
        <v>1.3000000000000001E-2</v>
      </c>
      <c r="T38" s="50">
        <f>'[1]Input|Rate of change'!T38</f>
        <v>1.0999999999999999E-2</v>
      </c>
    </row>
    <row r="39" spans="3:21" ht="11.25" customHeight="1" outlineLevel="1">
      <c r="C39" s="170" t="s">
        <v>142</v>
      </c>
      <c r="D39" s="163" t="s">
        <v>125</v>
      </c>
      <c r="E39" s="163" t="str">
        <f t="shared" ref="E39" si="5">percent</f>
        <v>Per cent</v>
      </c>
      <c r="F39" s="163"/>
      <c r="G39" s="163"/>
      <c r="H39" s="163"/>
      <c r="I39" s="163"/>
      <c r="J39" s="163"/>
      <c r="P39" s="227">
        <v>-2.2599563933415334E-3</v>
      </c>
      <c r="Q39" s="227">
        <v>-2.0505127034251558E-3</v>
      </c>
      <c r="R39" s="227">
        <v>2.8959438294453577E-3</v>
      </c>
      <c r="S39" s="227">
        <v>5.3225950643132069E-3</v>
      </c>
      <c r="T39" s="227">
        <v>5.8177971920496674E-3</v>
      </c>
      <c r="U39" s="137"/>
    </row>
    <row r="40" spans="3:21" ht="11.25" customHeight="1" outlineLevel="1">
      <c r="C40" s="51"/>
      <c r="E40" s="26" t="str">
        <f t="shared" si="4"/>
        <v>Per cent</v>
      </c>
      <c r="P40" s="50">
        <f>'[1]Input|Rate of change'!P40</f>
        <v>0</v>
      </c>
      <c r="Q40" s="50">
        <f>'[1]Input|Rate of change'!Q40</f>
        <v>0</v>
      </c>
      <c r="R40" s="50">
        <f>'[1]Input|Rate of change'!R40</f>
        <v>0</v>
      </c>
      <c r="S40" s="50">
        <f>'[1]Input|Rate of change'!S40</f>
        <v>0</v>
      </c>
      <c r="T40" s="50">
        <f>'[1]Input|Rate of change'!T40</f>
        <v>0</v>
      </c>
    </row>
    <row r="41" spans="3:21" ht="11.25" customHeight="1" outlineLevel="1">
      <c r="C41" s="51"/>
      <c r="E41" s="26" t="str">
        <f t="shared" si="4"/>
        <v>Per cent</v>
      </c>
      <c r="P41" s="50">
        <f>'[1]Input|Rate of change'!P41</f>
        <v>0</v>
      </c>
      <c r="Q41" s="50">
        <f>'[1]Input|Rate of change'!Q41</f>
        <v>0</v>
      </c>
      <c r="R41" s="50">
        <f>'[1]Input|Rate of change'!R41</f>
        <v>0</v>
      </c>
      <c r="S41" s="50">
        <f>'[1]Input|Rate of change'!S41</f>
        <v>0</v>
      </c>
      <c r="T41" s="50">
        <f>'[1]Input|Rate of change'!T41</f>
        <v>0</v>
      </c>
    </row>
    <row r="42" spans="3:21" ht="11.25" customHeight="1" outlineLevel="1">
      <c r="C42" s="51"/>
      <c r="E42" s="26" t="str">
        <f t="shared" si="4"/>
        <v>Per cent</v>
      </c>
      <c r="P42" s="50">
        <f>'[1]Input|Rate of change'!P42</f>
        <v>0</v>
      </c>
      <c r="Q42" s="50">
        <f>'[1]Input|Rate of change'!Q42</f>
        <v>0</v>
      </c>
      <c r="R42" s="50">
        <f>'[1]Input|Rate of change'!R42</f>
        <v>0</v>
      </c>
      <c r="S42" s="50">
        <f>'[1]Input|Rate of change'!S42</f>
        <v>0</v>
      </c>
      <c r="T42" s="50">
        <f>'[1]Input|Rate of change'!T42</f>
        <v>0</v>
      </c>
    </row>
    <row r="43" spans="3:21" ht="11.25" customHeight="1" outlineLevel="1">
      <c r="C43" s="51" t="s">
        <v>85</v>
      </c>
      <c r="E43" s="26" t="str">
        <f t="shared" si="4"/>
        <v>Per cent</v>
      </c>
      <c r="P43" s="50">
        <f>'[1]Input|Rate of change'!P43</f>
        <v>0</v>
      </c>
      <c r="Q43" s="50">
        <f>'[1]Input|Rate of change'!Q43</f>
        <v>0</v>
      </c>
      <c r="R43" s="50">
        <f>'[1]Input|Rate of change'!R43</f>
        <v>0</v>
      </c>
      <c r="S43" s="50">
        <f>'[1]Input|Rate of change'!S43</f>
        <v>0</v>
      </c>
      <c r="T43" s="50">
        <f>'[1]Input|Rate of change'!T43</f>
        <v>0</v>
      </c>
    </row>
    <row r="44" spans="3:21" ht="11.25" customHeight="1" outlineLevel="1"/>
    <row r="45" spans="3:21" ht="11.25" customHeight="1" outlineLevel="1">
      <c r="C45" s="59" t="s">
        <v>42</v>
      </c>
      <c r="D45" s="28" t="s">
        <v>7</v>
      </c>
      <c r="E45" s="28" t="s">
        <v>8</v>
      </c>
      <c r="K45" s="92" t="str">
        <f>IF(RIGHT(K$4,2)&gt;=RIGHT('Input|General'!$G$11,2),IF(RIGHT(K$4,2)&lt;=RIGHT('Input|General'!$G$12,2),K$4,""),"")</f>
        <v/>
      </c>
      <c r="L45" s="92" t="str">
        <f ca="1">IF(RIGHT(L$4,2)&gt;=RIGHT('Input|General'!$G$11,2),IF(RIGHT(L$4,2)&lt;=RIGHT('Input|General'!$G$12,2),L$4,""),"")</f>
        <v/>
      </c>
      <c r="M45" s="92" t="str">
        <f ca="1">IF(RIGHT(M$4,2)&gt;=RIGHT('Input|General'!$G$11,2),IF(RIGHT(M$4,2)&lt;=RIGHT('Input|General'!$G$12,2),M$4,""),"")</f>
        <v/>
      </c>
      <c r="N45" s="92" t="str">
        <f ca="1">IF(RIGHT(N$4,2)&gt;=RIGHT('Input|General'!$G$11,2),IF(RIGHT(N$4,2)&lt;=RIGHT('Input|General'!$G$12,2),N$4,""),"")</f>
        <v/>
      </c>
      <c r="O45" s="92" t="str">
        <f ca="1">IF(RIGHT(O$4,2)&gt;=RIGHT('Input|General'!$G$11,2),IF(RIGHT(O$4,2)&lt;=RIGHT('Input|General'!$G$12,2),O$4,""),"")</f>
        <v/>
      </c>
      <c r="P45" s="150">
        <f ca="1">IF(RIGHT(P$4,2)&gt;=RIGHT('Input|General'!$G$11,2),IF(RIGHT(P$4,2)&lt;=RIGHT('Input|General'!$G$12,2),P$4,""),"")</f>
        <v>2020</v>
      </c>
      <c r="Q45" s="150">
        <f ca="1">IF(RIGHT(Q$4,2)&gt;=RIGHT('Input|General'!$G$11,2),IF(RIGHT(Q$4,2)&lt;=RIGHT('Input|General'!$G$12,2),Q$4,""),"")</f>
        <v>2021</v>
      </c>
      <c r="R45" s="150">
        <f ca="1">IF(RIGHT(R$4,2)&gt;=RIGHT('Input|General'!$G$11,2),IF(RIGHT(R$4,2)&lt;=RIGHT('Input|General'!$G$12,2),R$4,""),"")</f>
        <v>2022</v>
      </c>
      <c r="S45" s="150">
        <f ca="1">IF(RIGHT(S$4,2)&gt;=RIGHT('Input|General'!$G$11,2),IF(RIGHT(S$4,2)&lt;=RIGHT('Input|General'!$G$12,2),S$4,""),"")</f>
        <v>2023</v>
      </c>
      <c r="T45" s="150">
        <f ca="1">IF(RIGHT(T$4,2)&gt;=RIGHT('Input|General'!$G$11,2),IF(RIGHT(T$4,2)&lt;=RIGHT('Input|General'!$G$12,2),T$4,""),"")</f>
        <v>2024</v>
      </c>
    </row>
    <row r="46" spans="3:21" ht="11.25" customHeight="1" outlineLevel="1"/>
    <row r="47" spans="3:21" ht="11.25" customHeight="1" outlineLevel="1">
      <c r="C47" s="138" t="str">
        <f>C36</f>
        <v>WPI - DAE (6 February 2017)</v>
      </c>
      <c r="D47" s="26" t="s">
        <v>123</v>
      </c>
      <c r="E47" s="26" t="str">
        <f t="shared" ref="E47:E54" si="6">percent</f>
        <v>Per cent</v>
      </c>
      <c r="P47" s="50">
        <f>'[1]Input|Rate of change'!P47</f>
        <v>0</v>
      </c>
      <c r="Q47" s="50">
        <f>'[1]Input|Rate of change'!Q47</f>
        <v>0</v>
      </c>
      <c r="R47" s="50">
        <f>'[1]Input|Rate of change'!R47</f>
        <v>0</v>
      </c>
      <c r="S47" s="50">
        <f>'[1]Input|Rate of change'!S47</f>
        <v>0</v>
      </c>
      <c r="T47" s="50">
        <f>'[1]Input|Rate of change'!T47</f>
        <v>0</v>
      </c>
    </row>
    <row r="48" spans="3:21" ht="11.25" customHeight="1" outlineLevel="1">
      <c r="C48" s="138" t="str">
        <f t="shared" ref="C48:C54" si="7">C37</f>
        <v>WPI - BIS Shrapnel (October 2016)</v>
      </c>
      <c r="D48" s="26" t="s">
        <v>123</v>
      </c>
      <c r="E48" s="26" t="str">
        <f t="shared" si="6"/>
        <v>Per cent</v>
      </c>
      <c r="P48" s="50">
        <f>'[1]Input|Rate of change'!P48</f>
        <v>0</v>
      </c>
      <c r="Q48" s="50">
        <f>'[1]Input|Rate of change'!Q48</f>
        <v>0</v>
      </c>
      <c r="R48" s="50">
        <f>'[1]Input|Rate of change'!R48</f>
        <v>0</v>
      </c>
      <c r="S48" s="50">
        <f>'[1]Input|Rate of change'!S48</f>
        <v>0</v>
      </c>
      <c r="T48" s="50">
        <f>'[1]Input|Rate of change'!T48</f>
        <v>0</v>
      </c>
    </row>
    <row r="49" spans="1:23" ht="11.25" customHeight="1" outlineLevel="1">
      <c r="C49" s="171" t="str">
        <f t="shared" si="7"/>
        <v xml:space="preserve">WPI - average of DAE and BIS Shrapnel </v>
      </c>
      <c r="D49" s="163" t="s">
        <v>126</v>
      </c>
      <c r="E49" s="163" t="str">
        <f t="shared" ref="E49:E50" si="8">percent</f>
        <v>Per cent</v>
      </c>
      <c r="F49" s="163"/>
      <c r="G49" s="163"/>
      <c r="H49" s="163"/>
      <c r="I49" s="163"/>
      <c r="J49" s="168"/>
      <c r="P49" s="227">
        <v>0</v>
      </c>
      <c r="Q49" s="227">
        <v>0</v>
      </c>
      <c r="R49" s="227">
        <v>0</v>
      </c>
      <c r="S49" s="227">
        <v>0</v>
      </c>
      <c r="T49" s="227">
        <v>0</v>
      </c>
    </row>
    <row r="50" spans="1:23" ht="11.25" customHeight="1" outlineLevel="1">
      <c r="C50" s="171" t="str">
        <f t="shared" si="7"/>
        <v>AER Applied - WPI DAE (DAE 2018, Table vii)</v>
      </c>
      <c r="D50" s="163"/>
      <c r="E50" s="163" t="str">
        <f t="shared" si="8"/>
        <v>Per cent</v>
      </c>
      <c r="F50" s="163"/>
      <c r="G50" s="163"/>
      <c r="H50" s="163"/>
      <c r="I50" s="163"/>
      <c r="J50" s="168"/>
      <c r="P50" s="227">
        <v>0.59699999999999998</v>
      </c>
      <c r="Q50" s="227">
        <v>0.59699999999999998</v>
      </c>
      <c r="R50" s="227">
        <v>0.59699999999999998</v>
      </c>
      <c r="S50" s="227">
        <v>0.59699999999999998</v>
      </c>
      <c r="T50" s="227">
        <v>0.59699999999999998</v>
      </c>
      <c r="U50" s="137"/>
    </row>
    <row r="51" spans="1:23" ht="11.25" customHeight="1" outlineLevel="1">
      <c r="C51" s="138">
        <f t="shared" si="7"/>
        <v>0</v>
      </c>
      <c r="E51" s="26" t="str">
        <f t="shared" si="6"/>
        <v>Per cent</v>
      </c>
      <c r="J51" s="168"/>
      <c r="P51" s="50">
        <f>'[1]Input|Rate of change'!P51</f>
        <v>0</v>
      </c>
      <c r="Q51" s="50">
        <f>'[1]Input|Rate of change'!Q51</f>
        <v>0</v>
      </c>
      <c r="R51" s="50">
        <f>'[1]Input|Rate of change'!R51</f>
        <v>0</v>
      </c>
      <c r="S51" s="50">
        <f>'[1]Input|Rate of change'!S51</f>
        <v>0</v>
      </c>
      <c r="T51" s="50">
        <f>'[1]Input|Rate of change'!T51</f>
        <v>0</v>
      </c>
    </row>
    <row r="52" spans="1:23" ht="11.25" customHeight="1" outlineLevel="1">
      <c r="C52" s="138">
        <f t="shared" si="7"/>
        <v>0</v>
      </c>
      <c r="E52" s="26" t="str">
        <f t="shared" si="6"/>
        <v>Per cent</v>
      </c>
      <c r="P52" s="50">
        <f>'[1]Input|Rate of change'!P52</f>
        <v>0</v>
      </c>
      <c r="Q52" s="50">
        <f>'[1]Input|Rate of change'!Q52</f>
        <v>0</v>
      </c>
      <c r="R52" s="50">
        <f>'[1]Input|Rate of change'!R52</f>
        <v>0</v>
      </c>
      <c r="S52" s="50">
        <f>'[1]Input|Rate of change'!S52</f>
        <v>0</v>
      </c>
      <c r="T52" s="50">
        <f>'[1]Input|Rate of change'!T52</f>
        <v>0</v>
      </c>
    </row>
    <row r="53" spans="1:23" ht="11.25" customHeight="1" outlineLevel="1">
      <c r="C53" s="138">
        <f t="shared" si="7"/>
        <v>0</v>
      </c>
      <c r="E53" s="26" t="str">
        <f t="shared" si="6"/>
        <v>Per cent</v>
      </c>
      <c r="P53" s="50">
        <f>'[1]Input|Rate of change'!P53</f>
        <v>0</v>
      </c>
      <c r="Q53" s="50">
        <f>'[1]Input|Rate of change'!Q53</f>
        <v>0</v>
      </c>
      <c r="R53" s="50">
        <f>'[1]Input|Rate of change'!R53</f>
        <v>0</v>
      </c>
      <c r="S53" s="50">
        <f>'[1]Input|Rate of change'!S53</f>
        <v>0</v>
      </c>
      <c r="T53" s="50">
        <f>'[1]Input|Rate of change'!T53</f>
        <v>0</v>
      </c>
    </row>
    <row r="54" spans="1:23" ht="11.25" customHeight="1" outlineLevel="1">
      <c r="C54" s="138" t="str">
        <f t="shared" si="7"/>
        <v>CPI</v>
      </c>
      <c r="E54" s="26" t="str">
        <f t="shared" si="6"/>
        <v>Per cent</v>
      </c>
      <c r="P54" s="50">
        <f>'[1]Input|Rate of change'!P54</f>
        <v>0.40300000000000002</v>
      </c>
      <c r="Q54" s="50">
        <f>'[1]Input|Rate of change'!Q54</f>
        <v>0.40300000000000002</v>
      </c>
      <c r="R54" s="50">
        <f>'[1]Input|Rate of change'!R54</f>
        <v>0.40300000000000002</v>
      </c>
      <c r="S54" s="50">
        <f>'[1]Input|Rate of change'!S54</f>
        <v>0.40300000000000002</v>
      </c>
      <c r="T54" s="50">
        <f>'[1]Input|Rate of change'!T54</f>
        <v>0.40300000000000002</v>
      </c>
    </row>
    <row r="55" spans="1:23" ht="11.25" customHeight="1" outlineLevel="1"/>
    <row r="56" spans="1:23" outlineLevel="1">
      <c r="C56" s="25" t="s">
        <v>39</v>
      </c>
      <c r="D56" s="26" t="s">
        <v>105</v>
      </c>
      <c r="E56" s="26" t="s">
        <v>28</v>
      </c>
      <c r="F56" s="26" t="s">
        <v>35</v>
      </c>
      <c r="N56" s="21"/>
      <c r="O56" s="21"/>
      <c r="P56" s="120" t="str">
        <f>IF(SUM(P47:P54)=1,"Ok","Check")</f>
        <v>Ok</v>
      </c>
      <c r="Q56" s="120" t="str">
        <f>IF(SUM(Q47:Q54)=1,"Ok","Check")</f>
        <v>Ok</v>
      </c>
      <c r="R56" s="120" t="str">
        <f>IF(SUM(R47:R54)=1,"Ok","Check")</f>
        <v>Ok</v>
      </c>
      <c r="S56" s="120" t="str">
        <f>IF(SUM(S47:S54)=1,"Ok","Check")</f>
        <v>Ok</v>
      </c>
      <c r="T56" s="120" t="str">
        <f>IF(SUM(T47:T54)=1,"Ok","Check")</f>
        <v>Ok</v>
      </c>
      <c r="U56" s="21"/>
      <c r="W56" s="120" t="str">
        <f>IF(COUNTIF(K56:T56,"Check")=0,"Ok","Check")</f>
        <v>Ok</v>
      </c>
    </row>
    <row r="57" spans="1:23"/>
    <row r="58" spans="1:23" s="89" customFormat="1" ht="12.75">
      <c r="A58" s="84"/>
      <c r="B58" s="85" t="s">
        <v>88</v>
      </c>
      <c r="C58" s="84"/>
      <c r="D58" s="84"/>
      <c r="E58" s="84"/>
      <c r="F58" s="86"/>
      <c r="G58" s="86"/>
      <c r="H58" s="86"/>
      <c r="I58" s="86"/>
      <c r="J58" s="86"/>
      <c r="K58" s="87"/>
      <c r="L58" s="88"/>
      <c r="M58" s="87"/>
      <c r="N58" s="88"/>
      <c r="O58" s="87"/>
      <c r="P58" s="87"/>
      <c r="Q58" s="87"/>
      <c r="R58" s="87"/>
      <c r="S58" s="87"/>
      <c r="T58" s="87"/>
      <c r="U58" s="87"/>
      <c r="V58" s="87"/>
      <c r="W58" s="88"/>
    </row>
    <row r="59" spans="1:23" outlineLevel="1">
      <c r="G59" s="28"/>
      <c r="H59" s="28"/>
    </row>
    <row r="60" spans="1:23" outlineLevel="1">
      <c r="C60" s="59" t="s">
        <v>89</v>
      </c>
      <c r="D60" s="28" t="s">
        <v>7</v>
      </c>
      <c r="E60" s="28" t="s">
        <v>8</v>
      </c>
      <c r="F60" s="28" t="s">
        <v>22</v>
      </c>
      <c r="G60" s="28"/>
      <c r="H60" s="28"/>
      <c r="K60" s="92" t="str">
        <f>IF(RIGHT(K$4,2)&gt;=RIGHT('Input|General'!$G$10,2),IF(RIGHT(K$4,2)&lt;=RIGHT('Input|General'!$G$12,2),K$4,""),"")</f>
        <v/>
      </c>
      <c r="L60" s="92" t="str">
        <f ca="1">IF(RIGHT(L$4,2)&gt;=RIGHT('Input|General'!$G$10,2),IF(RIGHT(L$4,2)&lt;=RIGHT('Input|General'!$G$12,2),L$4,""),"")</f>
        <v/>
      </c>
      <c r="M60" s="92" t="str">
        <f ca="1">IF(RIGHT(M$4,2)&gt;=RIGHT('Input|General'!$G$10,2),IF(RIGHT(M$4,2)&lt;=RIGHT('Input|General'!$G$12,2),M$4,""),"")</f>
        <v/>
      </c>
      <c r="N60" s="92" t="str">
        <f ca="1">IF(RIGHT(N$4,2)&gt;=RIGHT('Input|General'!$G$10,2),IF(RIGHT(N$4,2)&lt;=RIGHT('Input|General'!$G$12,2),N$4,""),"")</f>
        <v/>
      </c>
      <c r="O60" s="150">
        <f ca="1">IF(RIGHT(O$4,2)&gt;=RIGHT('Input|General'!$G$10,2),IF(RIGHT(O$4,2)&lt;=RIGHT('Input|General'!$G$12,2),O$4,""),"")</f>
        <v>2019</v>
      </c>
      <c r="P60" s="150">
        <f ca="1">IF(RIGHT(P$4,2)&gt;=RIGHT('Input|General'!$G$10,2),IF(RIGHT(P$4,2)&lt;=RIGHT('Input|General'!$G$12,2),P$4,""),"")</f>
        <v>2020</v>
      </c>
      <c r="Q60" s="150">
        <f ca="1">IF(RIGHT(Q$4,2)&gt;=RIGHT('Input|General'!$G$10,2),IF(RIGHT(Q$4,2)&lt;=RIGHT('Input|General'!$G$12,2),Q$4,""),"")</f>
        <v>2021</v>
      </c>
      <c r="R60" s="150">
        <f ca="1">IF(RIGHT(R$4,2)&gt;=RIGHT('Input|General'!$G$10,2),IF(RIGHT(R$4,2)&lt;=RIGHT('Input|General'!$G$12,2),R$4,""),"")</f>
        <v>2022</v>
      </c>
      <c r="S60" s="150">
        <f ca="1">IF(RIGHT(S$4,2)&gt;=RIGHT('Input|General'!$G$10,2),IF(RIGHT(S$4,2)&lt;=RIGHT('Input|General'!$G$12,2),S$4,""),"")</f>
        <v>2023</v>
      </c>
      <c r="T60" s="150">
        <f ca="1">IF(RIGHT(T$4,2)&gt;=RIGHT('Input|General'!$G$10,2),IF(RIGHT(T$4,2)&lt;=RIGHT('Input|General'!$G$12,2),T$4,""),"")</f>
        <v>2024</v>
      </c>
    </row>
    <row r="61" spans="1:23" outlineLevel="1">
      <c r="C61" s="98"/>
      <c r="G61" s="28"/>
      <c r="H61" s="28"/>
      <c r="K61" s="20"/>
      <c r="L61" s="20"/>
      <c r="M61" s="20"/>
      <c r="N61" s="20"/>
      <c r="O61" s="20"/>
    </row>
    <row r="62" spans="1:23" outlineLevel="1">
      <c r="C62" s="161" t="s">
        <v>136</v>
      </c>
      <c r="D62" s="26" t="s">
        <v>123</v>
      </c>
      <c r="E62" s="26" t="s">
        <v>18</v>
      </c>
      <c r="F62" s="26" t="s">
        <v>35</v>
      </c>
      <c r="G62" s="28"/>
      <c r="H62" s="28"/>
      <c r="K62" s="20"/>
      <c r="L62" s="20"/>
      <c r="M62" s="20"/>
      <c r="N62" s="20"/>
      <c r="O62" s="52">
        <f>'[1]Input|Rate of change'!O62</f>
        <v>84420</v>
      </c>
      <c r="P62" s="52">
        <f>'[1]Input|Rate of change'!P62</f>
        <v>85072</v>
      </c>
      <c r="Q62" s="52">
        <f>'[1]Input|Rate of change'!Q62</f>
        <v>85848</v>
      </c>
      <c r="R62" s="52">
        <f>'[1]Input|Rate of change'!R62</f>
        <v>86641</v>
      </c>
      <c r="S62" s="52">
        <f>'[1]Input|Rate of change'!S62</f>
        <v>87028</v>
      </c>
      <c r="T62" s="52">
        <f>'[1]Input|Rate of change'!T62</f>
        <v>87419</v>
      </c>
    </row>
    <row r="63" spans="1:23" outlineLevel="1">
      <c r="C63" s="161" t="s">
        <v>135</v>
      </c>
      <c r="D63" s="163" t="s">
        <v>123</v>
      </c>
      <c r="E63" s="26" t="s">
        <v>18</v>
      </c>
      <c r="F63" s="26" t="s">
        <v>35</v>
      </c>
      <c r="G63" s="28"/>
      <c r="H63" s="28"/>
      <c r="K63" s="20"/>
      <c r="L63" s="20"/>
      <c r="M63" s="20"/>
      <c r="N63" s="20"/>
      <c r="O63" s="52">
        <f>'[1]Input|Rate of change'!O63</f>
        <v>7123.0927471901159</v>
      </c>
      <c r="P63" s="52">
        <f>'[1]Input|Rate of change'!P63</f>
        <v>7175.8035088600409</v>
      </c>
      <c r="Q63" s="52">
        <f>'[1]Input|Rate of change'!Q63</f>
        <v>7226.1258924276117</v>
      </c>
      <c r="R63" s="52">
        <f>'[1]Input|Rate of change'!R63</f>
        <v>7302.4494959799531</v>
      </c>
      <c r="S63" s="52">
        <f>'[1]Input|Rate of change'!S63</f>
        <v>7378.9215694574259</v>
      </c>
      <c r="T63" s="52">
        <f>'[1]Input|Rate of change'!T63</f>
        <v>7447.2669565348106</v>
      </c>
    </row>
    <row r="64" spans="1:23" outlineLevel="1">
      <c r="C64" s="161" t="s">
        <v>134</v>
      </c>
      <c r="D64" s="163" t="s">
        <v>123</v>
      </c>
      <c r="E64" s="26" t="s">
        <v>18</v>
      </c>
      <c r="F64" s="26" t="s">
        <v>35</v>
      </c>
      <c r="G64" s="28"/>
      <c r="H64" s="28"/>
      <c r="K64" s="20"/>
      <c r="L64" s="20"/>
      <c r="M64" s="20"/>
      <c r="N64" s="20"/>
      <c r="O64" s="52">
        <f>'[1]Input|Rate of change'!O64</f>
        <v>344.61873374300001</v>
      </c>
      <c r="P64" s="52">
        <f>'[1]Input|Rate of change'!P64</f>
        <v>344.61873374300001</v>
      </c>
      <c r="Q64" s="52">
        <f>'[1]Input|Rate of change'!Q64</f>
        <v>344.61873374300001</v>
      </c>
      <c r="R64" s="52">
        <f>'[1]Input|Rate of change'!R64</f>
        <v>344.61873374300001</v>
      </c>
      <c r="S64" s="52">
        <f>'[1]Input|Rate of change'!S64</f>
        <v>344.61873374300001</v>
      </c>
      <c r="T64" s="52">
        <f>'[1]Input|Rate of change'!T64</f>
        <v>344.61873374300001</v>
      </c>
    </row>
    <row r="65" spans="3:21" outlineLevel="1">
      <c r="C65" s="51"/>
      <c r="E65" s="26" t="s">
        <v>18</v>
      </c>
      <c r="F65" s="26" t="s">
        <v>35</v>
      </c>
      <c r="G65" s="28"/>
      <c r="H65" s="28"/>
      <c r="K65" s="20"/>
      <c r="L65" s="20"/>
      <c r="M65" s="20"/>
      <c r="N65" s="20"/>
      <c r="O65" s="52"/>
      <c r="P65" s="52"/>
      <c r="Q65" s="52"/>
      <c r="R65" s="52"/>
      <c r="S65" s="52"/>
      <c r="T65" s="52"/>
    </row>
    <row r="66" spans="3:21" outlineLevel="1">
      <c r="C66" s="51"/>
      <c r="E66" s="26" t="s">
        <v>18</v>
      </c>
      <c r="F66" s="26" t="s">
        <v>35</v>
      </c>
      <c r="G66" s="28"/>
      <c r="H66" s="28"/>
      <c r="K66" s="20"/>
      <c r="L66" s="20"/>
      <c r="M66" s="20"/>
      <c r="N66" s="20"/>
      <c r="O66" s="52"/>
      <c r="P66" s="52"/>
      <c r="Q66" s="52"/>
      <c r="R66" s="52"/>
      <c r="S66" s="52"/>
      <c r="T66" s="52"/>
    </row>
    <row r="67" spans="3:21" outlineLevel="1">
      <c r="C67" s="51"/>
      <c r="E67" s="26" t="s">
        <v>18</v>
      </c>
      <c r="F67" s="26" t="s">
        <v>35</v>
      </c>
      <c r="G67" s="28"/>
      <c r="H67" s="28"/>
      <c r="K67" s="20"/>
      <c r="L67" s="20"/>
      <c r="M67" s="20"/>
      <c r="N67" s="20"/>
      <c r="O67" s="52"/>
      <c r="P67" s="52"/>
      <c r="Q67" s="52"/>
      <c r="R67" s="52"/>
      <c r="S67" s="52"/>
      <c r="T67" s="52"/>
    </row>
    <row r="68" spans="3:21" outlineLevel="1">
      <c r="C68" s="98"/>
      <c r="G68" s="28"/>
      <c r="H68" s="28"/>
      <c r="K68" s="20"/>
      <c r="L68" s="20"/>
      <c r="M68" s="20"/>
      <c r="N68" s="20"/>
      <c r="O68" s="20"/>
    </row>
    <row r="69" spans="3:21" outlineLevel="1">
      <c r="C69" s="59" t="s">
        <v>92</v>
      </c>
      <c r="D69" s="28" t="s">
        <v>7</v>
      </c>
      <c r="E69" s="28" t="s">
        <v>8</v>
      </c>
      <c r="F69" s="28" t="s">
        <v>22</v>
      </c>
      <c r="G69" s="28"/>
      <c r="H69" s="28"/>
      <c r="K69" s="92" t="str">
        <f>IF(RIGHT(K$4,2)&gt;=RIGHT('Input|General'!$G$11,2),IF(RIGHT(K$4,2)&lt;=RIGHT('Input|General'!$G$12,2),K$4,""),"")</f>
        <v/>
      </c>
      <c r="L69" s="92" t="str">
        <f ca="1">IF(RIGHT(L$4,2)&gt;=RIGHT('Input|General'!$G$11,2),IF(RIGHT(L$4,2)&lt;=RIGHT('Input|General'!$G$12,2),L$4,""),"")</f>
        <v/>
      </c>
      <c r="M69" s="92" t="str">
        <f ca="1">IF(RIGHT(M$4,2)&gt;=RIGHT('Input|General'!$G$11,2),IF(RIGHT(M$4,2)&lt;=RIGHT('Input|General'!$G$12,2),M$4,""),"")</f>
        <v/>
      </c>
      <c r="N69" s="92" t="str">
        <f ca="1">IF(RIGHT(N$4,2)&gt;=RIGHT('Input|General'!$G$11,2),IF(RIGHT(N$4,2)&lt;=RIGHT('Input|General'!$G$12,2),N$4,""),"")</f>
        <v/>
      </c>
      <c r="O69" s="92" t="str">
        <f ca="1">IF(RIGHT(O$4,2)&gt;=RIGHT('Input|General'!$G$11,2),IF(RIGHT(O$4,2)&lt;=RIGHT('Input|General'!$G$12,2),O$4,""),"")</f>
        <v/>
      </c>
      <c r="P69" s="150">
        <f ca="1">IF(RIGHT(P$4,2)&gt;=RIGHT('Input|General'!$G$11,2),IF(RIGHT(P$4,2)&lt;=RIGHT('Input|General'!$G$12,2),P$4,""),"")</f>
        <v>2020</v>
      </c>
      <c r="Q69" s="150">
        <f ca="1">IF(RIGHT(Q$4,2)&gt;=RIGHT('Input|General'!$G$11,2),IF(RIGHT(Q$4,2)&lt;=RIGHT('Input|General'!$G$12,2),Q$4,""),"")</f>
        <v>2021</v>
      </c>
      <c r="R69" s="150">
        <f ca="1">IF(RIGHT(R$4,2)&gt;=RIGHT('Input|General'!$G$11,2),IF(RIGHT(R$4,2)&lt;=RIGHT('Input|General'!$G$12,2),R$4,""),"")</f>
        <v>2022</v>
      </c>
      <c r="S69" s="150">
        <f ca="1">IF(RIGHT(S$4,2)&gt;=RIGHT('Input|General'!$G$11,2),IF(RIGHT(S$4,2)&lt;=RIGHT('Input|General'!$G$12,2),S$4,""),"")</f>
        <v>2023</v>
      </c>
      <c r="T69" s="150">
        <f ca="1">IF(RIGHT(T$4,2)&gt;=RIGHT('Input|General'!$G$11,2),IF(RIGHT(T$4,2)&lt;=RIGHT('Input|General'!$G$12,2),T$4,""),"")</f>
        <v>2024</v>
      </c>
      <c r="U69" s="25" t="str">
        <f>IF(RIGHT(U$4,2)&gt;=RIGHT('Input|General'!$G$11,2),IF(RIGHT(U$4,2)&lt;='Input|General'!$G$12,'Input|Reported opex'!T$4,""),"")</f>
        <v/>
      </c>
    </row>
    <row r="70" spans="3:21" outlineLevel="1">
      <c r="C70" s="98"/>
      <c r="G70" s="28"/>
      <c r="H70" s="28"/>
      <c r="K70" s="20"/>
      <c r="L70" s="20"/>
      <c r="M70" s="20"/>
      <c r="N70" s="20"/>
      <c r="O70" s="20"/>
    </row>
    <row r="71" spans="3:21" outlineLevel="1">
      <c r="C71" s="171" t="str">
        <f t="shared" ref="C71:C76" si="9">C62</f>
        <v>Customer numbers (#)</v>
      </c>
      <c r="D71" s="26" t="s">
        <v>105</v>
      </c>
      <c r="E71" s="26" t="s">
        <v>18</v>
      </c>
      <c r="F71" s="26" t="s">
        <v>35</v>
      </c>
      <c r="G71" s="28"/>
      <c r="H71" s="28"/>
      <c r="K71" s="20"/>
      <c r="L71" s="20"/>
      <c r="M71" s="20"/>
      <c r="N71" s="20"/>
      <c r="O71" s="20"/>
      <c r="P71" s="165">
        <f t="shared" ref="P71:T76" si="10">IF(ISBLANK(P62),"",LN(P62)-LN(O62))</f>
        <v>7.6936164076286673E-3</v>
      </c>
      <c r="Q71" s="165">
        <f t="shared" si="10"/>
        <v>9.0803338628440144E-3</v>
      </c>
      <c r="R71" s="165">
        <f t="shared" si="10"/>
        <v>9.1948540142272606E-3</v>
      </c>
      <c r="S71" s="165">
        <f t="shared" si="10"/>
        <v>4.4567613169022025E-3</v>
      </c>
      <c r="T71" s="165">
        <f t="shared" si="10"/>
        <v>4.4827443838162395E-3</v>
      </c>
    </row>
    <row r="72" spans="3:21" outlineLevel="1">
      <c r="C72" s="138" t="str">
        <f t="shared" si="9"/>
        <v>Circuit Length (km)</v>
      </c>
      <c r="D72" s="26" t="s">
        <v>105</v>
      </c>
      <c r="E72" s="26" t="s">
        <v>18</v>
      </c>
      <c r="F72" s="26" t="s">
        <v>35</v>
      </c>
      <c r="G72" s="28"/>
      <c r="H72" s="28"/>
      <c r="K72" s="20"/>
      <c r="L72" s="20"/>
      <c r="M72" s="20"/>
      <c r="N72" s="20"/>
      <c r="O72" s="20"/>
      <c r="P72" s="165">
        <f t="shared" si="10"/>
        <v>7.3727369572420542E-3</v>
      </c>
      <c r="Q72" s="165">
        <f t="shared" si="10"/>
        <v>6.9883120466283088E-3</v>
      </c>
      <c r="R72" s="165">
        <f t="shared" si="10"/>
        <v>1.0506784545652792E-2</v>
      </c>
      <c r="S72" s="165">
        <f t="shared" si="10"/>
        <v>1.0417659869299101E-2</v>
      </c>
      <c r="T72" s="165">
        <f t="shared" si="10"/>
        <v>9.2196144784466583E-3</v>
      </c>
    </row>
    <row r="73" spans="3:21" outlineLevel="1">
      <c r="C73" s="138" t="str">
        <f t="shared" si="9"/>
        <v>Ratcheted Maximum Demand (MW)</v>
      </c>
      <c r="D73" s="26" t="s">
        <v>105</v>
      </c>
      <c r="E73" s="26" t="s">
        <v>18</v>
      </c>
      <c r="F73" s="26" t="s">
        <v>35</v>
      </c>
      <c r="G73" s="28"/>
      <c r="H73" s="28"/>
      <c r="K73" s="20"/>
      <c r="L73" s="20"/>
      <c r="M73" s="20"/>
      <c r="N73" s="20"/>
      <c r="O73" s="20"/>
      <c r="P73" s="105">
        <f t="shared" si="10"/>
        <v>0</v>
      </c>
      <c r="Q73" s="105">
        <f t="shared" si="10"/>
        <v>0</v>
      </c>
      <c r="R73" s="105">
        <f t="shared" si="10"/>
        <v>0</v>
      </c>
      <c r="S73" s="105">
        <f t="shared" si="10"/>
        <v>0</v>
      </c>
      <c r="T73" s="105">
        <f t="shared" si="10"/>
        <v>0</v>
      </c>
    </row>
    <row r="74" spans="3:21" outlineLevel="1">
      <c r="C74" s="138">
        <f t="shared" si="9"/>
        <v>0</v>
      </c>
      <c r="E74" s="26" t="s">
        <v>18</v>
      </c>
      <c r="F74" s="26" t="s">
        <v>35</v>
      </c>
      <c r="G74" s="28"/>
      <c r="H74" s="28"/>
      <c r="K74" s="20"/>
      <c r="L74" s="20"/>
      <c r="M74" s="20"/>
      <c r="N74" s="20"/>
      <c r="O74" s="20"/>
      <c r="P74" s="165" t="str">
        <f t="shared" si="10"/>
        <v/>
      </c>
      <c r="Q74" s="165" t="str">
        <f t="shared" si="10"/>
        <v/>
      </c>
      <c r="R74" s="165" t="str">
        <f t="shared" si="10"/>
        <v/>
      </c>
      <c r="S74" s="165" t="str">
        <f t="shared" si="10"/>
        <v/>
      </c>
      <c r="T74" s="165" t="str">
        <f t="shared" si="10"/>
        <v/>
      </c>
    </row>
    <row r="75" spans="3:21" outlineLevel="1">
      <c r="C75" s="138">
        <f t="shared" si="9"/>
        <v>0</v>
      </c>
      <c r="E75" s="26" t="s">
        <v>18</v>
      </c>
      <c r="F75" s="26" t="s">
        <v>35</v>
      </c>
      <c r="G75" s="28"/>
      <c r="H75" s="28"/>
      <c r="K75" s="20"/>
      <c r="L75" s="20"/>
      <c r="M75" s="20"/>
      <c r="N75" s="20"/>
      <c r="O75" s="20"/>
      <c r="P75" s="165" t="str">
        <f t="shared" si="10"/>
        <v/>
      </c>
      <c r="Q75" s="165" t="str">
        <f t="shared" si="10"/>
        <v/>
      </c>
      <c r="R75" s="165" t="str">
        <f t="shared" si="10"/>
        <v/>
      </c>
      <c r="S75" s="165" t="str">
        <f t="shared" si="10"/>
        <v/>
      </c>
      <c r="T75" s="165" t="str">
        <f t="shared" si="10"/>
        <v/>
      </c>
    </row>
    <row r="76" spans="3:21" outlineLevel="1">
      <c r="C76" s="138">
        <f t="shared" si="9"/>
        <v>0</v>
      </c>
      <c r="E76" s="26" t="s">
        <v>18</v>
      </c>
      <c r="F76" s="26" t="s">
        <v>35</v>
      </c>
      <c r="G76" s="28"/>
      <c r="H76" s="28"/>
      <c r="K76" s="20"/>
      <c r="L76" s="20"/>
      <c r="M76" s="20"/>
      <c r="N76" s="20"/>
      <c r="O76" s="20"/>
      <c r="P76" s="165" t="str">
        <f t="shared" si="10"/>
        <v/>
      </c>
      <c r="Q76" s="165" t="str">
        <f t="shared" si="10"/>
        <v/>
      </c>
      <c r="R76" s="165" t="str">
        <f t="shared" si="10"/>
        <v/>
      </c>
      <c r="S76" s="165" t="str">
        <f t="shared" si="10"/>
        <v/>
      </c>
      <c r="T76" s="165" t="str">
        <f t="shared" si="10"/>
        <v/>
      </c>
    </row>
    <row r="77" spans="3:21" outlineLevel="1">
      <c r="C77" s="98"/>
      <c r="G77" s="28"/>
      <c r="H77" s="28"/>
      <c r="K77" s="20"/>
      <c r="L77" s="20"/>
      <c r="M77" s="20"/>
      <c r="N77" s="20"/>
      <c r="O77" s="20"/>
    </row>
    <row r="78" spans="3:21" outlineLevel="1">
      <c r="C78" s="59" t="s">
        <v>42</v>
      </c>
      <c r="G78" s="28"/>
      <c r="H78" s="28"/>
      <c r="K78" s="20"/>
      <c r="L78" s="20"/>
      <c r="M78" s="20"/>
      <c r="N78" s="20"/>
      <c r="O78" s="20"/>
    </row>
    <row r="79" spans="3:21" outlineLevel="1">
      <c r="C79" s="98"/>
      <c r="G79" s="28"/>
      <c r="H79" s="28"/>
      <c r="K79" s="20"/>
      <c r="L79" s="20"/>
      <c r="M79" s="20"/>
      <c r="N79" s="20"/>
    </row>
    <row r="80" spans="3:21" outlineLevel="1">
      <c r="C80" s="138" t="str">
        <f t="shared" ref="C80:C85" si="11">C62</f>
        <v>Customer numbers (#)</v>
      </c>
      <c r="D80" s="26" t="s">
        <v>126</v>
      </c>
      <c r="E80" s="26" t="s">
        <v>18</v>
      </c>
      <c r="F80" s="26" t="s">
        <v>35</v>
      </c>
      <c r="G80" s="28"/>
      <c r="H80" s="28"/>
      <c r="K80" s="20"/>
      <c r="L80" s="20"/>
      <c r="M80" s="20"/>
      <c r="N80" s="20"/>
      <c r="P80" s="164">
        <f>'[1]Input|Rate of change'!P80</f>
        <v>0.77131394182547641</v>
      </c>
    </row>
    <row r="81" spans="1:23" outlineLevel="1">
      <c r="C81" s="138" t="str">
        <f t="shared" si="11"/>
        <v>Circuit Length (km)</v>
      </c>
      <c r="D81" s="163" t="s">
        <v>126</v>
      </c>
      <c r="E81" s="26" t="s">
        <v>18</v>
      </c>
      <c r="F81" s="26" t="s">
        <v>35</v>
      </c>
      <c r="G81" s="28"/>
      <c r="H81" s="28"/>
      <c r="K81" s="20"/>
      <c r="L81" s="20"/>
      <c r="M81" s="20"/>
      <c r="N81" s="20"/>
      <c r="P81" s="164">
        <f>'[1]Input|Rate of change'!P81</f>
        <v>9.7291875626880645E-2</v>
      </c>
    </row>
    <row r="82" spans="1:23" outlineLevel="1">
      <c r="C82" s="138" t="str">
        <f t="shared" si="11"/>
        <v>Ratcheted Maximum Demand (MW)</v>
      </c>
      <c r="D82" s="163" t="s">
        <v>126</v>
      </c>
      <c r="E82" s="26" t="s">
        <v>18</v>
      </c>
      <c r="F82" s="26" t="s">
        <v>35</v>
      </c>
      <c r="G82" s="28"/>
      <c r="H82" s="28"/>
      <c r="K82" s="20"/>
      <c r="L82" s="20"/>
      <c r="M82" s="20"/>
      <c r="N82" s="20"/>
      <c r="P82" s="169">
        <f>'[1]Input|Rate of change'!P82</f>
        <v>0.13139418254764293</v>
      </c>
    </row>
    <row r="83" spans="1:23" outlineLevel="1">
      <c r="C83" s="138">
        <f t="shared" si="11"/>
        <v>0</v>
      </c>
      <c r="E83" s="26" t="s">
        <v>18</v>
      </c>
      <c r="F83" s="26" t="s">
        <v>35</v>
      </c>
      <c r="G83" s="28"/>
      <c r="H83" s="28"/>
      <c r="K83" s="20"/>
      <c r="L83" s="20"/>
      <c r="M83" s="20"/>
      <c r="N83" s="20"/>
      <c r="P83" s="50">
        <f>'[1]Input|Rate of change'!P83</f>
        <v>0</v>
      </c>
    </row>
    <row r="84" spans="1:23" outlineLevel="1">
      <c r="C84" s="138">
        <f t="shared" si="11"/>
        <v>0</v>
      </c>
      <c r="E84" s="26" t="s">
        <v>18</v>
      </c>
      <c r="F84" s="26" t="s">
        <v>35</v>
      </c>
      <c r="G84" s="28"/>
      <c r="H84" s="28"/>
      <c r="K84" s="20"/>
      <c r="L84" s="20"/>
      <c r="M84" s="20"/>
      <c r="N84" s="20"/>
      <c r="P84" s="50">
        <f>'[1]Input|Rate of change'!P84</f>
        <v>0</v>
      </c>
    </row>
    <row r="85" spans="1:23" outlineLevel="1">
      <c r="C85" s="138">
        <f t="shared" si="11"/>
        <v>0</v>
      </c>
      <c r="E85" s="26" t="s">
        <v>18</v>
      </c>
      <c r="F85" s="26" t="s">
        <v>35</v>
      </c>
      <c r="G85" s="28"/>
      <c r="H85" s="28"/>
      <c r="K85" s="20"/>
      <c r="L85" s="20"/>
      <c r="M85" s="20"/>
      <c r="N85" s="20"/>
      <c r="P85" s="50">
        <f>'[1]Input|Rate of change'!P85</f>
        <v>0</v>
      </c>
    </row>
    <row r="86" spans="1:23" outlineLevel="1">
      <c r="G86" s="28"/>
      <c r="H86" s="28"/>
    </row>
    <row r="87" spans="1:23" outlineLevel="1">
      <c r="C87" s="25" t="s">
        <v>39</v>
      </c>
      <c r="D87" s="26" t="s">
        <v>105</v>
      </c>
      <c r="E87" s="26" t="s">
        <v>28</v>
      </c>
      <c r="F87" s="26" t="s">
        <v>35</v>
      </c>
      <c r="N87" s="21"/>
      <c r="P87" s="120" t="str">
        <f>IF(SUM(P80:P85)=1,"Ok","Check")</f>
        <v>Ok</v>
      </c>
      <c r="Q87" s="21"/>
      <c r="R87" s="21"/>
      <c r="S87" s="21"/>
      <c r="T87" s="21"/>
      <c r="U87" s="21"/>
      <c r="W87" s="120" t="str">
        <f>IF(COUNTIF(K87:T87,"Check")=0,"Ok","Check")</f>
        <v>Ok</v>
      </c>
    </row>
    <row r="88" spans="1:23"/>
    <row r="89" spans="1:23" s="89" customFormat="1" ht="12.75">
      <c r="A89" s="84"/>
      <c r="B89" s="85" t="s">
        <v>82</v>
      </c>
      <c r="C89" s="84"/>
      <c r="D89" s="84"/>
      <c r="E89" s="84"/>
      <c r="F89" s="86"/>
      <c r="G89" s="86"/>
      <c r="H89" s="86"/>
      <c r="I89" s="86"/>
      <c r="J89" s="86"/>
      <c r="K89" s="87"/>
      <c r="L89" s="88"/>
      <c r="M89" s="87"/>
      <c r="N89" s="88"/>
      <c r="O89" s="87"/>
      <c r="P89" s="87"/>
      <c r="Q89" s="87"/>
      <c r="R89" s="87"/>
      <c r="S89" s="87"/>
      <c r="T89" s="87"/>
      <c r="U89" s="87"/>
      <c r="V89" s="87"/>
      <c r="W89" s="88"/>
    </row>
    <row r="90" spans="1:23" outlineLevel="1">
      <c r="G90" s="28"/>
      <c r="H90" s="28"/>
    </row>
    <row r="91" spans="1:23" outlineLevel="1">
      <c r="C91" s="59" t="s">
        <v>47</v>
      </c>
      <c r="D91" s="28" t="s">
        <v>7</v>
      </c>
      <c r="E91" s="28" t="s">
        <v>8</v>
      </c>
      <c r="F91" s="28" t="s">
        <v>22</v>
      </c>
      <c r="G91" s="28"/>
      <c r="H91" s="28"/>
      <c r="K91" s="92" t="str">
        <f>IF(RIGHT(K$4,2)&gt;=RIGHT('Input|General'!$G$11,2),IF(RIGHT(K$4,2)&lt;=RIGHT('Input|General'!$G$12,2),K$4,""),"")</f>
        <v/>
      </c>
      <c r="L91" s="92" t="str">
        <f ca="1">IF(RIGHT(L$4,2)&gt;=RIGHT('Input|General'!$G$11,2),IF(RIGHT(L$4,2)&lt;=RIGHT('Input|General'!$G$12,2),L$4,""),"")</f>
        <v/>
      </c>
      <c r="M91" s="92" t="str">
        <f ca="1">IF(RIGHT(M$4,2)&gt;=RIGHT('Input|General'!$G$11,2),IF(RIGHT(M$4,2)&lt;=RIGHT('Input|General'!$G$12,2),M$4,""),"")</f>
        <v/>
      </c>
      <c r="N91" s="92" t="str">
        <f ca="1">IF(RIGHT(N$4,2)&gt;=RIGHT('Input|General'!$G$11,2),IF(RIGHT(N$4,2)&lt;=RIGHT('Input|General'!$G$12,2),N$4,""),"")</f>
        <v/>
      </c>
      <c r="O91" s="92" t="str">
        <f ca="1">IF(RIGHT(O$4,2)&gt;=RIGHT('Input|General'!$G$11,2),IF(RIGHT(O$4,2)&lt;=RIGHT('Input|General'!$G$12,2),O$4,""),"")</f>
        <v/>
      </c>
      <c r="P91" s="150">
        <f ca="1">IF(RIGHT(P$4,2)&gt;=RIGHT('Input|General'!$G$11,2),IF(RIGHT(P$4,2)&lt;=RIGHT('Input|General'!$G$12,2),P$4,""),"")</f>
        <v>2020</v>
      </c>
      <c r="Q91" s="150">
        <f ca="1">IF(RIGHT(Q$4,2)&gt;=RIGHT('Input|General'!$G$11,2),IF(RIGHT(Q$4,2)&lt;=RIGHT('Input|General'!$G$12,2),Q$4,""),"")</f>
        <v>2021</v>
      </c>
      <c r="R91" s="150">
        <f ca="1">IF(RIGHT(R$4,2)&gt;=RIGHT('Input|General'!$G$11,2),IF(RIGHT(R$4,2)&lt;=RIGHT('Input|General'!$G$12,2),R$4,""),"")</f>
        <v>2022</v>
      </c>
      <c r="S91" s="150">
        <f ca="1">IF(RIGHT(S$4,2)&gt;=RIGHT('Input|General'!$G$11,2),IF(RIGHT(S$4,2)&lt;=RIGHT('Input|General'!$G$12,2),S$4,""),"")</f>
        <v>2023</v>
      </c>
      <c r="T91" s="150">
        <f ca="1">IF(RIGHT(T$4,2)&gt;=RIGHT('Input|General'!$G$11,2),IF(RIGHT(T$4,2)&lt;=RIGHT('Input|General'!$G$12,2),T$4,""),"")</f>
        <v>2024</v>
      </c>
    </row>
    <row r="92" spans="1:23" outlineLevel="1">
      <c r="C92" s="98"/>
      <c r="G92" s="28"/>
      <c r="H92" s="28"/>
      <c r="K92" s="20"/>
      <c r="L92" s="20"/>
      <c r="M92" s="20"/>
      <c r="N92" s="20"/>
      <c r="O92" s="20"/>
    </row>
    <row r="93" spans="1:23" outlineLevel="1">
      <c r="C93" s="98" t="s">
        <v>47</v>
      </c>
      <c r="D93" s="26" t="s">
        <v>126</v>
      </c>
      <c r="E93" s="26" t="str">
        <f>percent</f>
        <v>Per cent</v>
      </c>
      <c r="F93" s="26" t="s">
        <v>35</v>
      </c>
      <c r="G93" s="28"/>
      <c r="H93" s="28"/>
      <c r="K93" s="20"/>
      <c r="L93" s="20"/>
      <c r="M93" s="20"/>
      <c r="N93" s="20"/>
      <c r="O93" s="20"/>
      <c r="P93" s="50">
        <f>'[1]Input|Rate of change'!P93</f>
        <v>0</v>
      </c>
      <c r="Q93" s="50">
        <f>'[1]Input|Rate of change'!Q93</f>
        <v>0</v>
      </c>
      <c r="R93" s="50">
        <f>'[1]Input|Rate of change'!R93</f>
        <v>0</v>
      </c>
      <c r="S93" s="50">
        <f>'[1]Input|Rate of change'!S93</f>
        <v>0</v>
      </c>
      <c r="T93" s="50">
        <f>'[1]Input|Rate of change'!T93</f>
        <v>0</v>
      </c>
    </row>
    <row r="94" spans="1:23" outlineLevel="1">
      <c r="C94" s="98"/>
      <c r="G94" s="28"/>
      <c r="H94" s="28"/>
      <c r="K94" s="20"/>
      <c r="L94" s="20"/>
      <c r="M94" s="20"/>
      <c r="N94" s="20"/>
      <c r="O94" s="20"/>
    </row>
    <row r="95" spans="1:23" s="89" customFormat="1" ht="12.75">
      <c r="A95" s="84"/>
      <c r="B95" s="85" t="s">
        <v>21</v>
      </c>
      <c r="C95" s="84"/>
      <c r="D95" s="84"/>
      <c r="E95" s="84"/>
      <c r="F95" s="86"/>
      <c r="G95" s="86"/>
      <c r="H95" s="86"/>
      <c r="I95" s="86"/>
      <c r="J95" s="86"/>
      <c r="K95" s="87"/>
      <c r="L95" s="88"/>
      <c r="M95" s="87"/>
      <c r="N95" s="88"/>
      <c r="O95" s="87"/>
      <c r="P95" s="87"/>
      <c r="Q95" s="87"/>
      <c r="R95" s="87"/>
      <c r="S95" s="87"/>
      <c r="T95" s="87"/>
      <c r="U95" s="87"/>
      <c r="V95" s="87"/>
      <c r="W95" s="88"/>
    </row>
    <row r="96" spans="1:23">
      <c r="D96" s="25"/>
      <c r="E96" s="25"/>
      <c r="F96" s="25"/>
      <c r="G96" s="25"/>
      <c r="H96" s="25"/>
      <c r="I96" s="25"/>
      <c r="J96" s="25"/>
    </row>
    <row r="97" spans="4:10">
      <c r="D97" s="25"/>
      <c r="E97" s="25"/>
      <c r="F97" s="25"/>
      <c r="G97" s="25"/>
      <c r="H97" s="25"/>
      <c r="I97" s="25"/>
      <c r="J97" s="25"/>
    </row>
    <row r="98" spans="4:10">
      <c r="D98" s="25"/>
      <c r="E98" s="25"/>
      <c r="F98" s="25"/>
      <c r="G98" s="25"/>
      <c r="H98" s="25"/>
      <c r="I98" s="25"/>
      <c r="J98" s="25"/>
    </row>
    <row r="99" spans="4:10">
      <c r="D99" s="25"/>
      <c r="E99" s="25"/>
      <c r="F99" s="25"/>
      <c r="G99" s="25"/>
      <c r="H99" s="25"/>
      <c r="I99" s="25"/>
      <c r="J99" s="25"/>
    </row>
    <row r="100" spans="4:10">
      <c r="D100" s="25"/>
      <c r="E100" s="25"/>
      <c r="F100" s="25"/>
      <c r="G100" s="25"/>
      <c r="H100" s="25"/>
      <c r="I100" s="25"/>
      <c r="J100" s="25"/>
    </row>
    <row r="101" spans="4:10">
      <c r="D101" s="25"/>
      <c r="E101" s="25"/>
      <c r="F101" s="25"/>
      <c r="G101" s="25"/>
      <c r="H101" s="25"/>
      <c r="I101" s="25"/>
      <c r="J101" s="25"/>
    </row>
    <row r="102" spans="4:10">
      <c r="D102" s="25"/>
      <c r="E102" s="25"/>
      <c r="F102" s="25"/>
      <c r="G102" s="25"/>
      <c r="H102" s="25"/>
      <c r="I102" s="25"/>
      <c r="J102" s="25"/>
    </row>
    <row r="103" spans="4:10">
      <c r="D103" s="25"/>
      <c r="E103" s="25"/>
      <c r="F103" s="25"/>
      <c r="G103" s="25"/>
      <c r="H103" s="25"/>
      <c r="I103" s="25"/>
      <c r="J103" s="25"/>
    </row>
    <row r="104" spans="4:10">
      <c r="D104" s="25"/>
      <c r="E104" s="25"/>
      <c r="F104" s="25"/>
      <c r="G104" s="25"/>
      <c r="H104" s="25"/>
      <c r="I104" s="25"/>
      <c r="J104" s="25"/>
    </row>
    <row r="105" spans="4:10">
      <c r="D105" s="25"/>
      <c r="E105" s="25"/>
      <c r="F105" s="25"/>
      <c r="G105" s="25"/>
      <c r="H105" s="25"/>
      <c r="I105" s="25"/>
      <c r="J105" s="25"/>
    </row>
    <row r="106" spans="4:10">
      <c r="D106" s="25"/>
      <c r="E106" s="25"/>
      <c r="F106" s="25"/>
      <c r="G106" s="25"/>
      <c r="H106" s="25"/>
      <c r="I106" s="25"/>
      <c r="J106" s="25"/>
    </row>
    <row r="107" spans="4:10">
      <c r="D107" s="25"/>
      <c r="E107" s="25"/>
      <c r="F107" s="25"/>
      <c r="G107" s="25"/>
      <c r="H107" s="25"/>
      <c r="I107" s="25"/>
      <c r="J107" s="25"/>
    </row>
    <row r="108" spans="4:10">
      <c r="D108" s="25"/>
      <c r="E108" s="25"/>
      <c r="F108" s="25"/>
      <c r="G108" s="25"/>
      <c r="H108" s="25"/>
      <c r="I108" s="25"/>
      <c r="J108" s="25"/>
    </row>
    <row r="109" spans="4:10">
      <c r="D109" s="25"/>
      <c r="E109" s="25"/>
      <c r="F109" s="25"/>
      <c r="G109" s="25"/>
      <c r="H109" s="25"/>
      <c r="I109" s="25"/>
      <c r="J109" s="25"/>
    </row>
    <row r="110" spans="4:10">
      <c r="D110" s="25"/>
      <c r="E110" s="25"/>
      <c r="F110" s="25"/>
      <c r="G110" s="25"/>
      <c r="H110" s="25"/>
      <c r="I110" s="25"/>
      <c r="J110" s="25"/>
    </row>
    <row r="111" spans="4:10">
      <c r="D111" s="25"/>
      <c r="E111" s="25"/>
      <c r="F111" s="25"/>
      <c r="G111" s="25"/>
      <c r="H111" s="25"/>
      <c r="I111" s="25"/>
      <c r="J111" s="25"/>
    </row>
    <row r="112" spans="4:10">
      <c r="D112" s="25"/>
      <c r="E112" s="25"/>
      <c r="F112" s="25"/>
      <c r="G112" s="25"/>
      <c r="H112" s="25"/>
      <c r="I112" s="25"/>
      <c r="J112" s="25"/>
    </row>
    <row r="113" spans="4:10">
      <c r="D113" s="25"/>
      <c r="E113" s="25"/>
      <c r="F113" s="25"/>
      <c r="G113" s="25"/>
      <c r="H113" s="25"/>
      <c r="I113" s="25"/>
      <c r="J113" s="25"/>
    </row>
    <row r="114" spans="4:10">
      <c r="D114" s="25"/>
      <c r="E114" s="25"/>
      <c r="F114" s="25"/>
      <c r="G114" s="25"/>
      <c r="H114" s="25"/>
      <c r="I114" s="25"/>
      <c r="J114" s="25"/>
    </row>
    <row r="115" spans="4:10">
      <c r="D115" s="25"/>
      <c r="E115" s="25"/>
      <c r="F115" s="25"/>
      <c r="G115" s="25"/>
      <c r="H115" s="25"/>
      <c r="I115" s="25"/>
      <c r="J115" s="25"/>
    </row>
    <row r="116" spans="4:10">
      <c r="D116" s="25"/>
      <c r="E116" s="25"/>
      <c r="F116" s="25"/>
      <c r="G116" s="25"/>
      <c r="H116" s="25"/>
      <c r="I116" s="25"/>
      <c r="J116" s="25"/>
    </row>
    <row r="117" spans="4:10">
      <c r="D117" s="25"/>
      <c r="E117" s="25"/>
      <c r="F117" s="25"/>
      <c r="G117" s="25"/>
      <c r="H117" s="25"/>
      <c r="I117" s="25"/>
      <c r="J117" s="25"/>
    </row>
    <row r="118" spans="4:10">
      <c r="D118" s="25"/>
      <c r="E118" s="25"/>
      <c r="F118" s="25"/>
      <c r="G118" s="25"/>
      <c r="H118" s="25"/>
      <c r="I118" s="25"/>
      <c r="J118" s="25"/>
    </row>
    <row r="119" spans="4:10">
      <c r="D119" s="25"/>
      <c r="E119" s="25"/>
      <c r="F119" s="25"/>
      <c r="G119" s="25"/>
      <c r="H119" s="25"/>
      <c r="I119" s="25"/>
      <c r="J119" s="25"/>
    </row>
    <row r="120" spans="4:10">
      <c r="D120" s="25"/>
      <c r="E120" s="25"/>
      <c r="F120" s="25"/>
      <c r="G120" s="25"/>
      <c r="H120" s="25"/>
      <c r="I120" s="25"/>
      <c r="J120" s="25"/>
    </row>
    <row r="121" spans="4:10">
      <c r="D121" s="25"/>
      <c r="E121" s="25"/>
      <c r="F121" s="25"/>
      <c r="G121" s="25"/>
      <c r="H121" s="25"/>
      <c r="I121" s="25"/>
      <c r="J121" s="25"/>
    </row>
    <row r="122" spans="4:10">
      <c r="D122" s="25"/>
      <c r="E122" s="25"/>
      <c r="F122" s="25"/>
      <c r="G122" s="25"/>
      <c r="H122" s="25"/>
      <c r="I122" s="25"/>
      <c r="J122" s="25"/>
    </row>
    <row r="123" spans="4:10">
      <c r="D123" s="25"/>
      <c r="E123" s="25"/>
      <c r="F123" s="25"/>
      <c r="G123" s="25"/>
      <c r="H123" s="25"/>
      <c r="I123" s="25"/>
      <c r="J123" s="25"/>
    </row>
    <row r="124" spans="4:10">
      <c r="D124" s="25"/>
      <c r="E124" s="25"/>
      <c r="F124" s="25"/>
      <c r="G124" s="25"/>
      <c r="H124" s="25"/>
      <c r="I124" s="25"/>
      <c r="J124" s="25"/>
    </row>
    <row r="125" spans="4:10">
      <c r="D125" s="25"/>
      <c r="E125" s="25"/>
      <c r="F125" s="25"/>
      <c r="G125" s="25"/>
      <c r="H125" s="25"/>
      <c r="I125" s="25"/>
      <c r="J125" s="25"/>
    </row>
    <row r="126" spans="4:10">
      <c r="D126" s="25"/>
      <c r="E126" s="25"/>
      <c r="F126" s="25"/>
      <c r="G126" s="25"/>
      <c r="H126" s="25"/>
      <c r="I126" s="25"/>
      <c r="J126" s="25"/>
    </row>
    <row r="127" spans="4:10">
      <c r="D127" s="25"/>
      <c r="E127" s="25"/>
      <c r="F127" s="25"/>
      <c r="G127" s="25"/>
      <c r="H127" s="25"/>
      <c r="I127" s="25"/>
      <c r="J127" s="25"/>
    </row>
    <row r="128" spans="4:10">
      <c r="D128" s="25"/>
      <c r="E128" s="25"/>
      <c r="F128" s="25"/>
      <c r="G128" s="25"/>
      <c r="H128" s="25"/>
      <c r="I128" s="25"/>
      <c r="J128" s="25"/>
    </row>
    <row r="129" spans="4:10">
      <c r="D129" s="25"/>
      <c r="E129" s="25"/>
      <c r="F129" s="25"/>
      <c r="G129" s="25"/>
      <c r="H129" s="25"/>
      <c r="I129" s="25"/>
      <c r="J129" s="25"/>
    </row>
    <row r="130" spans="4:10">
      <c r="D130" s="25"/>
      <c r="E130" s="25"/>
      <c r="F130" s="25"/>
      <c r="G130" s="25"/>
      <c r="H130" s="25"/>
      <c r="I130" s="25"/>
      <c r="J130" s="25"/>
    </row>
    <row r="131" spans="4:10">
      <c r="D131" s="25"/>
      <c r="E131" s="25"/>
      <c r="F131" s="25"/>
      <c r="G131" s="25"/>
      <c r="H131" s="25"/>
      <c r="I131" s="25"/>
      <c r="J131" s="25"/>
    </row>
    <row r="132" spans="4:10">
      <c r="D132" s="25"/>
      <c r="E132" s="25"/>
      <c r="F132" s="25"/>
      <c r="G132" s="25"/>
      <c r="H132" s="25"/>
      <c r="I132" s="25"/>
      <c r="J132" s="25"/>
    </row>
    <row r="133" spans="4:10">
      <c r="D133" s="25"/>
      <c r="E133" s="25"/>
      <c r="F133" s="25"/>
      <c r="G133" s="25"/>
      <c r="H133" s="25"/>
      <c r="I133" s="25"/>
      <c r="J133" s="25"/>
    </row>
    <row r="134" spans="4:10">
      <c r="D134" s="25"/>
      <c r="E134" s="25"/>
      <c r="F134" s="25"/>
      <c r="G134" s="25"/>
      <c r="H134" s="25"/>
      <c r="I134" s="25"/>
      <c r="J134" s="25"/>
    </row>
    <row r="135" spans="4:10">
      <c r="D135" s="25"/>
      <c r="E135" s="25"/>
      <c r="F135" s="25"/>
      <c r="G135" s="25"/>
      <c r="H135" s="25"/>
      <c r="I135" s="25"/>
      <c r="J135" s="25"/>
    </row>
    <row r="136" spans="4:10">
      <c r="D136" s="25"/>
      <c r="E136" s="25"/>
      <c r="F136" s="25"/>
      <c r="G136" s="25"/>
      <c r="H136" s="25"/>
      <c r="I136" s="25"/>
      <c r="J136" s="25"/>
    </row>
    <row r="137" spans="4:10">
      <c r="D137" s="25"/>
      <c r="E137" s="25"/>
      <c r="F137" s="25"/>
      <c r="G137" s="25"/>
      <c r="H137" s="25"/>
      <c r="I137" s="25"/>
      <c r="J137" s="25"/>
    </row>
    <row r="138" spans="4:10">
      <c r="D138" s="25"/>
      <c r="E138" s="25"/>
      <c r="F138" s="25"/>
      <c r="G138" s="25"/>
      <c r="H138" s="25"/>
      <c r="I138" s="25"/>
      <c r="J138" s="25"/>
    </row>
    <row r="139" spans="4:10">
      <c r="D139" s="25"/>
      <c r="E139" s="25"/>
      <c r="F139" s="25"/>
      <c r="G139" s="25"/>
      <c r="H139" s="25"/>
      <c r="I139" s="25"/>
      <c r="J139" s="25"/>
    </row>
    <row r="140" spans="4:10">
      <c r="D140" s="25"/>
      <c r="E140" s="25"/>
      <c r="F140" s="25"/>
      <c r="G140" s="25"/>
      <c r="H140" s="25"/>
      <c r="I140" s="25"/>
      <c r="J140" s="25"/>
    </row>
    <row r="141" spans="4:10">
      <c r="D141" s="25"/>
      <c r="E141" s="25"/>
      <c r="F141" s="25"/>
      <c r="G141" s="25"/>
      <c r="H141" s="25"/>
      <c r="I141" s="25"/>
      <c r="J141" s="25"/>
    </row>
    <row r="142" spans="4:10">
      <c r="D142" s="25"/>
      <c r="E142" s="25"/>
      <c r="F142" s="25"/>
      <c r="G142" s="25"/>
      <c r="H142" s="25"/>
      <c r="I142" s="25"/>
      <c r="J142" s="25"/>
    </row>
    <row r="143" spans="4:10">
      <c r="D143" s="25"/>
      <c r="E143" s="25"/>
      <c r="F143" s="25"/>
      <c r="G143" s="25"/>
      <c r="H143" s="25"/>
      <c r="I143" s="25"/>
      <c r="J143" s="25"/>
    </row>
    <row r="144" spans="4:10">
      <c r="D144" s="25"/>
      <c r="E144" s="25"/>
      <c r="F144" s="25"/>
      <c r="G144" s="25"/>
      <c r="H144" s="25"/>
      <c r="I144" s="25"/>
      <c r="J144" s="25"/>
    </row>
    <row r="145" spans="4:10">
      <c r="D145" s="25"/>
      <c r="E145" s="25"/>
      <c r="F145" s="25"/>
      <c r="G145" s="25"/>
      <c r="H145" s="25"/>
      <c r="I145" s="25"/>
      <c r="J145" s="25"/>
    </row>
    <row r="146" spans="4:10">
      <c r="D146" s="25"/>
      <c r="E146" s="25"/>
      <c r="F146" s="25"/>
      <c r="G146" s="25"/>
      <c r="H146" s="25"/>
      <c r="I146" s="25"/>
      <c r="J146" s="25"/>
    </row>
    <row r="147" spans="4:10">
      <c r="D147" s="25"/>
      <c r="E147" s="25"/>
      <c r="F147" s="25"/>
      <c r="G147" s="25"/>
      <c r="H147" s="25"/>
      <c r="I147" s="25"/>
      <c r="J147" s="25"/>
    </row>
    <row r="148" spans="4:10">
      <c r="D148" s="25"/>
      <c r="E148" s="25"/>
      <c r="F148" s="25"/>
      <c r="G148" s="25"/>
      <c r="H148" s="25"/>
      <c r="I148" s="25"/>
      <c r="J148" s="25"/>
    </row>
    <row r="149" spans="4:10">
      <c r="D149" s="25"/>
      <c r="E149" s="25"/>
      <c r="F149" s="25"/>
      <c r="G149" s="25"/>
      <c r="H149" s="25"/>
      <c r="I149" s="25"/>
      <c r="J149" s="25"/>
    </row>
    <row r="150" spans="4:10">
      <c r="D150" s="25"/>
      <c r="E150" s="25"/>
      <c r="F150" s="25"/>
      <c r="G150" s="25"/>
      <c r="H150" s="25"/>
      <c r="I150" s="25"/>
      <c r="J150" s="25"/>
    </row>
    <row r="151" spans="4:10">
      <c r="D151" s="25"/>
      <c r="E151" s="25"/>
      <c r="F151" s="25"/>
      <c r="G151" s="25"/>
      <c r="H151" s="25"/>
      <c r="I151" s="25"/>
      <c r="J151" s="25"/>
    </row>
    <row r="152" spans="4:10">
      <c r="D152" s="25"/>
      <c r="E152" s="25"/>
      <c r="F152" s="25"/>
      <c r="G152" s="25"/>
      <c r="H152" s="25"/>
      <c r="I152" s="25"/>
      <c r="J152" s="25"/>
    </row>
    <row r="153" spans="4:10">
      <c r="D153" s="25"/>
      <c r="E153" s="25"/>
      <c r="F153" s="25"/>
      <c r="G153" s="25"/>
      <c r="H153" s="25"/>
      <c r="I153" s="25"/>
      <c r="J153" s="25"/>
    </row>
    <row r="154" spans="4:10">
      <c r="D154" s="25"/>
      <c r="E154" s="25"/>
      <c r="F154" s="25"/>
      <c r="G154" s="25"/>
      <c r="H154" s="25"/>
      <c r="I154" s="25"/>
      <c r="J154" s="25"/>
    </row>
    <row r="155" spans="4:10">
      <c r="D155" s="25"/>
      <c r="E155" s="25"/>
      <c r="F155" s="25"/>
      <c r="G155" s="25"/>
      <c r="H155" s="25"/>
      <c r="I155" s="25"/>
      <c r="J155" s="25"/>
    </row>
    <row r="156" spans="4:10">
      <c r="D156" s="25"/>
      <c r="E156" s="25"/>
      <c r="F156" s="25"/>
      <c r="G156" s="25"/>
      <c r="H156" s="25"/>
      <c r="I156" s="25"/>
      <c r="J156" s="25"/>
    </row>
    <row r="157" spans="4:10">
      <c r="D157" s="25"/>
      <c r="E157" s="25"/>
      <c r="F157" s="25"/>
      <c r="G157" s="25"/>
      <c r="H157" s="25"/>
      <c r="I157" s="25"/>
      <c r="J157" s="25"/>
    </row>
  </sheetData>
  <mergeCells count="2">
    <mergeCell ref="K3:M3"/>
    <mergeCell ref="O3:T3"/>
  </mergeCells>
  <conditionalFormatting sqref="W1">
    <cfRule type="cellIs" dxfId="74" priority="57" operator="equal">
      <formula>"Check"</formula>
    </cfRule>
    <cfRule type="cellIs" dxfId="73" priority="58" operator="equal">
      <formula>"Ok"</formula>
    </cfRule>
  </conditionalFormatting>
  <conditionalFormatting sqref="T1">
    <cfRule type="cellIs" dxfId="72" priority="21" operator="equal">
      <formula>"Check"</formula>
    </cfRule>
    <cfRule type="cellIs" dxfId="71" priority="22" operator="equal">
      <formula>"Ok"</formula>
    </cfRule>
  </conditionalFormatting>
  <conditionalFormatting sqref="W56">
    <cfRule type="cellIs" dxfId="70" priority="9" operator="equal">
      <formula>"Check"</formula>
    </cfRule>
    <cfRule type="cellIs" dxfId="69" priority="10" operator="equal">
      <formula>"Ok"</formula>
    </cfRule>
  </conditionalFormatting>
  <conditionalFormatting sqref="P56:S56">
    <cfRule type="cellIs" dxfId="68" priority="7" operator="equal">
      <formula>"Check"</formula>
    </cfRule>
    <cfRule type="cellIs" dxfId="67" priority="8" operator="equal">
      <formula>"Ok"</formula>
    </cfRule>
  </conditionalFormatting>
  <conditionalFormatting sqref="W87">
    <cfRule type="cellIs" dxfId="66" priority="5" operator="equal">
      <formula>"Check"</formula>
    </cfRule>
    <cfRule type="cellIs" dxfId="65" priority="6" operator="equal">
      <formula>"Ok"</formula>
    </cfRule>
  </conditionalFormatting>
  <conditionalFormatting sqref="P87:T87">
    <cfRule type="cellIs" dxfId="64" priority="3" operator="equal">
      <formula>"Check"</formula>
    </cfRule>
    <cfRule type="cellIs" dxfId="63" priority="4" operator="equal">
      <formula>"Ok"</formula>
    </cfRule>
  </conditionalFormatting>
  <conditionalFormatting sqref="T56">
    <cfRule type="cellIs" dxfId="62" priority="1" operator="equal">
      <formula>"Check"</formula>
    </cfRule>
    <cfRule type="cellIs" dxfId="61" priority="2" operator="equal">
      <formula>"Ok"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6"/>
  <sheetViews>
    <sheetView showGridLines="0" workbookViewId="0">
      <selection activeCell="O14" sqref="O14:S14"/>
    </sheetView>
  </sheetViews>
  <sheetFormatPr defaultColWidth="0" defaultRowHeight="11.25" zeroHeight="1" outlineLevelRow="1"/>
  <cols>
    <col min="1" max="2" width="1.5" style="25" customWidth="1"/>
    <col min="3" max="3" width="48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33203125" style="26" customWidth="1"/>
    <col min="10" max="23" width="10.83203125" style="25" customWidth="1"/>
    <col min="24" max="47" width="10.5" style="25" customWidth="1"/>
    <col min="48" max="16384" width="0" style="25" hidden="1"/>
  </cols>
  <sheetData>
    <row r="1" spans="1:23" s="62" customFormat="1" ht="15.75">
      <c r="B1" s="63" t="str">
        <f>Index!$B$1</f>
        <v>AER opex model</v>
      </c>
      <c r="C1" s="63"/>
      <c r="D1" s="63"/>
      <c r="E1" s="63"/>
      <c r="F1" s="64"/>
      <c r="G1" s="64"/>
      <c r="H1" s="64"/>
      <c r="I1" s="64"/>
      <c r="J1" s="33" t="s">
        <v>2</v>
      </c>
      <c r="L1" s="65" t="s">
        <v>3</v>
      </c>
      <c r="M1" s="66" t="s">
        <v>4</v>
      </c>
      <c r="N1" s="67" t="s">
        <v>5</v>
      </c>
      <c r="O1" s="68" t="s">
        <v>6</v>
      </c>
      <c r="R1" s="65" t="s">
        <v>86</v>
      </c>
      <c r="S1" s="69" t="str">
        <f>IF(COUNTA($W$8:$W$221)=COUNTIF($W$8:$W$221,"OK"),"OK","Check")</f>
        <v>OK</v>
      </c>
      <c r="U1" s="157" t="s">
        <v>24</v>
      </c>
      <c r="V1" s="69" t="str">
        <f>'Check|List'!$S$1</f>
        <v>Ok</v>
      </c>
    </row>
    <row r="2" spans="1:23" s="70" customFormat="1" ht="13.5" thickBot="1">
      <c r="B2" s="71" t="str">
        <f>Index!$C$11</f>
        <v>Input | Step changes</v>
      </c>
      <c r="C2" s="71"/>
      <c r="D2" s="71"/>
      <c r="E2" s="71"/>
      <c r="F2" s="72"/>
      <c r="G2" s="72"/>
      <c r="H2" s="72"/>
      <c r="I2" s="72"/>
    </row>
    <row r="3" spans="1:23" s="73" customFormat="1">
      <c r="C3" s="74"/>
      <c r="D3" s="75"/>
      <c r="E3" s="75"/>
      <c r="F3" s="75"/>
      <c r="G3" s="75"/>
      <c r="H3" s="75"/>
      <c r="I3" s="75"/>
      <c r="J3" s="228"/>
      <c r="K3" s="228"/>
      <c r="L3" s="228"/>
      <c r="M3" s="75"/>
      <c r="N3" s="228"/>
      <c r="O3" s="228"/>
      <c r="P3" s="228"/>
      <c r="Q3" s="228"/>
      <c r="R3" s="228"/>
      <c r="S3" s="228"/>
      <c r="T3" s="76"/>
      <c r="U3" s="76"/>
      <c r="V3" s="76"/>
      <c r="W3" s="76"/>
    </row>
    <row r="4" spans="1:23" s="83" customFormat="1" ht="10.5">
      <c r="A4" s="77"/>
      <c r="B4" s="77"/>
      <c r="C4" s="77"/>
      <c r="D4" s="77" t="s">
        <v>7</v>
      </c>
      <c r="E4" s="77" t="s">
        <v>8</v>
      </c>
      <c r="F4" s="80" t="s">
        <v>22</v>
      </c>
      <c r="G4" s="80"/>
      <c r="H4" s="80"/>
      <c r="I4" s="80"/>
      <c r="J4" s="81">
        <f>'Input|General'!$G$8</f>
        <v>2015</v>
      </c>
      <c r="K4" s="81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L4" s="81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81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81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81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81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81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81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81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81"/>
      <c r="U4" s="81"/>
      <c r="V4" s="82"/>
      <c r="W4" s="82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9" customFormat="1" ht="12.75">
      <c r="A8" s="84"/>
      <c r="B8" s="85" t="s">
        <v>49</v>
      </c>
      <c r="C8" s="84"/>
      <c r="D8" s="84"/>
      <c r="E8" s="84"/>
      <c r="F8" s="86"/>
      <c r="G8" s="86"/>
      <c r="H8" s="86"/>
      <c r="I8" s="86"/>
      <c r="J8" s="87"/>
      <c r="K8" s="88"/>
      <c r="L8" s="87"/>
      <c r="M8" s="88"/>
      <c r="N8" s="87"/>
      <c r="O8" s="87"/>
      <c r="P8" s="87"/>
      <c r="Q8" s="87"/>
      <c r="R8" s="87"/>
      <c r="S8" s="87"/>
      <c r="T8" s="87"/>
      <c r="U8" s="87"/>
      <c r="V8" s="88"/>
      <c r="W8" s="88"/>
    </row>
    <row r="9" spans="1:23" outlineLevel="1">
      <c r="G9" s="28"/>
      <c r="H9" s="28"/>
      <c r="N9" s="225"/>
      <c r="O9" s="224"/>
    </row>
    <row r="10" spans="1:23" outlineLevel="1">
      <c r="C10" s="59" t="s">
        <v>83</v>
      </c>
      <c r="D10" s="28" t="s">
        <v>7</v>
      </c>
      <c r="E10" s="28" t="s">
        <v>8</v>
      </c>
      <c r="F10" s="28" t="s">
        <v>22</v>
      </c>
      <c r="G10" s="28"/>
      <c r="H10" s="28"/>
      <c r="J10" s="92" t="str">
        <f>IF(RIGHT(J$4,2)&gt;=RIGHT('Input|General'!$G$11,2),IF(RIGHT(J$4,2)&lt;=RIGHT('Input|General'!$G$12,2),J$4,""),"")</f>
        <v/>
      </c>
      <c r="K10" s="92" t="str">
        <f ca="1">IF(RIGHT(K$4,2)&gt;=RIGHT('Input|General'!$G$11,2),IF(RIGHT(K$4,2)&lt;=RIGHT('Input|General'!$G$12,2),K$4,""),"")</f>
        <v/>
      </c>
      <c r="L10" s="92" t="str">
        <f ca="1">IF(RIGHT(L$4,2)&gt;=RIGHT('Input|General'!$G$11,2),IF(RIGHT(L$4,2)&lt;=RIGHT('Input|General'!$G$12,2),L$4,""),"")</f>
        <v/>
      </c>
      <c r="M10" s="92" t="str">
        <f ca="1">IF(RIGHT(M$4,2)&gt;=RIGHT('Input|General'!$G$11,2),IF(RIGHT(M$4,2)&lt;=RIGHT('Input|General'!$G$12,2),M$4,""),"")</f>
        <v/>
      </c>
      <c r="N10" s="92" t="str">
        <f ca="1">IF(RIGHT(N$4,2)&gt;=RIGHT('Input|General'!$G$11,2),IF(RIGHT(N$4,2)&lt;=RIGHT('Input|General'!$G$12,2),N$4,""),"")</f>
        <v/>
      </c>
      <c r="O10" s="152">
        <f ca="1">IF(RIGHT(O$4,2)&gt;=RIGHT('Input|General'!$G$11,2),IF(RIGHT(O$4,2)&lt;=RIGHT('Input|General'!$G$12,2),O$4,""),"")</f>
        <v>2020</v>
      </c>
      <c r="P10" s="152">
        <f ca="1">IF(RIGHT(P$4,2)&gt;=RIGHT('Input|General'!$G$11,2),IF(RIGHT(P$4,2)&lt;=RIGHT('Input|General'!$G$12,2),P$4,""),"")</f>
        <v>2021</v>
      </c>
      <c r="Q10" s="152">
        <f ca="1">IF(RIGHT(Q$4,2)&gt;=RIGHT('Input|General'!$G$11,2),IF(RIGHT(Q$4,2)&lt;=RIGHT('Input|General'!$G$12,2),Q$4,""),"")</f>
        <v>2022</v>
      </c>
      <c r="R10" s="152">
        <f ca="1">IF(RIGHT(R$4,2)&gt;=RIGHT('Input|General'!$G$11,2),IF(RIGHT(R$4,2)&lt;=RIGHT('Input|General'!$G$12,2),R$4,""),"")</f>
        <v>2023</v>
      </c>
      <c r="S10" s="152">
        <f ca="1">IF(RIGHT(S$4,2)&gt;=RIGHT('Input|General'!$G$11,2),IF(RIGHT(S$4,2)&lt;=RIGHT('Input|General'!$G$12,2),S$4,""),"")</f>
        <v>2024</v>
      </c>
    </row>
    <row r="11" spans="1:23" outlineLevel="1">
      <c r="G11" s="28"/>
      <c r="H11" s="28"/>
    </row>
    <row r="12" spans="1:23" outlineLevel="1">
      <c r="C12" s="172" t="str">
        <f>'[2]Calc|Step_Changes'!D27</f>
        <v>Inspection and testing</v>
      </c>
      <c r="D12" s="26" t="s">
        <v>123</v>
      </c>
      <c r="E12" s="141" t="s">
        <v>15</v>
      </c>
      <c r="F12" s="151">
        <v>2018</v>
      </c>
      <c r="G12" s="28"/>
      <c r="H12" s="28"/>
      <c r="O12" s="53">
        <f>'[2]Calc|Step_Changes'!N27/10^6</f>
        <v>0.30554423999999997</v>
      </c>
      <c r="P12" s="53">
        <f>'[2]Calc|Step_Changes'!O27/10^6</f>
        <v>0.30554423999999997</v>
      </c>
      <c r="Q12" s="53">
        <f>'[2]Calc|Step_Changes'!P27/10^6</f>
        <v>0.30554423999999997</v>
      </c>
      <c r="R12" s="53">
        <f>'[2]Calc|Step_Changes'!Q27/10^6</f>
        <v>0.30554423999999997</v>
      </c>
      <c r="S12" s="53">
        <f>'[2]Calc|Step_Changes'!R27/10^6</f>
        <v>0.30554423999999997</v>
      </c>
    </row>
    <row r="13" spans="1:23" outlineLevel="1">
      <c r="C13" s="172" t="str">
        <f>'[2]Calc|Step_Changes'!D28</f>
        <v>Metering Compliance Type 1-6</v>
      </c>
      <c r="D13" s="163" t="s">
        <v>123</v>
      </c>
      <c r="E13" s="141" t="s">
        <v>15</v>
      </c>
      <c r="F13" s="151">
        <v>2018</v>
      </c>
      <c r="G13" s="28"/>
      <c r="H13" s="28"/>
      <c r="O13" s="53">
        <f>'[2]Calc|Step_Changes'!N28/10^6</f>
        <v>3.8284619999999998E-2</v>
      </c>
      <c r="P13" s="53">
        <f>'[2]Calc|Step_Changes'!O28/10^6</f>
        <v>3.8284619999999998E-2</v>
      </c>
      <c r="Q13" s="53">
        <f>'[2]Calc|Step_Changes'!P28/10^6</f>
        <v>3.8284619999999998E-2</v>
      </c>
      <c r="R13" s="53">
        <f>'[2]Calc|Step_Changes'!Q28/10^6</f>
        <v>3.8284619999999998E-2</v>
      </c>
      <c r="S13" s="53">
        <f>'[2]Calc|Step_Changes'!R28/10^6</f>
        <v>3.8284619999999998E-2</v>
      </c>
    </row>
    <row r="14" spans="1:23" outlineLevel="1">
      <c r="C14" s="172" t="str">
        <f>'[2]Calc|Step_Changes'!D29</f>
        <v>Souther Region metering technicians</v>
      </c>
      <c r="D14" s="163" t="s">
        <v>123</v>
      </c>
      <c r="E14" s="141" t="s">
        <v>15</v>
      </c>
      <c r="F14" s="151">
        <v>2018</v>
      </c>
      <c r="G14" s="28"/>
      <c r="H14" s="28"/>
      <c r="O14" s="226"/>
      <c r="P14" s="226"/>
      <c r="Q14" s="226"/>
      <c r="R14" s="226"/>
      <c r="S14" s="226"/>
    </row>
    <row r="15" spans="1:23" outlineLevel="1">
      <c r="C15" s="172" t="str">
        <f>'[2]Calc|Step_Changes'!D30</f>
        <v>New and replacement meter policy</v>
      </c>
      <c r="D15" s="163" t="s">
        <v>123</v>
      </c>
      <c r="E15" s="141" t="s">
        <v>15</v>
      </c>
      <c r="F15" s="151">
        <v>2018</v>
      </c>
      <c r="G15" s="28"/>
      <c r="H15" s="28"/>
      <c r="O15" s="53">
        <f>'[2]Calc|Step_Changes'!N30/10^6</f>
        <v>-0.45366679407002114</v>
      </c>
      <c r="P15" s="53">
        <f>'[2]Calc|Step_Changes'!O30/10^6</f>
        <v>-0.58437833735764055</v>
      </c>
      <c r="Q15" s="53">
        <f>'[2]Calc|Step_Changes'!P30/10^6</f>
        <v>-0.72009363052515496</v>
      </c>
      <c r="R15" s="53">
        <f>'[2]Calc|Step_Changes'!Q30/10^6</f>
        <v>-0.85199595956808316</v>
      </c>
      <c r="S15" s="53">
        <f>'[2]Calc|Step_Changes'!R30/10^6</f>
        <v>-0.9778793759757225</v>
      </c>
    </row>
    <row r="16" spans="1:23" outlineLevel="1">
      <c r="C16" s="172"/>
      <c r="D16" s="163" t="s">
        <v>123</v>
      </c>
      <c r="E16" s="141" t="s">
        <v>15</v>
      </c>
      <c r="F16" s="151">
        <v>2018</v>
      </c>
      <c r="G16" s="28"/>
      <c r="H16" s="28"/>
      <c r="O16" s="53"/>
      <c r="P16" s="53"/>
      <c r="Q16" s="53"/>
      <c r="R16" s="53"/>
      <c r="S16" s="53"/>
    </row>
    <row r="17" spans="1:23" outlineLevel="1">
      <c r="C17" s="172"/>
      <c r="D17" s="163" t="s">
        <v>123</v>
      </c>
      <c r="E17" s="141" t="s">
        <v>15</v>
      </c>
      <c r="F17" s="151">
        <v>2018</v>
      </c>
      <c r="G17" s="28"/>
      <c r="H17" s="28"/>
      <c r="O17" s="53"/>
      <c r="P17" s="53"/>
      <c r="Q17" s="53"/>
      <c r="R17" s="53"/>
      <c r="S17" s="53"/>
    </row>
    <row r="18" spans="1:23" outlineLevel="1">
      <c r="C18" s="51"/>
      <c r="D18" s="163" t="s">
        <v>123</v>
      </c>
      <c r="E18" s="141" t="s">
        <v>15</v>
      </c>
      <c r="F18" s="151">
        <v>2018</v>
      </c>
      <c r="G18" s="28"/>
      <c r="H18" s="28"/>
      <c r="O18" s="53"/>
      <c r="P18" s="53"/>
      <c r="Q18" s="53"/>
      <c r="R18" s="53"/>
      <c r="S18" s="53"/>
    </row>
    <row r="19" spans="1:23" outlineLevel="1">
      <c r="C19" s="51"/>
      <c r="D19" s="163" t="s">
        <v>123</v>
      </c>
      <c r="E19" s="141" t="s">
        <v>15</v>
      </c>
      <c r="F19" s="151">
        <v>2019</v>
      </c>
      <c r="G19" s="28"/>
      <c r="H19" s="28"/>
      <c r="O19" s="53"/>
      <c r="P19" s="53"/>
      <c r="Q19" s="53"/>
      <c r="R19" s="53"/>
      <c r="S19" s="53"/>
    </row>
    <row r="20" spans="1:23" outlineLevel="1">
      <c r="C20" s="51"/>
      <c r="D20" s="163" t="s">
        <v>123</v>
      </c>
      <c r="E20" s="141" t="s">
        <v>15</v>
      </c>
      <c r="F20" s="151">
        <v>2019</v>
      </c>
      <c r="G20" s="28"/>
      <c r="H20" s="28"/>
      <c r="O20" s="53"/>
      <c r="P20" s="53"/>
      <c r="Q20" s="53"/>
      <c r="R20" s="53"/>
      <c r="S20" s="53"/>
    </row>
    <row r="21" spans="1:23">
      <c r="G21" s="28"/>
      <c r="H21" s="28"/>
    </row>
    <row r="22" spans="1:23" s="89" customFormat="1" ht="12.75">
      <c r="A22" s="84"/>
      <c r="B22" s="85" t="s">
        <v>43</v>
      </c>
      <c r="C22" s="84"/>
      <c r="D22" s="84"/>
      <c r="E22" s="84"/>
      <c r="F22" s="86"/>
      <c r="G22" s="86"/>
      <c r="H22" s="86"/>
      <c r="I22" s="86"/>
      <c r="J22" s="87"/>
      <c r="K22" s="88"/>
      <c r="L22" s="87"/>
      <c r="M22" s="88"/>
      <c r="N22" s="87"/>
      <c r="O22" s="87"/>
      <c r="P22" s="87"/>
      <c r="Q22" s="87"/>
      <c r="R22" s="87"/>
      <c r="S22" s="87"/>
      <c r="T22" s="87"/>
      <c r="U22" s="87"/>
      <c r="V22" s="88"/>
      <c r="W22" s="88"/>
    </row>
    <row r="23" spans="1:23" outlineLevel="1">
      <c r="G23" s="28"/>
      <c r="H23" s="28"/>
    </row>
    <row r="24" spans="1:23" outlineLevel="1">
      <c r="C24" s="59" t="s">
        <v>32</v>
      </c>
      <c r="D24" s="28" t="s">
        <v>7</v>
      </c>
      <c r="E24" s="28" t="s">
        <v>8</v>
      </c>
      <c r="F24" s="28" t="s">
        <v>22</v>
      </c>
      <c r="G24" s="28"/>
      <c r="H24" s="28"/>
      <c r="J24" s="92" t="str">
        <f>IF(RIGHT(J$4,2)&gt;=RIGHT('Input|General'!$G$11,2),IF(RIGHT(J$4,2)&lt;=RIGHT('Input|General'!$G$12,2),J$4,""),"")</f>
        <v/>
      </c>
      <c r="K24" s="92" t="str">
        <f ca="1">IF(RIGHT(K$4,2)&gt;=RIGHT('Input|General'!$G$11,2),IF(RIGHT(K$4,2)&lt;=RIGHT('Input|General'!$G$12,2),K$4,""),"")</f>
        <v/>
      </c>
      <c r="L24" s="92" t="str">
        <f ca="1">IF(RIGHT(L$4,2)&gt;=RIGHT('Input|General'!$G$11,2),IF(RIGHT(L$4,2)&lt;=RIGHT('Input|General'!$G$12,2),L$4,""),"")</f>
        <v/>
      </c>
      <c r="M24" s="92" t="str">
        <f ca="1">IF(RIGHT(M$4,2)&gt;=RIGHT('Input|General'!$G$11,2),IF(RIGHT(M$4,2)&lt;=RIGHT('Input|General'!$G$12,2),M$4,""),"")</f>
        <v/>
      </c>
      <c r="N24" s="92" t="str">
        <f ca="1">IF(RIGHT(N$4,2)&gt;=RIGHT('Input|General'!$G$11,2),IF(RIGHT(N$4,2)&lt;=RIGHT('Input|General'!$G$12,2),N$4,""),"")</f>
        <v/>
      </c>
      <c r="O24" s="152">
        <f ca="1">IF(RIGHT(O$4,2)&gt;=RIGHT('Input|General'!$G$11,2),IF(RIGHT(O$4,2)&lt;=RIGHT('Input|General'!$G$12,2),O$4,""),"")</f>
        <v>2020</v>
      </c>
      <c r="P24" s="152">
        <f ca="1">IF(RIGHT(P$4,2)&gt;=RIGHT('Input|General'!$G$11,2),IF(RIGHT(P$4,2)&lt;=RIGHT('Input|General'!$G$12,2),P$4,""),"")</f>
        <v>2021</v>
      </c>
      <c r="Q24" s="152">
        <f ca="1">IF(RIGHT(Q$4,2)&gt;=RIGHT('Input|General'!$G$11,2),IF(RIGHT(Q$4,2)&lt;=RIGHT('Input|General'!$G$12,2),Q$4,""),"")</f>
        <v>2022</v>
      </c>
      <c r="R24" s="152">
        <f ca="1">IF(RIGHT(R$4,2)&gt;=RIGHT('Input|General'!$G$11,2),IF(RIGHT(R$4,2)&lt;=RIGHT('Input|General'!$G$12,2),R$4,""),"")</f>
        <v>2023</v>
      </c>
      <c r="S24" s="152">
        <f ca="1">IF(RIGHT(S$4,2)&gt;=RIGHT('Input|General'!$G$11,2),IF(RIGHT(S$4,2)&lt;=RIGHT('Input|General'!$G$12,2),S$4,""),"")</f>
        <v>2024</v>
      </c>
    </row>
    <row r="25" spans="1:23" outlineLevel="1">
      <c r="G25" s="28"/>
      <c r="H25" s="28"/>
    </row>
    <row r="26" spans="1:23" outlineLevel="1">
      <c r="C26" s="98" t="s">
        <v>38</v>
      </c>
      <c r="D26" s="26" t="s">
        <v>77</v>
      </c>
      <c r="E26" s="26" t="s">
        <v>15</v>
      </c>
      <c r="F26" s="166">
        <v>2019</v>
      </c>
      <c r="G26" s="28"/>
      <c r="H26" s="28"/>
      <c r="O26" s="61">
        <f>'[3]PTRM input'!G186</f>
        <v>8.6157966088687647E-3</v>
      </c>
      <c r="P26" s="61">
        <f>'[3]PTRM input'!H186</f>
        <v>1.1658097446656412E-2</v>
      </c>
      <c r="Q26" s="61">
        <f>'[3]PTRM input'!I186</f>
        <v>1.2793609940476547E-2</v>
      </c>
      <c r="R26" s="61">
        <f>'[3]PTRM input'!J186</f>
        <v>1.3814966073065503E-2</v>
      </c>
      <c r="S26" s="61">
        <f>'[3]PTRM input'!K186</f>
        <v>1.6658603205363609E-2</v>
      </c>
    </row>
    <row r="27" spans="1:23">
      <c r="G27" s="28"/>
      <c r="H27" s="28"/>
    </row>
    <row r="28" spans="1:23" s="89" customFormat="1" ht="12.75">
      <c r="A28" s="84"/>
      <c r="B28" s="85" t="s">
        <v>21</v>
      </c>
      <c r="C28" s="84"/>
      <c r="D28" s="84"/>
      <c r="E28" s="84"/>
      <c r="F28" s="86"/>
      <c r="G28" s="86"/>
      <c r="H28" s="86"/>
      <c r="I28" s="86"/>
      <c r="J28" s="87"/>
      <c r="K28" s="88"/>
      <c r="L28" s="87"/>
      <c r="M28" s="88"/>
      <c r="N28" s="87"/>
      <c r="O28" s="87"/>
      <c r="P28" s="87"/>
      <c r="Q28" s="87"/>
      <c r="R28" s="87"/>
      <c r="S28" s="87"/>
      <c r="T28" s="87"/>
      <c r="U28" s="87"/>
      <c r="V28" s="88"/>
      <c r="W28" s="88"/>
    </row>
    <row r="29" spans="1:23">
      <c r="D29" s="25"/>
      <c r="E29" s="25"/>
      <c r="F29" s="25"/>
      <c r="G29" s="25"/>
      <c r="H29" s="25"/>
      <c r="I29" s="25"/>
    </row>
    <row r="30" spans="1:23">
      <c r="D30" s="25"/>
      <c r="E30" s="25"/>
      <c r="F30" s="25"/>
      <c r="G30" s="25"/>
      <c r="H30" s="25"/>
      <c r="I30" s="25"/>
    </row>
    <row r="31" spans="1:23">
      <c r="D31" s="25"/>
      <c r="E31" s="25"/>
      <c r="F31" s="25"/>
      <c r="G31" s="25"/>
      <c r="H31" s="25"/>
      <c r="I31" s="25"/>
    </row>
    <row r="32" spans="1:23">
      <c r="D32" s="25"/>
      <c r="E32" s="25"/>
      <c r="F32" s="25"/>
      <c r="G32" s="25"/>
      <c r="H32" s="25"/>
      <c r="I32" s="25"/>
    </row>
    <row r="33" spans="4:9">
      <c r="D33" s="25"/>
      <c r="E33" s="25"/>
      <c r="F33" s="25"/>
      <c r="G33" s="25"/>
      <c r="H33" s="25"/>
      <c r="I33" s="25"/>
    </row>
    <row r="34" spans="4:9">
      <c r="D34" s="25"/>
      <c r="E34" s="25"/>
      <c r="F34" s="25"/>
      <c r="G34" s="25"/>
      <c r="H34" s="25"/>
      <c r="I34" s="25"/>
    </row>
    <row r="35" spans="4:9">
      <c r="D35" s="25"/>
      <c r="E35" s="25"/>
      <c r="F35" s="25"/>
      <c r="G35" s="25"/>
      <c r="H35" s="25"/>
      <c r="I35" s="25"/>
    </row>
    <row r="36" spans="4:9">
      <c r="D36" s="25"/>
      <c r="E36" s="25"/>
      <c r="F36" s="25"/>
      <c r="G36" s="25"/>
      <c r="H36" s="25"/>
      <c r="I36" s="25"/>
    </row>
    <row r="37" spans="4:9">
      <c r="D37" s="25"/>
      <c r="E37" s="25"/>
      <c r="F37" s="25"/>
      <c r="G37" s="25"/>
      <c r="H37" s="25"/>
      <c r="I37" s="25"/>
    </row>
    <row r="38" spans="4:9">
      <c r="D38" s="25"/>
      <c r="E38" s="25"/>
      <c r="F38" s="25"/>
      <c r="G38" s="25"/>
      <c r="H38" s="25"/>
      <c r="I38" s="25"/>
    </row>
    <row r="39" spans="4:9">
      <c r="D39" s="25"/>
      <c r="E39" s="25"/>
      <c r="F39" s="25"/>
      <c r="G39" s="25"/>
      <c r="H39" s="25"/>
      <c r="I39" s="25"/>
    </row>
    <row r="40" spans="4:9">
      <c r="D40" s="25"/>
      <c r="E40" s="25"/>
      <c r="F40" s="25"/>
      <c r="G40" s="25"/>
      <c r="H40" s="25"/>
      <c r="I40" s="25"/>
    </row>
    <row r="41" spans="4:9">
      <c r="D41" s="25"/>
      <c r="E41" s="25"/>
      <c r="F41" s="25"/>
      <c r="G41" s="25"/>
      <c r="H41" s="25"/>
      <c r="I41" s="25"/>
    </row>
    <row r="42" spans="4:9">
      <c r="D42" s="25"/>
      <c r="E42" s="25"/>
      <c r="F42" s="25"/>
      <c r="G42" s="25"/>
      <c r="H42" s="25"/>
      <c r="I42" s="25"/>
    </row>
    <row r="43" spans="4:9">
      <c r="D43" s="25"/>
      <c r="E43" s="25"/>
      <c r="F43" s="25"/>
      <c r="G43" s="25"/>
      <c r="H43" s="25"/>
      <c r="I43" s="25"/>
    </row>
    <row r="44" spans="4:9">
      <c r="D44" s="25"/>
      <c r="E44" s="25"/>
      <c r="F44" s="25"/>
      <c r="G44" s="25"/>
      <c r="H44" s="25"/>
      <c r="I44" s="25"/>
    </row>
    <row r="45" spans="4:9">
      <c r="D45" s="25"/>
      <c r="E45" s="25"/>
      <c r="F45" s="25"/>
      <c r="G45" s="25"/>
      <c r="H45" s="25"/>
      <c r="I45" s="25"/>
    </row>
    <row r="46" spans="4:9">
      <c r="D46" s="25"/>
      <c r="E46" s="25"/>
      <c r="F46" s="25"/>
      <c r="G46" s="25"/>
      <c r="H46" s="25"/>
      <c r="I46" s="25"/>
    </row>
  </sheetData>
  <mergeCells count="2">
    <mergeCell ref="J3:L3"/>
    <mergeCell ref="N3:S3"/>
  </mergeCells>
  <conditionalFormatting sqref="S1">
    <cfRule type="cellIs" dxfId="60" priority="1" operator="equal">
      <formula>"Check"</formula>
    </cfRule>
    <cfRule type="cellIs" dxfId="59" priority="2" operator="equal">
      <formula>"Ok"</formula>
    </cfRule>
  </conditionalFormatting>
  <conditionalFormatting sqref="V1">
    <cfRule type="cellIs" dxfId="58" priority="3" operator="equal">
      <formula>"Check"</formula>
    </cfRule>
    <cfRule type="cellIs" dxfId="57" priority="4" operator="equal">
      <formula>"Ok"</formula>
    </cfRule>
  </conditionalFormatting>
  <dataValidations count="2">
    <dataValidation type="list" allowBlank="1" showInputMessage="1" showErrorMessage="1" sqref="F21">
      <formula1>"Real 2010,Real 2011,Real 2012,Real 2013,Real 2014,Real 2015,Nominal"</formula1>
    </dataValidation>
    <dataValidation type="list" allowBlank="1" showInputMessage="1" showErrorMessage="1" sqref="I26 I12:I21 U12:U2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E26 E12:E20</xm:sqref>
        </x14:dataValidation>
        <x14:dataValidation type="list" allowBlank="1" showInputMessage="1" showErrorMessage="1">
          <x14:formula1>
            <xm:f>'Lookup|Tables'!$G$25:$G$42</xm:f>
          </x14:formula1>
          <xm:sqref>F26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W171"/>
  <sheetViews>
    <sheetView showGridLines="0" workbookViewId="0">
      <selection activeCell="O43" sqref="O43"/>
    </sheetView>
  </sheetViews>
  <sheetFormatPr defaultColWidth="0" defaultRowHeight="11.25" zeroHeight="1" outlineLevelRow="1"/>
  <cols>
    <col min="1" max="2" width="1.5" style="25" customWidth="1"/>
    <col min="3" max="3" width="50.1640625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5" style="26" customWidth="1"/>
    <col min="10" max="23" width="10.83203125" style="25" customWidth="1"/>
    <col min="24" max="47" width="10.5" style="25" customWidth="1"/>
    <col min="48" max="16384" width="10.5" style="25" hidden="1"/>
  </cols>
  <sheetData>
    <row r="1" spans="1:23" s="62" customFormat="1" ht="15.75">
      <c r="B1" s="63" t="str">
        <f>Index!$B$1</f>
        <v>AER opex model</v>
      </c>
      <c r="C1" s="63"/>
      <c r="D1" s="63"/>
      <c r="E1" s="63"/>
      <c r="F1" s="64"/>
      <c r="G1" s="64"/>
      <c r="H1" s="64"/>
      <c r="I1" s="64"/>
      <c r="J1" s="33" t="s">
        <v>2</v>
      </c>
      <c r="L1" s="65" t="s">
        <v>3</v>
      </c>
      <c r="M1" s="66" t="s">
        <v>4</v>
      </c>
      <c r="N1" s="67" t="s">
        <v>5</v>
      </c>
      <c r="O1" s="68" t="s">
        <v>6</v>
      </c>
      <c r="R1" s="65" t="s">
        <v>86</v>
      </c>
      <c r="S1" s="69" t="s">
        <v>35</v>
      </c>
      <c r="U1" s="157" t="s">
        <v>24</v>
      </c>
      <c r="V1" s="69" t="str">
        <f>'Check|List'!$S$1</f>
        <v>Ok</v>
      </c>
    </row>
    <row r="2" spans="1:23" s="70" customFormat="1" ht="13.5" thickBot="1">
      <c r="B2" s="71" t="str">
        <f>Index!$C$12</f>
        <v>Calc | Opex Forecast</v>
      </c>
      <c r="C2" s="71"/>
      <c r="D2" s="71"/>
      <c r="E2" s="71"/>
      <c r="F2" s="72"/>
      <c r="G2" s="72"/>
      <c r="H2" s="72"/>
      <c r="I2" s="72"/>
    </row>
    <row r="3" spans="1:23" s="73" customFormat="1">
      <c r="C3" s="74"/>
      <c r="D3" s="75"/>
      <c r="E3" s="75"/>
      <c r="F3" s="75"/>
      <c r="G3" s="75"/>
      <c r="H3" s="75"/>
      <c r="I3" s="75"/>
      <c r="J3" s="228"/>
      <c r="K3" s="228"/>
      <c r="L3" s="228"/>
      <c r="M3" s="75"/>
      <c r="N3" s="228"/>
      <c r="O3" s="228"/>
      <c r="P3" s="228"/>
      <c r="Q3" s="228"/>
      <c r="R3" s="228"/>
      <c r="S3" s="228"/>
      <c r="T3" s="76"/>
      <c r="U3" s="76"/>
      <c r="V3" s="76"/>
      <c r="W3" s="76"/>
    </row>
    <row r="4" spans="1:23" s="83" customFormat="1" ht="10.5">
      <c r="A4" s="77"/>
      <c r="B4" s="77"/>
      <c r="C4" s="77"/>
      <c r="D4" s="78" t="s">
        <v>7</v>
      </c>
      <c r="E4" s="78" t="s">
        <v>8</v>
      </c>
      <c r="F4" s="79" t="s">
        <v>22</v>
      </c>
      <c r="G4" s="80"/>
      <c r="H4" s="80"/>
      <c r="I4" s="80"/>
      <c r="J4" s="153">
        <f>'Input|General'!$G$8</f>
        <v>2015</v>
      </c>
      <c r="K4" s="154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L4" s="153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154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153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153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153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153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153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153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81"/>
      <c r="U4" s="81"/>
      <c r="V4" s="82"/>
      <c r="W4" s="82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9" customFormat="1" ht="12.75">
      <c r="A8" s="84"/>
      <c r="B8" s="85" t="s">
        <v>90</v>
      </c>
      <c r="C8" s="84"/>
      <c r="D8" s="84"/>
      <c r="E8" s="60" t="s">
        <v>15</v>
      </c>
      <c r="F8" s="167">
        <v>2019</v>
      </c>
      <c r="G8" s="86"/>
      <c r="H8" s="86"/>
      <c r="I8" s="86"/>
      <c r="J8" s="87"/>
      <c r="K8" s="88"/>
      <c r="L8" s="87"/>
      <c r="M8" s="88"/>
      <c r="N8" s="87"/>
      <c r="O8" s="87"/>
      <c r="P8" s="87"/>
      <c r="Q8" s="87"/>
      <c r="R8" s="87"/>
      <c r="S8" s="87"/>
      <c r="T8" s="87"/>
      <c r="U8" s="87"/>
      <c r="V8" s="88"/>
      <c r="W8" s="88"/>
    </row>
    <row r="9" spans="1:23" outlineLevel="1"/>
    <row r="10" spans="1:23" outlineLevel="1">
      <c r="C10" s="90"/>
      <c r="D10" s="28" t="s">
        <v>7</v>
      </c>
      <c r="E10" s="28" t="s">
        <v>8</v>
      </c>
      <c r="F10" s="28" t="s">
        <v>22</v>
      </c>
      <c r="G10" s="91"/>
      <c r="H10" s="91"/>
      <c r="I10" s="91"/>
      <c r="J10" s="152" t="str">
        <f>IF(RIGHT(J$4,2)&gt;=RIGHT('Input|General'!$G$9,2),IF(RIGHT(J$4,2)&lt;=RIGHT('Input|General'!$G$10,2),J$4,""),"")</f>
        <v/>
      </c>
      <c r="K10" s="152" t="str">
        <f ca="1">IF(RIGHT(K$4,2)&gt;=RIGHT('Input|General'!$G$9,2),IF(RIGHT(K$4,2)&lt;=RIGHT('Input|General'!$G$10,2),K$4,""),"")</f>
        <v/>
      </c>
      <c r="L10" s="152" t="str">
        <f ca="1">IF(RIGHT(L$4,2)&gt;=RIGHT('Input|General'!$G$9,2),IF(RIGHT(L$4,2)&lt;=RIGHT('Input|General'!$G$10,2),L$4,""),"")</f>
        <v/>
      </c>
      <c r="M10" s="152">
        <f ca="1">IF(RIGHT(M$4,2)&gt;=RIGHT('Input|General'!$G$9,2),IF(RIGHT(M$4,2)&lt;=RIGHT('Input|General'!$G$10,2),M$4,""),"")</f>
        <v>2018</v>
      </c>
      <c r="N10" s="152">
        <f ca="1">IF(RIGHT(N$4,2)&gt;=RIGHT('Input|General'!$G$9,2),IF(RIGHT(N$4,2)&lt;=RIGHT('Input|General'!$G$10,2),N$4,""),"")</f>
        <v>2019</v>
      </c>
      <c r="O10" s="152" t="str">
        <f ca="1">IF(RIGHT(O$4,2)&gt;=RIGHT('Input|General'!$G$9,2),IF(RIGHT(O$4,2)&lt;=RIGHT('Input|General'!$G$10,2),O$4,""),"")</f>
        <v/>
      </c>
      <c r="P10" s="152" t="str">
        <f ca="1">IF(RIGHT(P$4,2)&gt;=RIGHT('Input|General'!$G$9,2),IF(RIGHT(P$4,2)&lt;=RIGHT('Input|General'!$G$10,2),P$4,""),"")</f>
        <v/>
      </c>
      <c r="Q10" s="152" t="str">
        <f ca="1">IF(RIGHT(Q$4,2)&gt;=RIGHT('Input|General'!$G$9,2),IF(RIGHT(Q$4,2)&lt;=RIGHT('Input|General'!$G$10,2),Q$4,""),"")</f>
        <v/>
      </c>
      <c r="R10" s="152" t="str">
        <f ca="1">IF(RIGHT(R$4,2)&gt;=RIGHT('Input|General'!$G$9,2),IF(RIGHT(R$4,2)&lt;=RIGHT('Input|General'!$G$10,2),R$4,""),"")</f>
        <v/>
      </c>
      <c r="S10" s="152" t="str">
        <f ca="1">IF(RIGHT(S$4,2)&gt;=RIGHT('Input|General'!$G$9,2),IF(RIGHT(S$4,2)&lt;=RIGHT('Input|General'!$G$10,2),S$4,""),"")</f>
        <v/>
      </c>
    </row>
    <row r="11" spans="1:23" outlineLevel="1">
      <c r="C11" s="93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23" outlineLevel="1">
      <c r="C12" s="93" t="s">
        <v>96</v>
      </c>
      <c r="D12" s="95" t="s">
        <v>97</v>
      </c>
      <c r="E12" s="26" t="str">
        <f>'Input|Reported opex'!E46</f>
        <v>$millions</v>
      </c>
      <c r="F12" s="26" t="str">
        <f>'Input|Reported opex'!F46</f>
        <v>nominal</v>
      </c>
      <c r="J12" s="96">
        <f>IF(J$10='Input|General'!$G$9,'Input|Reported opex'!J46,0)</f>
        <v>0</v>
      </c>
      <c r="K12" s="96">
        <f ca="1">IF(K$10='Input|General'!$G$9,'Input|Reported opex'!K46,0)</f>
        <v>0</v>
      </c>
      <c r="L12" s="96">
        <f ca="1">IF(L$10='Input|General'!$G$9,'Input|Reported opex'!L46,0)</f>
        <v>0</v>
      </c>
      <c r="M12" s="96">
        <f ca="1">IF(M$10='Input|General'!$G$9,'Input|Reported opex'!M46,0)</f>
        <v>4.7058782074735852</v>
      </c>
      <c r="N12" s="96">
        <f ca="1">IF(N$10='Input|General'!$G$9,'Input|Reported opex'!N46,0)</f>
        <v>0</v>
      </c>
      <c r="O12" s="96">
        <f ca="1">IF(O$10='Input|General'!$G$9,'Input|Reported opex'!O46,0)</f>
        <v>0</v>
      </c>
      <c r="P12" s="96">
        <f ca="1">IF(P$10='Input|General'!$G$9,'Input|Reported opex'!P46,0)</f>
        <v>0</v>
      </c>
      <c r="Q12" s="96">
        <f ca="1">IF(Q$10='Input|General'!$G$9,'Input|Reported opex'!Q46,0)</f>
        <v>0</v>
      </c>
      <c r="R12" s="96">
        <f ca="1">IF(R$10='Input|General'!$G$9,'Input|Reported opex'!R46,0)</f>
        <v>0</v>
      </c>
      <c r="S12" s="96">
        <f ca="1">IF(S$10='Input|General'!$G$9,'Input|Reported opex'!S46,0)</f>
        <v>0</v>
      </c>
    </row>
    <row r="13" spans="1:23" outlineLevel="1">
      <c r="C13" s="93" t="s">
        <v>96</v>
      </c>
      <c r="D13" s="97" t="s">
        <v>30</v>
      </c>
      <c r="E13" s="26" t="str">
        <f>$E$8</f>
        <v>$millions</v>
      </c>
      <c r="F13" s="166">
        <f>$F$8</f>
        <v>2019</v>
      </c>
      <c r="J13" s="96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96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96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96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4.8596398600113426</v>
      </c>
      <c r="N13" s="96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96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96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96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96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96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23" outlineLevel="1">
      <c r="C14" s="98"/>
      <c r="F14" s="155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23" outlineLevel="1">
      <c r="C15" s="101" t="s">
        <v>112</v>
      </c>
      <c r="D15" s="102" t="s">
        <v>30</v>
      </c>
      <c r="E15" s="102" t="str">
        <f>$E$8</f>
        <v>$millions</v>
      </c>
      <c r="F15" s="159">
        <f>$F$8</f>
        <v>2019</v>
      </c>
      <c r="J15" s="103">
        <f>IF(J$10='Input|General'!$G$10,SUM($J13:$S13)-SUM(#REF!)+SUM(#REF!),0)</f>
        <v>0</v>
      </c>
      <c r="K15" s="103">
        <f ca="1">IF(K$10='Input|General'!$G$10,SUM($J13:$S13)-SUM(#REF!)+SUM(#REF!),0)</f>
        <v>0</v>
      </c>
      <c r="L15" s="103">
        <f ca="1">IF(L$10='Input|General'!$G$10,SUM($J13:$S13)-SUM(#REF!)+SUM(#REF!),0)</f>
        <v>0</v>
      </c>
      <c r="M15" s="103">
        <f ca="1">IF(M$10='Input|General'!$G$10,SUM($J13:$S13)-SUM(#REF!)+SUM(#REF!),0)</f>
        <v>0</v>
      </c>
      <c r="N15" s="103">
        <f ca="1">IF(N$10='Input|General'!$G$10,SUM($J13:$S13),0)</f>
        <v>4.8596398600113426</v>
      </c>
      <c r="O15" s="103">
        <f ca="1">IF(O$10='Input|General'!$G$10,SUM($J13:$S13)-SUM(#REF!)+SUM(#REF!),0)</f>
        <v>0</v>
      </c>
      <c r="P15" s="103">
        <f ca="1">IF(P$10='Input|General'!$G$10,SUM($J13:$S13)-SUM(#REF!)+SUM(#REF!),0)</f>
        <v>0</v>
      </c>
      <c r="Q15" s="103">
        <f ca="1">IF(Q$10='Input|General'!$G$10,SUM($J13:$S13)-SUM(#REF!)+SUM(#REF!),0)</f>
        <v>0</v>
      </c>
      <c r="R15" s="103">
        <f ca="1">IF(R$10='Input|General'!$G$10,SUM($J13:$S13)-SUM(#REF!)+SUM(#REF!),0)</f>
        <v>0</v>
      </c>
      <c r="S15" s="103">
        <f ca="1">IF(S$10='Input|General'!$G$10,SUM($J13:$S13)-SUM(#REF!)+SUM(#REF!),0)</f>
        <v>0</v>
      </c>
    </row>
    <row r="16" spans="1:23" outlineLevel="1">
      <c r="C16" s="111"/>
      <c r="D16" s="97"/>
      <c r="E16" s="97"/>
      <c r="F16" s="155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spans="3:19" outlineLevel="1">
      <c r="C17" s="111" t="str">
        <f>'Input|Reported opex'!$C$51</f>
        <v>Corporate depreciation adjustment</v>
      </c>
      <c r="D17" s="95" t="s">
        <v>97</v>
      </c>
      <c r="E17" s="97" t="str">
        <f>'Input|Reported opex'!E51</f>
        <v>$millions</v>
      </c>
      <c r="F17" s="166">
        <f>'Input|Reported opex'!F51</f>
        <v>2017</v>
      </c>
      <c r="J17" s="96">
        <f>IF(J$10='Input|General'!$G$10,'Input|Reported opex'!J51,0)</f>
        <v>0</v>
      </c>
      <c r="K17" s="96">
        <f ca="1">IF(K$10='Input|General'!$G$10,'Input|Reported opex'!K51,0)</f>
        <v>0</v>
      </c>
      <c r="L17" s="96">
        <f ca="1">IF(L$10='Input|General'!$G$10,'Input|Reported opex'!L51,0)</f>
        <v>0</v>
      </c>
      <c r="M17" s="96">
        <f ca="1">IF(M$10='Input|General'!$G$10,'Input|Reported opex'!M51,0)</f>
        <v>0</v>
      </c>
      <c r="N17" s="96">
        <f ca="1">IF(N$10='Input|General'!$G$10,'Input|Reported opex'!N51,0)</f>
        <v>0</v>
      </c>
      <c r="O17" s="96">
        <f ca="1">IF(O$10='Input|General'!$G$10,'Input|Reported opex'!O51,0)</f>
        <v>0</v>
      </c>
      <c r="P17" s="96">
        <f ca="1">IF(P$10='Input|General'!$G$10,'Input|Reported opex'!P51,0)</f>
        <v>0</v>
      </c>
      <c r="Q17" s="96">
        <f ca="1">IF(Q$10='Input|General'!$G$10,'Input|Reported opex'!Q51,0)</f>
        <v>0</v>
      </c>
      <c r="R17" s="96"/>
      <c r="S17" s="96"/>
    </row>
    <row r="18" spans="3:19" outlineLevel="1">
      <c r="C18" s="111" t="str">
        <f>C17</f>
        <v>Corporate depreciation adjustment</v>
      </c>
      <c r="D18" s="97" t="s">
        <v>30</v>
      </c>
      <c r="E18" s="26" t="str">
        <f>$E$8</f>
        <v>$millions</v>
      </c>
      <c r="F18" s="166">
        <f>$F$8</f>
        <v>2019</v>
      </c>
      <c r="J18" s="103">
        <f ca="1">J17*IF($F17="nominal",LOOKUP($F18,Nominal_to_Real,'Input|Rate of change'!K$25:K$30),INDEX('Input|Rate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K18" s="103">
        <f ca="1">K17*IF($F17="nominal",LOOKUP($F18,Nominal_to_Real,'Input|Rate of change'!L$25:L$30),INDEX('Input|Rate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L18" s="103">
        <f ca="1">L17*IF($F17="nominal",LOOKUP($F18,Nominal_to_Real,'Input|Rate of change'!M$25:M$30),INDEX('Input|Rate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M18" s="103">
        <f ca="1">M17*IF($F17="nominal",LOOKUP($F18,Nominal_to_Real,'Input|Rate of change'!N$25:N$30),INDEX('Input|Rate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N18" s="147">
        <f ca="1">N17*IF($F17="nominal",LOOKUP($F18,Nominal_to_Real,'Input|Rate of change'!O$25:O$30),INDEX('Input|Rate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O18" s="103">
        <f ca="1">O17*IF($F17="nominal",LOOKUP($F18,Nominal_to_Real,'Input|Rate of change'!P$25:P$30),INDEX('Input|Rate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P18" s="103">
        <f ca="1">P17*IF($F17="nominal",LOOKUP($F18,Nominal_to_Real,'Input|Rate of change'!Q$25:Q$30),INDEX('Input|Rate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Q18" s="103">
        <f ca="1">Q17*IF($F17="nominal",LOOKUP($F18,Nominal_to_Real,'Input|Rate of change'!R$25:R$30),INDEX('Input|Rate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R18" s="103">
        <f ca="1">R17*IF($F17="nominal",LOOKUP($F18,Nominal_to_Real,'Input|Rate of change'!S$25:S$30),INDEX('Input|Rate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S18" s="103">
        <f ca="1">S17*IF($F17="nominal",LOOKUP($F18,Nominal_to_Real,'Input|Rate of change'!T$25:T$30),INDEX('Input|Rate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</row>
    <row r="19" spans="3:19" outlineLevel="1">
      <c r="C19" s="111"/>
      <c r="D19" s="97"/>
      <c r="F19" s="155"/>
      <c r="J19" s="103"/>
      <c r="K19" s="103"/>
      <c r="L19" s="103"/>
      <c r="M19" s="103"/>
      <c r="N19" s="103"/>
      <c r="O19" s="103"/>
      <c r="P19" s="103"/>
      <c r="Q19" s="103"/>
      <c r="R19" s="96"/>
      <c r="S19" s="96"/>
    </row>
    <row r="20" spans="3:19" outlineLevel="1">
      <c r="C20" s="111" t="str">
        <f>'Input|Reported opex'!$C$52</f>
        <v>Capitalisation adjustment</v>
      </c>
      <c r="D20" s="95" t="s">
        <v>97</v>
      </c>
      <c r="E20" s="26" t="str">
        <f>'Input|Reported opex'!$E$52</f>
        <v>$millions</v>
      </c>
      <c r="F20" s="166">
        <f>'Input|Reported opex'!$F$52</f>
        <v>2017</v>
      </c>
      <c r="J20" s="96">
        <f>IF(J$10='Input|General'!$G$10,'Input|Reported opex'!J52,0)</f>
        <v>0</v>
      </c>
      <c r="K20" s="96">
        <f ca="1">IF(K$10='Input|General'!$G$10,'Input|Reported opex'!K52,0)</f>
        <v>0</v>
      </c>
      <c r="L20" s="96">
        <f ca="1">IF(L$10='Input|General'!$G$10,'Input|Reported opex'!L52,0)</f>
        <v>0</v>
      </c>
      <c r="M20" s="96">
        <f ca="1">IF(M$10='Input|General'!$G$10,'Input|Reported opex'!M52,0)</f>
        <v>0</v>
      </c>
      <c r="N20" s="96">
        <f ca="1">IF(N$10='Input|General'!$G$10,'Input|Reported opex'!N52,0)</f>
        <v>-0.13328844044014879</v>
      </c>
      <c r="O20" s="96">
        <f ca="1">IF(O$10='Input|General'!$G$10,'Input|Reported opex'!O52,0)</f>
        <v>0</v>
      </c>
      <c r="P20" s="96">
        <f ca="1">IF(P$10='Input|General'!$G$10,'Input|Reported opex'!P52,0)</f>
        <v>0</v>
      </c>
      <c r="Q20" s="96">
        <f ca="1">IF(Q$10='Input|General'!$G$10,'Input|Reported opex'!Q52,0)</f>
        <v>0</v>
      </c>
      <c r="R20" s="96"/>
      <c r="S20" s="96"/>
    </row>
    <row r="21" spans="3:19" outlineLevel="1">
      <c r="C21" s="111" t="str">
        <f>C20</f>
        <v>Capitalisation adjustment</v>
      </c>
      <c r="D21" s="97" t="s">
        <v>30</v>
      </c>
      <c r="E21" s="26" t="str">
        <f>$E$8</f>
        <v>$millions</v>
      </c>
      <c r="F21" s="166">
        <f>$F$8</f>
        <v>2019</v>
      </c>
      <c r="J21" s="103">
        <f ca="1">J20*IF($F20="nominal",LOOKUP($F21,Nominal_to_Real,'Input|Rate of change'!K$25:K$30),INDEX('Input|Rate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K21" s="103">
        <f ca="1">K20*IF($F20="nominal",LOOKUP($F21,Nominal_to_Real,'Input|Rate of change'!L$25:L$30),INDEX('Input|Rate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L21" s="103">
        <f ca="1">L20*IF($F20="nominal",LOOKUP($F21,Nominal_to_Real,'Input|Rate of change'!M$25:M$30),INDEX('Input|Rate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M21" s="103">
        <f ca="1">M20*IF($F20="nominal",LOOKUP($F21,Nominal_to_Real,'Input|Rate of change'!N$25:N$30),INDEX('Input|Rate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N21" s="147">
        <f ca="1">N20*IF($F20="nominal",LOOKUP($F21,Nominal_to_Real,'Input|Rate of change'!O$25:O$30),INDEX('Input|Rate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-0.13901317895705317</v>
      </c>
      <c r="O21" s="103">
        <f ca="1">O20*IF($F20="nominal",LOOKUP($F21,Nominal_to_Real,'Input|Rate of change'!P$25:P$30),INDEX('Input|Rate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P21" s="103">
        <f ca="1">P20*IF($F20="nominal",LOOKUP($F21,Nominal_to_Real,'Input|Rate of change'!Q$25:Q$30),INDEX('Input|Rate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Q21" s="103">
        <f ca="1">Q20*IF($F20="nominal",LOOKUP($F21,Nominal_to_Real,'Input|Rate of change'!R$25:R$30),INDEX('Input|Rate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R21" s="103">
        <f ca="1">R20*IF($F20="nominal",LOOKUP($F21,Nominal_to_Real,'Input|Rate of change'!S$25:S$30),INDEX('Input|Rate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S21" s="103">
        <f ca="1">S20*IF($F20="nominal",LOOKUP($F21,Nominal_to_Real,'Input|Rate of change'!T$25:T$30),INDEX('Input|Rate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</row>
    <row r="22" spans="3:19" outlineLevel="1">
      <c r="C22" s="111"/>
      <c r="D22" s="97"/>
      <c r="F22" s="155"/>
      <c r="J22" s="103"/>
      <c r="K22" s="103"/>
      <c r="L22" s="103"/>
      <c r="M22" s="103"/>
      <c r="N22" s="103"/>
      <c r="O22" s="103"/>
      <c r="P22" s="103"/>
      <c r="Q22" s="103"/>
      <c r="R22" s="96"/>
      <c r="S22" s="96"/>
    </row>
    <row r="23" spans="3:19" outlineLevel="1">
      <c r="C23" s="111" t="str">
        <f>'Input|Reported opex'!$C$53</f>
        <v>Service classification adjustment</v>
      </c>
      <c r="D23" s="95" t="s">
        <v>97</v>
      </c>
      <c r="E23" s="26" t="str">
        <f>'Input|Reported opex'!$E$53</f>
        <v>$millions</v>
      </c>
      <c r="F23" s="166">
        <f>'Input|Reported opex'!$F$53</f>
        <v>2017</v>
      </c>
      <c r="J23" s="96">
        <f>IF(J$10='Input|General'!$G$10,'Input|Reported opex'!J53,0)</f>
        <v>0</v>
      </c>
      <c r="K23" s="96">
        <f ca="1">IF(K$10='Input|General'!$G$10,'Input|Reported opex'!K53,0)</f>
        <v>0</v>
      </c>
      <c r="L23" s="96">
        <f ca="1">IF(L$10='Input|General'!$G$10,'Input|Reported opex'!L53,0)</f>
        <v>0</v>
      </c>
      <c r="M23" s="96">
        <f ca="1">IF(M$10='Input|General'!$G$10,'Input|Reported opex'!M53,0)</f>
        <v>0</v>
      </c>
      <c r="N23" s="96">
        <f ca="1">IF(N$10='Input|General'!$G$10,'Input|Reported opex'!N53,0)</f>
        <v>0</v>
      </c>
      <c r="O23" s="96">
        <f ca="1">IF(O$10='Input|General'!$G$10,'Input|Reported opex'!O53,0)</f>
        <v>0</v>
      </c>
      <c r="P23" s="96">
        <f ca="1">IF(P$10='Input|General'!$G$10,'Input|Reported opex'!P53,0)</f>
        <v>0</v>
      </c>
      <c r="Q23" s="96">
        <f ca="1">IF(Q$10='Input|General'!$G$10,'Input|Reported opex'!Q53,0)</f>
        <v>0</v>
      </c>
      <c r="R23" s="96"/>
      <c r="S23" s="96"/>
    </row>
    <row r="24" spans="3:19" outlineLevel="1">
      <c r="C24" s="111" t="str">
        <f>C23</f>
        <v>Service classification adjustment</v>
      </c>
      <c r="D24" s="97" t="s">
        <v>30</v>
      </c>
      <c r="E24" s="26" t="str">
        <f>$E$8</f>
        <v>$millions</v>
      </c>
      <c r="F24" s="166">
        <f>$F$8</f>
        <v>2019</v>
      </c>
      <c r="J24" s="103">
        <f ca="1"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3">
        <f ca="1"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3">
        <f ca="1"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3">
        <f ca="1"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47">
        <f ca="1"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O24" s="103">
        <f ca="1"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3">
        <f ca="1"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3">
        <f ca="1"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3">
        <f ca="1"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3">
        <f ca="1"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D25" s="97"/>
      <c r="F25" s="155"/>
      <c r="J25" s="103"/>
      <c r="K25" s="103"/>
      <c r="L25" s="103"/>
      <c r="M25" s="103"/>
      <c r="N25" s="103"/>
      <c r="O25" s="103"/>
      <c r="P25" s="103"/>
      <c r="Q25" s="103"/>
      <c r="R25" s="96"/>
      <c r="S25" s="96"/>
    </row>
    <row r="26" spans="3:19" outlineLevel="1">
      <c r="C26" s="111" t="str">
        <f>'Input|Reported opex'!$C$54</f>
        <v>Other classification changes</v>
      </c>
      <c r="D26" s="95" t="s">
        <v>97</v>
      </c>
      <c r="E26" s="26" t="str">
        <f>'Input|Reported opex'!$E$54</f>
        <v>$millions</v>
      </c>
      <c r="F26" s="166">
        <f>'Input|Reported opex'!$F$54</f>
        <v>2017</v>
      </c>
      <c r="J26" s="96">
        <f>IF(J$10='Input|General'!$G$10,'Input|Reported opex'!J54,0)</f>
        <v>0</v>
      </c>
      <c r="K26" s="96">
        <f ca="1">IF(K$10='Input|General'!$G$10,'Input|Reported opex'!K54,0)</f>
        <v>0</v>
      </c>
      <c r="L26" s="96">
        <f ca="1">IF(L$10='Input|General'!$G$10,'Input|Reported opex'!L54,0)</f>
        <v>0</v>
      </c>
      <c r="M26" s="96">
        <f ca="1">IF(M$10='Input|General'!$G$10,'Input|Reported opex'!M54,0)</f>
        <v>0</v>
      </c>
      <c r="N26" s="96">
        <f ca="1">IF(N$10='Input|General'!$G$10,'Input|Reported opex'!N54,0)</f>
        <v>0</v>
      </c>
      <c r="O26" s="96">
        <f ca="1">IF(O$10='Input|General'!$G$10,'Input|Reported opex'!O54,0)</f>
        <v>0</v>
      </c>
      <c r="P26" s="96">
        <f ca="1">IF(P$10='Input|General'!$G$10,'Input|Reported opex'!P54,0)</f>
        <v>0</v>
      </c>
      <c r="Q26" s="96">
        <f ca="1">IF(Q$10='Input|General'!$G$10,'Input|Reported opex'!Q54,0)</f>
        <v>0</v>
      </c>
      <c r="R26" s="96"/>
      <c r="S26" s="96"/>
    </row>
    <row r="27" spans="3:19" outlineLevel="1">
      <c r="C27" s="111" t="str">
        <f>C26</f>
        <v>Other classification changes</v>
      </c>
      <c r="D27" s="97" t="s">
        <v>30</v>
      </c>
      <c r="E27" s="26" t="str">
        <f>$E$8</f>
        <v>$millions</v>
      </c>
      <c r="F27" s="166">
        <f>$F$8</f>
        <v>2019</v>
      </c>
      <c r="J27" s="103">
        <f ca="1">J26*IF($F26="nominal",LOOKUP($F27,Nominal_to_Real,'Input|Rate of change'!K$25:K$30),INDEX('Input|Rate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K27" s="103">
        <f ca="1">K26*IF($F26="nominal",LOOKUP($F27,Nominal_to_Real,'Input|Rate of change'!L$25:L$30),INDEX('Input|Rate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L27" s="103">
        <f ca="1">L26*IF($F26="nominal",LOOKUP($F27,Nominal_to_Real,'Input|Rate of change'!M$25:M$30),INDEX('Input|Rate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M27" s="103">
        <f ca="1">M26*IF($F26="nominal",LOOKUP($F27,Nominal_to_Real,'Input|Rate of change'!N$25:N$30),INDEX('Input|Rate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N27" s="147">
        <f ca="1">N26*IF($F26="nominal",LOOKUP($F27,Nominal_to_Real,'Input|Rate of change'!O$25:O$30),INDEX('Input|Rate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O27" s="103">
        <f ca="1">O26*IF($F26="nominal",LOOKUP($F27,Nominal_to_Real,'Input|Rate of change'!P$25:P$30),INDEX('Input|Rate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P27" s="103">
        <f ca="1">P26*IF($F26="nominal",LOOKUP($F27,Nominal_to_Real,'Input|Rate of change'!Q$25:Q$30),INDEX('Input|Rate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Q27" s="103">
        <f ca="1">Q26*IF($F26="nominal",LOOKUP($F27,Nominal_to_Real,'Input|Rate of change'!R$25:R$30),INDEX('Input|Rate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R27" s="103">
        <f ca="1">R26*IF($F26="nominal",LOOKUP($F27,Nominal_to_Real,'Input|Rate of change'!S$25:S$30),INDEX('Input|Rate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S27" s="103">
        <f ca="1">S26*IF($F26="nominal",LOOKUP($F27,Nominal_to_Real,'Input|Rate of change'!T$25:T$30),INDEX('Input|Rate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</row>
    <row r="28" spans="3:19" outlineLevel="1">
      <c r="C28" s="111"/>
      <c r="D28" s="97"/>
      <c r="F28" s="155"/>
      <c r="J28" s="103"/>
      <c r="K28" s="103"/>
      <c r="L28" s="103"/>
      <c r="M28" s="103"/>
      <c r="N28" s="103"/>
      <c r="O28" s="103"/>
      <c r="P28" s="103"/>
      <c r="Q28" s="103"/>
      <c r="R28" s="96"/>
      <c r="S28" s="96"/>
    </row>
    <row r="29" spans="3:19" outlineLevel="1">
      <c r="C29" s="111" t="str">
        <f>'Input|Reported opex'!$C$55</f>
        <v>Adjustment 5</v>
      </c>
      <c r="D29" s="95" t="s">
        <v>97</v>
      </c>
      <c r="E29" s="26" t="str">
        <f>'Input|Reported opex'!$E$55</f>
        <v>$millions</v>
      </c>
      <c r="F29" s="166">
        <f>'Input|Reported opex'!$F$55</f>
        <v>2017</v>
      </c>
      <c r="J29" s="96">
        <f>IF(J$10='Input|General'!$G$10,'Input|Reported opex'!J55,0)</f>
        <v>0</v>
      </c>
      <c r="K29" s="96">
        <f ca="1">IF(K$10='Input|General'!$G$10,'Input|Reported opex'!K55,0)</f>
        <v>0</v>
      </c>
      <c r="L29" s="96">
        <f ca="1">IF(L$10='Input|General'!$G$10,'Input|Reported opex'!L55,0)</f>
        <v>0</v>
      </c>
      <c r="M29" s="96">
        <f ca="1">IF(M$10='Input|General'!$G$10,'Input|Reported opex'!M55,0)</f>
        <v>0</v>
      </c>
      <c r="N29" s="96">
        <f ca="1">IF(N$10='Input|General'!$G$10,'Input|Reported opex'!N55,0)</f>
        <v>0</v>
      </c>
      <c r="O29" s="96">
        <f ca="1">IF(O$10='Input|General'!$G$10,'Input|Reported opex'!O55,0)</f>
        <v>0</v>
      </c>
      <c r="P29" s="96">
        <f ca="1">IF(P$10='Input|General'!$G$10,'Input|Reported opex'!P55,0)</f>
        <v>0</v>
      </c>
      <c r="Q29" s="96">
        <f ca="1">IF(Q$10='Input|General'!$G$10,'Input|Reported opex'!Q55,0)</f>
        <v>0</v>
      </c>
      <c r="R29" s="96">
        <f ca="1">IF(R$10='Input|General'!$G$10,'Input|Reported opex'!R55,0)</f>
        <v>0</v>
      </c>
      <c r="S29" s="96">
        <f ca="1">IF(S$10='Input|General'!$G$10,'Input|Reported opex'!S55,0)</f>
        <v>0</v>
      </c>
    </row>
    <row r="30" spans="3:19" outlineLevel="1">
      <c r="C30" s="111" t="str">
        <f>C29</f>
        <v>Adjustment 5</v>
      </c>
      <c r="D30" s="97" t="s">
        <v>30</v>
      </c>
      <c r="E30" s="26" t="str">
        <f>$E$8</f>
        <v>$millions</v>
      </c>
      <c r="F30" s="166">
        <f>$F$8</f>
        <v>2019</v>
      </c>
      <c r="J30" s="103">
        <f ca="1">J29*IF($F29="nominal",LOOKUP($F30,Nominal_to_Real,'Input|Rate of change'!K$25:K$30),INDEX('Input|Rate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K30" s="103">
        <f ca="1">K29*IF($F29="nominal",LOOKUP($F30,Nominal_to_Real,'Input|Rate of change'!L$25:L$30),INDEX('Input|Rate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L30" s="103">
        <f ca="1">L29*IF($F29="nominal",LOOKUP($F30,Nominal_to_Real,'Input|Rate of change'!M$25:M$30),INDEX('Input|Rate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M30" s="103">
        <f ca="1">M29*IF($F29="nominal",LOOKUP($F30,Nominal_to_Real,'Input|Rate of change'!N$25:N$30),INDEX('Input|Rate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N30" s="147">
        <f ca="1">N29*IF($F29="nominal",LOOKUP($F30,Nominal_to_Real,'Input|Rate of change'!O$25:O$30),INDEX('Input|Rate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O30" s="103">
        <f ca="1">O29*IF($F29="nominal",LOOKUP($F30,Nominal_to_Real,'Input|Rate of change'!P$25:P$30),INDEX('Input|Rate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P30" s="103">
        <f ca="1">P29*IF($F29="nominal",LOOKUP($F30,Nominal_to_Real,'Input|Rate of change'!Q$25:Q$30),INDEX('Input|Rate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Q30" s="103">
        <f ca="1">Q29*IF($F29="nominal",LOOKUP($F30,Nominal_to_Real,'Input|Rate of change'!R$25:R$30),INDEX('Input|Rate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R30" s="103">
        <f ca="1">R29*IF($F29="nominal",LOOKUP($F30,Nominal_to_Real,'Input|Rate of change'!S$25:S$30),INDEX('Input|Rate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S30" s="103">
        <f ca="1">S29*IF($F29="nominal",LOOKUP($F30,Nominal_to_Real,'Input|Rate of change'!T$25:T$30),INDEX('Input|Rate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</row>
    <row r="31" spans="3:19" outlineLevel="1">
      <c r="C31" s="111"/>
      <c r="D31" s="97"/>
      <c r="E31" s="97"/>
      <c r="F31" s="155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3:19" outlineLevel="1">
      <c r="C32" s="111" t="s">
        <v>93</v>
      </c>
      <c r="D32" s="97" t="s">
        <v>105</v>
      </c>
      <c r="E32" s="97" t="str">
        <f>$E$8</f>
        <v>$millions</v>
      </c>
      <c r="F32" s="166">
        <f>$F$8</f>
        <v>2019</v>
      </c>
      <c r="J32" s="103">
        <f ca="1">SUM(J15,J18,J21,J24,J27,J30)*'Input|Reported opex'!$N$56</f>
        <v>0</v>
      </c>
      <c r="K32" s="103">
        <f ca="1">SUM(K15,K18,K21,K24,K27,K30)*'Input|Reported opex'!$N$56</f>
        <v>0</v>
      </c>
      <c r="L32" s="103">
        <f ca="1">SUM(L15,L18,L21,L24,L27,L30)*'Input|Reported opex'!$N$56</f>
        <v>0</v>
      </c>
      <c r="M32" s="103">
        <f ca="1">SUM(M15,M18,M21,M24,M27,M30)*'Input|Reported opex'!$N$56</f>
        <v>0</v>
      </c>
      <c r="N32" s="103">
        <f ca="1">SUM(N15,N18,N21,N24,N27,N30)*'Input|Reported opex'!$N$56</f>
        <v>0</v>
      </c>
      <c r="O32" s="103">
        <f ca="1">SUM(O15,O18,O21,O24,O27,O30)*'Input|Reported opex'!$N$56</f>
        <v>0</v>
      </c>
      <c r="P32" s="103">
        <f ca="1">SUM(P15,P18,P21,P24,P27,P30)*'Input|Reported opex'!$N$56</f>
        <v>0</v>
      </c>
      <c r="Q32" s="103">
        <f ca="1">SUM(Q15,Q18,Q21,Q24,Q27,Q30)*'Input|Reported opex'!$N$56</f>
        <v>0</v>
      </c>
      <c r="R32" s="103">
        <f ca="1">SUM(R15,R18,R21,R24,R27,R30)*'Input|Reported opex'!$N$56</f>
        <v>0</v>
      </c>
      <c r="S32" s="103">
        <f ca="1">SUM(S15,S18,S21,S24,S27,S30)*'Input|Reported opex'!$N$56</f>
        <v>0</v>
      </c>
    </row>
    <row r="33" spans="1:23" outlineLevel="1">
      <c r="C33" s="111"/>
      <c r="D33" s="97"/>
      <c r="E33" s="97"/>
      <c r="F33" s="155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  <row r="34" spans="1:23" ht="12" outlineLevel="1" thickBot="1">
      <c r="C34" s="111" t="s">
        <v>113</v>
      </c>
      <c r="D34" s="97" t="s">
        <v>105</v>
      </c>
      <c r="E34" s="97" t="str">
        <f>$E$8</f>
        <v>$millions</v>
      </c>
      <c r="F34" s="166">
        <f>$F$8</f>
        <v>2019</v>
      </c>
      <c r="J34" s="140">
        <f ca="1">SUM(J15,J18,J21,J24,J27,J30,J32)</f>
        <v>0</v>
      </c>
      <c r="K34" s="140">
        <f t="shared" ref="K34:S34" ca="1" si="0">SUM(K15,K18,K21,K24,K27,K30,K32)</f>
        <v>0</v>
      </c>
      <c r="L34" s="140">
        <f t="shared" ca="1" si="0"/>
        <v>0</v>
      </c>
      <c r="M34" s="140">
        <f t="shared" ca="1" si="0"/>
        <v>0</v>
      </c>
      <c r="N34" s="140">
        <f t="shared" ca="1" si="0"/>
        <v>4.7206266810542896</v>
      </c>
      <c r="O34" s="140">
        <f t="shared" ca="1" si="0"/>
        <v>0</v>
      </c>
      <c r="P34" s="140">
        <f t="shared" ca="1" si="0"/>
        <v>0</v>
      </c>
      <c r="Q34" s="140">
        <f t="shared" ca="1" si="0"/>
        <v>0</v>
      </c>
      <c r="R34" s="140">
        <f t="shared" ca="1" si="0"/>
        <v>0</v>
      </c>
      <c r="S34" s="140">
        <f t="shared" ca="1" si="0"/>
        <v>0</v>
      </c>
    </row>
    <row r="35" spans="1:23" ht="12" thickTop="1">
      <c r="J35" s="94"/>
      <c r="K35" s="94"/>
      <c r="L35" s="94"/>
    </row>
    <row r="36" spans="1:23" s="89" customFormat="1" ht="12.75">
      <c r="A36" s="84"/>
      <c r="B36" s="85" t="s">
        <v>91</v>
      </c>
      <c r="C36" s="84"/>
      <c r="D36" s="84"/>
      <c r="E36" s="84"/>
      <c r="F36" s="86"/>
      <c r="G36" s="86"/>
      <c r="H36" s="86"/>
      <c r="I36" s="86"/>
      <c r="J36" s="87"/>
      <c r="K36" s="88"/>
      <c r="L36" s="87"/>
      <c r="M36" s="88"/>
      <c r="N36" s="87"/>
      <c r="O36" s="87"/>
      <c r="P36" s="87"/>
      <c r="Q36" s="87"/>
      <c r="R36" s="87"/>
      <c r="S36" s="87"/>
      <c r="T36" s="87"/>
      <c r="U36" s="87"/>
      <c r="V36" s="88"/>
      <c r="W36" s="88"/>
    </row>
    <row r="37" spans="1:23" outlineLevel="1"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1:23" outlineLevel="1">
      <c r="C38" s="59" t="s">
        <v>41</v>
      </c>
      <c r="D38" s="28" t="s">
        <v>7</v>
      </c>
      <c r="E38" s="28" t="s">
        <v>8</v>
      </c>
      <c r="F38" s="28" t="s">
        <v>22</v>
      </c>
      <c r="J38" s="92" t="str">
        <f>IF(RIGHT(J$4,2)&gt;=RIGHT('Input|General'!$G$11,2),IF(RIGHT(J$4,2)&lt;=RIGHT('Input|General'!$G$12,2),J$4,""),"")</f>
        <v/>
      </c>
      <c r="K38" s="92" t="str">
        <f ca="1">IF(RIGHT(K$4,2)&gt;=RIGHT('Input|General'!$G$11,2),IF(RIGHT(K$4,2)&lt;=RIGHT('Input|General'!$G$12,2),K$4,""),"")</f>
        <v/>
      </c>
      <c r="L38" s="92" t="str">
        <f ca="1">IF(RIGHT(L$4,2)&gt;=RIGHT('Input|General'!$G$11,2),IF(RIGHT(L$4,2)&lt;=RIGHT('Input|General'!$G$12,2),L$4,""),"")</f>
        <v/>
      </c>
      <c r="M38" s="92" t="str">
        <f ca="1">IF(RIGHT(M$4,2)&gt;=RIGHT('Input|General'!$G$11,2),IF(RIGHT(M$4,2)&lt;=RIGHT('Input|General'!$G$12,2),M$4,""),"")</f>
        <v/>
      </c>
      <c r="N38" s="92" t="str">
        <f ca="1">IF(RIGHT(N$4,2)&gt;=RIGHT('Input|General'!$G$11,2),IF(RIGHT(N$4,2)&lt;=RIGHT('Input|General'!$G$12,2),N$4,""),"")</f>
        <v/>
      </c>
      <c r="O38" s="152">
        <f ca="1">IF(RIGHT(O$4,2)&gt;=RIGHT('Input|General'!$G$11,2),IF(RIGHT(O$4,2)&lt;=RIGHT('Input|General'!$G$12,2),O$4,""),"")</f>
        <v>2020</v>
      </c>
      <c r="P38" s="152">
        <f ca="1">IF(RIGHT(P$4,2)&gt;=RIGHT('Input|General'!$G$11,2),IF(RIGHT(P$4,2)&lt;=RIGHT('Input|General'!$G$12,2),P$4,""),"")</f>
        <v>2021</v>
      </c>
      <c r="Q38" s="152">
        <f ca="1">IF(RIGHT(Q$4,2)&gt;=RIGHT('Input|General'!$G$11,2),IF(RIGHT(Q$4,2)&lt;=RIGHT('Input|General'!$G$12,2),Q$4,""),"")</f>
        <v>2022</v>
      </c>
      <c r="R38" s="152">
        <f ca="1">IF(RIGHT(R$4,2)&gt;=RIGHT('Input|General'!$G$11,2),IF(RIGHT(R$4,2)&lt;=RIGHT('Input|General'!$G$12,2),R$4,""),"")</f>
        <v>2023</v>
      </c>
      <c r="S38" s="152">
        <f ca="1">IF(RIGHT(S$4,2)&gt;=RIGHT('Input|General'!$G$11,2),IF(RIGHT(S$4,2)&lt;=RIGHT('Input|General'!$G$12,2),S$4,""),"")</f>
        <v>2024</v>
      </c>
    </row>
    <row r="39" spans="1:23" outlineLevel="1">
      <c r="C39" s="59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1:23" outlineLevel="1">
      <c r="B40" s="59"/>
      <c r="C40" s="10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23" outlineLevel="1">
      <c r="C41" s="98" t="s">
        <v>115</v>
      </c>
      <c r="D41" s="97" t="s">
        <v>30</v>
      </c>
      <c r="E41" s="26" t="s">
        <v>31</v>
      </c>
      <c r="F41" s="26" t="s">
        <v>35</v>
      </c>
      <c r="J41" s="105">
        <f>SUMPRODUCT('Input|Rate of change'!K71:K76,'Input|Rate of change'!$P$80:$P$85)</f>
        <v>0</v>
      </c>
      <c r="K41" s="105">
        <f>SUMPRODUCT('Input|Rate of change'!L71:L76,'Input|Rate of change'!$P$80:$P$85)</f>
        <v>0</v>
      </c>
      <c r="L41" s="105">
        <f>SUMPRODUCT('Input|Rate of change'!M71:M76,'Input|Rate of change'!$P$80:$P$85)</f>
        <v>0</v>
      </c>
      <c r="M41" s="105">
        <f>SUMPRODUCT('Input|Rate of change'!N71:N76,'Input|Rate of change'!$P$80:$P$85)</f>
        <v>0</v>
      </c>
      <c r="N41" s="105">
        <f>SUMPRODUCT('Input|Rate of change'!O71:O76,'Input|Rate of change'!$P$80:$P$85)</f>
        <v>0</v>
      </c>
      <c r="O41" s="105">
        <f>SUMPRODUCT('Input|Rate of change'!P71:P76,'Input|Rate of change'!$P$80:$P$85)</f>
        <v>6.6515010053349293E-3</v>
      </c>
      <c r="P41" s="105">
        <f>SUMPRODUCT('Input|Rate of change'!Q71:Q76,'Input|Rate of change'!$P$80:$P$85)</f>
        <v>7.6836940913239645E-3</v>
      </c>
      <c r="Q41" s="105">
        <f>SUMPRODUCT('Input|Rate of change'!R71:R76,'Input|Rate of change'!$P$80:$P$85)</f>
        <v>8.1143438694775173E-3</v>
      </c>
      <c r="R41" s="105">
        <f>SUMPRODUCT('Input|Rate of change'!S71:S76,'Input|Rate of change'!$P$80:$P$85)</f>
        <v>4.4511158074421325E-3</v>
      </c>
      <c r="S41" s="105">
        <f>SUMPRODUCT('Input|Rate of change'!T71:T76,'Input|Rate of change'!$P$80:$P$85)</f>
        <v>4.3545968260421406E-3</v>
      </c>
    </row>
    <row r="42" spans="1:23" outlineLevel="1">
      <c r="J42" s="105"/>
      <c r="K42" s="105"/>
      <c r="L42" s="105"/>
      <c r="M42" s="105"/>
      <c r="N42" s="105"/>
      <c r="O42" s="105"/>
      <c r="P42" s="105"/>
      <c r="Q42" s="105"/>
      <c r="R42" s="105"/>
      <c r="S42" s="105"/>
    </row>
    <row r="43" spans="1:23" outlineLevel="1">
      <c r="C43" s="98" t="s">
        <v>84</v>
      </c>
      <c r="D43" s="97" t="s">
        <v>30</v>
      </c>
      <c r="E43" s="26" t="s">
        <v>31</v>
      </c>
      <c r="F43" s="26" t="s">
        <v>35</v>
      </c>
      <c r="J43" s="105">
        <f>SUMPRODUCT('Input|Rate of change'!K36:K43,'Input|Rate of change'!K47:K54)</f>
        <v>0</v>
      </c>
      <c r="K43" s="105">
        <f>SUMPRODUCT('Input|Rate of change'!L36:L43,'Input|Rate of change'!L47:L54)</f>
        <v>0</v>
      </c>
      <c r="L43" s="105">
        <f>SUMPRODUCT('Input|Rate of change'!M36:M43,'Input|Rate of change'!M47:M54)</f>
        <v>0</v>
      </c>
      <c r="M43" s="105">
        <f>SUMPRODUCT('Input|Rate of change'!N36:N43,'Input|Rate of change'!N47:N54)</f>
        <v>0</v>
      </c>
      <c r="N43" s="105">
        <f>SUMPRODUCT('Input|Rate of change'!O36:O43,'Input|Rate of change'!O47:O54)</f>
        <v>0</v>
      </c>
      <c r="O43" s="105">
        <f>SUMPRODUCT('Input|Rate of change'!P36:P43,'Input|Rate of change'!P47:P54)</f>
        <v>-1.3491939668248954E-3</v>
      </c>
      <c r="P43" s="105">
        <f>SUMPRODUCT('Input|Rate of change'!Q36:Q43,'Input|Rate of change'!Q47:Q54)</f>
        <v>-1.224156083944818E-3</v>
      </c>
      <c r="Q43" s="105">
        <f>SUMPRODUCT('Input|Rate of change'!R36:R43,'Input|Rate of change'!R47:R54)</f>
        <v>1.7288784661788784E-3</v>
      </c>
      <c r="R43" s="105">
        <f>SUMPRODUCT('Input|Rate of change'!S36:S43,'Input|Rate of change'!S47:S54)</f>
        <v>3.1775892533949844E-3</v>
      </c>
      <c r="S43" s="105">
        <f>SUMPRODUCT('Input|Rate of change'!T36:T43,'Input|Rate of change'!T47:T54)</f>
        <v>3.4732249236536514E-3</v>
      </c>
    </row>
    <row r="44" spans="1:23" outlineLevel="1">
      <c r="C44" s="98"/>
      <c r="J44" s="105"/>
      <c r="K44" s="105"/>
      <c r="L44" s="105"/>
      <c r="M44" s="105"/>
      <c r="N44" s="105"/>
      <c r="O44" s="105"/>
      <c r="P44" s="105"/>
      <c r="Q44" s="105"/>
      <c r="R44" s="105"/>
      <c r="S44" s="105"/>
    </row>
    <row r="45" spans="1:23" outlineLevel="1">
      <c r="C45" s="98" t="s">
        <v>108</v>
      </c>
      <c r="D45" s="97" t="s">
        <v>30</v>
      </c>
      <c r="E45" s="26" t="s">
        <v>31</v>
      </c>
      <c r="F45" s="26" t="s">
        <v>35</v>
      </c>
      <c r="J45" s="105">
        <f>'Input|Rate of change'!K93</f>
        <v>0</v>
      </c>
      <c r="K45" s="105">
        <f>'Input|Rate of change'!L93</f>
        <v>0</v>
      </c>
      <c r="L45" s="105">
        <f>'Input|Rate of change'!M93</f>
        <v>0</v>
      </c>
      <c r="M45" s="105">
        <f>'Input|Rate of change'!N93</f>
        <v>0</v>
      </c>
      <c r="N45" s="105">
        <f>'Input|Rate of change'!O93</f>
        <v>0</v>
      </c>
      <c r="O45" s="105">
        <f>'Input|Rate of change'!P93</f>
        <v>0</v>
      </c>
      <c r="P45" s="105">
        <f>'Input|Rate of change'!Q93</f>
        <v>0</v>
      </c>
      <c r="Q45" s="105">
        <f>'Input|Rate of change'!R93</f>
        <v>0</v>
      </c>
      <c r="R45" s="105">
        <f>'Input|Rate of change'!S93</f>
        <v>0</v>
      </c>
      <c r="S45" s="105">
        <f>'Input|Rate of change'!T93</f>
        <v>0</v>
      </c>
    </row>
    <row r="46" spans="1:23" outlineLevel="1">
      <c r="C46" s="98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1:23" outlineLevel="1">
      <c r="C47" s="106" t="s">
        <v>109</v>
      </c>
      <c r="D47" s="102" t="s">
        <v>30</v>
      </c>
      <c r="E47" s="102" t="s">
        <v>31</v>
      </c>
      <c r="F47" s="102" t="s">
        <v>35</v>
      </c>
      <c r="J47" s="105">
        <f>(1+J41)*(1+J43)*(1-J45)-1</f>
        <v>0</v>
      </c>
      <c r="K47" s="105">
        <f t="shared" ref="K47:S47" si="1">(1+K41)*(1+K43)*(1-K45)-1</f>
        <v>0</v>
      </c>
      <c r="L47" s="105">
        <f t="shared" si="1"/>
        <v>0</v>
      </c>
      <c r="M47" s="105">
        <f t="shared" si="1"/>
        <v>0</v>
      </c>
      <c r="N47" s="105">
        <f t="shared" si="1"/>
        <v>0</v>
      </c>
      <c r="O47" s="105">
        <f t="shared" si="1"/>
        <v>5.2933328734834362E-3</v>
      </c>
      <c r="P47" s="105">
        <f t="shared" si="1"/>
        <v>6.4501319665100088E-3</v>
      </c>
      <c r="Q47" s="105">
        <f t="shared" si="1"/>
        <v>9.8572510500394284E-3</v>
      </c>
      <c r="R47" s="105">
        <f t="shared" si="1"/>
        <v>7.6428488785924564E-3</v>
      </c>
      <c r="S47" s="105">
        <f t="shared" si="1"/>
        <v>7.8429462439244535E-3</v>
      </c>
    </row>
    <row r="48" spans="1:23">
      <c r="J48" s="94"/>
      <c r="K48" s="94"/>
      <c r="L48" s="94"/>
      <c r="M48" s="94"/>
      <c r="N48" s="94"/>
      <c r="O48" s="107"/>
      <c r="P48" s="107"/>
      <c r="Q48" s="107"/>
      <c r="R48" s="107"/>
      <c r="S48" s="107"/>
    </row>
    <row r="49" spans="1:23" s="89" customFormat="1" ht="12.75">
      <c r="A49" s="84"/>
      <c r="B49" s="85" t="s">
        <v>94</v>
      </c>
      <c r="C49" s="84"/>
      <c r="D49" s="84"/>
      <c r="E49" s="84"/>
      <c r="F49" s="86"/>
      <c r="G49" s="86"/>
      <c r="H49" s="86"/>
      <c r="I49" s="86"/>
      <c r="J49" s="87"/>
      <c r="K49" s="88"/>
      <c r="L49" s="87"/>
      <c r="M49" s="88"/>
      <c r="N49" s="87"/>
      <c r="O49" s="87"/>
      <c r="P49" s="87"/>
      <c r="Q49" s="87"/>
      <c r="R49" s="87"/>
      <c r="S49" s="87"/>
      <c r="T49" s="87"/>
      <c r="U49" s="87"/>
      <c r="V49" s="88"/>
      <c r="W49" s="88"/>
    </row>
    <row r="50" spans="1:23" outlineLevel="1">
      <c r="C50" s="93"/>
      <c r="J50" s="94"/>
      <c r="K50" s="94"/>
      <c r="L50" s="94"/>
    </row>
    <row r="51" spans="1:23" outlineLevel="1">
      <c r="C51" s="59" t="s">
        <v>110</v>
      </c>
      <c r="D51" s="28" t="s">
        <v>7</v>
      </c>
      <c r="E51" s="28" t="s">
        <v>8</v>
      </c>
      <c r="F51" s="28" t="s">
        <v>22</v>
      </c>
      <c r="J51" s="92" t="str">
        <f>IF(RIGHT(J$4,2)&gt;=RIGHT('Input|General'!$G$11,2),IF(RIGHT(J$4,2)&lt;=RIGHT('Input|General'!$G$12,2),J$4,""),"")</f>
        <v/>
      </c>
      <c r="K51" s="92" t="str">
        <f ca="1">IF(RIGHT(K$4,2)&gt;=RIGHT('Input|General'!$G$11,2),IF(RIGHT(K$4,2)&lt;=RIGHT('Input|General'!$G$12,2),K$4,""),"")</f>
        <v/>
      </c>
      <c r="L51" s="92" t="str">
        <f ca="1">IF(RIGHT(L$4,2)&gt;=RIGHT('Input|General'!$G$11,2),IF(RIGHT(L$4,2)&lt;=RIGHT('Input|General'!$G$12,2),L$4,""),"")</f>
        <v/>
      </c>
      <c r="M51" s="92" t="str">
        <f ca="1">IF(RIGHT(M$4,2)&gt;=RIGHT('Input|General'!$G$11,2),IF(RIGHT(M$4,2)&lt;=RIGHT('Input|General'!$G$12,2),M$4,""),"")</f>
        <v/>
      </c>
      <c r="N51" s="92" t="str">
        <f ca="1">IF(RIGHT(N$4,2)&gt;=RIGHT('Input|General'!$G$11,2),IF(RIGHT(N$4,2)&lt;=RIGHT('Input|General'!$G$12,2),N$4,""),"")</f>
        <v/>
      </c>
      <c r="O51" s="152">
        <f ca="1">IF(RIGHT(O$4,2)&gt;=RIGHT('Input|General'!$G$11,2),IF(RIGHT(O$4,2)&lt;=RIGHT('Input|General'!$G$12,2),O$4,""),"")</f>
        <v>2020</v>
      </c>
      <c r="P51" s="152">
        <f ca="1">IF(RIGHT(P$4,2)&gt;=RIGHT('Input|General'!$G$11,2),IF(RIGHT(P$4,2)&lt;=RIGHT('Input|General'!$G$12,2),P$4,""),"")</f>
        <v>2021</v>
      </c>
      <c r="Q51" s="152">
        <f ca="1">IF(RIGHT(Q$4,2)&gt;=RIGHT('Input|General'!$G$11,2),IF(RIGHT(Q$4,2)&lt;=RIGHT('Input|General'!$G$12,2),Q$4,""),"")</f>
        <v>2022</v>
      </c>
      <c r="R51" s="152">
        <f ca="1">IF(RIGHT(R$4,2)&gt;=RIGHT('Input|General'!$G$11,2),IF(RIGHT(R$4,2)&lt;=RIGHT('Input|General'!$G$12,2),R$4,""),"")</f>
        <v>2023</v>
      </c>
      <c r="S51" s="152">
        <f ca="1">IF(RIGHT(S$4,2)&gt;=RIGHT('Input|General'!$G$11,2),IF(RIGHT(S$4,2)&lt;=RIGHT('Input|General'!$G$12,2),S$4,""),"")</f>
        <v>2024</v>
      </c>
    </row>
    <row r="52" spans="1:23" outlineLevel="1">
      <c r="C52" s="59"/>
      <c r="J52" s="108"/>
      <c r="K52" s="108"/>
      <c r="L52" s="108"/>
      <c r="M52" s="108"/>
      <c r="N52" s="108"/>
      <c r="O52" s="108"/>
      <c r="P52" s="108"/>
      <c r="Q52" s="108"/>
      <c r="R52" s="108"/>
      <c r="S52" s="108"/>
    </row>
    <row r="53" spans="1:23" outlineLevel="1">
      <c r="C53" s="109" t="str">
        <f>'Input|Step changes'!C12</f>
        <v>Inspection and testing</v>
      </c>
      <c r="D53" s="97" t="s">
        <v>30</v>
      </c>
      <c r="E53" s="26" t="str">
        <f t="shared" ref="E53:E61" si="2">$E$8</f>
        <v>$millions</v>
      </c>
      <c r="F53" s="166">
        <f t="shared" ref="F53:F61" si="3">$F$8</f>
        <v>2019</v>
      </c>
      <c r="J53" s="115">
        <f ca="1">'Input|Step changes'!J12*IF('Input|Step changes'!$F12="nominal",LOOKUP($F53,Nominal_to_Real,'Input|Rate of change'!N$25:N$30),INDEX('Input|Rate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K53" s="115">
        <f ca="1">'Input|Step changes'!K12*IF('Input|Step changes'!$F12="nominal",LOOKUP($F53,Nominal_to_Real,'Input|Rate of change'!O$25:O$30),INDEX('Input|Rate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L53" s="115">
        <f ca="1">'Input|Step changes'!L12*IF('Input|Step changes'!$F12="nominal",LOOKUP($F53,Nominal_to_Real,'Input|Rate of change'!P$25:P$30),INDEX('Input|Rate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M53" s="115">
        <f ca="1">'Input|Step changes'!M12*IF('Input|Step changes'!$F12="nominal",LOOKUP($F53,Nominal_to_Real,'Input|Rate of change'!Q$25:Q$30),INDEX('Input|Rate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N53" s="115">
        <f ca="1">'Input|Step changes'!N12*IF('Input|Step changes'!$F12="nominal",LOOKUP($F53,Nominal_to_Real,'Input|Rate of change'!R$25:R$30),INDEX('Input|Rate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O53" s="115">
        <f ca="1">'Input|Step changes'!O12*IF('Input|Step changes'!$F12="nominal",LOOKUP($F53,Nominal_to_Real,'Input|Rate of change'!S$25:S$30),INDEX('Input|Rate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  <c r="P53" s="115">
        <f ca="1">'Input|Step changes'!P12*IF('Input|Step changes'!$F12="nominal",LOOKUP($F53,Nominal_to_Real,'Input|Rate of change'!T$25:T$30),INDEX('Input|Rate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  <c r="Q53" s="115">
        <f ca="1">'Input|Step changes'!Q12*IF('Input|Step changes'!$F12="nominal",LOOKUP($F53,Nominal_to_Real,'Input|Rate of change'!U$25:U$30),INDEX('Input|Rate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  <c r="R53" s="115">
        <f ca="1">'Input|Step changes'!R12*IF('Input|Step changes'!$F12="nominal",LOOKUP($F53,Nominal_to_Real,'Input|Rate of change'!V$25:V$30),INDEX('Input|Rate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  <c r="S53" s="115">
        <f ca="1">'Input|Step changes'!S12*IF('Input|Step changes'!$F12="nominal",LOOKUP($F53,Nominal_to_Real,'Input|Rate of change'!W$25:W$30),INDEX('Input|Rate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</row>
    <row r="54" spans="1:23" outlineLevel="1">
      <c r="C54" s="109" t="str">
        <f>'Input|Step changes'!C13</f>
        <v>Metering Compliance Type 1-6</v>
      </c>
      <c r="D54" s="97" t="s">
        <v>30</v>
      </c>
      <c r="E54" s="26" t="str">
        <f t="shared" si="2"/>
        <v>$millions</v>
      </c>
      <c r="F54" s="166">
        <f t="shared" si="3"/>
        <v>2019</v>
      </c>
      <c r="J54" s="115">
        <f ca="1">'Input|Step changes'!J13*IF('Input|Step changes'!$F13="nominal",LOOKUP($F54,Nominal_to_Real,'Input|Rate of change'!N$25:N$30),INDEX('Input|Rate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K54" s="115">
        <f ca="1">'Input|Step changes'!K13*IF('Input|Step changes'!$F13="nominal",LOOKUP($F54,Nominal_to_Real,'Input|Rate of change'!O$25:O$30),INDEX('Input|Rate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L54" s="115">
        <f ca="1">'Input|Step changes'!L13*IF('Input|Step changes'!$F13="nominal",LOOKUP($F54,Nominal_to_Real,'Input|Rate of change'!P$25:P$30),INDEX('Input|Rate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M54" s="115">
        <f ca="1">'Input|Step changes'!M13*IF('Input|Step changes'!$F13="nominal",LOOKUP($F54,Nominal_to_Real,'Input|Rate of change'!Q$25:Q$30),INDEX('Input|Rate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N54" s="115">
        <f ca="1">'Input|Step changes'!N13*IF('Input|Step changes'!$F13="nominal",LOOKUP($F54,Nominal_to_Real,'Input|Rate of change'!R$25:R$30),INDEX('Input|Rate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O54" s="115">
        <f ca="1">'Input|Step changes'!O13*IF('Input|Step changes'!$F13="nominal",LOOKUP($F54,Nominal_to_Real,'Input|Rate of change'!S$25:S$30),INDEX('Input|Rate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  <c r="P54" s="115">
        <f ca="1">'Input|Step changes'!P13*IF('Input|Step changes'!$F13="nominal",LOOKUP($F54,Nominal_to_Real,'Input|Rate of change'!T$25:T$30),INDEX('Input|Rate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  <c r="Q54" s="115">
        <f ca="1">'Input|Step changes'!Q13*IF('Input|Step changes'!$F13="nominal",LOOKUP($F54,Nominal_to_Real,'Input|Rate of change'!U$25:U$30),INDEX('Input|Rate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  <c r="R54" s="115">
        <f ca="1">'Input|Step changes'!R13*IF('Input|Step changes'!$F13="nominal",LOOKUP($F54,Nominal_to_Real,'Input|Rate of change'!V$25:V$30),INDEX('Input|Rate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  <c r="S54" s="115">
        <f ca="1">'Input|Step changes'!S13*IF('Input|Step changes'!$F13="nominal",LOOKUP($F54,Nominal_to_Real,'Input|Rate of change'!W$25:W$30),INDEX('Input|Rate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</row>
    <row r="55" spans="1:23" outlineLevel="1">
      <c r="C55" s="109" t="str">
        <f>'Input|Step changes'!C14</f>
        <v>Souther Region metering technicians</v>
      </c>
      <c r="D55" s="97" t="s">
        <v>30</v>
      </c>
      <c r="E55" s="26" t="str">
        <f t="shared" si="2"/>
        <v>$millions</v>
      </c>
      <c r="F55" s="166">
        <f t="shared" si="3"/>
        <v>2019</v>
      </c>
      <c r="J55" s="115">
        <f ca="1">'Input|Step changes'!J14*IF('Input|Step changes'!$F14="nominal",LOOKUP($F55,Nominal_to_Real,'Input|Rate of change'!N$25:N$30),INDEX('Input|Rate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K55" s="115">
        <f ca="1">'Input|Step changes'!K14*IF('Input|Step changes'!$F14="nominal",LOOKUP($F55,Nominal_to_Real,'Input|Rate of change'!O$25:O$30),INDEX('Input|Rate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L55" s="115">
        <f ca="1">'Input|Step changes'!L14*IF('Input|Step changes'!$F14="nominal",LOOKUP($F55,Nominal_to_Real,'Input|Rate of change'!P$25:P$30),INDEX('Input|Rate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M55" s="115">
        <f ca="1">'Input|Step changes'!M14*IF('Input|Step changes'!$F14="nominal",LOOKUP($F55,Nominal_to_Real,'Input|Rate of change'!Q$25:Q$30),INDEX('Input|Rate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N55" s="115">
        <f ca="1">'Input|Step changes'!N14*IF('Input|Step changes'!$F14="nominal",LOOKUP($F55,Nominal_to_Real,'Input|Rate of change'!R$25:R$30),INDEX('Input|Rate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O55" s="115"/>
      <c r="P55" s="115"/>
      <c r="Q55" s="115"/>
      <c r="R55" s="115"/>
      <c r="S55" s="115"/>
    </row>
    <row r="56" spans="1:23" outlineLevel="1">
      <c r="C56" s="109" t="str">
        <f>'Input|Step changes'!C15</f>
        <v>New and replacement meter policy</v>
      </c>
      <c r="D56" s="97" t="s">
        <v>30</v>
      </c>
      <c r="E56" s="26" t="str">
        <f t="shared" si="2"/>
        <v>$millions</v>
      </c>
      <c r="F56" s="166">
        <f t="shared" si="3"/>
        <v>2019</v>
      </c>
      <c r="J56" s="115">
        <f ca="1">'Input|Step changes'!J15*IF('Input|Step changes'!$F15="nominal",LOOKUP($F56,Nominal_to_Real,'Input|Rate of change'!N$25:N$30),INDEX('Input|Rate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K56" s="115">
        <f ca="1">'Input|Step changes'!K15*IF('Input|Step changes'!$F15="nominal",LOOKUP($F56,Nominal_to_Real,'Input|Rate of change'!O$25:O$30),INDEX('Input|Rate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L56" s="115">
        <f ca="1">'Input|Step changes'!L15*IF('Input|Step changes'!$F15="nominal",LOOKUP($F56,Nominal_to_Real,'Input|Rate of change'!P$25:P$30),INDEX('Input|Rate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M56" s="115">
        <f ca="1">'Input|Step changes'!M15*IF('Input|Step changes'!$F15="nominal",LOOKUP($F56,Nominal_to_Real,'Input|Rate of change'!Q$25:Q$30),INDEX('Input|Rate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N56" s="115">
        <f ca="1">'Input|Step changes'!N15*IF('Input|Step changes'!$F15="nominal",LOOKUP($F56,Nominal_to_Real,'Input|Rate of change'!R$25:R$30),INDEX('Input|Rate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O56" s="115">
        <f ca="1">'Input|Step changes'!O15*IF('Input|Step changes'!$F15="nominal",LOOKUP($F56,Nominal_to_Real,'Input|Rate of change'!S$25:S$30),INDEX('Input|Rate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-0.46387429693659654</v>
      </c>
      <c r="P56" s="115">
        <f ca="1">'Input|Step changes'!P15*IF('Input|Step changes'!$F15="nominal",LOOKUP($F56,Nominal_to_Real,'Input|Rate of change'!T$25:T$30),INDEX('Input|Rate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-0.5975268499481875</v>
      </c>
      <c r="Q56" s="115">
        <f ca="1">'Input|Step changes'!Q15*IF('Input|Step changes'!$F15="nominal",LOOKUP($F56,Nominal_to_Real,'Input|Rate of change'!U$25:U$30),INDEX('Input|Rate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-0.73629573721197095</v>
      </c>
      <c r="R56" s="115">
        <f ca="1">'Input|Step changes'!R15*IF('Input|Step changes'!$F15="nominal",LOOKUP($F56,Nominal_to_Real,'Input|Rate of change'!V$25:V$30),INDEX('Input|Rate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-0.87116586865836498</v>
      </c>
      <c r="S56" s="115">
        <f ca="1">'Input|Step changes'!S15*IF('Input|Step changes'!$F15="nominal",LOOKUP($F56,Nominal_to_Real,'Input|Rate of change'!W$25:W$30),INDEX('Input|Rate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-0.99988166193517625</v>
      </c>
    </row>
    <row r="57" spans="1:23" outlineLevel="1">
      <c r="C57" s="109">
        <f>'Input|Step changes'!C16</f>
        <v>0</v>
      </c>
      <c r="D57" s="97" t="s">
        <v>30</v>
      </c>
      <c r="E57" s="26" t="str">
        <f t="shared" si="2"/>
        <v>$millions</v>
      </c>
      <c r="F57" s="166">
        <f t="shared" si="3"/>
        <v>2019</v>
      </c>
      <c r="J57" s="115">
        <f ca="1">'Input|Step changes'!J16*IF('Input|Step changes'!$F16="nominal",LOOKUP($F57,Nominal_to_Real,'Input|Rate of change'!N$25:N$30),INDEX('Input|Rate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K57" s="115">
        <f ca="1">'Input|Step changes'!K16*IF('Input|Step changes'!$F16="nominal",LOOKUP($F57,Nominal_to_Real,'Input|Rate of change'!O$25:O$30),INDEX('Input|Rate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L57" s="115">
        <f ca="1">'Input|Step changes'!L16*IF('Input|Step changes'!$F16="nominal",LOOKUP($F57,Nominal_to_Real,'Input|Rate of change'!P$25:P$30),INDEX('Input|Rate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M57" s="115">
        <f ca="1">'Input|Step changes'!M16*IF('Input|Step changes'!$F16="nominal",LOOKUP($F57,Nominal_to_Real,'Input|Rate of change'!Q$25:Q$30),INDEX('Input|Rate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N57" s="115">
        <f ca="1">'Input|Step changes'!N16*IF('Input|Step changes'!$F16="nominal",LOOKUP($F57,Nominal_to_Real,'Input|Rate of change'!R$25:R$30),INDEX('Input|Rate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O57" s="115">
        <f ca="1">'Input|Step changes'!O16*IF('Input|Step changes'!$F16="nominal",LOOKUP($F57,Nominal_to_Real,'Input|Rate of change'!S$25:S$30),INDEX('Input|Rate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P57" s="115">
        <f ca="1">'Input|Step changes'!P16*IF('Input|Step changes'!$F16="nominal",LOOKUP($F57,Nominal_to_Real,'Input|Rate of change'!T$25:T$30),INDEX('Input|Rate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Q57" s="115">
        <f ca="1">'Input|Step changes'!Q16*IF('Input|Step changes'!$F16="nominal",LOOKUP($F57,Nominal_to_Real,'Input|Rate of change'!U$25:U$30),INDEX('Input|Rate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R57" s="115">
        <f ca="1">'Input|Step changes'!R16*IF('Input|Step changes'!$F16="nominal",LOOKUP($F57,Nominal_to_Real,'Input|Rate of change'!V$25:V$30),INDEX('Input|Rate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S57" s="115">
        <f ca="1">'Input|Step changes'!S16*IF('Input|Step changes'!$F16="nominal",LOOKUP($F57,Nominal_to_Real,'Input|Rate of change'!W$25:W$30),INDEX('Input|Rate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</row>
    <row r="58" spans="1:23" outlineLevel="1">
      <c r="C58" s="109">
        <f>'Input|Step changes'!C17</f>
        <v>0</v>
      </c>
      <c r="D58" s="97" t="s">
        <v>30</v>
      </c>
      <c r="E58" s="26" t="str">
        <f t="shared" si="2"/>
        <v>$millions</v>
      </c>
      <c r="F58" s="166">
        <f t="shared" si="3"/>
        <v>2019</v>
      </c>
      <c r="J58" s="115">
        <f ca="1">'Input|Step changes'!J17*IF('Input|Step changes'!$F17="nominal",LOOKUP($F58,Nominal_to_Real,'Input|Rate of change'!N$25:N$30),INDEX('Input|Rate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K58" s="115">
        <f ca="1">'Input|Step changes'!K17*IF('Input|Step changes'!$F17="nominal",LOOKUP($F58,Nominal_to_Real,'Input|Rate of change'!O$25:O$30),INDEX('Input|Rate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L58" s="115">
        <f ca="1">'Input|Step changes'!L17*IF('Input|Step changes'!$F17="nominal",LOOKUP($F58,Nominal_to_Real,'Input|Rate of change'!P$25:P$30),INDEX('Input|Rate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M58" s="115">
        <f ca="1">'Input|Step changes'!M17*IF('Input|Step changes'!$F17="nominal",LOOKUP($F58,Nominal_to_Real,'Input|Rate of change'!Q$25:Q$30),INDEX('Input|Rate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N58" s="115">
        <f ca="1">'Input|Step changes'!N17*IF('Input|Step changes'!$F17="nominal",LOOKUP($F58,Nominal_to_Real,'Input|Rate of change'!R$25:R$30),INDEX('Input|Rate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O58" s="115">
        <f ca="1">'Input|Step changes'!O17*IF('Input|Step changes'!$F17="nominal",LOOKUP($F58,Nominal_to_Real,'Input|Rate of change'!S$25:S$30),INDEX('Input|Rate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P58" s="115">
        <f ca="1">'Input|Step changes'!P17*IF('Input|Step changes'!$F17="nominal",LOOKUP($F58,Nominal_to_Real,'Input|Rate of change'!T$25:T$30),INDEX('Input|Rate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Q58" s="115">
        <f ca="1">'Input|Step changes'!Q17*IF('Input|Step changes'!$F17="nominal",LOOKUP($F58,Nominal_to_Real,'Input|Rate of change'!U$25:U$30),INDEX('Input|Rate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R58" s="115">
        <f ca="1">'Input|Step changes'!R17*IF('Input|Step changes'!$F17="nominal",LOOKUP($F58,Nominal_to_Real,'Input|Rate of change'!V$25:V$30),INDEX('Input|Rate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S58" s="115">
        <f ca="1">'Input|Step changes'!S17*IF('Input|Step changes'!$F17="nominal",LOOKUP($F58,Nominal_to_Real,'Input|Rate of change'!W$25:W$30),INDEX('Input|Rate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</row>
    <row r="59" spans="1:23" outlineLevel="1">
      <c r="C59" s="109">
        <f>'Input|Step changes'!C18</f>
        <v>0</v>
      </c>
      <c r="D59" s="97" t="s">
        <v>30</v>
      </c>
      <c r="E59" s="26" t="str">
        <f t="shared" si="2"/>
        <v>$millions</v>
      </c>
      <c r="F59" s="166">
        <f t="shared" si="3"/>
        <v>2019</v>
      </c>
      <c r="J59" s="115">
        <f ca="1">'Input|Step changes'!J18*IF('Input|Step changes'!$F18="nominal",LOOKUP($F59,Nominal_to_Real,'Input|Rate of change'!N$25:N$30),INDEX('Input|Rate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K59" s="115">
        <f ca="1">'Input|Step changes'!K18*IF('Input|Step changes'!$F18="nominal",LOOKUP($F59,Nominal_to_Real,'Input|Rate of change'!O$25:O$30),INDEX('Input|Rate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L59" s="115">
        <f ca="1">'Input|Step changes'!L18*IF('Input|Step changes'!$F18="nominal",LOOKUP($F59,Nominal_to_Real,'Input|Rate of change'!P$25:P$30),INDEX('Input|Rate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M59" s="115">
        <f ca="1">'Input|Step changes'!M18*IF('Input|Step changes'!$F18="nominal",LOOKUP($F59,Nominal_to_Real,'Input|Rate of change'!Q$25:Q$30),INDEX('Input|Rate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N59" s="115">
        <f ca="1">'Input|Step changes'!N18*IF('Input|Step changes'!$F18="nominal",LOOKUP($F59,Nominal_to_Real,'Input|Rate of change'!R$25:R$30),INDEX('Input|Rate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O59" s="115">
        <f ca="1">'Input|Step changes'!O18*IF('Input|Step changes'!$F18="nominal",LOOKUP($F59,Nominal_to_Real,'Input|Rate of change'!S$25:S$30),INDEX('Input|Rate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P59" s="115">
        <f ca="1">'Input|Step changes'!P18*IF('Input|Step changes'!$F18="nominal",LOOKUP($F59,Nominal_to_Real,'Input|Rate of change'!T$25:T$30),INDEX('Input|Rate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Q59" s="115">
        <f ca="1">'Input|Step changes'!Q18*IF('Input|Step changes'!$F18="nominal",LOOKUP($F59,Nominal_to_Real,'Input|Rate of change'!U$25:U$30),INDEX('Input|Rate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R59" s="115">
        <f ca="1">'Input|Step changes'!R18*IF('Input|Step changes'!$F18="nominal",LOOKUP($F59,Nominal_to_Real,'Input|Rate of change'!V$25:V$30),INDEX('Input|Rate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S59" s="115">
        <f ca="1">'Input|Step changes'!S18*IF('Input|Step changes'!$F18="nominal",LOOKUP($F59,Nominal_to_Real,'Input|Rate of change'!W$25:W$30),INDEX('Input|Rate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</row>
    <row r="60" spans="1:23" outlineLevel="1">
      <c r="C60" s="109">
        <f>'Input|Step changes'!C19</f>
        <v>0</v>
      </c>
      <c r="D60" s="97" t="s">
        <v>30</v>
      </c>
      <c r="E60" s="26" t="str">
        <f t="shared" si="2"/>
        <v>$millions</v>
      </c>
      <c r="F60" s="166">
        <f t="shared" si="3"/>
        <v>2019</v>
      </c>
      <c r="J60" s="115">
        <f ca="1">'Input|Step changes'!J19*IF('Input|Step changes'!$F19="nominal",LOOKUP($F60,Nominal_to_Real,'Input|Rate of change'!N$25:N$30),INDEX('Input|Rate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K60" s="115">
        <f ca="1">'Input|Step changes'!K19*IF('Input|Step changes'!$F19="nominal",LOOKUP($F60,Nominal_to_Real,'Input|Rate of change'!O$25:O$30),INDEX('Input|Rate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L60" s="115">
        <f ca="1">'Input|Step changes'!L19*IF('Input|Step changes'!$F19="nominal",LOOKUP($F60,Nominal_to_Real,'Input|Rate of change'!P$25:P$30),INDEX('Input|Rate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M60" s="115">
        <f ca="1">'Input|Step changes'!M19*IF('Input|Step changes'!$F19="nominal",LOOKUP($F60,Nominal_to_Real,'Input|Rate of change'!Q$25:Q$30),INDEX('Input|Rate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N60" s="115">
        <f ca="1">'Input|Step changes'!N19*IF('Input|Step changes'!$F19="nominal",LOOKUP($F60,Nominal_to_Real,'Input|Rate of change'!R$25:R$30),INDEX('Input|Rate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O60" s="115">
        <f ca="1">'Input|Step changes'!O19*IF('Input|Step changes'!$F19="nominal",LOOKUP($F60,Nominal_to_Real,'Input|Rate of change'!S$25:S$30),INDEX('Input|Rate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P60" s="115">
        <f ca="1">'Input|Step changes'!P19*IF('Input|Step changes'!$F19="nominal",LOOKUP($F60,Nominal_to_Real,'Input|Rate of change'!T$25:T$30),INDEX('Input|Rate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Q60" s="115">
        <f ca="1">'Input|Step changes'!Q19*IF('Input|Step changes'!$F19="nominal",LOOKUP($F60,Nominal_to_Real,'Input|Rate of change'!U$25:U$30),INDEX('Input|Rate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R60" s="115">
        <f ca="1">'Input|Step changes'!R19*IF('Input|Step changes'!$F19="nominal",LOOKUP($F60,Nominal_to_Real,'Input|Rate of change'!V$25:V$30),INDEX('Input|Rate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S60" s="115">
        <f ca="1">'Input|Step changes'!S19*IF('Input|Step changes'!$F19="nominal",LOOKUP($F60,Nominal_to_Real,'Input|Rate of change'!W$25:W$30),INDEX('Input|Rate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</row>
    <row r="61" spans="1:23" outlineLevel="1">
      <c r="C61" s="109">
        <f>'Input|Step changes'!C20</f>
        <v>0</v>
      </c>
      <c r="D61" s="97" t="s">
        <v>30</v>
      </c>
      <c r="E61" s="26" t="str">
        <f t="shared" si="2"/>
        <v>$millions</v>
      </c>
      <c r="F61" s="166">
        <f t="shared" si="3"/>
        <v>2019</v>
      </c>
      <c r="J61" s="115">
        <f ca="1">'Input|Step changes'!J20*IF('Input|Step changes'!$F20="nominal",LOOKUP($F61,Nominal_to_Real,'Input|Rate of change'!N$25:N$30),INDEX('Input|Rate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K61" s="115">
        <f ca="1">'Input|Step changes'!K20*IF('Input|Step changes'!$F20="nominal",LOOKUP($F61,Nominal_to_Real,'Input|Rate of change'!O$25:O$30),INDEX('Input|Rate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L61" s="115">
        <f ca="1">'Input|Step changes'!L20*IF('Input|Step changes'!$F20="nominal",LOOKUP($F61,Nominal_to_Real,'Input|Rate of change'!P$25:P$30),INDEX('Input|Rate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M61" s="115">
        <f ca="1">'Input|Step changes'!M20*IF('Input|Step changes'!$F20="nominal",LOOKUP($F61,Nominal_to_Real,'Input|Rate of change'!Q$25:Q$30),INDEX('Input|Rate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N61" s="115">
        <f ca="1">'Input|Step changes'!N20*IF('Input|Step changes'!$F20="nominal",LOOKUP($F61,Nominal_to_Real,'Input|Rate of change'!R$25:R$30),INDEX('Input|Rate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O61" s="115">
        <f ca="1">'Input|Step changes'!O20*IF('Input|Step changes'!$F20="nominal",LOOKUP($F61,Nominal_to_Real,'Input|Rate of change'!S$25:S$30),INDEX('Input|Rate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P61" s="115">
        <f ca="1">'Input|Step changes'!P20*IF('Input|Step changes'!$F20="nominal",LOOKUP($F61,Nominal_to_Real,'Input|Rate of change'!T$25:T$30),INDEX('Input|Rate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Q61" s="115">
        <f ca="1">'Input|Step changes'!Q20*IF('Input|Step changes'!$F20="nominal",LOOKUP($F61,Nominal_to_Real,'Input|Rate of change'!U$25:U$30),INDEX('Input|Rate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R61" s="115">
        <f ca="1">'Input|Step changes'!R20*IF('Input|Step changes'!$F20="nominal",LOOKUP($F61,Nominal_to_Real,'Input|Rate of change'!V$25:V$30),INDEX('Input|Rate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S61" s="115">
        <f ca="1">'Input|Step changes'!S20*IF('Input|Step changes'!$F20="nominal",LOOKUP($F61,Nominal_to_Real,'Input|Rate of change'!W$25:W$30),INDEX('Input|Rate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</row>
    <row r="62" spans="1:23" outlineLevel="1">
      <c r="C62" s="109"/>
      <c r="D62" s="97"/>
      <c r="F62" s="99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spans="1:23" outlineLevel="1">
      <c r="C63" s="101" t="s">
        <v>48</v>
      </c>
      <c r="D63" s="110" t="s">
        <v>30</v>
      </c>
      <c r="E63" s="110" t="str">
        <f>$E$8</f>
        <v>$millions</v>
      </c>
      <c r="F63" s="159">
        <f>$F$8</f>
        <v>2019</v>
      </c>
      <c r="G63" s="28"/>
      <c r="H63" s="28"/>
      <c r="I63" s="28"/>
      <c r="J63" s="117">
        <f ca="1">SUM(J52:J62)</f>
        <v>0</v>
      </c>
      <c r="K63" s="117">
        <f t="shared" ref="K63:S63" ca="1" si="4">SUM(K52:K62)</f>
        <v>0</v>
      </c>
      <c r="L63" s="117">
        <f t="shared" ca="1" si="4"/>
        <v>0</v>
      </c>
      <c r="M63" s="117">
        <f t="shared" ca="1" si="4"/>
        <v>0</v>
      </c>
      <c r="N63" s="117">
        <f t="shared" ca="1" si="4"/>
        <v>0</v>
      </c>
      <c r="O63" s="117">
        <f t="shared" ca="1" si="4"/>
        <v>-0.11230928758659658</v>
      </c>
      <c r="P63" s="117">
        <f t="shared" ca="1" si="4"/>
        <v>-0.24596184059818754</v>
      </c>
      <c r="Q63" s="117">
        <f t="shared" ca="1" si="4"/>
        <v>-0.38473072786197099</v>
      </c>
      <c r="R63" s="117">
        <f t="shared" ca="1" si="4"/>
        <v>-0.51960085930836497</v>
      </c>
      <c r="S63" s="117">
        <f t="shared" ca="1" si="4"/>
        <v>-0.64831665258517623</v>
      </c>
    </row>
    <row r="64" spans="1:23">
      <c r="C64" s="111"/>
      <c r="D64" s="97"/>
      <c r="E64" s="97"/>
      <c r="F64" s="97"/>
      <c r="J64" s="94"/>
      <c r="K64" s="94"/>
      <c r="L64" s="94"/>
      <c r="M64" s="94"/>
      <c r="N64" s="20"/>
      <c r="O64" s="20"/>
      <c r="P64" s="20"/>
      <c r="Q64" s="20"/>
      <c r="R64" s="20"/>
      <c r="S64" s="20"/>
    </row>
    <row r="65" spans="1:23" s="89" customFormat="1" ht="12.75">
      <c r="A65" s="84"/>
      <c r="B65" s="85" t="s">
        <v>95</v>
      </c>
      <c r="C65" s="84"/>
      <c r="D65" s="84"/>
      <c r="E65" s="84"/>
      <c r="F65" s="86"/>
      <c r="G65" s="86"/>
      <c r="H65" s="86"/>
      <c r="I65" s="86"/>
      <c r="J65" s="87"/>
      <c r="K65" s="88"/>
      <c r="L65" s="87"/>
      <c r="M65" s="88"/>
      <c r="N65" s="87"/>
      <c r="O65" s="87"/>
      <c r="P65" s="87"/>
      <c r="Q65" s="87"/>
      <c r="R65" s="87"/>
      <c r="S65" s="87"/>
      <c r="T65" s="87"/>
      <c r="U65" s="87"/>
      <c r="V65" s="88"/>
      <c r="W65" s="88"/>
    </row>
    <row r="66" spans="1:23" outlineLevel="1">
      <c r="C66" s="93"/>
      <c r="J66" s="94"/>
      <c r="K66" s="94"/>
      <c r="L66" s="94"/>
    </row>
    <row r="67" spans="1:23" outlineLevel="1">
      <c r="C67" s="59"/>
      <c r="J67" s="92" t="str">
        <f>IF(RIGHT(J$4,2)&gt;=RIGHT('Input|General'!$G$9,2),IF(RIGHT(J$4,2)&lt;=RIGHT('Input|General'!$G$12,2),J$4,""),"")</f>
        <v/>
      </c>
      <c r="K67" s="92" t="str">
        <f ca="1">IF(RIGHT(K$4,2)&gt;=RIGHT('Input|General'!$G$9,2),IF(RIGHT(K$4,2)&lt;=RIGHT('Input|General'!$G$12,2),K$4,""),"")</f>
        <v/>
      </c>
      <c r="L67" s="92" t="str">
        <f ca="1">IF(RIGHT(L$4,2)&gt;=RIGHT('Input|General'!$G$9,2),IF(RIGHT(L$4,2)&lt;=RIGHT('Input|General'!$G$12,2),L$4,""),"")</f>
        <v/>
      </c>
      <c r="M67" s="152">
        <f ca="1">IF(RIGHT(M$4,2)&gt;=RIGHT('Input|General'!$G$9,2),IF(RIGHT(M$4,2)&lt;=RIGHT('Input|General'!$G$12,2),M$4,""),"")</f>
        <v>2018</v>
      </c>
      <c r="N67" s="152">
        <f ca="1">IF(RIGHT(N$4,2)&gt;=RIGHT('Input|General'!$G$9,2),IF(RIGHT(N$4,2)&lt;=RIGHT('Input|General'!$G$12,2),N$4,""),"")</f>
        <v>2019</v>
      </c>
      <c r="O67" s="152">
        <f ca="1">IF(RIGHT(O$4,2)&gt;=RIGHT('Input|General'!$G$9,2),IF(RIGHT(O$4,2)&lt;=RIGHT('Input|General'!$G$12,2),O$4,""),"")</f>
        <v>2020</v>
      </c>
      <c r="P67" s="152">
        <f ca="1">IF(RIGHT(P$4,2)&gt;=RIGHT('Input|General'!$G$9,2),IF(RIGHT(P$4,2)&lt;=RIGHT('Input|General'!$G$12,2),P$4,""),"")</f>
        <v>2021</v>
      </c>
      <c r="Q67" s="152">
        <f ca="1">IF(RIGHT(Q$4,2)&gt;=RIGHT('Input|General'!$G$9,2),IF(RIGHT(Q$4,2)&lt;=RIGHT('Input|General'!$G$12,2),Q$4,""),"")</f>
        <v>2022</v>
      </c>
      <c r="R67" s="152">
        <f ca="1">IF(RIGHT(R$4,2)&gt;=RIGHT('Input|General'!$G$9,2),IF(RIGHT(R$4,2)&lt;=RIGHT('Input|General'!$G$12,2),R$4,""),"")</f>
        <v>2023</v>
      </c>
      <c r="S67" s="152">
        <f ca="1">IF(RIGHT(S$4,2)&gt;=RIGHT('Input|General'!$G$9,2),IF(RIGHT(S$4,2)&lt;=RIGHT('Input|General'!$G$12,2),S$4,""),"")</f>
        <v>2024</v>
      </c>
    </row>
    <row r="68" spans="1:23" outlineLevel="1">
      <c r="C68" s="112"/>
      <c r="D68" s="97"/>
      <c r="E68" s="97"/>
      <c r="F68" s="97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1:23" outlineLevel="1">
      <c r="C69" s="111" t="s">
        <v>116</v>
      </c>
      <c r="D69" s="114" t="s">
        <v>30</v>
      </c>
      <c r="E69" s="114" t="str">
        <f>$E$8</f>
        <v>$millions</v>
      </c>
      <c r="F69" s="166">
        <f>$F$8</f>
        <v>2019</v>
      </c>
      <c r="J69" s="142">
        <f ca="1">J13</f>
        <v>0</v>
      </c>
      <c r="K69" s="142">
        <f ca="1">K13</f>
        <v>0</v>
      </c>
      <c r="L69" s="142">
        <f ca="1">L13</f>
        <v>0</v>
      </c>
      <c r="M69" s="142">
        <f ca="1">M13</f>
        <v>4.8596398600113426</v>
      </c>
      <c r="N69" s="142">
        <f ca="1">N15</f>
        <v>4.8596398600113426</v>
      </c>
      <c r="O69" s="142">
        <f t="array" aca="1" ref="O69" ca="1">IF(RIGHT(O$4,2)&gt;=RIGHT('Input|General'!$G$11,2),IF(RIGHT(O$4,2)&lt;=RIGHT('Input|General'!$G$12,2),IF(ISBLANK(O67),"",PRODUCT(1+$J47:O47)*SUM($J34:$S34)+O$63),""),"")</f>
        <v>4.6333052418619607</v>
      </c>
      <c r="P69" s="142">
        <f t="array" aca="1" ref="P69" ca="1">IF(RIGHT(P$4,2)&gt;=RIGHT('Input|General'!$G$11,2),IF(RIGHT(P$4,2)&lt;=RIGHT('Input|General'!$G$12,2),IF(ISBLANK(P67),"",PRODUCT(1+$J47:P47)*SUM($J34:$S34)+P$63),""),"")</f>
        <v>4.5302625288274996</v>
      </c>
      <c r="Q69" s="142">
        <f t="array" aca="1" ref="Q69" ca="1">IF(RIGHT(Q$4,2)&gt;=RIGHT('Input|General'!$G$11,2),IF(RIGHT(Q$4,2)&lt;=RIGHT('Input|General'!$G$12,2),IF(ISBLANK(Q67),"",PRODUCT(1+$J47:Q47)*SUM($J34:$S34)+Q$63),""),"")</f>
        <v>4.4385740842444612</v>
      </c>
      <c r="R69" s="142">
        <f t="array" aca="1" ref="R69" ca="1">IF(RIGHT(R$4,2)&gt;=RIGHT('Input|General'!$G$11,2),IF(RIGHT(R$4,2)&lt;=RIGHT('Input|General'!$G$12,2),IF(ISBLANK(R67),"",PRODUCT(1+$J47:R47)*SUM($J34:$S34)+R$63),""),"")</f>
        <v>4.3405677425723841</v>
      </c>
      <c r="S69" s="142">
        <f t="array" aca="1" ref="S69" ca="1">IF(RIGHT(S$4,2)&gt;=RIGHT('Input|General'!$G$11,2),IF(RIGHT(S$4,2)&lt;=RIGHT('Input|General'!$G$12,2),IF(ISBLANK(S67),"",PRODUCT(1+$J47:S47)*SUM($J34:$S34)+S$63),""),"")</f>
        <v>4.2499699903765329</v>
      </c>
    </row>
    <row r="70" spans="1:23" outlineLevel="1">
      <c r="C70" s="111" t="s">
        <v>117</v>
      </c>
      <c r="D70" s="114" t="s">
        <v>30</v>
      </c>
      <c r="E70" s="114" t="str">
        <f>$E$8</f>
        <v>$millions</v>
      </c>
      <c r="F70" s="166">
        <f>$F$8</f>
        <v>2019</v>
      </c>
      <c r="J70" s="142"/>
      <c r="K70" s="142"/>
      <c r="L70" s="142"/>
      <c r="M70" s="142"/>
      <c r="N70" s="142"/>
      <c r="O70" s="142">
        <f ca="1">O69+'Input|Step changes'!O26</f>
        <v>4.6419210384708292</v>
      </c>
      <c r="P70" s="142">
        <f ca="1">P69+'Input|Step changes'!P26</f>
        <v>4.5419206262741563</v>
      </c>
      <c r="Q70" s="142">
        <f ca="1">Q69+'Input|Step changes'!Q26</f>
        <v>4.4513676941849374</v>
      </c>
      <c r="R70" s="142">
        <f ca="1">R69+'Input|Step changes'!R26</f>
        <v>4.3543827086454492</v>
      </c>
      <c r="S70" s="142">
        <f ca="1">S69+'Input|Step changes'!S26</f>
        <v>4.2666285935818964</v>
      </c>
    </row>
    <row r="71" spans="1:23">
      <c r="C71" s="111"/>
      <c r="D71" s="97"/>
      <c r="E71" s="97"/>
      <c r="F71" s="97"/>
      <c r="J71" s="94"/>
      <c r="K71" s="94"/>
      <c r="L71" s="94"/>
      <c r="M71" s="94"/>
      <c r="N71" s="20"/>
      <c r="O71" s="20"/>
      <c r="P71" s="20"/>
      <c r="Q71" s="20"/>
      <c r="R71" s="20"/>
      <c r="S71" s="20"/>
    </row>
    <row r="72" spans="1:23" s="89" customFormat="1" ht="12.75">
      <c r="A72" s="84"/>
      <c r="B72" s="85" t="s">
        <v>21</v>
      </c>
      <c r="C72" s="84"/>
      <c r="D72" s="84"/>
      <c r="E72" s="84"/>
      <c r="F72" s="86"/>
      <c r="G72" s="86"/>
      <c r="H72" s="86"/>
      <c r="I72" s="86"/>
      <c r="J72" s="87"/>
      <c r="K72" s="88"/>
      <c r="L72" s="87"/>
      <c r="M72" s="88"/>
      <c r="N72" s="87"/>
      <c r="O72" s="87"/>
      <c r="P72" s="87"/>
      <c r="Q72" s="87"/>
      <c r="R72" s="87"/>
      <c r="S72" s="87"/>
      <c r="T72" s="87"/>
      <c r="U72" s="87"/>
      <c r="V72" s="88"/>
      <c r="W72" s="88"/>
    </row>
    <row r="73" spans="1:23">
      <c r="D73" s="25"/>
      <c r="E73" s="25"/>
      <c r="F73" s="25"/>
      <c r="G73" s="25"/>
      <c r="H73" s="25"/>
      <c r="I73" s="25"/>
    </row>
    <row r="74" spans="1:23">
      <c r="D74" s="25"/>
      <c r="E74" s="25"/>
      <c r="F74" s="25"/>
      <c r="G74" s="25"/>
      <c r="H74" s="25"/>
      <c r="I74" s="25"/>
    </row>
    <row r="75" spans="1:23">
      <c r="D75" s="25"/>
      <c r="E75" s="25"/>
      <c r="F75" s="25"/>
      <c r="G75" s="25"/>
      <c r="H75" s="25"/>
      <c r="I75" s="25"/>
    </row>
    <row r="76" spans="1:23">
      <c r="D76" s="25"/>
      <c r="E76" s="25"/>
      <c r="F76" s="25"/>
      <c r="G76" s="25"/>
      <c r="H76" s="25"/>
      <c r="I76" s="25"/>
    </row>
    <row r="77" spans="1:23">
      <c r="D77" s="25"/>
      <c r="E77" s="25"/>
      <c r="F77" s="25"/>
      <c r="G77" s="25"/>
      <c r="H77" s="25"/>
      <c r="I77" s="25"/>
    </row>
    <row r="78" spans="1:23">
      <c r="D78" s="25"/>
      <c r="E78" s="25"/>
      <c r="F78" s="25"/>
      <c r="G78" s="25"/>
      <c r="H78" s="25"/>
      <c r="I78" s="25"/>
    </row>
    <row r="79" spans="1:23">
      <c r="D79" s="25"/>
      <c r="E79" s="25"/>
      <c r="F79" s="25"/>
      <c r="G79" s="25"/>
      <c r="H79" s="25"/>
      <c r="I79" s="25"/>
    </row>
    <row r="80" spans="1:23">
      <c r="D80" s="25"/>
      <c r="E80" s="25"/>
      <c r="F80" s="25"/>
      <c r="G80" s="25"/>
      <c r="H80" s="25"/>
      <c r="I80" s="25"/>
    </row>
    <row r="81" spans="4:9">
      <c r="D81" s="25"/>
      <c r="E81" s="25"/>
      <c r="F81" s="25"/>
      <c r="G81" s="25"/>
      <c r="H81" s="25"/>
      <c r="I81" s="25"/>
    </row>
    <row r="82" spans="4:9">
      <c r="D82" s="25"/>
      <c r="E82" s="25"/>
      <c r="F82" s="25"/>
      <c r="G82" s="25"/>
      <c r="H82" s="25"/>
      <c r="I82" s="25"/>
    </row>
    <row r="83" spans="4:9">
      <c r="D83" s="25"/>
      <c r="E83" s="25"/>
      <c r="F83" s="25"/>
      <c r="G83" s="25"/>
      <c r="H83" s="25"/>
      <c r="I83" s="25"/>
    </row>
    <row r="84" spans="4:9">
      <c r="D84" s="25"/>
      <c r="E84" s="25"/>
      <c r="F84" s="25"/>
      <c r="G84" s="25"/>
      <c r="H84" s="25"/>
      <c r="I84" s="25"/>
    </row>
    <row r="85" spans="4:9">
      <c r="D85" s="25"/>
      <c r="E85" s="25"/>
      <c r="F85" s="25"/>
      <c r="G85" s="25"/>
      <c r="H85" s="25"/>
      <c r="I85" s="25"/>
    </row>
    <row r="86" spans="4:9">
      <c r="D86" s="25"/>
      <c r="E86" s="25"/>
      <c r="F86" s="25"/>
      <c r="G86" s="25"/>
      <c r="H86" s="25"/>
      <c r="I86" s="25"/>
    </row>
    <row r="87" spans="4:9">
      <c r="D87" s="25"/>
      <c r="E87" s="25"/>
      <c r="F87" s="25"/>
      <c r="G87" s="25"/>
      <c r="H87" s="25"/>
      <c r="I87" s="25"/>
    </row>
    <row r="88" spans="4:9">
      <c r="D88" s="25"/>
      <c r="E88" s="25"/>
      <c r="F88" s="25"/>
      <c r="G88" s="25"/>
      <c r="H88" s="25"/>
      <c r="I88" s="25"/>
    </row>
    <row r="89" spans="4:9">
      <c r="D89" s="25"/>
      <c r="E89" s="25"/>
      <c r="F89" s="25"/>
      <c r="G89" s="25"/>
      <c r="H89" s="25"/>
      <c r="I89" s="25"/>
    </row>
    <row r="90" spans="4:9">
      <c r="D90" s="25"/>
      <c r="E90" s="25"/>
      <c r="F90" s="25"/>
      <c r="G90" s="25"/>
      <c r="H90" s="25"/>
      <c r="I90" s="25"/>
    </row>
    <row r="91" spans="4:9">
      <c r="D91" s="25"/>
      <c r="E91" s="25"/>
      <c r="F91" s="25"/>
      <c r="G91" s="25"/>
      <c r="H91" s="25"/>
      <c r="I91" s="25"/>
    </row>
    <row r="92" spans="4:9">
      <c r="D92" s="25"/>
      <c r="E92" s="25"/>
      <c r="F92" s="25"/>
      <c r="G92" s="25"/>
      <c r="H92" s="25"/>
      <c r="I92" s="25"/>
    </row>
    <row r="93" spans="4:9">
      <c r="D93" s="25"/>
      <c r="E93" s="25"/>
      <c r="F93" s="25"/>
      <c r="G93" s="25"/>
      <c r="H93" s="25"/>
      <c r="I93" s="25"/>
    </row>
    <row r="94" spans="4:9">
      <c r="D94" s="25"/>
      <c r="E94" s="25"/>
      <c r="F94" s="25"/>
      <c r="G94" s="25"/>
      <c r="H94" s="25"/>
      <c r="I94" s="25"/>
    </row>
    <row r="95" spans="4:9">
      <c r="D95" s="25"/>
      <c r="E95" s="25"/>
      <c r="F95" s="25"/>
      <c r="G95" s="25"/>
      <c r="H95" s="25"/>
      <c r="I95" s="25"/>
    </row>
    <row r="96" spans="4:9">
      <c r="D96" s="25"/>
      <c r="E96" s="25"/>
      <c r="F96" s="25"/>
      <c r="G96" s="25"/>
      <c r="H96" s="25"/>
      <c r="I96" s="25"/>
    </row>
    <row r="97" spans="4:9">
      <c r="D97" s="25"/>
      <c r="E97" s="25"/>
      <c r="F97" s="25"/>
      <c r="G97" s="25"/>
      <c r="H97" s="25"/>
      <c r="I97" s="25"/>
    </row>
    <row r="98" spans="4:9">
      <c r="D98" s="25"/>
      <c r="E98" s="25"/>
      <c r="F98" s="25"/>
      <c r="G98" s="25"/>
      <c r="H98" s="25"/>
      <c r="I98" s="25"/>
    </row>
    <row r="99" spans="4:9">
      <c r="D99" s="25"/>
      <c r="E99" s="25"/>
      <c r="F99" s="25"/>
      <c r="G99" s="25"/>
      <c r="H99" s="25"/>
      <c r="I99" s="25"/>
    </row>
    <row r="100" spans="4:9">
      <c r="D100" s="25"/>
      <c r="E100" s="25"/>
      <c r="F100" s="25"/>
      <c r="G100" s="25"/>
      <c r="H100" s="25"/>
      <c r="I100" s="25"/>
    </row>
    <row r="101" spans="4:9">
      <c r="D101" s="25"/>
      <c r="E101" s="25"/>
      <c r="F101" s="25"/>
      <c r="G101" s="25"/>
      <c r="H101" s="25"/>
      <c r="I101" s="25"/>
    </row>
    <row r="102" spans="4:9">
      <c r="D102" s="25"/>
      <c r="E102" s="25"/>
      <c r="F102" s="25"/>
      <c r="G102" s="25"/>
      <c r="H102" s="25"/>
      <c r="I102" s="25"/>
    </row>
    <row r="103" spans="4:9">
      <c r="D103" s="25"/>
      <c r="E103" s="25"/>
      <c r="F103" s="25"/>
      <c r="G103" s="25"/>
      <c r="H103" s="25"/>
      <c r="I103" s="25"/>
    </row>
    <row r="104" spans="4:9">
      <c r="D104" s="25"/>
      <c r="E104" s="25"/>
      <c r="F104" s="25"/>
      <c r="G104" s="25"/>
      <c r="H104" s="25"/>
      <c r="I104" s="25"/>
    </row>
    <row r="105" spans="4:9">
      <c r="D105" s="25"/>
      <c r="E105" s="25"/>
      <c r="F105" s="25"/>
      <c r="G105" s="25"/>
      <c r="H105" s="25"/>
      <c r="I105" s="25"/>
    </row>
    <row r="106" spans="4:9">
      <c r="D106" s="25"/>
      <c r="E106" s="25"/>
      <c r="F106" s="25"/>
      <c r="G106" s="25"/>
      <c r="H106" s="25"/>
      <c r="I106" s="25"/>
    </row>
    <row r="107" spans="4:9">
      <c r="D107" s="25"/>
      <c r="E107" s="25"/>
      <c r="F107" s="25"/>
      <c r="G107" s="25"/>
      <c r="H107" s="25"/>
      <c r="I107" s="25"/>
    </row>
    <row r="108" spans="4:9">
      <c r="D108" s="25"/>
      <c r="E108" s="25"/>
      <c r="F108" s="25"/>
      <c r="G108" s="25"/>
      <c r="H108" s="25"/>
      <c r="I108" s="25"/>
    </row>
    <row r="109" spans="4:9">
      <c r="D109" s="25"/>
      <c r="E109" s="25"/>
      <c r="F109" s="25"/>
      <c r="G109" s="25"/>
      <c r="H109" s="25"/>
      <c r="I109" s="25"/>
    </row>
    <row r="110" spans="4:9">
      <c r="D110" s="25"/>
      <c r="E110" s="25"/>
      <c r="F110" s="25"/>
      <c r="G110" s="25"/>
      <c r="H110" s="25"/>
      <c r="I110" s="25"/>
    </row>
    <row r="111" spans="4:9">
      <c r="D111" s="25"/>
      <c r="E111" s="25"/>
      <c r="F111" s="25"/>
      <c r="G111" s="25"/>
      <c r="H111" s="25"/>
      <c r="I111" s="25"/>
    </row>
    <row r="112" spans="4:9">
      <c r="D112" s="25"/>
      <c r="E112" s="25"/>
      <c r="F112" s="25"/>
      <c r="G112" s="25"/>
      <c r="H112" s="25"/>
      <c r="I112" s="25"/>
    </row>
    <row r="113" spans="4:9">
      <c r="D113" s="25"/>
      <c r="E113" s="25"/>
      <c r="F113" s="25"/>
      <c r="G113" s="25"/>
      <c r="H113" s="25"/>
      <c r="I113" s="25"/>
    </row>
    <row r="114" spans="4:9">
      <c r="D114" s="25"/>
      <c r="E114" s="25"/>
      <c r="F114" s="25"/>
      <c r="G114" s="25"/>
      <c r="H114" s="25"/>
      <c r="I114" s="25"/>
    </row>
    <row r="115" spans="4:9">
      <c r="D115" s="25"/>
      <c r="E115" s="25"/>
      <c r="F115" s="25"/>
      <c r="G115" s="25"/>
      <c r="H115" s="25"/>
      <c r="I115" s="25"/>
    </row>
    <row r="116" spans="4:9">
      <c r="D116" s="25"/>
      <c r="E116" s="25"/>
      <c r="F116" s="25"/>
      <c r="G116" s="25"/>
      <c r="H116" s="25"/>
      <c r="I116" s="25"/>
    </row>
    <row r="117" spans="4:9">
      <c r="D117" s="25"/>
      <c r="E117" s="25"/>
      <c r="F117" s="25"/>
      <c r="G117" s="25"/>
      <c r="H117" s="25"/>
      <c r="I117" s="25"/>
    </row>
    <row r="118" spans="4:9">
      <c r="D118" s="25"/>
      <c r="E118" s="25"/>
      <c r="F118" s="25"/>
      <c r="G118" s="25"/>
      <c r="H118" s="25"/>
      <c r="I118" s="25"/>
    </row>
    <row r="119" spans="4:9">
      <c r="D119" s="25"/>
      <c r="E119" s="25"/>
      <c r="F119" s="25"/>
      <c r="G119" s="25"/>
      <c r="H119" s="25"/>
      <c r="I119" s="25"/>
    </row>
    <row r="120" spans="4:9">
      <c r="D120" s="25"/>
      <c r="E120" s="25"/>
      <c r="F120" s="25"/>
      <c r="G120" s="25"/>
      <c r="H120" s="25"/>
      <c r="I120" s="25"/>
    </row>
    <row r="121" spans="4:9">
      <c r="D121" s="25"/>
      <c r="E121" s="25"/>
      <c r="F121" s="25"/>
      <c r="G121" s="25"/>
      <c r="H121" s="25"/>
      <c r="I121" s="25"/>
    </row>
    <row r="122" spans="4:9">
      <c r="D122" s="25"/>
      <c r="E122" s="25"/>
      <c r="F122" s="25"/>
      <c r="G122" s="25"/>
      <c r="H122" s="25"/>
      <c r="I122" s="25"/>
    </row>
    <row r="123" spans="4:9">
      <c r="D123" s="25"/>
      <c r="E123" s="25"/>
      <c r="F123" s="25"/>
      <c r="G123" s="25"/>
      <c r="H123" s="25"/>
      <c r="I123" s="25"/>
    </row>
    <row r="124" spans="4:9">
      <c r="D124" s="25"/>
      <c r="E124" s="25"/>
      <c r="F124" s="25"/>
      <c r="G124" s="25"/>
      <c r="H124" s="25"/>
      <c r="I124" s="25"/>
    </row>
    <row r="125" spans="4:9">
      <c r="D125" s="25"/>
      <c r="E125" s="25"/>
      <c r="F125" s="25"/>
      <c r="G125" s="25"/>
      <c r="H125" s="25"/>
      <c r="I125" s="25"/>
    </row>
    <row r="126" spans="4:9">
      <c r="D126" s="25"/>
      <c r="E126" s="25"/>
      <c r="F126" s="25"/>
      <c r="G126" s="25"/>
      <c r="H126" s="25"/>
      <c r="I126" s="25"/>
    </row>
    <row r="127" spans="4:9">
      <c r="D127" s="25"/>
      <c r="E127" s="25"/>
      <c r="F127" s="25"/>
      <c r="G127" s="25"/>
      <c r="H127" s="25"/>
      <c r="I127" s="25"/>
    </row>
    <row r="128" spans="4:9">
      <c r="D128" s="25"/>
      <c r="E128" s="25"/>
      <c r="F128" s="25"/>
      <c r="G128" s="25"/>
      <c r="H128" s="25"/>
      <c r="I128" s="25"/>
    </row>
    <row r="129" spans="4:9">
      <c r="D129" s="25"/>
      <c r="E129" s="25"/>
      <c r="F129" s="25"/>
      <c r="G129" s="25"/>
      <c r="H129" s="25"/>
      <c r="I129" s="25"/>
    </row>
    <row r="130" spans="4:9">
      <c r="D130" s="25"/>
      <c r="E130" s="25"/>
      <c r="F130" s="25"/>
      <c r="G130" s="25"/>
      <c r="H130" s="25"/>
      <c r="I130" s="25"/>
    </row>
    <row r="131" spans="4:9">
      <c r="D131" s="25"/>
      <c r="E131" s="25"/>
      <c r="F131" s="25"/>
      <c r="G131" s="25"/>
      <c r="H131" s="25"/>
      <c r="I131" s="25"/>
    </row>
    <row r="132" spans="4:9">
      <c r="D132" s="25"/>
      <c r="E132" s="25"/>
      <c r="F132" s="25"/>
      <c r="G132" s="25"/>
      <c r="H132" s="25"/>
      <c r="I132" s="25"/>
    </row>
    <row r="133" spans="4:9">
      <c r="D133" s="25"/>
      <c r="E133" s="25"/>
      <c r="F133" s="25"/>
      <c r="G133" s="25"/>
      <c r="H133" s="25"/>
      <c r="I133" s="25"/>
    </row>
    <row r="134" spans="4:9">
      <c r="D134" s="25"/>
      <c r="E134" s="25"/>
      <c r="F134" s="25"/>
      <c r="G134" s="25"/>
      <c r="H134" s="25"/>
      <c r="I134" s="25"/>
    </row>
    <row r="135" spans="4:9">
      <c r="D135" s="25"/>
      <c r="E135" s="25"/>
      <c r="F135" s="25"/>
      <c r="G135" s="25"/>
      <c r="H135" s="25"/>
      <c r="I135" s="25"/>
    </row>
    <row r="136" spans="4:9">
      <c r="D136" s="25"/>
      <c r="E136" s="25"/>
      <c r="F136" s="25"/>
      <c r="G136" s="25"/>
      <c r="H136" s="25"/>
      <c r="I136" s="25"/>
    </row>
    <row r="137" spans="4:9">
      <c r="D137" s="25"/>
      <c r="E137" s="25"/>
      <c r="F137" s="25"/>
      <c r="G137" s="25"/>
      <c r="H137" s="25"/>
      <c r="I137" s="25"/>
    </row>
    <row r="138" spans="4:9">
      <c r="D138" s="25"/>
      <c r="E138" s="25"/>
      <c r="F138" s="25"/>
      <c r="G138" s="25"/>
      <c r="H138" s="25"/>
      <c r="I138" s="25"/>
    </row>
    <row r="139" spans="4:9">
      <c r="D139" s="25"/>
      <c r="E139" s="25"/>
      <c r="F139" s="25"/>
      <c r="G139" s="25"/>
      <c r="H139" s="25"/>
      <c r="I139" s="25"/>
    </row>
    <row r="140" spans="4:9">
      <c r="D140" s="25"/>
      <c r="E140" s="25"/>
      <c r="F140" s="25"/>
      <c r="G140" s="25"/>
      <c r="H140" s="25"/>
      <c r="I140" s="25"/>
    </row>
    <row r="141" spans="4:9">
      <c r="D141" s="25"/>
      <c r="E141" s="25"/>
      <c r="F141" s="25"/>
      <c r="G141" s="25"/>
      <c r="H141" s="25"/>
      <c r="I141" s="25"/>
    </row>
    <row r="142" spans="4:9">
      <c r="D142" s="25"/>
      <c r="E142" s="25"/>
      <c r="F142" s="25"/>
      <c r="G142" s="25"/>
      <c r="H142" s="25"/>
      <c r="I142" s="25"/>
    </row>
    <row r="143" spans="4:9">
      <c r="D143" s="25"/>
      <c r="E143" s="25"/>
      <c r="F143" s="25"/>
      <c r="G143" s="25"/>
      <c r="H143" s="25"/>
      <c r="I143" s="25"/>
    </row>
    <row r="144" spans="4:9">
      <c r="D144" s="25"/>
      <c r="E144" s="25"/>
      <c r="F144" s="25"/>
      <c r="G144" s="25"/>
      <c r="H144" s="25"/>
      <c r="I144" s="25"/>
    </row>
    <row r="145" spans="4:9">
      <c r="D145" s="25"/>
      <c r="E145" s="25"/>
      <c r="F145" s="25"/>
      <c r="G145" s="25"/>
      <c r="H145" s="25"/>
      <c r="I145" s="25"/>
    </row>
    <row r="146" spans="4:9">
      <c r="D146" s="25"/>
      <c r="E146" s="25"/>
      <c r="F146" s="25"/>
      <c r="G146" s="25"/>
      <c r="H146" s="25"/>
      <c r="I146" s="25"/>
    </row>
    <row r="147" spans="4:9">
      <c r="D147" s="25"/>
      <c r="E147" s="25"/>
      <c r="F147" s="25"/>
      <c r="G147" s="25"/>
      <c r="H147" s="25"/>
      <c r="I147" s="25"/>
    </row>
    <row r="148" spans="4:9">
      <c r="D148" s="25"/>
      <c r="E148" s="25"/>
      <c r="F148" s="25"/>
      <c r="G148" s="25"/>
      <c r="H148" s="25"/>
      <c r="I148" s="25"/>
    </row>
    <row r="149" spans="4:9">
      <c r="D149" s="25"/>
      <c r="E149" s="25"/>
      <c r="F149" s="25"/>
      <c r="G149" s="25"/>
      <c r="H149" s="25"/>
      <c r="I149" s="25"/>
    </row>
    <row r="150" spans="4:9">
      <c r="D150" s="25"/>
      <c r="E150" s="25"/>
      <c r="F150" s="25"/>
      <c r="G150" s="25"/>
      <c r="H150" s="25"/>
      <c r="I150" s="25"/>
    </row>
    <row r="151" spans="4:9">
      <c r="D151" s="25"/>
      <c r="E151" s="25"/>
      <c r="F151" s="25"/>
      <c r="G151" s="25"/>
      <c r="H151" s="25"/>
      <c r="I151" s="25"/>
    </row>
    <row r="152" spans="4:9">
      <c r="D152" s="25"/>
      <c r="E152" s="25"/>
      <c r="F152" s="25"/>
      <c r="G152" s="25"/>
      <c r="H152" s="25"/>
      <c r="I152" s="25"/>
    </row>
    <row r="153" spans="4:9">
      <c r="D153" s="25"/>
      <c r="E153" s="25"/>
      <c r="F153" s="25"/>
      <c r="G153" s="25"/>
      <c r="H153" s="25"/>
      <c r="I153" s="25"/>
    </row>
    <row r="154" spans="4:9">
      <c r="D154" s="25"/>
      <c r="E154" s="25"/>
      <c r="F154" s="25"/>
      <c r="G154" s="25"/>
      <c r="H154" s="25"/>
      <c r="I154" s="25"/>
    </row>
    <row r="155" spans="4:9">
      <c r="D155" s="25"/>
      <c r="E155" s="25"/>
      <c r="F155" s="25"/>
      <c r="G155" s="25"/>
      <c r="H155" s="25"/>
      <c r="I155" s="25"/>
    </row>
    <row r="156" spans="4:9">
      <c r="D156" s="25"/>
      <c r="E156" s="25"/>
      <c r="F156" s="25"/>
      <c r="G156" s="25"/>
      <c r="H156" s="25"/>
      <c r="I156" s="25"/>
    </row>
    <row r="157" spans="4:9">
      <c r="D157" s="25"/>
      <c r="E157" s="25"/>
      <c r="F157" s="25"/>
      <c r="G157" s="25"/>
      <c r="H157" s="25"/>
      <c r="I157" s="25"/>
    </row>
    <row r="158" spans="4:9"/>
    <row r="159" spans="4:9"/>
    <row r="160" spans="4:9"/>
    <row r="161"/>
    <row r="162"/>
    <row r="163"/>
    <row r="164"/>
    <row r="165"/>
    <row r="166"/>
    <row r="167"/>
    <row r="168"/>
    <row r="169"/>
    <row r="170"/>
    <row r="171"/>
  </sheetData>
  <mergeCells count="2">
    <mergeCell ref="J3:L3"/>
    <mergeCell ref="N3:S3"/>
  </mergeCells>
  <conditionalFormatting sqref="S1">
    <cfRule type="cellIs" dxfId="56" priority="67" operator="equal">
      <formula>"Check"</formula>
    </cfRule>
    <cfRule type="cellIs" dxfId="55" priority="68" operator="equal">
      <formula>"Ok"</formula>
    </cfRule>
  </conditionalFormatting>
  <conditionalFormatting sqref="V1">
    <cfRule type="cellIs" dxfId="54" priority="69" operator="equal">
      <formula>"Check"</formula>
    </cfRule>
    <cfRule type="cellIs" dxfId="53" priority="70" operator="equal">
      <formula>"Ok"</formula>
    </cfRule>
  </conditionalFormatting>
  <conditionalFormatting sqref="J12:S13 R17:S17 R19:S20 R22:S23 R25:S26 R28:S28">
    <cfRule type="cellIs" dxfId="52" priority="66" operator="equal">
      <formula>0</formula>
    </cfRule>
  </conditionalFormatting>
  <conditionalFormatting sqref="J13:S13">
    <cfRule type="cellIs" dxfId="51" priority="65" operator="equal">
      <formula>0</formula>
    </cfRule>
  </conditionalFormatting>
  <conditionalFormatting sqref="J41:S45">
    <cfRule type="cellIs" dxfId="50" priority="60" operator="equal">
      <formula>0</formula>
    </cfRule>
  </conditionalFormatting>
  <conditionalFormatting sqref="J47:S47">
    <cfRule type="cellIs" dxfId="49" priority="59" operator="equal">
      <formula>0</formula>
    </cfRule>
  </conditionalFormatting>
  <conditionalFormatting sqref="J53:S61">
    <cfRule type="cellIs" dxfId="48" priority="58" operator="equal">
      <formula>0</formula>
    </cfRule>
  </conditionalFormatting>
  <conditionalFormatting sqref="J15:S16 J31:S34">
    <cfRule type="cellIs" dxfId="47" priority="56" operator="equal">
      <formula>0</formula>
    </cfRule>
  </conditionalFormatting>
  <conditionalFormatting sqref="J15:S16 J31:S34">
    <cfRule type="cellIs" dxfId="46" priority="55" operator="equal">
      <formula>0</formula>
    </cfRule>
  </conditionalFormatting>
  <conditionalFormatting sqref="J69:S70">
    <cfRule type="cellIs" dxfId="45" priority="54" operator="equal">
      <formula>0</formula>
    </cfRule>
  </conditionalFormatting>
  <conditionalFormatting sqref="J69:S70">
    <cfRule type="cellIs" dxfId="44" priority="53" operator="equal">
      <formula>0</formula>
    </cfRule>
  </conditionalFormatting>
  <conditionalFormatting sqref="J63:S63">
    <cfRule type="cellIs" dxfId="43" priority="39" operator="equal">
      <formula>0</formula>
    </cfRule>
  </conditionalFormatting>
  <conditionalFormatting sqref="J26:Q26">
    <cfRule type="cellIs" dxfId="42" priority="16" operator="equal">
      <formula>0</formula>
    </cfRule>
  </conditionalFormatting>
  <conditionalFormatting sqref="J19:Q19 J22:Q22 J25:Q25">
    <cfRule type="cellIs" dxfId="41" priority="34" operator="equal">
      <formula>0</formula>
    </cfRule>
  </conditionalFormatting>
  <conditionalFormatting sqref="J19:Q19 J22:Q22 J25:Q25">
    <cfRule type="cellIs" dxfId="40" priority="33" operator="equal">
      <formula>0</formula>
    </cfRule>
  </conditionalFormatting>
  <conditionalFormatting sqref="J17:Q17">
    <cfRule type="cellIs" dxfId="39" priority="29" operator="equal">
      <formula>0</formula>
    </cfRule>
  </conditionalFormatting>
  <conditionalFormatting sqref="J17:Q17">
    <cfRule type="cellIs" dxfId="38" priority="28" operator="equal">
      <formula>0</formula>
    </cfRule>
  </conditionalFormatting>
  <conditionalFormatting sqref="J28:Q28">
    <cfRule type="cellIs" dxfId="37" priority="19" operator="equal">
      <formula>0</formula>
    </cfRule>
  </conditionalFormatting>
  <conditionalFormatting sqref="J28:Q28">
    <cfRule type="cellIs" dxfId="36" priority="18" operator="equal">
      <formula>0</formula>
    </cfRule>
  </conditionalFormatting>
  <conditionalFormatting sqref="J20:Q20">
    <cfRule type="cellIs" dxfId="35" priority="25" operator="equal">
      <formula>0</formula>
    </cfRule>
  </conditionalFormatting>
  <conditionalFormatting sqref="J20:Q20">
    <cfRule type="cellIs" dxfId="34" priority="24" operator="equal">
      <formula>0</formula>
    </cfRule>
  </conditionalFormatting>
  <conditionalFormatting sqref="J26:Q26">
    <cfRule type="cellIs" dxfId="33" priority="17" operator="equal">
      <formula>0</formula>
    </cfRule>
  </conditionalFormatting>
  <conditionalFormatting sqref="J23:Q23">
    <cfRule type="cellIs" dxfId="32" priority="21" operator="equal">
      <formula>0</formula>
    </cfRule>
  </conditionalFormatting>
  <conditionalFormatting sqref="J23:Q23">
    <cfRule type="cellIs" dxfId="31" priority="20" operator="equal">
      <formula>0</formula>
    </cfRule>
  </conditionalFormatting>
  <conditionalFormatting sqref="J29:S29">
    <cfRule type="cellIs" dxfId="30" priority="11" operator="equal">
      <formula>0</formula>
    </cfRule>
  </conditionalFormatting>
  <conditionalFormatting sqref="J29:S29">
    <cfRule type="cellIs" dxfId="29" priority="12" operator="equal">
      <formula>0</formula>
    </cfRule>
  </conditionalFormatting>
  <conditionalFormatting sqref="J18:S18">
    <cfRule type="cellIs" dxfId="28" priority="10" operator="equal">
      <formula>0</formula>
    </cfRule>
  </conditionalFormatting>
  <conditionalFormatting sqref="J18:S18">
    <cfRule type="cellIs" dxfId="27" priority="9" operator="equal">
      <formula>0</formula>
    </cfRule>
  </conditionalFormatting>
  <conditionalFormatting sqref="J21:S21">
    <cfRule type="cellIs" dxfId="26" priority="8" operator="equal">
      <formula>0</formula>
    </cfRule>
  </conditionalFormatting>
  <conditionalFormatting sqref="J21:S21">
    <cfRule type="cellIs" dxfId="25" priority="7" operator="equal">
      <formula>0</formula>
    </cfRule>
  </conditionalFormatting>
  <conditionalFormatting sqref="J24:S24">
    <cfRule type="cellIs" dxfId="24" priority="6" operator="equal">
      <formula>0</formula>
    </cfRule>
  </conditionalFormatting>
  <conditionalFormatting sqref="J24:S24">
    <cfRule type="cellIs" dxfId="23" priority="5" operator="equal">
      <formula>0</formula>
    </cfRule>
  </conditionalFormatting>
  <conditionalFormatting sqref="J27:S27">
    <cfRule type="cellIs" dxfId="22" priority="4" operator="equal">
      <formula>0</formula>
    </cfRule>
  </conditionalFormatting>
  <conditionalFormatting sqref="J27:S27">
    <cfRule type="cellIs" dxfId="21" priority="3" operator="equal">
      <formula>0</formula>
    </cfRule>
  </conditionalFormatting>
  <conditionalFormatting sqref="J30:S30">
    <cfRule type="cellIs" dxfId="20" priority="2" operator="equal">
      <formula>0</formula>
    </cfRule>
  </conditionalFormatting>
  <conditionalFormatting sqref="J30:S30">
    <cfRule type="cellIs" dxfId="19" priority="1" operator="equal">
      <formula>0</formula>
    </cfRule>
  </conditionalFormatting>
  <dataValidations count="5">
    <dataValidation type="list" allowBlank="1" showInputMessage="1" showErrorMessage="1" sqref="F14">
      <formula1>$C$48:$C$48</formula1>
    </dataValidation>
    <dataValidation type="list" allowBlank="1" showInputMessage="1" showErrorMessage="1" sqref="F64 F71">
      <formula1>"Real 2010,Real 2011,Real 2012,Real 2013,Real 2014,Real 2015,Nominal"</formula1>
    </dataValidation>
    <dataValidation type="list" allowBlank="1" showInputMessage="1" showErrorMessage="1" sqref="F31 F33 F62">
      <formula1>$G$40:$G$46</formula1>
    </dataValidation>
    <dataValidation type="list" allowBlank="1" showInputMessage="1" showErrorMessage="1" sqref="F16">
      <formula1>$G$36:$G$43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'Lookup|Tables'!$G$25:$G$32</xm:f>
          </x14:formula1>
          <xm:sqref>F12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F13 F15 F69:F70 F18 F21 F24 F27 F30 F32 F53:F61 F34 F63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workbookViewId="0"/>
  </sheetViews>
  <sheetFormatPr defaultColWidth="0" defaultRowHeight="11.25" zeroHeight="1"/>
  <cols>
    <col min="1" max="2" width="1.5" style="209" customWidth="1"/>
    <col min="3" max="3" width="42" style="209" customWidth="1"/>
    <col min="4" max="4" width="27.6640625" style="210" customWidth="1"/>
    <col min="5" max="5" width="15.83203125" style="210" customWidth="1"/>
    <col min="6" max="6" width="10.6640625" style="210" customWidth="1"/>
    <col min="7" max="9" width="3.33203125" style="210" customWidth="1"/>
    <col min="10" max="23" width="10.83203125" style="209" customWidth="1"/>
    <col min="24" max="47" width="9.33203125" style="209" customWidth="1"/>
    <col min="48" max="16384" width="10.5" style="209" hidden="1"/>
  </cols>
  <sheetData>
    <row r="1" spans="1:23" s="173" customFormat="1" ht="15.75">
      <c r="B1" s="174" t="str">
        <f>Index!$B$1</f>
        <v>AER opex model</v>
      </c>
      <c r="C1" s="174"/>
      <c r="D1" s="174"/>
      <c r="E1" s="174"/>
      <c r="F1" s="175"/>
      <c r="G1" s="175"/>
      <c r="H1" s="175"/>
      <c r="I1" s="175"/>
      <c r="J1" s="176" t="s">
        <v>2</v>
      </c>
      <c r="L1" s="177" t="s">
        <v>3</v>
      </c>
      <c r="M1" s="178" t="s">
        <v>4</v>
      </c>
      <c r="N1" s="179" t="s">
        <v>5</v>
      </c>
      <c r="O1" s="180" t="s">
        <v>6</v>
      </c>
      <c r="R1" s="177" t="s">
        <v>86</v>
      </c>
      <c r="S1" s="181" t="str">
        <f>IF(COUNTA($W$4:$W$471)=COUNTIF($W$4:$W$461,"OK"),"OK","Check")</f>
        <v>OK</v>
      </c>
      <c r="U1" s="182" t="s">
        <v>24</v>
      </c>
      <c r="V1" s="181" t="str">
        <f>'Check|List'!$S$1</f>
        <v>Ok</v>
      </c>
    </row>
    <row r="2" spans="1:23" s="183" customFormat="1" ht="13.5" thickBot="1">
      <c r="B2" s="184" t="str">
        <f>Index!$C$13</f>
        <v>Output | Models</v>
      </c>
      <c r="C2" s="184"/>
      <c r="D2" s="184"/>
      <c r="E2" s="184"/>
      <c r="F2" s="185"/>
      <c r="G2" s="185"/>
      <c r="H2" s="185"/>
      <c r="I2" s="185"/>
    </row>
    <row r="3" spans="1:23" s="186" customFormat="1">
      <c r="C3" s="187"/>
      <c r="D3" s="188"/>
      <c r="E3" s="188"/>
      <c r="F3" s="188"/>
      <c r="G3" s="188"/>
      <c r="H3" s="188"/>
      <c r="I3" s="188"/>
      <c r="J3" s="229"/>
      <c r="K3" s="229"/>
      <c r="L3" s="229"/>
      <c r="M3" s="188"/>
      <c r="N3" s="229"/>
      <c r="O3" s="229"/>
      <c r="P3" s="229"/>
      <c r="Q3" s="229"/>
      <c r="R3" s="229"/>
      <c r="S3" s="229"/>
      <c r="T3" s="189"/>
      <c r="U3" s="189"/>
      <c r="V3" s="189"/>
      <c r="W3" s="189"/>
    </row>
    <row r="4" spans="1:23" s="197" customFormat="1" ht="10.5">
      <c r="A4" s="190"/>
      <c r="B4" s="190"/>
      <c r="C4" s="190"/>
      <c r="D4" s="191" t="s">
        <v>7</v>
      </c>
      <c r="E4" s="191" t="s">
        <v>8</v>
      </c>
      <c r="F4" s="192" t="s">
        <v>22</v>
      </c>
      <c r="G4" s="193"/>
      <c r="H4" s="193"/>
      <c r="I4" s="193"/>
      <c r="J4" s="194">
        <f>'Input|General'!$G$8</f>
        <v>2015</v>
      </c>
      <c r="K4" s="194">
        <f ca="1">IF(OFFSET('Lookup|Tables'!$G$28:$G$43,MATCH('Input|General'!$G$8,'Lookup|Tables'!$G$28:$G$42,0)+1,0,1,1)&lt;='Input|General'!$G$12,OFFSET('Lookup|Tables'!$G$28:$G$43,MATCH('Input|General'!$G$8,'Lookup|Tables'!$G$28:$G$42,0),0,1,1),"")</f>
        <v>2016</v>
      </c>
      <c r="L4" s="194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194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194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194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194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194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194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194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195"/>
      <c r="U4" s="195"/>
      <c r="V4" s="196"/>
      <c r="W4" s="196"/>
    </row>
    <row r="5" spans="1:23" s="198" customFormat="1" ht="3" customHeight="1">
      <c r="D5" s="199"/>
      <c r="E5" s="199"/>
      <c r="F5" s="199"/>
      <c r="G5" s="199"/>
      <c r="H5" s="199"/>
      <c r="I5" s="199"/>
    </row>
    <row r="6" spans="1:23" s="198" customFormat="1" ht="9" customHeight="1">
      <c r="D6" s="199"/>
      <c r="E6" s="199"/>
      <c r="F6" s="199"/>
      <c r="G6" s="199"/>
      <c r="H6" s="199"/>
      <c r="I6" s="199"/>
    </row>
    <row r="7" spans="1:23" s="198" customFormat="1" ht="3" customHeight="1">
      <c r="D7" s="199"/>
      <c r="E7" s="199"/>
      <c r="F7" s="199"/>
      <c r="G7" s="199"/>
      <c r="H7" s="199"/>
      <c r="I7" s="199"/>
    </row>
    <row r="8" spans="1:23" s="208" customFormat="1" ht="12.75">
      <c r="A8" s="200"/>
      <c r="B8" s="201" t="s">
        <v>58</v>
      </c>
      <c r="C8" s="200"/>
      <c r="D8" s="200"/>
      <c r="E8" s="202" t="s">
        <v>15</v>
      </c>
      <c r="F8" s="203">
        <v>2019</v>
      </c>
      <c r="G8" s="204"/>
      <c r="H8" s="204"/>
      <c r="I8" s="204"/>
      <c r="J8" s="205" t="s">
        <v>59</v>
      </c>
      <c r="K8" s="206"/>
      <c r="L8" s="207"/>
      <c r="M8" s="206"/>
      <c r="N8" s="207"/>
      <c r="O8" s="207"/>
      <c r="P8" s="207"/>
      <c r="Q8" s="207"/>
      <c r="R8" s="207"/>
      <c r="S8" s="207"/>
      <c r="T8" s="207"/>
      <c r="U8" s="207"/>
      <c r="V8" s="206"/>
      <c r="W8" s="206"/>
    </row>
    <row r="9" spans="1:23" ht="4.5" customHeight="1"/>
    <row r="10" spans="1:23">
      <c r="M10" s="211"/>
      <c r="N10" s="211"/>
      <c r="O10" s="211"/>
      <c r="P10" s="211"/>
      <c r="Q10" s="211"/>
      <c r="R10" s="211"/>
      <c r="S10" s="211"/>
    </row>
    <row r="11" spans="1:23">
      <c r="C11" s="212" t="s">
        <v>45</v>
      </c>
      <c r="D11" s="213" t="s">
        <v>7</v>
      </c>
      <c r="E11" s="213" t="s">
        <v>8</v>
      </c>
      <c r="F11" s="213" t="s">
        <v>22</v>
      </c>
      <c r="H11" s="213"/>
      <c r="I11" s="213"/>
      <c r="J11" s="214" t="str">
        <f>IF(RIGHT(J$4,2)&gt;=RIGHT('Input|General'!$G$11,2),IF(RIGHT(J$4,2)&lt;=RIGHT('Input|General'!$G$12,2),J$4,""),"")</f>
        <v/>
      </c>
      <c r="K11" s="214" t="str">
        <f ca="1">IF(RIGHT(K$4,2)&gt;=RIGHT('Input|General'!$G$11,2),IF(RIGHT(K$4,2)&lt;=RIGHT('Input|General'!$G$12,2),K$4,""),"")</f>
        <v/>
      </c>
      <c r="L11" s="214" t="str">
        <f ca="1">IF(RIGHT(L$4,2)&gt;=RIGHT('Input|General'!$G$11,2),IF(RIGHT(L$4,2)&lt;=RIGHT('Input|General'!$G$12,2),L$4,""),"")</f>
        <v/>
      </c>
      <c r="M11" s="214" t="str">
        <f ca="1">IF(RIGHT(M$4,2)&gt;=RIGHT('Input|General'!$G$11,2),IF(RIGHT(M$4,2)&lt;=RIGHT('Input|General'!$G$12,2),M$4,""),"")</f>
        <v/>
      </c>
      <c r="N11" s="214" t="str">
        <f ca="1">IF(RIGHT(N$4,2)&gt;=RIGHT('Input|General'!$G$11,2),IF(RIGHT(N$4,2)&lt;=RIGHT('Input|General'!$G$12,2),N$4,""),"")</f>
        <v/>
      </c>
      <c r="O11" s="214">
        <f ca="1">IF(RIGHT(O$4,2)&gt;=RIGHT('Input|General'!$G$11,2),IF(RIGHT(O$4,2)&lt;=RIGHT('Input|General'!$G$12,2),O$4,""),"")</f>
        <v>2020</v>
      </c>
      <c r="P11" s="214">
        <f ca="1">IF(RIGHT(P$4,2)&gt;=RIGHT('Input|General'!$G$11,2),IF(RIGHT(P$4,2)&lt;=RIGHT('Input|General'!$G$12,2),P$4,""),"")</f>
        <v>2021</v>
      </c>
      <c r="Q11" s="214">
        <f ca="1">IF(RIGHT(Q$4,2)&gt;=RIGHT('Input|General'!$G$11,2),IF(RIGHT(Q$4,2)&lt;=RIGHT('Input|General'!$G$12,2),Q$4,""),"")</f>
        <v>2022</v>
      </c>
      <c r="R11" s="214">
        <f ca="1">IF(RIGHT(R$4,2)&gt;=RIGHT('Input|General'!$G$11,2),IF(RIGHT(R$4,2)&lt;=RIGHT('Input|General'!$G$12,2),R$4,""),"")</f>
        <v>2023</v>
      </c>
      <c r="S11" s="214">
        <f ca="1">IF(RIGHT(S$4,2)&gt;=RIGHT('Input|General'!$G$11,2),IF(RIGHT(S$4,2)&lt;=RIGHT('Input|General'!$G$12,2),S$4,""),"")</f>
        <v>2024</v>
      </c>
      <c r="U11" s="215" t="s">
        <v>56</v>
      </c>
      <c r="V11" s="216"/>
      <c r="W11" s="216"/>
    </row>
    <row r="12" spans="1:23">
      <c r="C12" s="217" t="s">
        <v>57</v>
      </c>
      <c r="D12" s="218" t="s">
        <v>111</v>
      </c>
      <c r="E12" s="210" t="str">
        <f>$E$8</f>
        <v>$millions</v>
      </c>
      <c r="F12" s="219">
        <f>$F$8</f>
        <v>2019</v>
      </c>
      <c r="H12" s="213"/>
      <c r="I12" s="213"/>
      <c r="J12" s="220">
        <f>IF(J11="",0,'Calc|Opex forecast'!J69*IF('Calc|Opex forecast'!$F$69="nominal",LOOKUP($F12,Nominal_to_Real,'Input|Rate of change'!P$25:P$30),INDEX('Input|Rate of change'!$C$14:$O$21,MATCH('Calc|Opex forecast'!$F$69,'Input|Rate of change'!$C$14:$C$21,0),MATCH('Output|Models'!$F12,'Input|Rate of change'!$C$14:$O$14,0)))*IF('Calc|Opex forecast'!$E$69="$millions",1000000,IF('Output|Models'!B47="$000",1000,1))/IF($E12="$millions",1000000,IF($E12="$000",1000,1)))</f>
        <v>0</v>
      </c>
      <c r="K12" s="220">
        <f ca="1">IF(K11="",0,'Calc|Opex forecast'!K69*IF('Calc|Opex forecast'!$F$69="nominal",LOOKUP($F12,Nominal_to_Real,'Input|Rate of change'!Q$25:Q$30),INDEX('Input|Rate of change'!$C$14:$O$21,MATCH('Calc|Opex forecast'!$F$69,'Input|Rate of change'!$C$14:$C$21,0),MATCH('Output|Models'!$F12,'Input|Rate of change'!$C$14:$O$14,0)))*IF('Calc|Opex forecast'!$E$69="$millions",1000000,IF('Output|Models'!C47="$000",1000,1))/IF($E12="$millions",1000000,IF($E12="$000",1000,1)))</f>
        <v>0</v>
      </c>
      <c r="L12" s="220">
        <f ca="1">IF(L11="",0,'Calc|Opex forecast'!L69*IF('Calc|Opex forecast'!$F$69="nominal",LOOKUP($F12,Nominal_to_Real,'Input|Rate of change'!R$25:R$30),INDEX('Input|Rate of change'!$C$14:$O$21,MATCH('Calc|Opex forecast'!$F$69,'Input|Rate of change'!$C$14:$C$21,0),MATCH('Output|Models'!$F12,'Input|Rate of change'!$C$14:$O$14,0)))*IF('Calc|Opex forecast'!$E$69="$millions",1000000,IF('Output|Models'!D47="$000",1000,1))/IF($E12="$millions",1000000,IF($E12="$000",1000,1)))</f>
        <v>0</v>
      </c>
      <c r="M12" s="220">
        <f ca="1">IF(M11="",0,'Calc|Opex forecast'!M69*IF('Calc|Opex forecast'!$F$69="nominal",LOOKUP($F12,Nominal_to_Real,'Input|Rate of change'!S$25:S$30),INDEX('Input|Rate of change'!$C$14:$O$21,MATCH('Calc|Opex forecast'!$F$69,'Input|Rate of change'!$C$14:$C$21,0),MATCH('Output|Models'!$F12,'Input|Rate of change'!$C$14:$O$14,0)))*IF('Calc|Opex forecast'!$E$69="$millions",1000000,IF('Output|Models'!E47="$000",1000,1))/IF($E12="$millions",1000000,IF($E12="$000",1000,1)))</f>
        <v>0</v>
      </c>
      <c r="N12" s="220">
        <f ca="1">IF(N11="",0,'Calc|Opex forecast'!N69*IF('Calc|Opex forecast'!$F$69="nominal",LOOKUP($F12,Nominal_to_Real,'Input|Rate of change'!T$25:T$30),INDEX('Input|Rate of change'!$C$14:$O$21,MATCH('Calc|Opex forecast'!$F$69,'Input|Rate of change'!$C$14:$C$21,0),MATCH('Output|Models'!$F12,'Input|Rate of change'!$C$14:$O$14,0)))*IF('Calc|Opex forecast'!$E$69="$millions",1000000,IF('Output|Models'!F47="$000",1000,1))/IF($E12="$millions",1000000,IF($E12="$000",1000,1)))</f>
        <v>0</v>
      </c>
      <c r="O12" s="220">
        <f ca="1">IF(O11="",0,'Calc|Opex forecast'!O69*IF('Calc|Opex forecast'!$F$69="nominal",LOOKUP($F12,Nominal_to_Real,'Input|Rate of change'!U$25:U$30),INDEX('Input|Rate of change'!$C$14:$O$21,MATCH('Calc|Opex forecast'!$F$69,'Input|Rate of change'!$C$14:$C$21,0),MATCH('Output|Models'!$F12,'Input|Rate of change'!$C$14:$O$14,0)))*IF('Calc|Opex forecast'!$E$69="$millions",1000000,IF('Output|Models'!G47="$000",1000,1))/IF($E12="$millions",1000000,IF($E12="$000",1000,1)))</f>
        <v>4.6333052418619607</v>
      </c>
      <c r="P12" s="220">
        <f ca="1">IF(P11="",0,'Calc|Opex forecast'!P69*IF('Calc|Opex forecast'!$F$69="nominal",LOOKUP($F12,Nominal_to_Real,'Input|Rate of change'!V$25:V$30),INDEX('Input|Rate of change'!$C$14:$O$21,MATCH('Calc|Opex forecast'!$F$69,'Input|Rate of change'!$C$14:$C$21,0),MATCH('Output|Models'!$F12,'Input|Rate of change'!$C$14:$O$14,0)))*IF('Calc|Opex forecast'!$E$69="$millions",1000000,IF('Output|Models'!H47="$000",1000,1))/IF($E12="$millions",1000000,IF($E12="$000",1000,1)))</f>
        <v>4.5302625288274996</v>
      </c>
      <c r="Q12" s="220">
        <f ca="1">IF(Q11="",0,'Calc|Opex forecast'!Q69*IF('Calc|Opex forecast'!$F$69="nominal",LOOKUP($F12,Nominal_to_Real,'Input|Rate of change'!W$25:W$30),INDEX('Input|Rate of change'!$C$14:$O$21,MATCH('Calc|Opex forecast'!$F$69,'Input|Rate of change'!$C$14:$C$21,0),MATCH('Output|Models'!$F12,'Input|Rate of change'!$C$14:$O$14,0)))*IF('Calc|Opex forecast'!$E$69="$millions",1000000,IF('Output|Models'!I47="$000",1000,1))/IF($E12="$millions",1000000,IF($E12="$000",1000,1)))</f>
        <v>4.4385740842444612</v>
      </c>
      <c r="R12" s="220">
        <f ca="1">IF(R11="",0,'Calc|Opex forecast'!R69*IF('Calc|Opex forecast'!$F$69="nominal",LOOKUP($F12,Nominal_to_Real,'Input|Rate of change'!#REF!),INDEX('Input|Rate of change'!$C$14:$O$21,MATCH('Calc|Opex forecast'!$F$69,'Input|Rate of change'!$C$14:$C$21,0),MATCH('Output|Models'!$F12,'Input|Rate of change'!$C$14:$O$14,0)))*IF('Calc|Opex forecast'!$E$69="$millions",1000000,IF('Output|Models'!J47="$000",1000,1))/IF($E12="$millions",1000000,IF($E12="$000",1000,1)))</f>
        <v>4.3405677425723841</v>
      </c>
      <c r="S12" s="220">
        <f ca="1">IF(S11="",0,'Calc|Opex forecast'!S69*IF('Calc|Opex forecast'!$F$69="nominal",LOOKUP($F12,Nominal_to_Real,'Input|Rate of change'!#REF!),INDEX('Input|Rate of change'!$C$14:$O$21,MATCH('Calc|Opex forecast'!$F$69,'Input|Rate of change'!$C$14:$C$21,0),MATCH('Output|Models'!$F12,'Input|Rate of change'!$C$14:$O$14,0)))*IF('Calc|Opex forecast'!$E$69="$millions",1000000,IF('Output|Models'!K47="$000",1000,1))/IF($E12="$millions",1000000,IF($E12="$000",1000,1)))</f>
        <v>4.2499699903765329</v>
      </c>
      <c r="T12" s="217"/>
      <c r="U12" s="221"/>
    </row>
    <row r="13" spans="1:23">
      <c r="C13" s="217"/>
      <c r="D13" s="218"/>
      <c r="H13" s="213"/>
      <c r="I13" s="213"/>
      <c r="N13" s="222"/>
      <c r="S13" s="223">
        <f ca="1">SUM(O12:S12)</f>
        <v>22.192679587882843</v>
      </c>
    </row>
    <row r="14" spans="1:23">
      <c r="D14" s="218"/>
      <c r="H14" s="213"/>
      <c r="I14" s="213"/>
      <c r="N14" s="222"/>
      <c r="O14" s="222"/>
      <c r="P14" s="222"/>
      <c r="Q14" s="222"/>
      <c r="R14" s="222"/>
      <c r="S14" s="222"/>
    </row>
    <row r="15" spans="1:23" s="208" customFormat="1" ht="12.75">
      <c r="A15" s="200"/>
      <c r="B15" s="201" t="s">
        <v>21</v>
      </c>
      <c r="C15" s="200"/>
      <c r="D15" s="200"/>
      <c r="E15" s="200"/>
      <c r="F15" s="204"/>
      <c r="G15" s="204"/>
      <c r="H15" s="204"/>
      <c r="I15" s="204"/>
      <c r="J15" s="207"/>
      <c r="K15" s="206"/>
      <c r="L15" s="207"/>
      <c r="M15" s="206"/>
      <c r="N15" s="207"/>
      <c r="O15" s="207"/>
      <c r="P15" s="207"/>
      <c r="Q15" s="207"/>
      <c r="R15" s="207"/>
      <c r="S15" s="207"/>
      <c r="T15" s="207"/>
      <c r="U15" s="207"/>
      <c r="V15" s="206"/>
      <c r="W15" s="206"/>
    </row>
    <row r="16" spans="1:23">
      <c r="D16" s="209"/>
      <c r="E16" s="209"/>
      <c r="F16" s="209"/>
      <c r="G16" s="209"/>
      <c r="H16" s="209"/>
      <c r="I16" s="209"/>
    </row>
    <row r="17" spans="4:9">
      <c r="D17" s="209"/>
      <c r="E17" s="209"/>
      <c r="F17" s="209"/>
      <c r="G17" s="209"/>
      <c r="H17" s="209"/>
      <c r="I17" s="209"/>
    </row>
    <row r="18" spans="4:9">
      <c r="D18" s="209"/>
      <c r="E18" s="209"/>
      <c r="F18" s="209"/>
      <c r="G18" s="209"/>
      <c r="H18" s="209"/>
      <c r="I18" s="209"/>
    </row>
    <row r="19" spans="4:9">
      <c r="D19" s="209"/>
      <c r="E19" s="209"/>
      <c r="F19" s="209"/>
      <c r="G19" s="209"/>
      <c r="H19" s="209"/>
      <c r="I19" s="209"/>
    </row>
    <row r="20" spans="4:9">
      <c r="D20" s="209"/>
      <c r="E20" s="209"/>
      <c r="F20" s="209"/>
      <c r="G20" s="209"/>
      <c r="H20" s="209"/>
      <c r="I20" s="209"/>
    </row>
    <row r="21" spans="4:9">
      <c r="D21" s="209"/>
      <c r="E21" s="209"/>
      <c r="F21" s="209"/>
      <c r="G21" s="209"/>
      <c r="H21" s="209"/>
      <c r="I21" s="209"/>
    </row>
    <row r="22" spans="4:9">
      <c r="D22" s="209"/>
      <c r="E22" s="209"/>
      <c r="F22" s="209"/>
      <c r="G22" s="209"/>
      <c r="H22" s="209"/>
      <c r="I22" s="209"/>
    </row>
    <row r="23" spans="4:9">
      <c r="D23" s="209"/>
      <c r="E23" s="209"/>
      <c r="F23" s="209"/>
      <c r="G23" s="209"/>
      <c r="H23" s="209"/>
      <c r="I23" s="209"/>
    </row>
    <row r="24" spans="4:9">
      <c r="D24" s="209"/>
      <c r="E24" s="209"/>
      <c r="F24" s="209"/>
      <c r="G24" s="209"/>
      <c r="H24" s="209"/>
      <c r="I24" s="209"/>
    </row>
    <row r="25" spans="4:9">
      <c r="D25" s="209"/>
      <c r="E25" s="209"/>
      <c r="F25" s="209"/>
      <c r="G25" s="209"/>
      <c r="H25" s="209"/>
      <c r="I25" s="209"/>
    </row>
    <row r="26" spans="4:9">
      <c r="D26" s="209"/>
      <c r="E26" s="209"/>
      <c r="F26" s="209"/>
      <c r="G26" s="209"/>
      <c r="H26" s="209"/>
      <c r="I26" s="209"/>
    </row>
    <row r="27" spans="4:9">
      <c r="D27" s="209"/>
      <c r="E27" s="209"/>
      <c r="F27" s="209"/>
      <c r="G27" s="209"/>
      <c r="H27" s="209"/>
      <c r="I27" s="209"/>
    </row>
    <row r="28" spans="4:9">
      <c r="D28" s="209"/>
      <c r="E28" s="209"/>
      <c r="F28" s="209"/>
      <c r="G28" s="209"/>
      <c r="H28" s="209"/>
      <c r="I28" s="209"/>
    </row>
    <row r="29" spans="4:9">
      <c r="D29" s="209"/>
      <c r="E29" s="209"/>
      <c r="F29" s="209"/>
      <c r="G29" s="209"/>
      <c r="H29" s="209"/>
      <c r="I29" s="209"/>
    </row>
    <row r="30" spans="4:9">
      <c r="D30" s="209"/>
      <c r="E30" s="209"/>
      <c r="F30" s="209"/>
      <c r="G30" s="209"/>
      <c r="H30" s="209"/>
      <c r="I30" s="209"/>
    </row>
    <row r="31" spans="4:9">
      <c r="D31" s="209"/>
      <c r="E31" s="209"/>
      <c r="F31" s="209"/>
      <c r="G31" s="209"/>
      <c r="H31" s="209"/>
      <c r="I31" s="209"/>
    </row>
    <row r="32" spans="4:9">
      <c r="D32" s="209"/>
      <c r="E32" s="209"/>
      <c r="F32" s="209"/>
      <c r="G32" s="209"/>
      <c r="H32" s="209"/>
      <c r="I32" s="209"/>
    </row>
  </sheetData>
  <mergeCells count="2">
    <mergeCell ref="J3:L3"/>
    <mergeCell ref="N3:S3"/>
  </mergeCells>
  <conditionalFormatting sqref="S1">
    <cfRule type="cellIs" dxfId="18" priority="4" operator="equal">
      <formula>"Check"</formula>
    </cfRule>
    <cfRule type="cellIs" dxfId="17" priority="5" operator="equal">
      <formula>"Ok"</formula>
    </cfRule>
  </conditionalFormatting>
  <conditionalFormatting sqref="V1">
    <cfRule type="cellIs" dxfId="16" priority="6" operator="equal">
      <formula>"Check"</formula>
    </cfRule>
    <cfRule type="cellIs" dxfId="15" priority="7" operator="equal">
      <formula>"Ok"</formula>
    </cfRule>
  </conditionalFormatting>
  <conditionalFormatting sqref="J12:S12">
    <cfRule type="cellIs" dxfId="14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#REF!</formula1>
    </dataValidation>
  </dataValidations>
  <hyperlinks>
    <hyperlink ref="J1" location="Index!A1" display="Back to Index"/>
    <hyperlink ref="D12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FD51"/>
  <sheetViews>
    <sheetView showGridLines="0" workbookViewId="0"/>
  </sheetViews>
  <sheetFormatPr defaultColWidth="10.5" defaultRowHeight="11.25" zeroHeight="1"/>
  <cols>
    <col min="1" max="2" width="1.5" style="5" customWidth="1"/>
    <col min="3" max="3" width="42" style="5" customWidth="1"/>
    <col min="4" max="4" width="17" style="4" customWidth="1"/>
    <col min="5" max="5" width="15.83203125" style="4" customWidth="1"/>
    <col min="6" max="6" width="10.6640625" style="4" customWidth="1"/>
    <col min="7" max="7" width="15" style="13" customWidth="1"/>
    <col min="8" max="9" width="5.33203125" style="5" customWidth="1"/>
    <col min="10" max="23" width="10.83203125" style="5" customWidth="1"/>
    <col min="24" max="16371" width="10.5" style="5" customWidth="1"/>
    <col min="16372" max="16372" width="10.5" style="5"/>
    <col min="16373" max="16384" width="10.5" style="5" customWidth="1"/>
  </cols>
  <sheetData>
    <row r="1" spans="1:23" s="34" customFormat="1" ht="15.75">
      <c r="B1" s="31" t="str">
        <f>Index!$B$1</f>
        <v>AER opex model</v>
      </c>
      <c r="C1" s="31"/>
      <c r="D1" s="31"/>
      <c r="E1" s="31"/>
      <c r="F1" s="32"/>
      <c r="G1" s="32"/>
      <c r="H1" s="32"/>
      <c r="I1" s="32"/>
      <c r="J1" s="33" t="s">
        <v>2</v>
      </c>
      <c r="L1" s="35" t="s">
        <v>3</v>
      </c>
      <c r="M1" s="48" t="s">
        <v>4</v>
      </c>
      <c r="N1" s="8" t="s">
        <v>5</v>
      </c>
      <c r="O1" s="9" t="s">
        <v>6</v>
      </c>
      <c r="R1" s="35"/>
      <c r="S1" s="36"/>
      <c r="U1" s="157" t="s">
        <v>24</v>
      </c>
      <c r="V1" s="36" t="str">
        <f>'Check|List'!$S$1</f>
        <v>Ok</v>
      </c>
    </row>
    <row r="2" spans="1:23" s="34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23" s="47" customFormat="1" ht="12.75">
      <c r="A3" s="39"/>
      <c r="B3" s="43"/>
      <c r="C3" s="39"/>
      <c r="D3" s="39"/>
      <c r="E3" s="39"/>
      <c r="F3" s="40"/>
      <c r="G3" s="40"/>
      <c r="H3" s="40"/>
      <c r="I3" s="40"/>
      <c r="J3" s="41"/>
      <c r="K3" s="42"/>
      <c r="L3" s="41"/>
      <c r="M3" s="42"/>
      <c r="N3" s="41"/>
      <c r="O3" s="41"/>
      <c r="P3" s="41"/>
      <c r="Q3" s="41"/>
      <c r="R3" s="41"/>
      <c r="S3" s="41"/>
      <c r="T3" s="41"/>
      <c r="U3" s="41"/>
      <c r="V3" s="42"/>
      <c r="W3" s="42"/>
    </row>
    <row r="4" spans="1:23" s="3" customFormat="1" ht="3" customHeight="1">
      <c r="D4" s="17"/>
      <c r="E4" s="17"/>
    </row>
    <row r="5" spans="1:23" s="3" customFormat="1" ht="9" customHeight="1">
      <c r="D5" s="17"/>
      <c r="E5" s="17"/>
    </row>
    <row r="6" spans="1:23" s="3" customFormat="1" ht="3" customHeight="1">
      <c r="D6" s="17"/>
      <c r="E6" s="17"/>
    </row>
    <row r="7" spans="1:23" customFormat="1" ht="12.75">
      <c r="A7" s="39"/>
      <c r="B7" s="43" t="s">
        <v>19</v>
      </c>
      <c r="C7" s="39"/>
      <c r="D7" s="39"/>
      <c r="E7" s="39"/>
      <c r="F7" s="40"/>
      <c r="G7" s="40"/>
      <c r="H7" s="40"/>
      <c r="I7" s="40"/>
      <c r="J7" s="41"/>
      <c r="K7" s="42"/>
      <c r="L7" s="41"/>
      <c r="M7" s="42"/>
      <c r="N7" s="41"/>
      <c r="O7" s="41"/>
      <c r="P7" s="41"/>
      <c r="Q7" s="41"/>
      <c r="R7" s="41"/>
      <c r="S7" s="41"/>
      <c r="T7" s="41"/>
      <c r="U7" s="41"/>
      <c r="V7" s="42"/>
      <c r="W7" s="42"/>
    </row>
    <row r="8" spans="1:23"/>
    <row r="9" spans="1:23">
      <c r="C9" s="10" t="str">
        <f>B7</f>
        <v>Unit Denominations</v>
      </c>
      <c r="D9" s="18" t="s">
        <v>7</v>
      </c>
      <c r="E9" s="18"/>
      <c r="F9" s="11"/>
      <c r="G9" s="11" t="s">
        <v>9</v>
      </c>
      <c r="H9" s="11"/>
    </row>
    <row r="10" spans="1:23">
      <c r="C10" s="12" t="s">
        <v>10</v>
      </c>
      <c r="D10" s="13" t="s">
        <v>123</v>
      </c>
      <c r="E10" s="13"/>
      <c r="F10" s="13"/>
      <c r="G10" s="44" t="s">
        <v>12</v>
      </c>
    </row>
    <row r="11" spans="1:23">
      <c r="C11" s="12" t="s">
        <v>13</v>
      </c>
      <c r="D11" s="162" t="s">
        <v>123</v>
      </c>
      <c r="E11" s="13"/>
      <c r="F11" s="13"/>
      <c r="G11" s="44" t="s">
        <v>20</v>
      </c>
    </row>
    <row r="12" spans="1:23">
      <c r="C12" s="12" t="s">
        <v>14</v>
      </c>
      <c r="D12" s="162" t="s">
        <v>123</v>
      </c>
      <c r="E12" s="13"/>
      <c r="F12" s="13"/>
      <c r="G12" s="44" t="s">
        <v>15</v>
      </c>
      <c r="T12" s="14"/>
    </row>
    <row r="13" spans="1:23">
      <c r="F13" s="5"/>
      <c r="G13" s="5"/>
    </row>
    <row r="14" spans="1:23">
      <c r="C14" s="12" t="s">
        <v>16</v>
      </c>
      <c r="D14" s="162" t="s">
        <v>123</v>
      </c>
      <c r="E14" s="13"/>
      <c r="F14" s="13"/>
      <c r="G14" s="44" t="s">
        <v>31</v>
      </c>
    </row>
    <row r="15" spans="1:23">
      <c r="C15" s="12" t="s">
        <v>8</v>
      </c>
      <c r="D15" s="162" t="s">
        <v>123</v>
      </c>
      <c r="E15" s="13"/>
      <c r="F15" s="13"/>
      <c r="G15" s="44" t="s">
        <v>11</v>
      </c>
    </row>
    <row r="16" spans="1:23">
      <c r="C16" s="12" t="s">
        <v>17</v>
      </c>
      <c r="D16" s="162" t="s">
        <v>123</v>
      </c>
      <c r="E16" s="13"/>
      <c r="F16" s="13"/>
      <c r="G16" s="44" t="s">
        <v>18</v>
      </c>
    </row>
    <row r="17" spans="1:23">
      <c r="C17" s="12" t="s">
        <v>36</v>
      </c>
      <c r="D17" s="162" t="s">
        <v>123</v>
      </c>
      <c r="E17" s="13"/>
      <c r="F17" s="13"/>
      <c r="G17" s="44" t="s">
        <v>37</v>
      </c>
    </row>
    <row r="18" spans="1:23">
      <c r="C18" s="12"/>
      <c r="D18" s="13"/>
      <c r="E18" s="13"/>
      <c r="F18" s="13"/>
      <c r="G18" s="5"/>
    </row>
    <row r="19" spans="1:23">
      <c r="C19" s="12" t="s">
        <v>23</v>
      </c>
      <c r="D19" s="162" t="s">
        <v>123</v>
      </c>
      <c r="E19" s="13"/>
      <c r="F19" s="13"/>
      <c r="G19" s="44" t="s">
        <v>23</v>
      </c>
    </row>
    <row r="20" spans="1:23">
      <c r="C20" s="12" t="s">
        <v>79</v>
      </c>
      <c r="D20" s="162" t="s">
        <v>123</v>
      </c>
      <c r="E20" s="13"/>
      <c r="F20" s="13"/>
      <c r="G20" s="44" t="s">
        <v>79</v>
      </c>
    </row>
    <row r="21" spans="1:23">
      <c r="C21" s="12"/>
      <c r="D21" s="13"/>
      <c r="E21" s="13"/>
      <c r="F21" s="13"/>
      <c r="G21" s="5"/>
    </row>
    <row r="22" spans="1:23" customFormat="1" ht="12.75">
      <c r="A22" s="39"/>
      <c r="B22" s="43" t="s">
        <v>75</v>
      </c>
      <c r="C22" s="39"/>
      <c r="D22" s="39"/>
      <c r="E22" s="39"/>
      <c r="F22" s="40"/>
      <c r="G22" s="40"/>
      <c r="H22" s="40"/>
      <c r="I22" s="40"/>
      <c r="J22" s="41"/>
      <c r="K22" s="42"/>
      <c r="L22" s="41"/>
      <c r="M22" s="42"/>
      <c r="N22" s="41"/>
      <c r="O22" s="41"/>
      <c r="P22" s="41"/>
      <c r="Q22" s="41"/>
      <c r="R22" s="41"/>
      <c r="S22" s="41"/>
      <c r="T22" s="41"/>
      <c r="U22" s="41"/>
      <c r="V22" s="42"/>
      <c r="W22" s="42"/>
    </row>
    <row r="23" spans="1:23"/>
    <row r="24" spans="1:23">
      <c r="C24" s="10" t="str">
        <f>B22</f>
        <v>Years</v>
      </c>
      <c r="D24" s="18" t="s">
        <v>7</v>
      </c>
      <c r="E24" s="18"/>
      <c r="F24" s="11"/>
      <c r="G24" s="11" t="s">
        <v>9</v>
      </c>
      <c r="H24" s="11"/>
    </row>
    <row r="25" spans="1:23">
      <c r="C25" s="12" t="s">
        <v>107</v>
      </c>
      <c r="D25" s="162" t="s">
        <v>123</v>
      </c>
      <c r="E25" s="13"/>
      <c r="F25" s="13"/>
      <c r="G25" s="44" t="s">
        <v>107</v>
      </c>
      <c r="H25" s="11"/>
    </row>
    <row r="26" spans="1:23">
      <c r="C26" s="149">
        <v>2013</v>
      </c>
      <c r="D26" s="162" t="s">
        <v>123</v>
      </c>
      <c r="E26" s="13"/>
      <c r="F26" s="13"/>
      <c r="G26" s="148">
        <v>2013</v>
      </c>
      <c r="H26" s="11"/>
    </row>
    <row r="27" spans="1:23">
      <c r="C27" s="149">
        <v>2014</v>
      </c>
      <c r="D27" s="162" t="s">
        <v>123</v>
      </c>
      <c r="E27" s="13"/>
      <c r="F27" s="13"/>
      <c r="G27" s="148">
        <v>2014</v>
      </c>
      <c r="H27" s="11"/>
    </row>
    <row r="28" spans="1:23">
      <c r="C28" s="149">
        <v>2015</v>
      </c>
      <c r="D28" s="162" t="s">
        <v>123</v>
      </c>
      <c r="E28" s="13"/>
      <c r="F28" s="13"/>
      <c r="G28" s="148">
        <v>2015</v>
      </c>
    </row>
    <row r="29" spans="1:23">
      <c r="C29" s="149">
        <v>2016</v>
      </c>
      <c r="D29" s="162" t="s">
        <v>123</v>
      </c>
      <c r="E29" s="13"/>
      <c r="F29" s="13"/>
      <c r="G29" s="148">
        <v>2016</v>
      </c>
    </row>
    <row r="30" spans="1:23">
      <c r="C30" s="149">
        <v>2017</v>
      </c>
      <c r="D30" s="162" t="s">
        <v>123</v>
      </c>
      <c r="E30" s="13"/>
      <c r="F30" s="13"/>
      <c r="G30" s="148">
        <v>2017</v>
      </c>
      <c r="T30" s="14"/>
    </row>
    <row r="31" spans="1:23">
      <c r="C31" s="149">
        <v>2018</v>
      </c>
      <c r="D31" s="162" t="s">
        <v>123</v>
      </c>
      <c r="E31" s="13"/>
      <c r="F31" s="13"/>
      <c r="G31" s="148">
        <v>2018</v>
      </c>
      <c r="T31" s="14"/>
    </row>
    <row r="32" spans="1:23">
      <c r="C32" s="149">
        <v>2019</v>
      </c>
      <c r="D32" s="162" t="s">
        <v>123</v>
      </c>
      <c r="E32" s="13"/>
      <c r="F32" s="13"/>
      <c r="G32" s="148">
        <v>2019</v>
      </c>
      <c r="T32" s="14"/>
    </row>
    <row r="33" spans="1:23">
      <c r="C33" s="149">
        <v>2020</v>
      </c>
      <c r="D33" s="162" t="s">
        <v>123</v>
      </c>
      <c r="E33" s="13"/>
      <c r="F33" s="13"/>
      <c r="G33" s="148">
        <v>2020</v>
      </c>
      <c r="T33" s="14"/>
    </row>
    <row r="34" spans="1:23">
      <c r="C34" s="149">
        <v>2021</v>
      </c>
      <c r="D34" s="162" t="s">
        <v>123</v>
      </c>
      <c r="E34" s="13"/>
      <c r="F34" s="13"/>
      <c r="G34" s="148">
        <v>2021</v>
      </c>
      <c r="T34" s="14"/>
    </row>
    <row r="35" spans="1:23">
      <c r="C35" s="149">
        <v>2022</v>
      </c>
      <c r="D35" s="162" t="s">
        <v>123</v>
      </c>
      <c r="E35" s="13"/>
      <c r="F35" s="13"/>
      <c r="G35" s="148">
        <v>2022</v>
      </c>
      <c r="T35" s="14"/>
    </row>
    <row r="36" spans="1:23">
      <c r="C36" s="149">
        <v>2023</v>
      </c>
      <c r="D36" s="162" t="s">
        <v>123</v>
      </c>
      <c r="E36" s="13"/>
      <c r="F36" s="13"/>
      <c r="G36" s="148">
        <v>2023</v>
      </c>
      <c r="T36" s="14"/>
    </row>
    <row r="37" spans="1:23">
      <c r="C37" s="149">
        <v>2024</v>
      </c>
      <c r="D37" s="162" t="s">
        <v>123</v>
      </c>
      <c r="E37" s="13"/>
      <c r="F37" s="13"/>
      <c r="G37" s="148">
        <v>2024</v>
      </c>
      <c r="T37" s="14"/>
    </row>
    <row r="38" spans="1:23">
      <c r="C38" s="149">
        <v>2025</v>
      </c>
      <c r="D38" s="162" t="s">
        <v>123</v>
      </c>
      <c r="E38" s="13"/>
      <c r="F38" s="13"/>
      <c r="G38" s="148">
        <v>2025</v>
      </c>
      <c r="T38" s="14"/>
    </row>
    <row r="39" spans="1:23">
      <c r="C39" s="149">
        <v>2026</v>
      </c>
      <c r="D39" s="162" t="s">
        <v>123</v>
      </c>
      <c r="E39" s="13"/>
      <c r="F39" s="13"/>
      <c r="G39" s="148">
        <v>2026</v>
      </c>
      <c r="T39" s="14"/>
    </row>
    <row r="40" spans="1:23">
      <c r="C40" s="149">
        <v>2027</v>
      </c>
      <c r="D40" s="162" t="s">
        <v>123</v>
      </c>
      <c r="E40" s="13"/>
      <c r="F40" s="13"/>
      <c r="G40" s="148">
        <v>2027</v>
      </c>
      <c r="T40" s="14"/>
    </row>
    <row r="41" spans="1:23">
      <c r="C41" s="149">
        <v>2028</v>
      </c>
      <c r="D41" s="162" t="s">
        <v>123</v>
      </c>
      <c r="E41" s="13"/>
      <c r="F41" s="13"/>
      <c r="G41" s="148">
        <v>2028</v>
      </c>
      <c r="T41" s="14"/>
    </row>
    <row r="42" spans="1:23">
      <c r="C42" s="149">
        <v>2029</v>
      </c>
      <c r="D42" s="162" t="s">
        <v>123</v>
      </c>
      <c r="E42" s="13"/>
      <c r="F42" s="13"/>
      <c r="G42" s="148">
        <v>2029</v>
      </c>
      <c r="T42" s="14"/>
    </row>
    <row r="43" spans="1:23"/>
    <row r="44" spans="1:23" customFormat="1" ht="12.75">
      <c r="A44" s="39"/>
      <c r="B44" s="43" t="s">
        <v>21</v>
      </c>
      <c r="C44" s="39"/>
      <c r="D44" s="39"/>
      <c r="E44" s="39"/>
      <c r="F44" s="40"/>
      <c r="G44" s="40"/>
      <c r="H44" s="40"/>
      <c r="I44" s="40"/>
      <c r="J44" s="41"/>
      <c r="K44" s="42"/>
      <c r="L44" s="41"/>
      <c r="M44" s="42"/>
      <c r="N44" s="41"/>
      <c r="O44" s="41"/>
      <c r="P44" s="41"/>
      <c r="Q44" s="41"/>
      <c r="R44" s="41"/>
      <c r="S44" s="41"/>
      <c r="T44" s="41"/>
      <c r="U44" s="41"/>
      <c r="V44" s="42"/>
      <c r="W44" s="42"/>
    </row>
    <row r="45" spans="1:23">
      <c r="D45" s="5"/>
      <c r="E45" s="5"/>
      <c r="F45" s="5"/>
      <c r="G45" s="5"/>
    </row>
    <row r="46" spans="1:23">
      <c r="D46" s="5"/>
      <c r="E46" s="5"/>
      <c r="F46" s="5"/>
      <c r="G46" s="5"/>
    </row>
    <row r="47" spans="1:23">
      <c r="D47" s="5"/>
      <c r="E47" s="5"/>
      <c r="F47" s="5"/>
      <c r="G47" s="5"/>
    </row>
    <row r="48" spans="1:23">
      <c r="D48" s="5"/>
      <c r="E48" s="5"/>
      <c r="F48" s="5"/>
      <c r="G48" s="5"/>
    </row>
    <row r="49" spans="4:7">
      <c r="D49" s="5"/>
      <c r="E49" s="5"/>
      <c r="F49" s="5"/>
      <c r="G49" s="5"/>
    </row>
    <row r="50" spans="4:7">
      <c r="D50" s="5"/>
      <c r="E50" s="5"/>
      <c r="F50" s="5"/>
      <c r="G50" s="5"/>
    </row>
    <row r="51" spans="4:7">
      <c r="D51" s="5"/>
      <c r="E51" s="5"/>
      <c r="F51" s="5"/>
      <c r="G51" s="5"/>
    </row>
  </sheetData>
  <conditionalFormatting sqref="P14:Q21">
    <cfRule type="expression" dxfId="13" priority="54" stopIfTrue="1">
      <formula>#REF!="Actual"</formula>
    </cfRule>
  </conditionalFormatting>
  <conditionalFormatting sqref="P14:P21">
    <cfRule type="expression" dxfId="12" priority="53" stopIfTrue="1">
      <formula>#REF!="Actual"</formula>
    </cfRule>
  </conditionalFormatting>
  <conditionalFormatting sqref="P43">
    <cfRule type="expression" dxfId="11" priority="51" stopIfTrue="1">
      <formula>#REF!="Actual"</formula>
    </cfRule>
  </conditionalFormatting>
  <conditionalFormatting sqref="Q43">
    <cfRule type="expression" dxfId="10" priority="48" stopIfTrue="1">
      <formula>#REF!="Actual"</formula>
    </cfRule>
  </conditionalFormatting>
  <conditionalFormatting sqref="V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S1">
    <cfRule type="cellIs" dxfId="7" priority="1" operator="equal">
      <formula>"Check"</formula>
    </cfRule>
    <cfRule type="cellIs" dxfId="6" priority="2" operator="equal">
      <formula>"Ok"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W23"/>
  <sheetViews>
    <sheetView showGridLines="0" workbookViewId="0"/>
  </sheetViews>
  <sheetFormatPr defaultColWidth="0" defaultRowHeight="11.25" zeroHeight="1"/>
  <cols>
    <col min="1" max="2" width="1.5" style="5" customWidth="1"/>
    <col min="3" max="3" width="42" style="5" customWidth="1"/>
    <col min="4" max="4" width="20.33203125" style="4" bestFit="1" customWidth="1"/>
    <col min="5" max="5" width="15.83203125" style="4" customWidth="1"/>
    <col min="6" max="6" width="10.6640625" style="4" customWidth="1"/>
    <col min="7" max="7" width="15" style="13" customWidth="1"/>
    <col min="8" max="9" width="5.33203125" style="5" customWidth="1"/>
    <col min="10" max="23" width="10.83203125" style="5" customWidth="1"/>
    <col min="24" max="47" width="10.5" style="5" customWidth="1"/>
    <col min="48" max="16384" width="10.5" style="5" hidden="1"/>
  </cols>
  <sheetData>
    <row r="1" spans="1:20" s="34" customFormat="1" ht="15.75">
      <c r="B1" s="31" t="str">
        <f>Index!$B$1</f>
        <v>AER opex model</v>
      </c>
      <c r="C1" s="31"/>
      <c r="D1" s="31"/>
      <c r="E1" s="31"/>
      <c r="F1" s="32"/>
      <c r="G1" s="32"/>
      <c r="H1" s="32"/>
      <c r="I1" s="32"/>
      <c r="J1" s="33" t="s">
        <v>2</v>
      </c>
      <c r="L1" s="35" t="s">
        <v>3</v>
      </c>
      <c r="M1" s="48" t="s">
        <v>4</v>
      </c>
      <c r="N1" s="8" t="s">
        <v>5</v>
      </c>
      <c r="O1" s="9" t="s">
        <v>6</v>
      </c>
      <c r="R1" s="157" t="s">
        <v>24</v>
      </c>
      <c r="S1" s="36" t="str">
        <f>IF(COUNTIF(G10:G15,"Check")=0,"Ok","Check")</f>
        <v>Ok</v>
      </c>
    </row>
    <row r="2" spans="1:20" s="34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20" s="47" customFormat="1" ht="12.75">
      <c r="A3" s="39"/>
      <c r="B3" s="43"/>
      <c r="C3" s="39"/>
      <c r="D3" s="39"/>
      <c r="E3" s="39"/>
      <c r="F3" s="40"/>
      <c r="G3" s="40"/>
      <c r="H3" s="40"/>
      <c r="I3" s="40"/>
      <c r="J3" s="41"/>
      <c r="K3" s="42"/>
      <c r="L3" s="41"/>
      <c r="M3" s="42"/>
      <c r="N3" s="41"/>
      <c r="O3" s="41"/>
      <c r="P3" s="41"/>
      <c r="Q3" s="41"/>
      <c r="R3" s="41"/>
      <c r="S3" s="41"/>
      <c r="T3" s="41"/>
    </row>
    <row r="4" spans="1:20" s="3" customFormat="1" ht="3" customHeight="1"/>
    <row r="5" spans="1:20" s="3" customFormat="1" ht="9" customHeight="1"/>
    <row r="6" spans="1:20" s="3" customFormat="1" ht="3" customHeight="1"/>
    <row r="7" spans="1:20" customFormat="1" ht="12.75">
      <c r="A7" s="39"/>
      <c r="B7" s="43" t="s">
        <v>26</v>
      </c>
      <c r="C7" s="39"/>
      <c r="D7" s="39"/>
      <c r="E7" s="39"/>
      <c r="F7" s="40"/>
      <c r="G7" s="40"/>
      <c r="H7" s="40"/>
      <c r="I7" s="40"/>
      <c r="J7" s="41"/>
      <c r="K7" s="42"/>
      <c r="L7" s="41"/>
      <c r="M7" s="42"/>
      <c r="N7" s="41"/>
      <c r="O7" s="41"/>
      <c r="P7" s="41"/>
      <c r="Q7" s="41"/>
      <c r="R7" s="41"/>
      <c r="S7" s="41"/>
      <c r="T7" s="41"/>
    </row>
    <row r="8" spans="1:20"/>
    <row r="9" spans="1:20">
      <c r="C9" s="10" t="s">
        <v>27</v>
      </c>
      <c r="D9" s="11" t="s">
        <v>7</v>
      </c>
      <c r="E9" s="11" t="s">
        <v>8</v>
      </c>
      <c r="F9" s="11"/>
      <c r="G9" s="11" t="s">
        <v>29</v>
      </c>
    </row>
    <row r="10" spans="1:20">
      <c r="C10" s="12" t="str">
        <f>Index!C7</f>
        <v>Input | General</v>
      </c>
      <c r="D10" s="30" t="str">
        <f t="shared" ref="D10:D15" si="0">C10</f>
        <v>Input | General</v>
      </c>
      <c r="E10" s="13" t="s">
        <v>28</v>
      </c>
      <c r="F10" s="13"/>
      <c r="G10" s="15" t="str">
        <f>'Input|General'!S1</f>
        <v>OK</v>
      </c>
      <c r="T10" s="14"/>
    </row>
    <row r="11" spans="1:20">
      <c r="C11" s="12" t="str">
        <f>Index!C9</f>
        <v>Input | Reported opex</v>
      </c>
      <c r="D11" s="30" t="str">
        <f t="shared" si="0"/>
        <v>Input | Reported opex</v>
      </c>
      <c r="E11" s="13" t="s">
        <v>28</v>
      </c>
      <c r="G11" s="15" t="str">
        <f>'Input|Reported opex'!S1</f>
        <v>OK</v>
      </c>
      <c r="H11" s="13"/>
      <c r="T11" s="14"/>
    </row>
    <row r="12" spans="1:20">
      <c r="C12" s="12" t="str">
        <f>Index!C10</f>
        <v>Input | Rate of change</v>
      </c>
      <c r="D12" s="30" t="str">
        <f t="shared" si="0"/>
        <v>Input | Rate of change</v>
      </c>
      <c r="E12" s="13" t="s">
        <v>28</v>
      </c>
      <c r="F12" s="13"/>
      <c r="G12" s="15" t="str">
        <f>'Input|Rate of change'!T1</f>
        <v>Ok</v>
      </c>
      <c r="H12" s="13"/>
      <c r="T12" s="14"/>
    </row>
    <row r="13" spans="1:20">
      <c r="C13" s="12" t="str">
        <f>Index!C11</f>
        <v>Input | Step changes</v>
      </c>
      <c r="D13" s="30" t="str">
        <f t="shared" si="0"/>
        <v>Input | Step changes</v>
      </c>
      <c r="E13" s="13" t="s">
        <v>28</v>
      </c>
      <c r="F13" s="13"/>
      <c r="G13" s="15" t="str">
        <f>'Input|Step changes'!S1</f>
        <v>OK</v>
      </c>
      <c r="H13" s="13"/>
      <c r="T13" s="14"/>
    </row>
    <row r="14" spans="1:20">
      <c r="C14" s="12" t="str">
        <f>Index!C12</f>
        <v>Calc | Opex Forecast</v>
      </c>
      <c r="D14" s="30" t="str">
        <f t="shared" si="0"/>
        <v>Calc | Opex Forecast</v>
      </c>
      <c r="E14" s="13" t="s">
        <v>28</v>
      </c>
      <c r="F14" s="13"/>
      <c r="G14" s="15" t="str">
        <f>'Calc|Opex forecast'!S1</f>
        <v>n/a</v>
      </c>
      <c r="H14" s="13"/>
      <c r="T14" s="14"/>
    </row>
    <row r="15" spans="1:20">
      <c r="C15" s="12" t="str">
        <f>Index!C13</f>
        <v>Output | Models</v>
      </c>
      <c r="D15" s="30" t="str">
        <f t="shared" si="0"/>
        <v>Output | Models</v>
      </c>
      <c r="E15" s="13" t="s">
        <v>28</v>
      </c>
      <c r="F15" s="13"/>
      <c r="G15" s="15" t="str">
        <f>'Output|Models'!S1</f>
        <v>OK</v>
      </c>
      <c r="H15" s="13"/>
      <c r="T15" s="14"/>
    </row>
    <row r="16" spans="1:20">
      <c r="C16" s="12"/>
    </row>
    <row r="17" spans="1:20" customFormat="1" ht="12.75">
      <c r="A17" s="39"/>
      <c r="B17" s="43" t="s">
        <v>21</v>
      </c>
      <c r="C17" s="39"/>
      <c r="D17" s="39"/>
      <c r="E17" s="39"/>
      <c r="F17" s="40"/>
      <c r="G17" s="40"/>
      <c r="H17" s="40"/>
      <c r="I17" s="40"/>
      <c r="J17" s="41"/>
      <c r="K17" s="42"/>
      <c r="L17" s="41"/>
      <c r="M17" s="42"/>
      <c r="N17" s="41"/>
      <c r="O17" s="41"/>
      <c r="P17" s="41"/>
      <c r="Q17" s="41"/>
      <c r="R17" s="41"/>
      <c r="S17" s="41"/>
      <c r="T17" s="41"/>
    </row>
    <row r="18" spans="1:20">
      <c r="D18" s="5"/>
      <c r="E18" s="5"/>
      <c r="F18" s="5"/>
      <c r="G18" s="5"/>
    </row>
    <row r="19" spans="1:20">
      <c r="D19" s="5"/>
      <c r="E19" s="5"/>
      <c r="F19" s="5"/>
      <c r="G19" s="5"/>
    </row>
    <row r="20" spans="1:20">
      <c r="D20" s="5"/>
      <c r="E20" s="5"/>
      <c r="F20" s="5"/>
      <c r="G20" s="5"/>
    </row>
    <row r="21" spans="1:20">
      <c r="D21" s="5"/>
      <c r="E21" s="5"/>
      <c r="F21" s="5"/>
      <c r="G21" s="5"/>
    </row>
    <row r="22" spans="1:20">
      <c r="D22" s="5"/>
      <c r="E22" s="5"/>
      <c r="F22" s="5"/>
      <c r="G22" s="5"/>
    </row>
    <row r="23" spans="1:20">
      <c r="D23" s="5"/>
      <c r="E23" s="5"/>
      <c r="F23" s="5"/>
      <c r="G23" s="5"/>
    </row>
  </sheetData>
  <conditionalFormatting sqref="G10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G11:G15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Rate of change'!A1" display="'Input|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2018-09-25T04:20:49Z</dcterms:created>
  <dcterms:modified xsi:type="dcterms:W3CDTF">2018-09-25T04:30:33Z</dcterms:modified>
  <cp:contentStatus/>
</cp:coreProperties>
</file>