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3. Vic GAAR 2023-28\AGN\2. Draft decision\"/>
    </mc:Choice>
  </mc:AlternateContent>
  <xr:revisionPtr revIDLastSave="0" documentId="13_ncr:1_{51900D6C-0AE3-4DFB-A1B9-FDEF27B72AD2}" xr6:coauthVersionLast="47" xr6:coauthVersionMax="47" xr10:uidLastSave="{00000000-0000-0000-0000-000000000000}"/>
  <bookViews>
    <workbookView xWindow="-38520" yWindow="-5535" windowWidth="38640" windowHeight="21240" tabRatio="869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sList">0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xlnm._FilterDatabase" localSheetId="1">'Input|General'!$G$6:$G$16</definedName>
    <definedName name="_xlnm._FilterDatabase" localSheetId="3">'Input|Reported opex'!$C$60:$F$60</definedName>
    <definedName name="_Order1">255</definedName>
    <definedName name="_Order2">255</definedName>
    <definedName name="a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nscount">1</definedName>
    <definedName name="aria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aseYear">'Input|General'!$G$12</definedName>
    <definedName name="dollars">'Lookup|Tables'!$G$10</definedName>
    <definedName name="factor">'Lookup|Tables'!$G$17</definedName>
    <definedName name="fasd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PFirstYear">'Input|General'!$G$15</definedName>
    <definedName name="FPLastYear">'Input|General'!$G$16</definedName>
    <definedName name="FRCP_1to5">"2015-16 to 2019-20"</definedName>
    <definedName name="InterveningPeriod">'Input|General'!$G$14</definedName>
    <definedName name="jns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imcount">2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al_Workbook_GUID">"2G8BUMD4KTWF6AF8GVHYWWJF"</definedName>
    <definedName name="percent">'Lookup|Tables'!$G$14</definedName>
    <definedName name="PPFirstYear">'Input|General'!$G$11</definedName>
    <definedName name="PPLastYear">'Input|General'!$G$13</definedName>
    <definedName name="RCP_1to5">"2015-16 to 2019-20"</definedName>
    <definedName name="Real_to_Nominal">'Lookup|Tables'!$H$65:$H$71</definedName>
    <definedName name="RiskAfterRecalcMacro">""</definedName>
    <definedName name="RiskAfterSimMacro">""</definedName>
    <definedName name="RiskBeforeRecalcMacro">""</definedName>
    <definedName name="RiskBeforeSimMacro">"Set_P0_RevenueCap"</definedName>
    <definedName name="RiskCollectDistributionSamples">2</definedName>
    <definedName name="RiskFixedSeed">1</definedName>
    <definedName name="RiskHasSettings">6</definedName>
    <definedName name="RiskIsInput">FALSE</definedName>
    <definedName name="RiskIsOptimization">FALSE</definedName>
    <definedName name="RiskIsOutput">FALSE</definedName>
    <definedName name="RiskIsStatistics">FALSE</definedName>
    <definedName name="RiskMinimizeOnStart">FALSE</definedName>
    <definedName name="RiskMonitorConvergence">FALSE</definedName>
    <definedName name="RiskMultipleCPUSupportEnabled">TRUE</definedName>
    <definedName name="RiskNumIterations">100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TRUE</definedName>
    <definedName name="RiskSamplingType">3</definedName>
    <definedName name="RiskStandardRecalc">1</definedName>
    <definedName name="RiskSwapState">FALSE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encount">2</definedName>
    <definedName name="thousands">'Lookup|Tables'!$G$11</definedName>
    <definedName name="unit">'Lookup|Tables'!$G$15</definedName>
    <definedName name="wrn.TEST.">{#N/A,#N/A,FALSE,"MGH income-Support";#N/A,#N/A,FALSE,"MGN balance sheet-Support"}</definedName>
    <definedName name="wrn.UEG._.Operating._.Report.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6" l="1"/>
  <c r="Q77" i="2" l="1"/>
  <c r="Q78" i="2"/>
  <c r="R78" i="2"/>
  <c r="Q79" i="2"/>
  <c r="R77" i="2"/>
  <c r="R99" i="2" s="1"/>
  <c r="R79" i="2"/>
  <c r="S77" i="2"/>
  <c r="S78" i="2"/>
  <c r="T79" i="2"/>
  <c r="T77" i="2"/>
  <c r="U78" i="2"/>
  <c r="U79" i="2"/>
  <c r="R40" i="2"/>
  <c r="Q67" i="42"/>
  <c r="S40" i="2"/>
  <c r="R67" i="42"/>
  <c r="S65" i="42"/>
  <c r="T40" i="2"/>
  <c r="T42" i="2" s="1"/>
  <c r="T47" i="2" s="1"/>
  <c r="S67" i="42"/>
  <c r="U40" i="2"/>
  <c r="T67" i="42"/>
  <c r="P67" i="42"/>
  <c r="F74" i="55"/>
  <c r="F72" i="55"/>
  <c r="N20" i="2"/>
  <c r="G72" i="55"/>
  <c r="O12" i="2"/>
  <c r="O20" i="2"/>
  <c r="G74" i="55"/>
  <c r="P12" i="2"/>
  <c r="P20" i="2"/>
  <c r="P92" i="42"/>
  <c r="P22" i="2"/>
  <c r="P93" i="42"/>
  <c r="P94" i="42"/>
  <c r="P96" i="42"/>
  <c r="Q92" i="42"/>
  <c r="Q93" i="42"/>
  <c r="Q94" i="42"/>
  <c r="Q96" i="42"/>
  <c r="R92" i="42"/>
  <c r="R93" i="42"/>
  <c r="R94" i="42"/>
  <c r="R96" i="42"/>
  <c r="S92" i="42"/>
  <c r="S93" i="42"/>
  <c r="S94" i="42"/>
  <c r="S96" i="42"/>
  <c r="T92" i="42"/>
  <c r="T93" i="42"/>
  <c r="T94" i="42"/>
  <c r="T96" i="42"/>
  <c r="P77" i="42"/>
  <c r="Q77" i="42"/>
  <c r="R77" i="42"/>
  <c r="S77" i="42"/>
  <c r="T77" i="42"/>
  <c r="P78" i="42"/>
  <c r="Q78" i="42"/>
  <c r="R78" i="42"/>
  <c r="S78" i="42"/>
  <c r="T78" i="42"/>
  <c r="P76" i="42"/>
  <c r="Q76" i="42"/>
  <c r="R76" i="42"/>
  <c r="S76" i="42"/>
  <c r="T76" i="42"/>
  <c r="J35" i="42"/>
  <c r="J54" i="42" s="1"/>
  <c r="J37" i="42"/>
  <c r="J40" i="42"/>
  <c r="J43" i="42"/>
  <c r="J46" i="42"/>
  <c r="J49" i="42"/>
  <c r="J52" i="42"/>
  <c r="K35" i="42"/>
  <c r="K37" i="42"/>
  <c r="K40" i="42"/>
  <c r="K43" i="42"/>
  <c r="K46" i="42"/>
  <c r="K49" i="42"/>
  <c r="K52" i="42"/>
  <c r="L35" i="42"/>
  <c r="L54" i="42" s="1"/>
  <c r="L37" i="42"/>
  <c r="L40" i="42"/>
  <c r="L43" i="42"/>
  <c r="L46" i="42"/>
  <c r="L49" i="42"/>
  <c r="L52" i="42"/>
  <c r="M35" i="42"/>
  <c r="M54" i="42" s="1"/>
  <c r="M37" i="42"/>
  <c r="M40" i="42"/>
  <c r="M43" i="42"/>
  <c r="M46" i="42"/>
  <c r="M49" i="42"/>
  <c r="M52" i="42"/>
  <c r="N35" i="42"/>
  <c r="N37" i="42"/>
  <c r="N40" i="42"/>
  <c r="N43" i="42"/>
  <c r="N46" i="42"/>
  <c r="N49" i="42"/>
  <c r="N52" i="42"/>
  <c r="J12" i="42"/>
  <c r="J13" i="42" s="1"/>
  <c r="J28" i="42" s="1"/>
  <c r="O22" i="2"/>
  <c r="N22" i="2"/>
  <c r="N12" i="2"/>
  <c r="M22" i="2"/>
  <c r="M12" i="2"/>
  <c r="L22" i="2"/>
  <c r="L12" i="2"/>
  <c r="K22" i="2"/>
  <c r="K12" i="2"/>
  <c r="K32" i="2"/>
  <c r="K12" i="42"/>
  <c r="K13" i="42" s="1"/>
  <c r="K28" i="42" s="1"/>
  <c r="L32" i="2"/>
  <c r="L12" i="42"/>
  <c r="L13" i="42" s="1"/>
  <c r="L28" i="42" s="1"/>
  <c r="M32" i="2"/>
  <c r="M70" i="58"/>
  <c r="M12" i="42"/>
  <c r="M13" i="42" s="1"/>
  <c r="M28" i="42" s="1"/>
  <c r="N32" i="2"/>
  <c r="J33" i="42"/>
  <c r="K33" i="42"/>
  <c r="L33" i="42"/>
  <c r="M33" i="42"/>
  <c r="N33" i="42"/>
  <c r="J14" i="42"/>
  <c r="J16" i="2"/>
  <c r="K16" i="2"/>
  <c r="L16" i="2"/>
  <c r="M16" i="2"/>
  <c r="N16" i="2"/>
  <c r="O16" i="2"/>
  <c r="P16" i="2"/>
  <c r="J15" i="42"/>
  <c r="K14" i="42"/>
  <c r="K15" i="42" s="1"/>
  <c r="L14" i="42"/>
  <c r="L15" i="42" s="1"/>
  <c r="M15" i="58"/>
  <c r="M14" i="42"/>
  <c r="M15" i="42" s="1"/>
  <c r="N14" i="42"/>
  <c r="N15" i="42" s="1"/>
  <c r="O38" i="58"/>
  <c r="O16" i="42" s="1"/>
  <c r="O17" i="42" s="1"/>
  <c r="O18" i="42" s="1"/>
  <c r="O21" i="2"/>
  <c r="P21" i="2"/>
  <c r="O15" i="42"/>
  <c r="P15" i="42"/>
  <c r="Q15" i="42"/>
  <c r="R15" i="42"/>
  <c r="S15" i="42"/>
  <c r="J17" i="42"/>
  <c r="J18" i="42"/>
  <c r="K17" i="42"/>
  <c r="K18" i="42"/>
  <c r="L17" i="42"/>
  <c r="L18" i="42"/>
  <c r="M17" i="42"/>
  <c r="M18" i="42"/>
  <c r="N17" i="42"/>
  <c r="N18" i="42"/>
  <c r="P17" i="42"/>
  <c r="P18" i="42"/>
  <c r="Q17" i="42"/>
  <c r="Q18" i="42"/>
  <c r="R17" i="42"/>
  <c r="R18" i="42"/>
  <c r="S17" i="42"/>
  <c r="S18" i="42"/>
  <c r="P33" i="42"/>
  <c r="Q33" i="42"/>
  <c r="R33" i="42"/>
  <c r="S33" i="42"/>
  <c r="O32" i="2"/>
  <c r="N13" i="42"/>
  <c r="N28" i="42"/>
  <c r="P32" i="2"/>
  <c r="O13" i="42"/>
  <c r="O28" i="42"/>
  <c r="P13" i="42"/>
  <c r="P28" i="42"/>
  <c r="Q13" i="42"/>
  <c r="Q28" i="42"/>
  <c r="R13" i="42"/>
  <c r="R28" i="42"/>
  <c r="S13" i="42"/>
  <c r="S28" i="42"/>
  <c r="J31" i="42"/>
  <c r="K31" i="42"/>
  <c r="L31" i="42"/>
  <c r="M31" i="42"/>
  <c r="N31" i="42"/>
  <c r="O31" i="42"/>
  <c r="P31" i="42"/>
  <c r="Q31" i="42"/>
  <c r="R31" i="42"/>
  <c r="S31" i="42"/>
  <c r="J22" i="42"/>
  <c r="J23" i="42" s="1"/>
  <c r="K22" i="42"/>
  <c r="K23" i="42"/>
  <c r="L22" i="42"/>
  <c r="L23" i="42" s="1"/>
  <c r="M29" i="58"/>
  <c r="M22" i="42" s="1"/>
  <c r="M23" i="42" s="1"/>
  <c r="N22" i="42"/>
  <c r="N23" i="42"/>
  <c r="J20" i="42"/>
  <c r="J21" i="42"/>
  <c r="K20" i="42"/>
  <c r="K21" i="42"/>
  <c r="L20" i="42"/>
  <c r="L21" i="42"/>
  <c r="M79" i="58"/>
  <c r="M20" i="42"/>
  <c r="M21" i="42"/>
  <c r="N21" i="42"/>
  <c r="O21" i="42"/>
  <c r="P21" i="42"/>
  <c r="Q21" i="42"/>
  <c r="R21" i="42"/>
  <c r="S21" i="42"/>
  <c r="O23" i="42"/>
  <c r="P23" i="42"/>
  <c r="Q23" i="42"/>
  <c r="R23" i="42"/>
  <c r="S23" i="42"/>
  <c r="J25" i="42"/>
  <c r="J26" i="42"/>
  <c r="K25" i="42"/>
  <c r="K26" i="42"/>
  <c r="L25" i="42"/>
  <c r="L26" i="42"/>
  <c r="M25" i="42"/>
  <c r="M26" i="42"/>
  <c r="N25" i="42"/>
  <c r="N26" i="42"/>
  <c r="O52" i="58"/>
  <c r="O24" i="42" s="1"/>
  <c r="O25" i="42" s="1"/>
  <c r="O26" i="42" s="1"/>
  <c r="P25" i="42"/>
  <c r="P26" i="42"/>
  <c r="Q25" i="42"/>
  <c r="Q26" i="42"/>
  <c r="R25" i="42"/>
  <c r="R26" i="42"/>
  <c r="S25" i="42"/>
  <c r="S26" i="42"/>
  <c r="O40" i="42"/>
  <c r="O43" i="42"/>
  <c r="O46" i="42"/>
  <c r="O49" i="42"/>
  <c r="O52" i="42"/>
  <c r="P35" i="42"/>
  <c r="P37" i="42"/>
  <c r="P40" i="42"/>
  <c r="P43" i="42"/>
  <c r="P46" i="42"/>
  <c r="P49" i="42"/>
  <c r="P52" i="42"/>
  <c r="P54" i="42"/>
  <c r="Q35" i="42"/>
  <c r="Q54" i="42"/>
  <c r="Q37" i="42"/>
  <c r="Q56" i="42" s="1"/>
  <c r="Q40" i="42"/>
  <c r="Q43" i="42"/>
  <c r="Q46" i="42"/>
  <c r="Q49" i="42"/>
  <c r="Q52" i="42"/>
  <c r="R35" i="42"/>
  <c r="R54" i="42"/>
  <c r="R37" i="42"/>
  <c r="R40" i="42"/>
  <c r="R43" i="42"/>
  <c r="R46" i="42"/>
  <c r="R49" i="42"/>
  <c r="R52" i="42"/>
  <c r="S35" i="42"/>
  <c r="S54" i="42"/>
  <c r="S56" i="42" s="1"/>
  <c r="S37" i="42"/>
  <c r="S40" i="42"/>
  <c r="S43" i="42"/>
  <c r="S46" i="42"/>
  <c r="S49" i="42"/>
  <c r="S52" i="42"/>
  <c r="P73" i="2"/>
  <c r="W73" i="2" s="1"/>
  <c r="Q73" i="2"/>
  <c r="R73" i="2"/>
  <c r="S73" i="2"/>
  <c r="T73" i="2"/>
  <c r="X29" i="58"/>
  <c r="S1" i="58" s="1"/>
  <c r="G12" i="16" s="1"/>
  <c r="J29" i="58"/>
  <c r="K15" i="58"/>
  <c r="N15" i="58"/>
  <c r="J15" i="58"/>
  <c r="K70" i="58"/>
  <c r="L70" i="58"/>
  <c r="X79" i="58"/>
  <c r="U58" i="2"/>
  <c r="T58" i="2"/>
  <c r="S58" i="2"/>
  <c r="U55" i="2"/>
  <c r="T55" i="2"/>
  <c r="S55" i="2"/>
  <c r="R58" i="2"/>
  <c r="R55" i="2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T65" i="55"/>
  <c r="T66" i="55"/>
  <c r="T67" i="55"/>
  <c r="T68" i="55"/>
  <c r="T69" i="55"/>
  <c r="T70" i="55"/>
  <c r="T71" i="55"/>
  <c r="T74" i="55"/>
  <c r="T75" i="55"/>
  <c r="T76" i="55"/>
  <c r="T77" i="55"/>
  <c r="T78" i="55"/>
  <c r="T79" i="55"/>
  <c r="T80" i="55"/>
  <c r="T81" i="55"/>
  <c r="T82" i="55"/>
  <c r="T83" i="55"/>
  <c r="T84" i="55"/>
  <c r="T72" i="55"/>
  <c r="H51" i="4"/>
  <c r="H52" i="4"/>
  <c r="G66" i="4"/>
  <c r="G67" i="4"/>
  <c r="G68" i="4"/>
  <c r="G69" i="4"/>
  <c r="G70" i="4"/>
  <c r="G66" i="55"/>
  <c r="F73" i="55"/>
  <c r="T73" i="55"/>
  <c r="G71" i="4"/>
  <c r="H71" i="4"/>
  <c r="G65" i="4"/>
  <c r="G65" i="55"/>
  <c r="G64" i="55"/>
  <c r="G63" i="55"/>
  <c r="G62" i="55"/>
  <c r="G61" i="55"/>
  <c r="G60" i="55"/>
  <c r="G59" i="55"/>
  <c r="G58" i="55"/>
  <c r="G57" i="55"/>
  <c r="G68" i="55"/>
  <c r="G67" i="55"/>
  <c r="H53" i="4"/>
  <c r="H54" i="4"/>
  <c r="H55" i="4"/>
  <c r="H56" i="4"/>
  <c r="H57" i="4"/>
  <c r="H58" i="4"/>
  <c r="H59" i="4"/>
  <c r="H60" i="4"/>
  <c r="T4" i="44"/>
  <c r="T11" i="44"/>
  <c r="S4" i="44"/>
  <c r="S11" i="44"/>
  <c r="R4" i="44"/>
  <c r="R11" i="44"/>
  <c r="Q4" i="44"/>
  <c r="Q11" i="44"/>
  <c r="P4" i="44"/>
  <c r="P11" i="44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T42" i="42"/>
  <c r="T45" i="42"/>
  <c r="T48" i="42"/>
  <c r="T51" i="42"/>
  <c r="P30" i="42"/>
  <c r="Q30" i="42"/>
  <c r="R30" i="42"/>
  <c r="S30" i="42"/>
  <c r="T30" i="42"/>
  <c r="E43" i="58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N52" i="58"/>
  <c r="M52" i="58"/>
  <c r="L52" i="58"/>
  <c r="K52" i="58"/>
  <c r="J52" i="58"/>
  <c r="T38" i="58"/>
  <c r="T16" i="42"/>
  <c r="S38" i="58"/>
  <c r="S16" i="42"/>
  <c r="R38" i="58"/>
  <c r="R16" i="42"/>
  <c r="Q38" i="58"/>
  <c r="Q16" i="42"/>
  <c r="P38" i="58"/>
  <c r="P16" i="42"/>
  <c r="N38" i="58"/>
  <c r="N16" i="42"/>
  <c r="M38" i="58"/>
  <c r="M16" i="42"/>
  <c r="L38" i="58"/>
  <c r="L16" i="42"/>
  <c r="K38" i="58"/>
  <c r="K16" i="42"/>
  <c r="J38" i="58"/>
  <c r="J16" i="42"/>
  <c r="F38" i="58"/>
  <c r="F16" i="42"/>
  <c r="E38" i="58"/>
  <c r="E16" i="42"/>
  <c r="D38" i="58"/>
  <c r="K10" i="58"/>
  <c r="L10" i="58"/>
  <c r="M10" i="58"/>
  <c r="N10" i="58"/>
  <c r="O10" i="58"/>
  <c r="P10" i="58"/>
  <c r="Q10" i="58"/>
  <c r="R10" i="58"/>
  <c r="S10" i="58"/>
  <c r="T10" i="58"/>
  <c r="J10" i="58"/>
  <c r="E17" i="42"/>
  <c r="E18" i="42"/>
  <c r="C16" i="16"/>
  <c r="D16" i="16"/>
  <c r="G16" i="16"/>
  <c r="S14" i="54"/>
  <c r="S11" i="54"/>
  <c r="S10" i="54"/>
  <c r="S9" i="54"/>
  <c r="H66" i="4"/>
  <c r="H67" i="4"/>
  <c r="H68" i="4"/>
  <c r="H69" i="4"/>
  <c r="H70" i="4"/>
  <c r="H72" i="4"/>
  <c r="H65" i="4"/>
  <c r="T36" i="53"/>
  <c r="P36" i="53"/>
  <c r="Q10" i="53"/>
  <c r="R10" i="53"/>
  <c r="S36" i="53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H73" i="4"/>
  <c r="U36" i="2"/>
  <c r="Q36" i="53"/>
  <c r="R100" i="42"/>
  <c r="R48" i="42"/>
  <c r="R51" i="42"/>
  <c r="R39" i="42"/>
  <c r="R42" i="42"/>
  <c r="R45" i="42"/>
  <c r="R24" i="42"/>
  <c r="N63" i="42"/>
  <c r="N69" i="42" s="1"/>
  <c r="N48" i="42"/>
  <c r="N51" i="42"/>
  <c r="N39" i="42"/>
  <c r="N42" i="42"/>
  <c r="N45" i="42"/>
  <c r="N24" i="42"/>
  <c r="T74" i="42"/>
  <c r="T37" i="42"/>
  <c r="T33" i="42"/>
  <c r="T39" i="42"/>
  <c r="T35" i="42"/>
  <c r="T24" i="42"/>
  <c r="R36" i="53"/>
  <c r="Q90" i="42"/>
  <c r="Q51" i="42"/>
  <c r="Q39" i="42"/>
  <c r="Q42" i="42"/>
  <c r="Q45" i="42"/>
  <c r="Q48" i="42"/>
  <c r="Q24" i="42"/>
  <c r="M63" i="42"/>
  <c r="M69" i="42" s="1"/>
  <c r="M51" i="42"/>
  <c r="M39" i="42"/>
  <c r="M42" i="42"/>
  <c r="M45" i="42"/>
  <c r="M48" i="42"/>
  <c r="M24" i="42"/>
  <c r="U64" i="2"/>
  <c r="U95" i="2"/>
  <c r="T10" i="53"/>
  <c r="J63" i="42"/>
  <c r="J51" i="42"/>
  <c r="J39" i="42"/>
  <c r="J42" i="42"/>
  <c r="J45" i="42"/>
  <c r="J48" i="42"/>
  <c r="J24" i="42"/>
  <c r="P74" i="42"/>
  <c r="P42" i="42"/>
  <c r="P45" i="42"/>
  <c r="P48" i="42"/>
  <c r="P51" i="42"/>
  <c r="P39" i="42"/>
  <c r="P24" i="42"/>
  <c r="L63" i="42"/>
  <c r="L69" i="42" s="1"/>
  <c r="L42" i="42"/>
  <c r="L45" i="42"/>
  <c r="L48" i="42"/>
  <c r="L51" i="42"/>
  <c r="L39" i="42"/>
  <c r="L24" i="42"/>
  <c r="J10" i="2"/>
  <c r="C16" i="2" a="1"/>
  <c r="C20" i="2"/>
  <c r="R26" i="53"/>
  <c r="S90" i="42"/>
  <c r="S45" i="42"/>
  <c r="S48" i="42"/>
  <c r="S51" i="42"/>
  <c r="S39" i="42"/>
  <c r="S42" i="42"/>
  <c r="S24" i="42"/>
  <c r="O63" i="42"/>
  <c r="O69" i="42" s="1"/>
  <c r="O45" i="42"/>
  <c r="O51" i="42"/>
  <c r="O39" i="42"/>
  <c r="K63" i="42"/>
  <c r="K69" i="42" s="1"/>
  <c r="K45" i="42"/>
  <c r="K48" i="42"/>
  <c r="K51" i="42"/>
  <c r="K39" i="42"/>
  <c r="K42" i="42"/>
  <c r="K24" i="42"/>
  <c r="K10" i="42"/>
  <c r="K30" i="42"/>
  <c r="P90" i="42"/>
  <c r="L10" i="42"/>
  <c r="L30" i="42"/>
  <c r="Q60" i="42"/>
  <c r="P100" i="42"/>
  <c r="J10" i="42"/>
  <c r="J30" i="42"/>
  <c r="R64" i="2"/>
  <c r="S95" i="2"/>
  <c r="S26" i="53"/>
  <c r="Q64" i="2"/>
  <c r="R95" i="2"/>
  <c r="P26" i="53"/>
  <c r="T26" i="53"/>
  <c r="O10" i="42"/>
  <c r="O30" i="42"/>
  <c r="P60" i="42"/>
  <c r="S100" i="42"/>
  <c r="Q49" i="2"/>
  <c r="Q75" i="2"/>
  <c r="Q95" i="2"/>
  <c r="Q105" i="2"/>
  <c r="Q26" i="53"/>
  <c r="M10" i="42"/>
  <c r="M30" i="42"/>
  <c r="S60" i="42"/>
  <c r="Q74" i="42"/>
  <c r="T90" i="42"/>
  <c r="S74" i="42"/>
  <c r="R90" i="42"/>
  <c r="Q100" i="42"/>
  <c r="T60" i="42"/>
  <c r="R74" i="42"/>
  <c r="T100" i="42"/>
  <c r="N10" i="42"/>
  <c r="N30" i="42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S64" i="2"/>
  <c r="U75" i="2"/>
  <c r="T95" i="2"/>
  <c r="U105" i="2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H74" i="4"/>
  <c r="C22" i="2"/>
  <c r="C19" i="2"/>
  <c r="C17" i="2"/>
  <c r="C18" i="2"/>
  <c r="J24" i="2"/>
  <c r="C16" i="2"/>
  <c r="C21" i="2"/>
  <c r="C26" i="2" a="1"/>
  <c r="C26" i="2"/>
  <c r="F18" i="42"/>
  <c r="F17" i="42"/>
  <c r="J93" i="2" a="1"/>
  <c r="J93" i="2"/>
  <c r="K93" i="2" a="1"/>
  <c r="K93" i="2" s="1"/>
  <c r="W93" i="2" s="1"/>
  <c r="M93" i="2" a="1"/>
  <c r="M93" i="2"/>
  <c r="H75" i="4"/>
  <c r="E22" i="2"/>
  <c r="D22" i="2"/>
  <c r="C31" i="2"/>
  <c r="C32" i="2"/>
  <c r="E32" i="2"/>
  <c r="C27" i="2"/>
  <c r="C28" i="2"/>
  <c r="C29" i="2"/>
  <c r="C30" i="2"/>
  <c r="U80" i="2"/>
  <c r="D32" i="2"/>
  <c r="H76" i="4"/>
  <c r="G69" i="55"/>
  <c r="G70" i="55"/>
  <c r="G71" i="55"/>
  <c r="G73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F70" i="58"/>
  <c r="F65" i="58"/>
  <c r="F66" i="58"/>
  <c r="F67" i="58"/>
  <c r="F68" i="58"/>
  <c r="F64" i="58"/>
  <c r="N70" i="58"/>
  <c r="O70" i="58"/>
  <c r="P70" i="58"/>
  <c r="Q70" i="58"/>
  <c r="R70" i="58"/>
  <c r="S70" i="58"/>
  <c r="J70" i="58"/>
  <c r="T93" i="2" a="1"/>
  <c r="T93" i="2"/>
  <c r="S93" i="2" a="1"/>
  <c r="S93" i="2"/>
  <c r="R93" i="2" a="1"/>
  <c r="R93" i="2"/>
  <c r="Q93" i="2" a="1"/>
  <c r="Q93" i="2"/>
  <c r="P93" i="2" a="1"/>
  <c r="P93" i="2"/>
  <c r="O93" i="2" a="1"/>
  <c r="O93" i="2"/>
  <c r="N93" i="2" a="1"/>
  <c r="N93" i="2"/>
  <c r="C91" i="2"/>
  <c r="C90" i="2"/>
  <c r="C89" i="2"/>
  <c r="C88" i="2"/>
  <c r="C87" i="2"/>
  <c r="C86" i="2"/>
  <c r="F20" i="42"/>
  <c r="F26" i="42"/>
  <c r="E26" i="42"/>
  <c r="F23" i="42"/>
  <c r="E23" i="42"/>
  <c r="F21" i="42"/>
  <c r="E21" i="42"/>
  <c r="K29" i="58"/>
  <c r="L29" i="58"/>
  <c r="N29" i="58"/>
  <c r="O29" i="58"/>
  <c r="P29" i="58"/>
  <c r="Q29" i="58"/>
  <c r="R29" i="58"/>
  <c r="S29" i="58"/>
  <c r="E19" i="58"/>
  <c r="E15" i="58"/>
  <c r="D15" i="58"/>
  <c r="F15" i="58"/>
  <c r="L15" i="58"/>
  <c r="O15" i="58"/>
  <c r="P15" i="58"/>
  <c r="Q15" i="58"/>
  <c r="R15" i="58"/>
  <c r="S15" i="58"/>
  <c r="E31" i="42"/>
  <c r="F30" i="42"/>
  <c r="F31" i="42"/>
  <c r="C31" i="42"/>
  <c r="E91" i="58"/>
  <c r="E30" i="42"/>
  <c r="T31" i="42"/>
  <c r="F37" i="42"/>
  <c r="E37" i="42"/>
  <c r="K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G72" i="4"/>
  <c r="G73" i="4"/>
  <c r="G74" i="4"/>
  <c r="G75" i="4"/>
  <c r="G76" i="4"/>
  <c r="F33" i="42"/>
  <c r="E33" i="42"/>
  <c r="F28" i="42"/>
  <c r="E28" i="42"/>
  <c r="N36" i="53"/>
  <c r="L36" i="53"/>
  <c r="J78" i="2"/>
  <c r="K78" i="2"/>
  <c r="L78" i="2"/>
  <c r="M78" i="2"/>
  <c r="N78" i="2"/>
  <c r="O78" i="2"/>
  <c r="P78" i="2"/>
  <c r="J79" i="2"/>
  <c r="K79" i="2"/>
  <c r="L79" i="2"/>
  <c r="M79" i="2"/>
  <c r="N79" i="2"/>
  <c r="O79" i="2"/>
  <c r="P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N77" i="2"/>
  <c r="K99" i="2"/>
  <c r="K98" i="2"/>
  <c r="K97" i="2"/>
  <c r="K100" i="2"/>
  <c r="O99" i="2"/>
  <c r="O98" i="2"/>
  <c r="O97" i="2"/>
  <c r="O100" i="2"/>
  <c r="L100" i="2"/>
  <c r="L99" i="2"/>
  <c r="L98" i="2"/>
  <c r="L97" i="2"/>
  <c r="P100" i="2"/>
  <c r="P99" i="2"/>
  <c r="P98" i="2"/>
  <c r="P97" i="2"/>
  <c r="N98" i="2"/>
  <c r="N99" i="2"/>
  <c r="N100" i="2"/>
  <c r="N97" i="2"/>
  <c r="M97" i="2"/>
  <c r="M100" i="2"/>
  <c r="M99" i="2"/>
  <c r="M98" i="2"/>
  <c r="J98" i="2"/>
  <c r="J99" i="2"/>
  <c r="J97" i="2"/>
  <c r="J100" i="2"/>
  <c r="N20" i="42"/>
  <c r="P22" i="42"/>
  <c r="P20" i="42"/>
  <c r="R22" i="42"/>
  <c r="R20" i="42"/>
  <c r="O22" i="42"/>
  <c r="O20" i="42"/>
  <c r="Q22" i="42"/>
  <c r="Q20" i="42"/>
  <c r="S22" i="42"/>
  <c r="S20" i="42"/>
  <c r="O12" i="42"/>
  <c r="Q12" i="42"/>
  <c r="S12" i="42"/>
  <c r="N12" i="42"/>
  <c r="P12" i="42"/>
  <c r="R12" i="4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E89" i="58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C1" i="58"/>
  <c r="E45" i="42"/>
  <c r="E48" i="42"/>
  <c r="E39" i="42"/>
  <c r="E51" i="42"/>
  <c r="F22" i="42"/>
  <c r="E22" i="42"/>
  <c r="E42" i="42"/>
  <c r="E20" i="42"/>
  <c r="F16" i="44"/>
  <c r="F15" i="44"/>
  <c r="F14" i="44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2" i="42"/>
  <c r="E102" i="42"/>
  <c r="M16" i="44"/>
  <c r="M14" i="44"/>
  <c r="M15" i="44"/>
  <c r="M13" i="44"/>
  <c r="L14" i="44"/>
  <c r="L15" i="44"/>
  <c r="L16" i="44"/>
  <c r="L13" i="44"/>
  <c r="J14" i="44"/>
  <c r="J15" i="44"/>
  <c r="J16" i="44"/>
  <c r="J13" i="44"/>
  <c r="N13" i="44"/>
  <c r="K15" i="44"/>
  <c r="K14" i="44"/>
  <c r="K16" i="44"/>
  <c r="K13" i="44"/>
  <c r="O13" i="44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J12" i="2"/>
  <c r="G45" i="55"/>
  <c r="G46" i="55"/>
  <c r="G47" i="55"/>
  <c r="G48" i="55"/>
  <c r="G49" i="55"/>
  <c r="G50" i="55"/>
  <c r="G51" i="55"/>
  <c r="G52" i="55"/>
  <c r="G53" i="55"/>
  <c r="G54" i="55"/>
  <c r="G55" i="55"/>
  <c r="G56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K109" i="2"/>
  <c r="O109" i="2"/>
  <c r="M109" i="2"/>
  <c r="C24" i="4"/>
  <c r="O14" i="42"/>
  <c r="Q14" i="42"/>
  <c r="S14" i="42"/>
  <c r="P14" i="42"/>
  <c r="R14" i="42"/>
  <c r="O22" i="53"/>
  <c r="M22" i="53"/>
  <c r="K22" i="53"/>
  <c r="J32" i="53"/>
  <c r="L32" i="53"/>
  <c r="N32" i="53"/>
  <c r="J40" i="53"/>
  <c r="L40" i="53"/>
  <c r="N40" i="53"/>
  <c r="K32" i="53"/>
  <c r="M32" i="53"/>
  <c r="O32" i="53"/>
  <c r="K47" i="2"/>
  <c r="M47" i="2"/>
  <c r="O47" i="2"/>
  <c r="L47" i="2"/>
  <c r="L109" i="2"/>
  <c r="L73" i="2"/>
  <c r="N47" i="2"/>
  <c r="N109" i="2"/>
  <c r="N73" i="2"/>
  <c r="P109" i="2"/>
  <c r="J109" i="2"/>
  <c r="J73" i="2"/>
  <c r="J47" i="2"/>
  <c r="M73" i="2"/>
  <c r="K73" i="2"/>
  <c r="J70" i="42" a="1"/>
  <c r="J70" i="42"/>
  <c r="L70" i="42" a="1"/>
  <c r="L70" i="42"/>
  <c r="K70" i="42" a="1"/>
  <c r="K70" i="42"/>
  <c r="P47" i="2"/>
  <c r="C52" i="42"/>
  <c r="F52" i="42"/>
  <c r="E52" i="42"/>
  <c r="C49" i="42"/>
  <c r="C46" i="42"/>
  <c r="C43" i="42"/>
  <c r="C40" i="42"/>
  <c r="F49" i="42"/>
  <c r="T49" i="42"/>
  <c r="E49" i="42"/>
  <c r="F46" i="42"/>
  <c r="E46" i="42"/>
  <c r="F43" i="42"/>
  <c r="E43" i="42"/>
  <c r="F40" i="42"/>
  <c r="E40" i="42"/>
  <c r="T46" i="42"/>
  <c r="T52" i="42"/>
  <c r="J22" i="2"/>
  <c r="J32" i="2"/>
  <c r="E86" i="42"/>
  <c r="O42" i="42"/>
  <c r="O48" i="42"/>
  <c r="E104" i="42"/>
  <c r="F15" i="42"/>
  <c r="F56" i="42"/>
  <c r="F54" i="42"/>
  <c r="C77" i="42"/>
  <c r="C78" i="42"/>
  <c r="C79" i="42"/>
  <c r="C80" i="42"/>
  <c r="C81" i="42"/>
  <c r="C82" i="42"/>
  <c r="C83" i="42"/>
  <c r="C84" i="42"/>
  <c r="C92" i="42"/>
  <c r="C93" i="42"/>
  <c r="C94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T1" i="55"/>
  <c r="G11" i="16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C76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S1" i="54"/>
  <c r="G10" i="16"/>
  <c r="M70" i="42" a="1"/>
  <c r="M70" i="42"/>
  <c r="N70" i="42" a="1"/>
  <c r="N70" i="42"/>
  <c r="O70" i="42" a="1"/>
  <c r="O70" i="42"/>
  <c r="N93" i="42"/>
  <c r="N15" i="44"/>
  <c r="O93" i="42"/>
  <c r="O15" i="44"/>
  <c r="M93" i="42"/>
  <c r="N78" i="42"/>
  <c r="J78" i="42"/>
  <c r="K84" i="42"/>
  <c r="O84" i="42"/>
  <c r="T84" i="42"/>
  <c r="M80" i="42"/>
  <c r="J80" i="42"/>
  <c r="J76" i="42"/>
  <c r="K76" i="42"/>
  <c r="L82" i="42"/>
  <c r="K82" i="42"/>
  <c r="Q82" i="42"/>
  <c r="K81" i="42"/>
  <c r="P81" i="42"/>
  <c r="N81" i="42"/>
  <c r="J94" i="42"/>
  <c r="T16" i="44"/>
  <c r="S83" i="42"/>
  <c r="K83" i="42"/>
  <c r="L83" i="42"/>
  <c r="K79" i="42"/>
  <c r="J79" i="42"/>
  <c r="Q84" i="42"/>
  <c r="R84" i="42"/>
  <c r="L80" i="42"/>
  <c r="P82" i="42"/>
  <c r="O81" i="42"/>
  <c r="R16" i="44"/>
  <c r="Q83" i="42"/>
  <c r="N79" i="42"/>
  <c r="J93" i="42"/>
  <c r="K78" i="42"/>
  <c r="M84" i="42"/>
  <c r="J84" i="42"/>
  <c r="K80" i="42"/>
  <c r="T82" i="42"/>
  <c r="J82" i="42"/>
  <c r="S82" i="42"/>
  <c r="Q81" i="42"/>
  <c r="T81" i="42"/>
  <c r="N94" i="42"/>
  <c r="N16" i="44"/>
  <c r="O94" i="42"/>
  <c r="O16" i="44"/>
  <c r="K94" i="42"/>
  <c r="N83" i="42"/>
  <c r="P83" i="42"/>
  <c r="R83" i="42"/>
  <c r="M79" i="42"/>
  <c r="K93" i="42"/>
  <c r="L78" i="42"/>
  <c r="L84" i="42"/>
  <c r="N80" i="42"/>
  <c r="R82" i="42"/>
  <c r="M81" i="42"/>
  <c r="P16" i="44"/>
  <c r="L79" i="42"/>
  <c r="L93" i="42"/>
  <c r="O78" i="42"/>
  <c r="M78" i="42"/>
  <c r="P84" i="42"/>
  <c r="N84" i="42"/>
  <c r="S84" i="42"/>
  <c r="O80" i="42"/>
  <c r="M76" i="42"/>
  <c r="N76" i="42"/>
  <c r="O76" i="42"/>
  <c r="N82" i="42"/>
  <c r="M82" i="42"/>
  <c r="S81" i="42"/>
  <c r="R81" i="42"/>
  <c r="L81" i="42"/>
  <c r="M94" i="42"/>
  <c r="L94" i="42"/>
  <c r="S16" i="44"/>
  <c r="O83" i="42"/>
  <c r="T83" i="42"/>
  <c r="J83" i="42"/>
  <c r="O79" i="42"/>
  <c r="L76" i="42"/>
  <c r="O82" i="42"/>
  <c r="J81" i="42"/>
  <c r="Q16" i="44"/>
  <c r="M83" i="42"/>
  <c r="N21" i="2"/>
  <c r="M19" i="2"/>
  <c r="M29" i="2"/>
  <c r="K17" i="2"/>
  <c r="K27" i="2"/>
  <c r="L18" i="2"/>
  <c r="L28" i="2"/>
  <c r="D21" i="2"/>
  <c r="E21" i="2"/>
  <c r="D17" i="2"/>
  <c r="E17" i="2"/>
  <c r="E18" i="2"/>
  <c r="D18" i="2"/>
  <c r="E31" i="2"/>
  <c r="D31" i="2"/>
  <c r="S31" i="2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P30" i="2"/>
  <c r="T40" i="42"/>
  <c r="T43" i="42"/>
  <c r="M77" i="42"/>
  <c r="M92" i="42"/>
  <c r="L77" i="42"/>
  <c r="N77" i="42"/>
  <c r="J92" i="42"/>
  <c r="J77" i="42"/>
  <c r="L92" i="42"/>
  <c r="O92" i="42"/>
  <c r="O14" i="44"/>
  <c r="N92" i="42"/>
  <c r="N14" i="44"/>
  <c r="K92" i="42"/>
  <c r="O77" i="42"/>
  <c r="K77" i="42"/>
  <c r="T17" i="42"/>
  <c r="T18" i="42"/>
  <c r="T25" i="42"/>
  <c r="T26" i="42"/>
  <c r="M21" i="2"/>
  <c r="O30" i="2"/>
  <c r="K18" i="2"/>
  <c r="K28" i="2"/>
  <c r="O31" i="2"/>
  <c r="J17" i="2"/>
  <c r="J27" i="2"/>
  <c r="L19" i="2"/>
  <c r="L29" i="2"/>
  <c r="M18" i="2"/>
  <c r="L17" i="2"/>
  <c r="L27" i="2"/>
  <c r="P31" i="2"/>
  <c r="M20" i="2"/>
  <c r="M30" i="2"/>
  <c r="N31" i="2"/>
  <c r="N19" i="2"/>
  <c r="O19" i="2"/>
  <c r="J26" i="2"/>
  <c r="N30" i="2"/>
  <c r="N29" i="2"/>
  <c r="L21" i="2"/>
  <c r="L20" i="2"/>
  <c r="L30" i="2"/>
  <c r="M17" i="2"/>
  <c r="K19" i="2"/>
  <c r="K29" i="2"/>
  <c r="N18" i="2"/>
  <c r="O18" i="2"/>
  <c r="J18" i="2"/>
  <c r="J28" i="2"/>
  <c r="M31" i="2"/>
  <c r="M28" i="2"/>
  <c r="N28" i="2"/>
  <c r="P18" i="2"/>
  <c r="P28" i="2"/>
  <c r="O29" i="2"/>
  <c r="P19" i="2"/>
  <c r="P29" i="2"/>
  <c r="K21" i="2"/>
  <c r="J19" i="2"/>
  <c r="J29" i="2"/>
  <c r="N17" i="2"/>
  <c r="O17" i="2"/>
  <c r="M27" i="2"/>
  <c r="K20" i="2"/>
  <c r="K30" i="2"/>
  <c r="L31" i="2"/>
  <c r="J21" i="2"/>
  <c r="J31" i="2"/>
  <c r="J20" i="2"/>
  <c r="J30" i="2"/>
  <c r="P17" i="2"/>
  <c r="P27" i="2"/>
  <c r="N27" i="2"/>
  <c r="O28" i="2"/>
  <c r="K31" i="2"/>
  <c r="J96" i="42"/>
  <c r="L86" i="42"/>
  <c r="J86" i="42"/>
  <c r="K86" i="42"/>
  <c r="L96" i="42"/>
  <c r="N86" i="42"/>
  <c r="K96" i="42"/>
  <c r="O86" i="42"/>
  <c r="N96" i="42"/>
  <c r="M86" i="42"/>
  <c r="O96" i="42"/>
  <c r="M96" i="42"/>
  <c r="O27" i="2"/>
  <c r="K26" i="2"/>
  <c r="L26" i="2"/>
  <c r="M26" i="2"/>
  <c r="N26" i="2"/>
  <c r="O26" i="2"/>
  <c r="T23" i="42"/>
  <c r="T15" i="42"/>
  <c r="P26" i="2"/>
  <c r="P14" i="44"/>
  <c r="Q14" i="44"/>
  <c r="R14" i="44"/>
  <c r="S14" i="44"/>
  <c r="T14" i="44"/>
  <c r="S109" i="2"/>
  <c r="Q109" i="2"/>
  <c r="U109" i="2"/>
  <c r="R109" i="2"/>
  <c r="T109" i="2"/>
  <c r="T60" i="2"/>
  <c r="R60" i="2"/>
  <c r="U60" i="2"/>
  <c r="S60" i="2"/>
  <c r="Q60" i="2"/>
  <c r="W60" i="2"/>
  <c r="W109" i="2"/>
  <c r="S32" i="53"/>
  <c r="Q32" i="53"/>
  <c r="R32" i="53"/>
  <c r="T32" i="53"/>
  <c r="P32" i="53"/>
  <c r="X32" i="53"/>
  <c r="Q15" i="44"/>
  <c r="T15" i="44"/>
  <c r="R15" i="44"/>
  <c r="S15" i="44"/>
  <c r="P15" i="44"/>
  <c r="U73" i="2"/>
  <c r="T80" i="42"/>
  <c r="R80" i="42"/>
  <c r="Q80" i="42"/>
  <c r="S80" i="42"/>
  <c r="T79" i="42"/>
  <c r="T86" i="42"/>
  <c r="T22" i="53"/>
  <c r="Q79" i="42"/>
  <c r="Q86" i="42"/>
  <c r="Q22" i="53"/>
  <c r="R22" i="53"/>
  <c r="R79" i="42"/>
  <c r="R86" i="42"/>
  <c r="S79" i="42"/>
  <c r="S86" i="42"/>
  <c r="S22" i="53"/>
  <c r="P80" i="42"/>
  <c r="P79" i="42"/>
  <c r="P22" i="53"/>
  <c r="X22" i="53"/>
  <c r="P86" i="42"/>
  <c r="P40" i="53"/>
  <c r="R40" i="53"/>
  <c r="T40" i="53"/>
  <c r="P56" i="42"/>
  <c r="R56" i="42"/>
  <c r="L79" i="58"/>
  <c r="C97" i="2" a="1"/>
  <c r="C99" i="2" s="1"/>
  <c r="L93" i="2" a="1"/>
  <c r="L93" i="2"/>
  <c r="C100" i="2"/>
  <c r="R101" i="2" l="1"/>
  <c r="R100" i="2"/>
  <c r="R97" i="2"/>
  <c r="R98" i="2"/>
  <c r="R42" i="2"/>
  <c r="Q65" i="42" s="1"/>
  <c r="S42" i="2"/>
  <c r="S47" i="2" s="1"/>
  <c r="S97" i="2"/>
  <c r="Q101" i="2"/>
  <c r="Q97" i="2"/>
  <c r="Q98" i="2"/>
  <c r="P63" i="42" s="1"/>
  <c r="Q99" i="2"/>
  <c r="Q100" i="2"/>
  <c r="S99" i="2"/>
  <c r="O33" i="42"/>
  <c r="U42" i="2"/>
  <c r="T65" i="42" s="1"/>
  <c r="U47" i="2"/>
  <c r="O37" i="42"/>
  <c r="T100" i="2"/>
  <c r="Q63" i="42"/>
  <c r="O35" i="42"/>
  <c r="L56" i="42"/>
  <c r="U77" i="2"/>
  <c r="T78" i="2"/>
  <c r="T97" i="2" s="1"/>
  <c r="S79" i="2"/>
  <c r="S98" i="2" s="1"/>
  <c r="C98" i="2"/>
  <c r="C97" i="2"/>
  <c r="J56" i="42"/>
  <c r="T54" i="42"/>
  <c r="T56" i="42" s="1"/>
  <c r="C101" i="2"/>
  <c r="M56" i="42"/>
  <c r="Q40" i="2"/>
  <c r="K54" i="42"/>
  <c r="R65" i="42"/>
  <c r="N54" i="42"/>
  <c r="N56" i="42" s="1"/>
  <c r="S40" i="53"/>
  <c r="Q40" i="53"/>
  <c r="J69" i="42"/>
  <c r="O54" i="42" l="1"/>
  <c r="T99" i="2"/>
  <c r="S101" i="2"/>
  <c r="Q69" i="42"/>
  <c r="T98" i="2"/>
  <c r="S63" i="42" s="1"/>
  <c r="S69" i="42" s="1"/>
  <c r="U101" i="2"/>
  <c r="U97" i="2"/>
  <c r="U98" i="2"/>
  <c r="U99" i="2"/>
  <c r="U100" i="2"/>
  <c r="T101" i="2"/>
  <c r="K56" i="42"/>
  <c r="S100" i="2"/>
  <c r="R63" i="42" s="1"/>
  <c r="R47" i="2"/>
  <c r="Q42" i="2"/>
  <c r="Q47" i="2" s="1"/>
  <c r="W47" i="2" s="1"/>
  <c r="T1" i="2" s="1"/>
  <c r="G13" i="16" s="1"/>
  <c r="X40" i="53"/>
  <c r="S1" i="53" s="1"/>
  <c r="G14" i="16" s="1"/>
  <c r="R69" i="42" l="1"/>
  <c r="T63" i="42"/>
  <c r="T69" i="42" s="1"/>
  <c r="O56" i="42"/>
  <c r="P65" i="42"/>
  <c r="P69" i="42" l="1"/>
  <c r="R70" i="42" l="1" a="1"/>
  <c r="R70" i="42" s="1"/>
  <c r="Q70" i="42" a="1"/>
  <c r="Q70" i="42" s="1"/>
  <c r="T70" i="42" a="1"/>
  <c r="T70" i="42" s="1"/>
  <c r="S70" i="42" a="1"/>
  <c r="S70" i="42" s="1"/>
  <c r="P70" i="42" a="1"/>
  <c r="P70" i="42" s="1"/>
  <c r="P103" i="42" l="1"/>
  <c r="P102" i="42"/>
  <c r="P13" i="44" s="1"/>
  <c r="S103" i="42"/>
  <c r="S102" i="42"/>
  <c r="S13" i="44" s="1"/>
  <c r="T103" i="42"/>
  <c r="T102" i="42"/>
  <c r="T13" i="44" s="1"/>
  <c r="Q103" i="42"/>
  <c r="Q102" i="42"/>
  <c r="Q13" i="44" s="1"/>
  <c r="R103" i="42"/>
  <c r="R102" i="42"/>
  <c r="R13" i="44" s="1"/>
  <c r="T104" i="42" l="1"/>
  <c r="S104" i="42"/>
  <c r="R104" i="42"/>
  <c r="P104" i="42"/>
  <c r="Q104" i="42"/>
  <c r="S1" i="16"/>
  <c r="W1" i="42" s="1"/>
  <c r="W1" i="44" l="1"/>
  <c r="W1" i="58"/>
  <c r="W1" i="53"/>
  <c r="W1" i="55"/>
  <c r="V1" i="54"/>
  <c r="W1" i="2"/>
  <c r="V1" i="4"/>
</calcChain>
</file>

<file path=xl/sharedStrings.xml><?xml version="1.0" encoding="utf-8"?>
<sst xmlns="http://schemas.openxmlformats.org/spreadsheetml/2006/main" count="732" uniqueCount="211">
  <si>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</si>
  <si>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</si>
  <si>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</si>
  <si>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</si>
  <si>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</si>
  <si>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</si>
  <si>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</si>
  <si>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</si>
  <si>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</si>
  <si>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</si>
  <si>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</si>
  <si>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</si>
  <si>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</si>
  <si>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</si>
  <si>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</si>
  <si>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</si>
  <si>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</si>
  <si>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</si>
  <si>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</si>
  <si>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</si>
  <si>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</si>
  <si>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</si>
  <si>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</si>
  <si>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</si>
  <si>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</si>
  <si>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</si>
  <si>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</si>
  <si>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</si>
  <si>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</si>
  <si>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</si>
  <si>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</si>
  <si>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</si>
  <si>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</si>
  <si>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</si>
  <si>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</si>
  <si>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</si>
  <si>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</si>
  <si>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</si>
  <si>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</si>
  <si>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</si>
  <si>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</si>
  <si>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</si>
  <si>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</si>
  <si>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</si>
  <si>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</si>
  <si>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</si>
  <si>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</si>
  <si>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</si>
  <si>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</si>
  <si>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</si>
  <si>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</si>
  <si>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</si>
  <si>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</si>
  <si>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</si>
  <si>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</si>
  <si>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</si>
  <si>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</si>
  <si>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</si>
  <si>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</si>
  <si>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</si>
  <si>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</si>
  <si>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</si>
  <si>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</si>
  <si>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</si>
  <si>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</si>
  <si>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</si>
  <si>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</si>
  <si>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</si>
  <si>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</si>
  <si>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</si>
  <si>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</si>
  <si>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</si>
  <si>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</si>
  <si>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</si>
  <si>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</si>
  <si>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</si>
  <si>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</si>
  <si>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</si>
  <si>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</si>
  <si>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</si>
  <si>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</si>
  <si>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</si>
  <si>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</si>
  <si>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</si>
  <si>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</si>
  <si>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</si>
  <si>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</si>
  <si>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</si>
  <si>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</si>
  <si>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</si>
  <si>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</si>
  <si>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</si>
  <si>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</si>
  <si>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</si>
  <si>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</si>
  <si>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</si>
  <si>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</si>
  <si>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</si>
  <si>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</si>
  <si>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</si>
  <si>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</si>
  <si>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</si>
  <si>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</si>
  <si>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</si>
  <si>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</si>
  <si>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</si>
  <si>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</si>
  <si>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</si>
  <si>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</si>
  <si>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</si>
  <si>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</si>
  <si>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</si>
  <si>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</si>
  <si>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</si>
  <si>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</si>
  <si>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</si>
  <si>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</si>
  <si>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</si>
  <si>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</si>
  <si>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</si>
  <si>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</si>
  <si>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</si>
  <si>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</si>
  <si>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</si>
  <si>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</si>
  <si>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</si>
  <si>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</si>
  <si>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</si>
  <si>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</si>
  <si>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</si>
  <si>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</si>
  <si>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</si>
  <si>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</si>
  <si>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</si>
  <si>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</si>
  <si>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</si>
  <si>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</si>
  <si>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</si>
  <si>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</si>
  <si>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</si>
  <si>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</si>
  <si>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</si>
  <si>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</si>
  <si>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</si>
  <si>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</si>
  <si>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</si>
  <si>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</si>
  <si>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</si>
  <si>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</si>
  <si>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</si>
  <si>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</si>
  <si>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</si>
  <si>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</si>
  <si>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</si>
  <si>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</si>
  <si>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</si>
  <si>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</si>
  <si>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</si>
  <si>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</si>
  <si>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</si>
  <si>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</si>
  <si>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AER PTRM in the previous regulatory period.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</si>
  <si>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</si>
  <si>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</si>
  <si>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</si>
  <si>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</si>
  <si>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</si>
  <si>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</si>
  <si>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</si>
  <si>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</si>
  <si>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</si>
  <si>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</si>
  <si>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</si>
  <si>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</si>
  <si>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</si>
  <si>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Adjustments can be postive or negative.</t>
  </si>
  <si>
    <t>Previous period year 5.5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</si>
  <si>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</si>
  <si>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</si>
  <si>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</si>
  <si>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</si>
  <si>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</si>
  <si>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</si>
  <si>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</si>
  <si>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2021 half year allowance, total</t>
  </si>
  <si>
    <t>2021 half year allowance, total, annualised</t>
  </si>
  <si>
    <t>2021 half year allowance, category specific forecasts</t>
  </si>
  <si>
    <t>2021 half year allowance, category specific forecasts, annualised</t>
  </si>
  <si>
    <t>WPI - BIS Oxford</t>
  </si>
  <si>
    <t>WPI - average</t>
  </si>
  <si>
    <t>WPI - KPMG</t>
  </si>
  <si>
    <t>Superannuation guarantee increase</t>
  </si>
  <si>
    <t>Forecast labour price growth</t>
  </si>
  <si>
    <t>AGN Victoria &amp; Albury</t>
  </si>
  <si>
    <t>draft decision</t>
  </si>
  <si>
    <t>AER opex model v1.91</t>
  </si>
  <si>
    <t>Input | Opex allowances  2018 to 2022</t>
  </si>
  <si>
    <t>Input | Opex allowances  2023 extension period</t>
  </si>
  <si>
    <t>Unaccounted for gas</t>
  </si>
  <si>
    <t>Ancilliary reference services</t>
  </si>
  <si>
    <t>Change in treatment of overheads (O&amp;M)</t>
  </si>
  <si>
    <t>Change in treatment of overheads (Support)</t>
  </si>
  <si>
    <t>Capex to opex activities</t>
  </si>
  <si>
    <t>Uplift in Cyber Security Capabilities</t>
  </si>
  <si>
    <t>Renewable gas communications and education</t>
  </si>
  <si>
    <t>Priority Services Program</t>
  </si>
  <si>
    <t>Customer numbers (#)</t>
  </si>
  <si>
    <t>Network Length (km)</t>
  </si>
  <si>
    <t>Energy throughput</t>
  </si>
  <si>
    <t>FGLS</t>
  </si>
  <si>
    <t>SFA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</si>
</sst>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8" formatCode="#,##0_);\(#,##0\);\-\-_)"/>
    <numFmt numFmtId="209" formatCode="#,##0.00_ ;\-#,##0.00\ "/>
  </numFmts>
  <fonts count="9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1"/>
      <name val="Verdana"/>
      <family val="2"/>
    </font>
    <font>
      <b/>
      <sz val="11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</borders>
  <cellStyleXfs count="279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5" fontId="13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7" fontId="15" fillId="0" borderId="0"/>
    <xf numFmtId="177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6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7" fontId="22" fillId="4" borderId="0" applyNumberFormat="0" applyFont="0" applyBorder="0" applyAlignment="0">
      <alignment horizontal="right"/>
    </xf>
    <xf numFmtId="167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7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79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1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7" fontId="22" fillId="36" borderId="0" applyFont="0" applyBorder="0" applyAlignment="0">
      <alignment horizontal="right"/>
      <protection locked="0"/>
    </xf>
    <xf numFmtId="167" fontId="22" fillId="36" borderId="0" applyFont="0" applyBorder="0" applyAlignment="0">
      <alignment horizontal="right"/>
      <protection locked="0"/>
    </xf>
    <xf numFmtId="182" fontId="22" fillId="6" borderId="0" applyFont="0" applyBorder="0">
      <alignment horizontal="right"/>
      <protection locked="0"/>
    </xf>
    <xf numFmtId="182" fontId="22" fillId="6" borderId="0" applyFont="0" applyBorder="0">
      <alignment horizontal="right"/>
      <protection locked="0"/>
    </xf>
    <xf numFmtId="167" fontId="22" fillId="10" borderId="0" applyFont="0" applyBorder="0">
      <alignment horizontal="right"/>
      <protection locked="0"/>
    </xf>
    <xf numFmtId="167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3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4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5" fontId="22" fillId="0" borderId="0" applyFill="0" applyBorder="0"/>
    <xf numFmtId="185" fontId="22" fillId="0" borderId="0" applyFill="0" applyBorder="0"/>
    <xf numFmtId="185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1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6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7" fontId="22" fillId="0" borderId="0"/>
    <xf numFmtId="187" fontId="22" fillId="0" borderId="0"/>
    <xf numFmtId="187" fontId="22" fillId="0" borderId="0"/>
    <xf numFmtId="188" fontId="15" fillId="0" borderId="0" applyFill="0" applyBorder="0">
      <alignment horizontal="right" vertical="center"/>
    </xf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3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1" fontId="22" fillId="0" borderId="7" applyBorder="0" applyProtection="0">
      <alignment horizontal="right"/>
    </xf>
    <xf numFmtId="191" fontId="22" fillId="0" borderId="7" applyBorder="0" applyProtection="0">
      <alignment horizontal="right"/>
    </xf>
    <xf numFmtId="191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6" fillId="42" borderId="0"/>
    <xf numFmtId="202" fontId="77" fillId="0" borderId="23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4" applyNumberFormat="0" applyFont="0" applyAlignment="0"/>
    <xf numFmtId="0" fontId="84" fillId="7" borderId="25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4" applyNumberFormat="0" applyAlignment="0"/>
    <xf numFmtId="0" fontId="77" fillId="0" borderId="0" applyNumberFormat="0" applyFill="0" applyBorder="0"/>
    <xf numFmtId="0" fontId="90" fillId="49" borderId="24" applyNumberFormat="0">
      <protection locked="0"/>
    </xf>
    <xf numFmtId="0" fontId="92" fillId="0" borderId="0"/>
    <xf numFmtId="164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2" fillId="0" borderId="0"/>
    <xf numFmtId="208" fontId="22" fillId="0" borderId="0" applyFill="0" applyBorder="0">
      <alignment vertical="center"/>
    </xf>
    <xf numFmtId="0" fontId="2" fillId="0" borderId="0"/>
    <xf numFmtId="9" fontId="92" fillId="0" borderId="0" applyFont="0" applyFill="0" applyBorder="0" applyAlignment="0" applyProtection="0"/>
    <xf numFmtId="0" fontId="92" fillId="0" borderId="0"/>
    <xf numFmtId="44" fontId="92" fillId="0" borderId="0" applyFont="0" applyFill="0" applyBorder="0" applyAlignment="0" applyProtection="0"/>
    <xf numFmtId="0" fontId="1" fillId="0" borderId="0"/>
    <xf numFmtId="49" fontId="1" fillId="50" borderId="29" applyFont="0" applyAlignment="0">
      <alignment horizontal="left" vertical="center" wrapText="1"/>
      <protection locked="0"/>
    </xf>
    <xf numFmtId="0" fontId="93" fillId="51" borderId="30">
      <alignment horizontal="right" vertical="center" wrapText="1" indent="1"/>
    </xf>
  </cellStyleXfs>
  <cellXfs count="224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 applyAlignment="1" applyProtection="1"/>
    <xf numFmtId="0" fontId="6" fillId="5" borderId="0" xfId="0" applyFont="1" applyFill="1" applyBorder="1"/>
    <xf numFmtId="0" fontId="6" fillId="6" borderId="0" xfId="0" applyFont="1" applyFill="1" applyBorder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5" fontId="12" fillId="0" borderId="6" xfId="0" applyNumberFormat="1" applyFont="1" applyBorder="1" applyAlignment="1">
      <alignment horizontal="center"/>
    </xf>
    <xf numFmtId="168" fontId="17" fillId="0" borderId="0" xfId="3" applyNumberFormat="1" applyFont="1" applyAlignment="1" applyProtection="1"/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72" fontId="15" fillId="0" borderId="0" xfId="5" applyNumberFormat="1" applyFont="1" applyFill="1" applyBorder="1" applyAlignment="1" applyProtection="1">
      <alignment horizontal="center" vertical="center"/>
    </xf>
    <xf numFmtId="173" fontId="12" fillId="0" borderId="0" xfId="5" applyNumberFormat="1" applyFont="1" applyFill="1" applyBorder="1" applyAlignment="1" applyProtection="1">
      <alignment horizontal="center" vertical="center"/>
    </xf>
    <xf numFmtId="173" fontId="20" fillId="0" borderId="0" xfId="5" applyNumberFormat="1" applyFont="1" applyFill="1" applyBorder="1" applyAlignment="1" applyProtection="1">
      <alignment horizontal="center" vertical="center"/>
    </xf>
    <xf numFmtId="174" fontId="6" fillId="0" borderId="0" xfId="0" applyNumberFormat="1" applyFont="1"/>
    <xf numFmtId="176" fontId="15" fillId="0" borderId="0" xfId="5" applyNumberFormat="1" applyFont="1" applyFill="1" applyBorder="1" applyAlignment="1" applyProtection="1">
      <alignment horizontal="center" vertical="center"/>
    </xf>
    <xf numFmtId="168" fontId="6" fillId="3" borderId="0" xfId="0" applyNumberFormat="1" applyFont="1" applyFill="1" applyProtection="1"/>
    <xf numFmtId="168" fontId="7" fillId="3" borderId="0" xfId="0" applyNumberFormat="1" applyFont="1" applyFill="1" applyAlignment="1" applyProtection="1">
      <alignment horizontal="center"/>
    </xf>
    <xf numFmtId="168" fontId="6" fillId="0" borderId="0" xfId="0" applyNumberFormat="1" applyFont="1" applyProtection="1"/>
    <xf numFmtId="168" fontId="7" fillId="0" borderId="0" xfId="0" applyNumberFormat="1" applyFont="1" applyAlignment="1" applyProtection="1">
      <alignment horizontal="center"/>
    </xf>
    <xf numFmtId="168" fontId="12" fillId="0" borderId="0" xfId="0" applyNumberFormat="1" applyFont="1" applyProtection="1"/>
    <xf numFmtId="168" fontId="18" fillId="0" borderId="0" xfId="0" applyNumberFormat="1" applyFont="1" applyAlignment="1" applyProtection="1">
      <alignment horizontal="center"/>
    </xf>
    <xf numFmtId="168" fontId="8" fillId="0" borderId="0" xfId="0" applyNumberFormat="1" applyFont="1" applyAlignment="1" applyProtection="1">
      <alignment horizontal="center"/>
    </xf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Border="1" applyAlignment="1">
      <alignment horizontal="left" vertical="center"/>
    </xf>
    <xf numFmtId="0" fontId="71" fillId="38" borderId="0" xfId="0" applyFont="1" applyFill="1" applyBorder="1" applyAlignment="1">
      <alignment horizontal="left" indent="9"/>
    </xf>
    <xf numFmtId="0" fontId="72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5" fontId="23" fillId="38" borderId="0" xfId="0" applyNumberFormat="1" applyFont="1" applyFill="1" applyBorder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4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3" fillId="38" borderId="0" xfId="0" applyFont="1" applyFill="1" applyBorder="1" applyAlignment="1">
      <alignment horizontal="left"/>
    </xf>
    <xf numFmtId="0" fontId="73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6" fillId="40" borderId="0" xfId="0" applyFont="1" applyFill="1" applyBorder="1" applyAlignment="1">
      <alignment horizontal="center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168" fontId="18" fillId="0" borderId="0" xfId="0" applyNumberFormat="1" applyFont="1" applyAlignment="1" applyProtection="1">
      <alignment horizontal="center" wrapText="1"/>
    </xf>
    <xf numFmtId="192" fontId="6" fillId="41" borderId="3" xfId="0" applyNumberFormat="1" applyFont="1" applyFill="1" applyBorder="1" applyAlignment="1" applyProtection="1">
      <alignment horizontal="center"/>
      <protection locked="0"/>
    </xf>
    <xf numFmtId="196" fontId="6" fillId="0" borderId="0" xfId="0" applyNumberFormat="1" applyFont="1" applyAlignment="1" applyProtection="1">
      <alignment horizontal="left"/>
    </xf>
    <xf numFmtId="194" fontId="6" fillId="0" borderId="0" xfId="0" applyNumberFormat="1" applyFont="1" applyProtection="1"/>
    <xf numFmtId="168" fontId="7" fillId="0" borderId="0" xfId="0" applyNumberFormat="1" applyFont="1" applyAlignment="1" applyProtection="1">
      <alignment horizontal="center" wrapText="1"/>
    </xf>
    <xf numFmtId="168" fontId="8" fillId="0" borderId="0" xfId="0" applyNumberFormat="1" applyFont="1" applyProtection="1"/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1" fillId="38" borderId="0" xfId="0" applyFont="1" applyFill="1" applyBorder="1" applyAlignment="1" applyProtection="1">
      <alignment horizontal="left" vertical="center"/>
    </xf>
    <xf numFmtId="0" fontId="71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6" fillId="40" borderId="0" xfId="0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0" fontId="6" fillId="6" borderId="0" xfId="0" applyFont="1" applyFill="1" applyBorder="1" applyProtection="1"/>
    <xf numFmtId="165" fontId="23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3" fillId="38" borderId="1" xfId="0" applyFont="1" applyFill="1" applyBorder="1" applyAlignment="1" applyProtection="1">
      <alignment horizontal="left"/>
    </xf>
    <xf numFmtId="0" fontId="73" fillId="38" borderId="1" xfId="0" applyFont="1" applyFill="1" applyBorder="1" applyAlignment="1" applyProtection="1">
      <alignment horizontal="left" indent="9"/>
    </xf>
    <xf numFmtId="0" fontId="23" fillId="38" borderId="2" xfId="0" applyNumberFormat="1" applyFont="1" applyFill="1" applyBorder="1" applyProtection="1"/>
    <xf numFmtId="0" fontId="23" fillId="38" borderId="2" xfId="0" applyFont="1" applyFill="1" applyBorder="1" applyProtection="1"/>
    <xf numFmtId="0" fontId="74" fillId="38" borderId="2" xfId="0" applyNumberFormat="1" applyFont="1" applyFill="1" applyBorder="1" applyProtection="1"/>
    <xf numFmtId="0" fontId="74" fillId="39" borderId="4" xfId="0" applyFont="1" applyFill="1" applyBorder="1" applyProtection="1"/>
    <xf numFmtId="0" fontId="74" fillId="39" borderId="4" xfId="0" applyFont="1" applyFill="1" applyBorder="1" applyAlignment="1" applyProtection="1">
      <alignment horizontal="center"/>
    </xf>
    <xf numFmtId="0" fontId="19" fillId="39" borderId="4" xfId="0" applyFont="1" applyFill="1" applyBorder="1" applyAlignment="1" applyProtection="1">
      <alignment horizontal="center" vertical="center"/>
    </xf>
    <xf numFmtId="0" fontId="19" fillId="39" borderId="4" xfId="0" applyFont="1" applyFill="1" applyBorder="1" applyAlignment="1" applyProtection="1">
      <alignment vertical="center"/>
    </xf>
    <xf numFmtId="0" fontId="74" fillId="39" borderId="4" xfId="0" applyFont="1" applyFill="1" applyBorder="1" applyAlignment="1" applyProtection="1">
      <alignment wrapText="1"/>
    </xf>
    <xf numFmtId="164" fontId="19" fillId="39" borderId="4" xfId="0" applyNumberFormat="1" applyFont="1" applyFill="1" applyBorder="1" applyAlignment="1" applyProtection="1">
      <alignment horizontal="center" wrapText="1"/>
    </xf>
    <xf numFmtId="0" fontId="74" fillId="3" borderId="0" xfId="0" applyFont="1" applyFill="1" applyBorder="1" applyAlignment="1" applyProtection="1">
      <alignment wrapText="1"/>
    </xf>
    <xf numFmtId="0" fontId="74" fillId="3" borderId="0" xfId="0" applyFont="1" applyFill="1" applyAlignment="1" applyProtection="1">
      <alignment wrapText="1"/>
    </xf>
    <xf numFmtId="0" fontId="74" fillId="3" borderId="0" xfId="0" applyFont="1" applyFill="1" applyProtection="1"/>
    <xf numFmtId="0" fontId="74" fillId="0" borderId="0" xfId="0" applyFont="1" applyFill="1" applyProtection="1"/>
    <xf numFmtId="0" fontId="74" fillId="0" borderId="0" xfId="0" applyFont="1" applyProtection="1"/>
    <xf numFmtId="0" fontId="0" fillId="39" borderId="4" xfId="0" applyFill="1" applyBorder="1" applyProtection="1"/>
    <xf numFmtId="0" fontId="23" fillId="39" borderId="4" xfId="0" applyFont="1" applyFill="1" applyBorder="1" applyProtection="1"/>
    <xf numFmtId="0" fontId="24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4" fontId="24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8" fillId="0" borderId="0" xfId="0" applyNumberFormat="1" applyFont="1" applyFill="1" applyBorder="1" applyProtection="1"/>
    <xf numFmtId="168" fontId="7" fillId="0" borderId="0" xfId="0" applyNumberFormat="1" applyFont="1" applyFill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Alignment="1" applyProtection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7" fontId="6" fillId="0" borderId="0" xfId="0" applyNumberFormat="1" applyFont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center"/>
    </xf>
    <xf numFmtId="168" fontId="6" fillId="0" borderId="0" xfId="0" applyNumberFormat="1" applyFont="1" applyAlignment="1" applyProtection="1">
      <alignment horizontal="left" indent="1"/>
    </xf>
    <xf numFmtId="168" fontId="7" fillId="0" borderId="7" xfId="0" applyNumberFormat="1" applyFont="1" applyBorder="1" applyAlignment="1" applyProtection="1">
      <alignment horizontal="center"/>
    </xf>
    <xf numFmtId="168" fontId="8" fillId="0" borderId="8" xfId="0" applyNumberFormat="1" applyFont="1" applyBorder="1" applyAlignment="1" applyProtection="1">
      <alignment horizontal="left" indent="1"/>
    </xf>
    <xf numFmtId="168" fontId="7" fillId="0" borderId="8" xfId="0" applyNumberFormat="1" applyFont="1" applyBorder="1" applyAlignment="1" applyProtection="1">
      <alignment horizontal="center"/>
    </xf>
    <xf numFmtId="197" fontId="8" fillId="0" borderId="0" xfId="0" applyNumberFormat="1" applyFont="1" applyAlignment="1" applyProtection="1">
      <alignment horizontal="center"/>
    </xf>
    <xf numFmtId="168" fontId="7" fillId="0" borderId="0" xfId="0" applyNumberFormat="1" applyFont="1" applyAlignment="1" applyProtection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 applyProtection="1"/>
    <xf numFmtId="175" fontId="6" fillId="0" borderId="0" xfId="0" applyNumberFormat="1" applyFont="1" applyAlignment="1" applyProtection="1">
      <alignment horizontal="center"/>
    </xf>
    <xf numFmtId="168" fontId="8" fillId="0" borderId="0" xfId="0" applyNumberFormat="1" applyFont="1" applyBorder="1" applyAlignment="1" applyProtection="1">
      <alignment horizontal="center"/>
    </xf>
    <xf numFmtId="168" fontId="6" fillId="0" borderId="0" xfId="0" applyNumberFormat="1" applyFont="1" applyFill="1" applyAlignment="1" applyProtection="1">
      <alignment horizontal="left" indent="2"/>
    </xf>
    <xf numFmtId="168" fontId="18" fillId="0" borderId="8" xfId="0" applyNumberFormat="1" applyFont="1" applyBorder="1" applyAlignment="1" applyProtection="1">
      <alignment horizontal="center"/>
    </xf>
    <xf numFmtId="168" fontId="8" fillId="0" borderId="0" xfId="0" applyNumberFormat="1" applyFont="1" applyBorder="1" applyAlignment="1" applyProtection="1">
      <alignment horizontal="left" indent="1"/>
    </xf>
    <xf numFmtId="168" fontId="8" fillId="0" borderId="0" xfId="0" applyNumberFormat="1" applyFont="1" applyBorder="1" applyProtection="1"/>
    <xf numFmtId="194" fontId="8" fillId="0" borderId="0" xfId="0" applyNumberFormat="1" applyFont="1" applyBorder="1" applyAlignment="1" applyProtection="1">
      <alignment horizontal="center"/>
    </xf>
    <xf numFmtId="168" fontId="18" fillId="0" borderId="0" xfId="0" applyNumberFormat="1" applyFont="1" applyBorder="1" applyAlignment="1" applyProtection="1">
      <alignment horizontal="center"/>
    </xf>
    <xf numFmtId="200" fontId="6" fillId="0" borderId="0" xfId="0" applyNumberFormat="1" applyFont="1" applyAlignment="1" applyProtection="1">
      <alignment horizontal="center"/>
    </xf>
    <xf numFmtId="200" fontId="8" fillId="0" borderId="0" xfId="0" applyNumberFormat="1" applyFont="1" applyAlignment="1" applyProtection="1">
      <alignment horizontal="center"/>
    </xf>
    <xf numFmtId="198" fontId="12" fillId="0" borderId="4" xfId="5" applyNumberFormat="1" applyFont="1" applyFill="1" applyBorder="1" applyAlignment="1" applyProtection="1">
      <alignment horizontal="center" vertical="center"/>
    </xf>
    <xf numFmtId="49" fontId="7" fillId="41" borderId="22" xfId="0" applyNumberFormat="1" applyFont="1" applyFill="1" applyBorder="1" applyAlignment="1" applyProtection="1">
      <alignment horizontal="center"/>
      <protection locked="0"/>
    </xf>
    <xf numFmtId="165" fontId="12" fillId="0" borderId="3" xfId="0" applyNumberFormat="1" applyFont="1" applyBorder="1" applyAlignment="1" applyProtection="1">
      <alignment horizontal="center"/>
    </xf>
    <xf numFmtId="165" fontId="12" fillId="0" borderId="0" xfId="0" applyNumberFormat="1" applyFont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0" fontId="10" fillId="38" borderId="2" xfId="0" applyFont="1" applyFill="1" applyBorder="1" applyProtection="1"/>
    <xf numFmtId="0" fontId="11" fillId="38" borderId="2" xfId="0" applyNumberFormat="1" applyFont="1" applyFill="1" applyBorder="1" applyAlignment="1" applyProtection="1">
      <alignment horizontal="center"/>
    </xf>
    <xf numFmtId="0" fontId="11" fillId="38" borderId="2" xfId="0" applyNumberFormat="1" applyFont="1" applyFill="1" applyBorder="1" applyProtection="1"/>
    <xf numFmtId="168" fontId="8" fillId="0" borderId="7" xfId="0" applyNumberFormat="1" applyFont="1" applyBorder="1" applyProtection="1"/>
    <xf numFmtId="168" fontId="6" fillId="0" borderId="7" xfId="0" applyNumberFormat="1" applyFont="1" applyBorder="1" applyProtection="1"/>
    <xf numFmtId="168" fontId="8" fillId="0" borderId="4" xfId="0" applyNumberFormat="1" applyFont="1" applyBorder="1" applyAlignment="1" applyProtection="1">
      <alignment horizontal="left"/>
    </xf>
    <xf numFmtId="168" fontId="7" fillId="0" borderId="4" xfId="0" applyNumberFormat="1" applyFont="1" applyBorder="1" applyAlignment="1" applyProtection="1">
      <alignment horizontal="center"/>
    </xf>
    <xf numFmtId="165" fontId="6" fillId="0" borderId="0" xfId="0" applyNumberFormat="1" applyFont="1" applyProtection="1"/>
    <xf numFmtId="168" fontId="6" fillId="0" borderId="0" xfId="0" applyNumberFormat="1" applyFont="1" applyBorder="1" applyProtection="1"/>
    <xf numFmtId="10" fontId="6" fillId="0" borderId="0" xfId="2" applyNumberFormat="1" applyFont="1" applyBorder="1" applyAlignment="1" applyProtection="1">
      <alignment horizontal="center"/>
    </xf>
    <xf numFmtId="168" fontId="7" fillId="0" borderId="0" xfId="6" applyNumberFormat="1" applyFont="1" applyAlignment="1" applyProtection="1">
      <alignment horizontal="center"/>
    </xf>
    <xf numFmtId="175" fontId="6" fillId="0" borderId="0" xfId="0" applyNumberFormat="1" applyFont="1" applyProtection="1"/>
    <xf numFmtId="193" fontId="6" fillId="8" borderId="3" xfId="0" applyNumberFormat="1" applyFont="1" applyFill="1" applyBorder="1" applyAlignment="1" applyProtection="1">
      <alignment horizontal="left" indent="1"/>
    </xf>
    <xf numFmtId="0" fontId="75" fillId="39" borderId="4" xfId="0" applyFont="1" applyFill="1" applyBorder="1" applyAlignment="1" applyProtection="1"/>
    <xf numFmtId="195" fontId="7" fillId="41" borderId="3" xfId="2" applyNumberFormat="1" applyFont="1" applyFill="1" applyBorder="1" applyAlignment="1" applyProtection="1">
      <alignment horizontal="center"/>
      <protection locked="0"/>
    </xf>
    <xf numFmtId="199" fontId="8" fillId="0" borderId="0" xfId="0" applyNumberFormat="1" applyFont="1" applyBorder="1" applyAlignment="1" applyProtection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 applyProtection="1">
      <alignment horizontal="center" wrapText="1"/>
    </xf>
    <xf numFmtId="204" fontId="91" fillId="38" borderId="2" xfId="0" applyNumberFormat="1" applyFont="1" applyFill="1" applyBorder="1" applyAlignment="1" applyProtection="1">
      <alignment horizontal="center"/>
    </xf>
    <xf numFmtId="204" fontId="74" fillId="38" borderId="2" xfId="0" applyNumberFormat="1" applyFont="1" applyFill="1" applyBorder="1" applyAlignment="1" applyProtection="1">
      <alignment horizontal="left"/>
    </xf>
    <xf numFmtId="204" fontId="8" fillId="0" borderId="7" xfId="0" applyNumberFormat="1" applyFont="1" applyBorder="1" applyAlignment="1" applyProtection="1">
      <alignment horizontal="center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 applyProtection="1">
      <alignment horizontal="center"/>
    </xf>
    <xf numFmtId="204" fontId="7" fillId="41" borderId="22" xfId="0" applyNumberFormat="1" applyFont="1" applyFill="1" applyBorder="1" applyAlignment="1" applyProtection="1">
      <alignment horizontal="center"/>
      <protection locked="0"/>
    </xf>
    <xf numFmtId="204" fontId="8" fillId="0" borderId="0" xfId="0" applyNumberFormat="1" applyFont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Fill="1" applyBorder="1" applyProtection="1"/>
    <xf numFmtId="204" fontId="6" fillId="0" borderId="0" xfId="0" applyNumberFormat="1" applyFont="1" applyAlignment="1" applyProtection="1">
      <alignment horizontal="left" indent="1"/>
    </xf>
    <xf numFmtId="168" fontId="14" fillId="0" borderId="0" xfId="3" applyNumberFormat="1" applyAlignment="1" applyProtection="1">
      <alignment horizontal="center"/>
    </xf>
    <xf numFmtId="10" fontId="6" fillId="41" borderId="26" xfId="2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195" fontId="6" fillId="0" borderId="0" xfId="2" applyNumberFormat="1" applyFont="1" applyFill="1" applyBorder="1" applyAlignment="1" applyProtection="1">
      <alignment horizontal="center"/>
      <protection locked="0"/>
    </xf>
    <xf numFmtId="204" fontId="6" fillId="41" borderId="3" xfId="2" applyNumberFormat="1" applyFont="1" applyFill="1" applyBorder="1" applyAlignment="1" applyProtection="1">
      <alignment horizontal="center"/>
      <protection locked="0"/>
    </xf>
    <xf numFmtId="0" fontId="74" fillId="38" borderId="27" xfId="0" applyNumberFormat="1" applyFont="1" applyFill="1" applyBorder="1" applyAlignment="1" applyProtection="1"/>
    <xf numFmtId="168" fontId="6" fillId="0" borderId="0" xfId="0" applyNumberFormat="1" applyFont="1" applyBorder="1" applyAlignment="1" applyProtection="1">
      <alignment horizontal="center"/>
    </xf>
    <xf numFmtId="204" fontId="18" fillId="0" borderId="0" xfId="0" applyNumberFormat="1" applyFont="1" applyAlignment="1" applyProtection="1">
      <alignment horizontal="center"/>
    </xf>
    <xf numFmtId="200" fontId="6" fillId="0" borderId="0" xfId="0" applyNumberFormat="1" applyFont="1" applyBorder="1" applyAlignment="1" applyProtection="1">
      <alignment horizontal="center"/>
    </xf>
    <xf numFmtId="200" fontId="8" fillId="0" borderId="0" xfId="0" applyNumberFormat="1" applyFont="1" applyBorder="1" applyAlignment="1" applyProtection="1">
      <alignment horizontal="center"/>
    </xf>
    <xf numFmtId="197" fontId="8" fillId="0" borderId="0" xfId="0" applyNumberFormat="1" applyFont="1" applyBorder="1" applyAlignment="1" applyProtection="1">
      <alignment horizontal="center"/>
    </xf>
    <xf numFmtId="168" fontId="8" fillId="0" borderId="7" xfId="0" applyNumberFormat="1" applyFont="1" applyBorder="1" applyAlignment="1" applyProtection="1">
      <alignment horizontal="left" indent="1"/>
    </xf>
    <xf numFmtId="204" fontId="7" fillId="0" borderId="7" xfId="0" applyNumberFormat="1" applyFont="1" applyBorder="1" applyAlignment="1" applyProtection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1" fontId="6" fillId="0" borderId="3" xfId="0" applyNumberFormat="1" applyFont="1" applyFill="1" applyBorder="1" applyAlignment="1" applyProtection="1">
      <alignment horizontal="center"/>
      <protection locked="0"/>
    </xf>
    <xf numFmtId="204" fontId="6" fillId="0" borderId="3" xfId="0" applyNumberFormat="1" applyFont="1" applyFill="1" applyBorder="1" applyAlignment="1" applyProtection="1">
      <alignment horizontal="center"/>
      <protection locked="0"/>
    </xf>
    <xf numFmtId="2" fontId="12" fillId="0" borderId="4" xfId="5" applyNumberFormat="1" applyFont="1" applyFill="1" applyBorder="1" applyAlignment="1" applyProtection="1">
      <alignment horizontal="center" vertical="center"/>
    </xf>
    <xf numFmtId="0" fontId="14" fillId="38" borderId="0" xfId="3" applyFill="1" applyBorder="1" applyAlignment="1" applyProtection="1">
      <alignment horizontal="right"/>
    </xf>
    <xf numFmtId="194" fontId="6" fillId="0" borderId="0" xfId="0" applyNumberFormat="1" applyFont="1" applyProtection="1">
      <protection locked="0"/>
    </xf>
    <xf numFmtId="194" fontId="8" fillId="0" borderId="0" xfId="0" applyNumberFormat="1" applyFont="1" applyProtection="1">
      <protection locked="0"/>
    </xf>
    <xf numFmtId="49" fontId="7" fillId="0" borderId="22" xfId="0" applyNumberFormat="1" applyFont="1" applyFill="1" applyBorder="1" applyAlignment="1" applyProtection="1">
      <alignment horizontal="center"/>
    </xf>
    <xf numFmtId="204" fontId="7" fillId="0" borderId="22" xfId="0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</xf>
    <xf numFmtId="181" fontId="6" fillId="0" borderId="0" xfId="2" applyNumberFormat="1" applyFont="1" applyAlignment="1" applyProtection="1">
      <alignment horizontal="center"/>
      <protection locked="0"/>
    </xf>
    <xf numFmtId="173" fontId="12" fillId="0" borderId="0" xfId="5" applyNumberFormat="1" applyFont="1" applyFill="1" applyBorder="1" applyAlignment="1" applyProtection="1">
      <alignment horizontal="center" vertical="center"/>
      <protection locked="0"/>
    </xf>
    <xf numFmtId="168" fontId="15" fillId="0" borderId="0" xfId="5" applyNumberFormat="1" applyFont="1" applyFill="1" applyBorder="1" applyAlignment="1" applyProtection="1">
      <alignment horizontal="center" vertic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168" fontId="6" fillId="0" borderId="0" xfId="0" applyNumberFormat="1" applyFont="1" applyFill="1" applyProtection="1"/>
    <xf numFmtId="49" fontId="6" fillId="0" borderId="3" xfId="0" applyNumberFormat="1" applyFont="1" applyFill="1" applyBorder="1" applyAlignment="1" applyProtection="1">
      <alignment horizontal="left" indent="1"/>
      <protection locked="0"/>
    </xf>
    <xf numFmtId="204" fontId="6" fillId="0" borderId="0" xfId="2" applyNumberFormat="1" applyFont="1" applyFill="1" applyBorder="1" applyAlignment="1" applyProtection="1">
      <alignment horizontal="center"/>
      <protection locked="0"/>
    </xf>
    <xf numFmtId="168" fontId="18" fillId="0" borderId="0" xfId="0" applyNumberFormat="1" applyFont="1" applyFill="1" applyAlignment="1" applyProtection="1">
      <alignment horizontal="center"/>
    </xf>
    <xf numFmtId="168" fontId="6" fillId="0" borderId="0" xfId="0" applyNumberFormat="1" applyFont="1" applyFill="1" applyBorder="1" applyAlignment="1" applyProtection="1">
      <alignment horizontal="center"/>
      <protection locked="0"/>
    </xf>
    <xf numFmtId="181" fontId="6" fillId="0" borderId="0" xfId="2" applyNumberFormat="1" applyFont="1" applyFill="1" applyBorder="1" applyAlignment="1" applyProtection="1">
      <alignment horizontal="center"/>
      <protection locked="0"/>
    </xf>
    <xf numFmtId="204" fontId="7" fillId="0" borderId="22" xfId="0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168" fontId="7" fillId="0" borderId="0" xfId="0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0" fontId="15" fillId="0" borderId="0" xfId="2" applyNumberFormat="1" applyFont="1" applyFill="1" applyBorder="1" applyAlignment="1" applyProtection="1">
      <alignment horizontal="center" vertical="center"/>
    </xf>
    <xf numFmtId="10" fontId="6" fillId="0" borderId="0" xfId="2" applyNumberFormat="1" applyFont="1" applyProtection="1">
      <protection locked="0"/>
    </xf>
    <xf numFmtId="204" fontId="15" fillId="8" borderId="9" xfId="0" applyNumberFormat="1" applyFont="1" applyFill="1" applyBorder="1" applyAlignment="1" applyProtection="1">
      <alignment horizontal="center"/>
      <protection locked="0"/>
    </xf>
    <xf numFmtId="193" fontId="8" fillId="8" borderId="28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204" fontId="6" fillId="0" borderId="0" xfId="0" applyNumberFormat="1" applyFont="1" applyFill="1" applyBorder="1" applyAlignment="1" applyProtection="1">
      <alignment horizontal="center"/>
      <protection locked="0"/>
    </xf>
    <xf numFmtId="168" fontId="7" fillId="41" borderId="3" xfId="0" applyNumberFormat="1" applyFont="1" applyFill="1" applyBorder="1" applyAlignment="1" applyProtection="1">
      <alignment horizontal="center"/>
    </xf>
    <xf numFmtId="204" fontId="7" fillId="41" borderId="3" xfId="0" applyNumberFormat="1" applyFont="1" applyFill="1" applyBorder="1" applyAlignment="1" applyProtection="1">
      <alignment horizontal="center"/>
    </xf>
    <xf numFmtId="0" fontId="72" fillId="38" borderId="0" xfId="3" applyFont="1" applyFill="1" applyBorder="1" applyAlignment="1" applyProtection="1"/>
    <xf numFmtId="10" fontId="6" fillId="41" borderId="3" xfId="2" applyNumberFormat="1" applyFont="1" applyFill="1" applyBorder="1" applyAlignment="1" applyProtection="1">
      <alignment horizontal="center"/>
    </xf>
    <xf numFmtId="0" fontId="74" fillId="38" borderId="2" xfId="0" applyNumberFormat="1" applyFont="1" applyFill="1" applyBorder="1" applyAlignment="1" applyProtection="1">
      <alignment horizontal="center"/>
    </xf>
    <xf numFmtId="204" fontId="74" fillId="39" borderId="4" xfId="0" applyNumberFormat="1" applyFont="1" applyFill="1" applyBorder="1" applyAlignment="1" applyProtection="1">
      <alignment horizontal="center" vertical="center" wrapText="1"/>
    </xf>
    <xf numFmtId="193" fontId="6" fillId="8" borderId="0" xfId="0" applyNumberFormat="1" applyFont="1" applyFill="1" applyBorder="1" applyAlignment="1" applyProtection="1">
      <alignment horizontal="left" indent="1"/>
    </xf>
    <xf numFmtId="165" fontId="6" fillId="0" borderId="0" xfId="0" applyNumberFormat="1" applyFont="1" applyProtection="1">
      <protection locked="0"/>
    </xf>
    <xf numFmtId="209" fontId="6" fillId="0" borderId="0" xfId="0" applyNumberFormat="1" applyFont="1" applyProtection="1"/>
    <xf numFmtId="168" fontId="15" fillId="0" borderId="0" xfId="0" applyNumberFormat="1" applyFont="1" applyAlignment="1" applyProtection="1">
      <alignment horizontal="center"/>
      <protection locked="0"/>
    </xf>
    <xf numFmtId="0" fontId="74" fillId="38" borderId="2" xfId="0" applyNumberFormat="1" applyFont="1" applyFill="1" applyBorder="1" applyAlignment="1" applyProtection="1">
      <alignment horizontal="center"/>
    </xf>
    <xf numFmtId="165" fontId="12" fillId="0" borderId="0" xfId="0" applyNumberFormat="1" applyFont="1" applyBorder="1" applyAlignment="1">
      <alignment horizontal="center"/>
    </xf>
  </cellXfs>
  <cellStyles count="279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2" xfId="8" xr:uid="{00000000-0005-0000-0000-000044000000}"/>
    <cellStyle name="Comma 2 2" xfId="73" xr:uid="{00000000-0005-0000-0000-000045000000}"/>
    <cellStyle name="Comma 2 3" xfId="74" xr:uid="{00000000-0005-0000-0000-000046000000}"/>
    <cellStyle name="Comma 2 3 2" xfId="75" xr:uid="{00000000-0005-0000-0000-000047000000}"/>
    <cellStyle name="Comma 2 4" xfId="76" xr:uid="{00000000-0005-0000-0000-000048000000}"/>
    <cellStyle name="Comma 2 5" xfId="77" xr:uid="{00000000-0005-0000-0000-000049000000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4" xfId="81" xr:uid="{00000000-0005-0000-0000-00004D000000}"/>
    <cellStyle name="Comma 5" xfId="82" xr:uid="{00000000-0005-0000-0000-00004E000000}"/>
    <cellStyle name="Comma 6" xfId="83" xr:uid="{00000000-0005-0000-0000-00004F000000}"/>
    <cellStyle name="Comma 7" xfId="84" xr:uid="{00000000-0005-0000-0000-000050000000}"/>
    <cellStyle name="Comma 8" xfId="85" xr:uid="{00000000-0005-0000-0000-000051000000}"/>
    <cellStyle name="Comma 9" xfId="267" xr:uid="{00000000-0005-0000-0000-000052000000}"/>
    <cellStyle name="Comma0" xfId="86" xr:uid="{00000000-0005-0000-0000-000053000000}"/>
    <cellStyle name="Currency 11" xfId="87" xr:uid="{00000000-0005-0000-0000-000054000000}"/>
    <cellStyle name="Currency 11 2" xfId="88" xr:uid="{00000000-0005-0000-0000-000055000000}"/>
    <cellStyle name="Currency 2" xfId="89" xr:uid="{00000000-0005-0000-0000-000056000000}"/>
    <cellStyle name="Currency 2 2" xfId="90" xr:uid="{00000000-0005-0000-0000-000057000000}"/>
    <cellStyle name="Currency 2 3" xfId="275" xr:uid="{00000000-0005-0000-0000-000058000000}"/>
    <cellStyle name="Currency 3" xfId="91" xr:uid="{00000000-0005-0000-0000-000059000000}"/>
    <cellStyle name="Currency 3 2" xfId="92" xr:uid="{00000000-0005-0000-0000-00005A000000}"/>
    <cellStyle name="Currency 4" xfId="93" xr:uid="{00000000-0005-0000-0000-00005B000000}"/>
    <cellStyle name="Currency 4 2" xfId="94" xr:uid="{00000000-0005-0000-0000-00005C000000}"/>
    <cellStyle name="Currency 5" xfId="243" xr:uid="{00000000-0005-0000-0000-00005D000000}"/>
    <cellStyle name="Currency 6" xfId="265" xr:uid="{00000000-0005-0000-0000-00005E000000}"/>
    <cellStyle name="D4_B8B1_005004B79812_.wvu.PrintTitlest" xfId="95" xr:uid="{00000000-0005-0000-0000-00005F000000}"/>
    <cellStyle name="Date" xfId="96" xr:uid="{00000000-0005-0000-0000-000060000000}"/>
    <cellStyle name="Date 2" xfId="97" xr:uid="{00000000-0005-0000-0000-000061000000}"/>
    <cellStyle name="dms_BY1" xfId="278" xr:uid="{00000000-0005-0000-0000-000062000000}"/>
    <cellStyle name="Emphasis 1" xfId="98" xr:uid="{00000000-0005-0000-0000-000066000000}"/>
    <cellStyle name="Emphasis 2" xfId="99" xr:uid="{00000000-0005-0000-0000-000067000000}"/>
    <cellStyle name="Emphasis 3" xfId="100" xr:uid="{00000000-0005-0000-0000-000068000000}"/>
    <cellStyle name="Empty_Cell" xfId="247" xr:uid="{00000000-0005-0000-0000-000069000000}"/>
    <cellStyle name="Euro" xfId="101" xr:uid="{00000000-0005-0000-0000-00006A000000}"/>
    <cellStyle name="Explanatory Text 2" xfId="102" xr:uid="{00000000-0005-0000-0000-00006B000000}"/>
    <cellStyle name="Fixed" xfId="103" xr:uid="{00000000-0005-0000-0000-00006C000000}"/>
    <cellStyle name="Fixed 2" xfId="104" xr:uid="{00000000-0005-0000-0000-00006D000000}"/>
    <cellStyle name="Gilsans" xfId="105" xr:uid="{00000000-0005-0000-0000-00006E000000}"/>
    <cellStyle name="Gilsansl" xfId="106" xr:uid="{00000000-0005-0000-0000-00006F000000}"/>
    <cellStyle name="Good 2" xfId="107" xr:uid="{00000000-0005-0000-0000-000070000000}"/>
    <cellStyle name="Header1" xfId="248" xr:uid="{00000000-0005-0000-0000-000071000000}"/>
    <cellStyle name="Header2" xfId="249" xr:uid="{00000000-0005-0000-0000-000072000000}"/>
    <cellStyle name="Header3" xfId="250" xr:uid="{00000000-0005-0000-0000-000073000000}"/>
    <cellStyle name="Header4" xfId="251" xr:uid="{00000000-0005-0000-0000-000074000000}"/>
    <cellStyle name="Header5" xfId="252" xr:uid="{00000000-0005-0000-0000-000075000000}"/>
    <cellStyle name="Heading 1 2" xfId="108" xr:uid="{00000000-0005-0000-0000-000076000000}"/>
    <cellStyle name="Heading 1 2 2" xfId="109" xr:uid="{00000000-0005-0000-0000-000077000000}"/>
    <cellStyle name="Heading 1 3" xfId="110" xr:uid="{00000000-0005-0000-0000-000078000000}"/>
    <cellStyle name="Heading 2 2" xfId="111" xr:uid="{00000000-0005-0000-0000-000079000000}"/>
    <cellStyle name="Heading 2 2 2" xfId="112" xr:uid="{00000000-0005-0000-0000-00007A000000}"/>
    <cellStyle name="Heading 2 3" xfId="113" xr:uid="{00000000-0005-0000-0000-00007B000000}"/>
    <cellStyle name="Heading 3 2" xfId="114" xr:uid="{00000000-0005-0000-0000-00007C000000}"/>
    <cellStyle name="Heading 3 2 2" xfId="115" xr:uid="{00000000-0005-0000-0000-00007D000000}"/>
    <cellStyle name="Heading 3 3" xfId="116" xr:uid="{00000000-0005-0000-0000-00007E000000}"/>
    <cellStyle name="Heading 4 2" xfId="117" xr:uid="{00000000-0005-0000-0000-00007F000000}"/>
    <cellStyle name="Heading 4 2 2" xfId="118" xr:uid="{00000000-0005-0000-0000-000080000000}"/>
    <cellStyle name="Heading 4 3" xfId="119" xr:uid="{00000000-0005-0000-0000-000081000000}"/>
    <cellStyle name="Heading(4)" xfId="120" xr:uid="{00000000-0005-0000-0000-000082000000}"/>
    <cellStyle name="Hyperlink" xfId="3" builtinId="8"/>
    <cellStyle name="Hyperlink 2" xfId="121" xr:uid="{00000000-0005-0000-0000-000084000000}"/>
    <cellStyle name="Hyperlink Arrow" xfId="122" xr:uid="{00000000-0005-0000-0000-000085000000}"/>
    <cellStyle name="Hyperlink Text" xfId="123" xr:uid="{00000000-0005-0000-0000-000086000000}"/>
    <cellStyle name="Input 2" xfId="124" xr:uid="{00000000-0005-0000-0000-000087000000}"/>
    <cellStyle name="Input|Date" xfId="1" xr:uid="{00000000-0005-0000-0000-000088000000}"/>
    <cellStyle name="Input1" xfId="125" xr:uid="{00000000-0005-0000-0000-000089000000}"/>
    <cellStyle name="Input1 2" xfId="126" xr:uid="{00000000-0005-0000-0000-00008A000000}"/>
    <cellStyle name="Input2" xfId="127" xr:uid="{00000000-0005-0000-0000-00008B000000}"/>
    <cellStyle name="Input2 2" xfId="128" xr:uid="{00000000-0005-0000-0000-00008C000000}"/>
    <cellStyle name="Input3" xfId="129" xr:uid="{00000000-0005-0000-0000-00008D000000}"/>
    <cellStyle name="Input3 2" xfId="130" xr:uid="{00000000-0005-0000-0000-00008E000000}"/>
    <cellStyle name="InputCellText" xfId="277" xr:uid="{00000000-0005-0000-0000-00008F000000}"/>
    <cellStyle name="Inputs_Divider" xfId="253" xr:uid="{00000000-0005-0000-0000-000090000000}"/>
    <cellStyle name="InSheet" xfId="254" xr:uid="{00000000-0005-0000-0000-000091000000}"/>
    <cellStyle name="K_Number" xfId="271" xr:uid="{00000000-0005-0000-0000-000092000000}"/>
    <cellStyle name="Lines" xfId="131" xr:uid="{00000000-0005-0000-0000-000093000000}"/>
    <cellStyle name="Linked Cell 2" xfId="132" xr:uid="{00000000-0005-0000-0000-000094000000}"/>
    <cellStyle name="Mine" xfId="133" xr:uid="{00000000-0005-0000-0000-000095000000}"/>
    <cellStyle name="Model Name" xfId="134" xr:uid="{00000000-0005-0000-0000-000096000000}"/>
    <cellStyle name="Neutral 2" xfId="135" xr:uid="{00000000-0005-0000-0000-000097000000}"/>
    <cellStyle name="Normal" xfId="0" builtinId="0"/>
    <cellStyle name="Normal - Style1" xfId="136" xr:uid="{00000000-0005-0000-0000-000099000000}"/>
    <cellStyle name="Normal 10" xfId="241" xr:uid="{00000000-0005-0000-0000-00009A000000}"/>
    <cellStyle name="Normal 11" xfId="264" xr:uid="{00000000-0005-0000-0000-00009B000000}"/>
    <cellStyle name="Normal 12" xfId="268" xr:uid="{00000000-0005-0000-0000-00009C000000}"/>
    <cellStyle name="Normal 13" xfId="137" xr:uid="{00000000-0005-0000-0000-00009D000000}"/>
    <cellStyle name="Normal 13 2" xfId="7" xr:uid="{00000000-0005-0000-0000-00009E000000}"/>
    <cellStyle name="Normal 13_29(d) - Gas extensions -tariffs" xfId="138" xr:uid="{00000000-0005-0000-0000-00009F000000}"/>
    <cellStyle name="Normal 14" xfId="272" xr:uid="{00000000-0005-0000-0000-0000A0000000}"/>
    <cellStyle name="Normal 15" xfId="139" xr:uid="{00000000-0005-0000-0000-0000A1000000}"/>
    <cellStyle name="Normal 16" xfId="140" xr:uid="{00000000-0005-0000-0000-0000A2000000}"/>
    <cellStyle name="Normal 16 3" xfId="274" xr:uid="{00000000-0005-0000-0000-0000A3000000}"/>
    <cellStyle name="Normal 17" xfId="276" xr:uid="{00000000-0005-0000-0000-0000A4000000}"/>
    <cellStyle name="Normal 2" xfId="141" xr:uid="{00000000-0005-0000-0000-0000A5000000}"/>
    <cellStyle name="Normal 2 2" xfId="142" xr:uid="{00000000-0005-0000-0000-0000A6000000}"/>
    <cellStyle name="Normal 2 2 2" xfId="143" xr:uid="{00000000-0005-0000-0000-0000A7000000}"/>
    <cellStyle name="Normal 2 3" xfId="144" xr:uid="{00000000-0005-0000-0000-0000A8000000}"/>
    <cellStyle name="Normal 2 3 2" xfId="145" xr:uid="{00000000-0005-0000-0000-0000A9000000}"/>
    <cellStyle name="Normal 2 3_29(d) - Gas extensions -tariffs" xfId="146" xr:uid="{00000000-0005-0000-0000-0000AA000000}"/>
    <cellStyle name="Normal 2 4" xfId="147" xr:uid="{00000000-0005-0000-0000-0000AB000000}"/>
    <cellStyle name="Normal 2 5" xfId="148" xr:uid="{00000000-0005-0000-0000-0000AC000000}"/>
    <cellStyle name="Normal 2_29(d) - Gas extensions -tariffs" xfId="149" xr:uid="{00000000-0005-0000-0000-0000AD000000}"/>
    <cellStyle name="Normal 3" xfId="150" xr:uid="{00000000-0005-0000-0000-0000AE000000}"/>
    <cellStyle name="Normal 3 2" xfId="151" xr:uid="{00000000-0005-0000-0000-0000AF000000}"/>
    <cellStyle name="Normal 3_29(d) - Gas extensions -tariffs" xfId="152" xr:uid="{00000000-0005-0000-0000-0000B0000000}"/>
    <cellStyle name="Normal 38" xfId="153" xr:uid="{00000000-0005-0000-0000-0000B1000000}"/>
    <cellStyle name="Normal 38 2" xfId="154" xr:uid="{00000000-0005-0000-0000-0000B2000000}"/>
    <cellStyle name="Normal 38_29(d) - Gas extensions -tariffs" xfId="155" xr:uid="{00000000-0005-0000-0000-0000B3000000}"/>
    <cellStyle name="Normal 4" xfId="156" xr:uid="{00000000-0005-0000-0000-0000B4000000}"/>
    <cellStyle name="Normal 4 2" xfId="157" xr:uid="{00000000-0005-0000-0000-0000B5000000}"/>
    <cellStyle name="Normal 4 3" xfId="158" xr:uid="{00000000-0005-0000-0000-0000B6000000}"/>
    <cellStyle name="Normal 4_29(d) - Gas extensions -tariffs" xfId="159" xr:uid="{00000000-0005-0000-0000-0000B7000000}"/>
    <cellStyle name="Normal 40" xfId="160" xr:uid="{00000000-0005-0000-0000-0000B8000000}"/>
    <cellStyle name="Normal 40 2" xfId="161" xr:uid="{00000000-0005-0000-0000-0000B9000000}"/>
    <cellStyle name="Normal 40_29(d) - Gas extensions -tariffs" xfId="162" xr:uid="{00000000-0005-0000-0000-0000BA000000}"/>
    <cellStyle name="Normal 42" xfId="270" xr:uid="{00000000-0005-0000-0000-0000BB000000}"/>
    <cellStyle name="Normal 5" xfId="163" xr:uid="{00000000-0005-0000-0000-0000BC000000}"/>
    <cellStyle name="Normal 5 2" xfId="164" xr:uid="{00000000-0005-0000-0000-0000BD000000}"/>
    <cellStyle name="Normal 6" xfId="165" xr:uid="{00000000-0005-0000-0000-0000BE000000}"/>
    <cellStyle name="Normal 6 2" xfId="166" xr:uid="{00000000-0005-0000-0000-0000BF000000}"/>
    <cellStyle name="Normal 7" xfId="9" xr:uid="{00000000-0005-0000-0000-0000C0000000}"/>
    <cellStyle name="Normal 7 2" xfId="167" xr:uid="{00000000-0005-0000-0000-0000C1000000}"/>
    <cellStyle name="Normal 8" xfId="168" xr:uid="{00000000-0005-0000-0000-0000C2000000}"/>
    <cellStyle name="Normal 9" xfId="169" xr:uid="{00000000-0005-0000-0000-0000C3000000}"/>
    <cellStyle name="Note 2" xfId="170" xr:uid="{00000000-0005-0000-0000-0000C4000000}"/>
    <cellStyle name="OffSheet" xfId="255" xr:uid="{00000000-0005-0000-0000-0000C5000000}"/>
    <cellStyle name="Output 2" xfId="171" xr:uid="{00000000-0005-0000-0000-0000C6000000}"/>
    <cellStyle name="Percent" xfId="2" builtinId="5"/>
    <cellStyle name="Percent [2]" xfId="172" xr:uid="{00000000-0005-0000-0000-0000C8000000}"/>
    <cellStyle name="Percent [2] 2" xfId="173" xr:uid="{00000000-0005-0000-0000-0000C9000000}"/>
    <cellStyle name="Percent [2]_29(d) - Gas extensions -tariffs" xfId="174" xr:uid="{00000000-0005-0000-0000-0000CA000000}"/>
    <cellStyle name="Percent 2" xfId="4" xr:uid="{00000000-0005-0000-0000-0000CB000000}"/>
    <cellStyle name="Percent 2 2" xfId="175" xr:uid="{00000000-0005-0000-0000-0000CC000000}"/>
    <cellStyle name="Percent 3" xfId="176" xr:uid="{00000000-0005-0000-0000-0000CD000000}"/>
    <cellStyle name="Percent 3 2" xfId="177" xr:uid="{00000000-0005-0000-0000-0000CE000000}"/>
    <cellStyle name="Percent 3 3" xfId="273" xr:uid="{00000000-0005-0000-0000-0000CF000000}"/>
    <cellStyle name="Percent 4" xfId="178" xr:uid="{00000000-0005-0000-0000-0000D0000000}"/>
    <cellStyle name="Percent 5" xfId="242" xr:uid="{00000000-0005-0000-0000-0000D1000000}"/>
    <cellStyle name="Percent 6" xfId="266" xr:uid="{00000000-0005-0000-0000-0000D2000000}"/>
    <cellStyle name="Percent 7" xfId="179" xr:uid="{00000000-0005-0000-0000-0000D3000000}"/>
    <cellStyle name="Percent 8" xfId="269" xr:uid="{00000000-0005-0000-0000-0000D4000000}"/>
    <cellStyle name="Percentage" xfId="180" xr:uid="{00000000-0005-0000-0000-0000D5000000}"/>
    <cellStyle name="Period Title" xfId="181" xr:uid="{00000000-0005-0000-0000-0000D6000000}"/>
    <cellStyle name="PSChar" xfId="182" xr:uid="{00000000-0005-0000-0000-0000D7000000}"/>
    <cellStyle name="PSDate" xfId="183" xr:uid="{00000000-0005-0000-0000-0000D8000000}"/>
    <cellStyle name="PSDec" xfId="184" xr:uid="{00000000-0005-0000-0000-0000D9000000}"/>
    <cellStyle name="PSDetail" xfId="185" xr:uid="{00000000-0005-0000-0000-0000DA000000}"/>
    <cellStyle name="PSHeading" xfId="186" xr:uid="{00000000-0005-0000-0000-0000DB000000}"/>
    <cellStyle name="PSInt" xfId="187" xr:uid="{00000000-0005-0000-0000-0000DC000000}"/>
    <cellStyle name="PSSpacer" xfId="188" xr:uid="{00000000-0005-0000-0000-0000DD000000}"/>
    <cellStyle name="Ratio" xfId="189" xr:uid="{00000000-0005-0000-0000-0000DE000000}"/>
    <cellStyle name="Ratio 2" xfId="190" xr:uid="{00000000-0005-0000-0000-0000DF000000}"/>
    <cellStyle name="Ratio_29(d) - Gas extensions -tariffs" xfId="191" xr:uid="{00000000-0005-0000-0000-0000E0000000}"/>
    <cellStyle name="Right Date" xfId="192" xr:uid="{00000000-0005-0000-0000-0000E1000000}"/>
    <cellStyle name="Right Number" xfId="193" xr:uid="{00000000-0005-0000-0000-0000E2000000}"/>
    <cellStyle name="Right Year" xfId="194" xr:uid="{00000000-0005-0000-0000-0000E3000000}"/>
    <cellStyle name="SAPError" xfId="195" xr:uid="{00000000-0005-0000-0000-0000E4000000}"/>
    <cellStyle name="SAPError 2" xfId="196" xr:uid="{00000000-0005-0000-0000-0000E5000000}"/>
    <cellStyle name="SAPKey" xfId="197" xr:uid="{00000000-0005-0000-0000-0000E6000000}"/>
    <cellStyle name="SAPKey 2" xfId="198" xr:uid="{00000000-0005-0000-0000-0000E7000000}"/>
    <cellStyle name="SAPLocked" xfId="199" xr:uid="{00000000-0005-0000-0000-0000E8000000}"/>
    <cellStyle name="SAPLocked 2" xfId="200" xr:uid="{00000000-0005-0000-0000-0000E9000000}"/>
    <cellStyle name="SAPOutput" xfId="201" xr:uid="{00000000-0005-0000-0000-0000EA000000}"/>
    <cellStyle name="SAPOutput 2" xfId="202" xr:uid="{00000000-0005-0000-0000-0000EB000000}"/>
    <cellStyle name="SAPSpace" xfId="203" xr:uid="{00000000-0005-0000-0000-0000EC000000}"/>
    <cellStyle name="SAPSpace 2" xfId="204" xr:uid="{00000000-0005-0000-0000-0000ED000000}"/>
    <cellStyle name="SAPText" xfId="205" xr:uid="{00000000-0005-0000-0000-0000EE000000}"/>
    <cellStyle name="SAPText 2" xfId="206" xr:uid="{00000000-0005-0000-0000-0000EF000000}"/>
    <cellStyle name="SAPUnLocked" xfId="207" xr:uid="{00000000-0005-0000-0000-0000F0000000}"/>
    <cellStyle name="SAPUnLocked 2" xfId="208" xr:uid="{00000000-0005-0000-0000-0000F1000000}"/>
    <cellStyle name="Sheet Title" xfId="209" xr:uid="{00000000-0005-0000-0000-0000F2000000}"/>
    <cellStyle name="SheetHeader1" xfId="256" xr:uid="{00000000-0005-0000-0000-0000F3000000}"/>
    <cellStyle name="SheetHeader2" xfId="257" xr:uid="{00000000-0005-0000-0000-0000F4000000}"/>
    <cellStyle name="SheetHeader3" xfId="258" xr:uid="{00000000-0005-0000-0000-0000F5000000}"/>
    <cellStyle name="Style 1" xfId="210" xr:uid="{00000000-0005-0000-0000-0000F6000000}"/>
    <cellStyle name="Style 1 2" xfId="211" xr:uid="{00000000-0005-0000-0000-0000F7000000}"/>
    <cellStyle name="Style 1_29(d) - Gas extensions -tariffs" xfId="212" xr:uid="{00000000-0005-0000-0000-0000F8000000}"/>
    <cellStyle name="Style2" xfId="213" xr:uid="{00000000-0005-0000-0000-0000F9000000}"/>
    <cellStyle name="Style3" xfId="214" xr:uid="{00000000-0005-0000-0000-0000FA000000}"/>
    <cellStyle name="Style4" xfId="215" xr:uid="{00000000-0005-0000-0000-0000FB000000}"/>
    <cellStyle name="Style4 2" xfId="216" xr:uid="{00000000-0005-0000-0000-0000FC000000}"/>
    <cellStyle name="Style4_29(d) - Gas extensions -tariffs" xfId="217" xr:uid="{00000000-0005-0000-0000-0000FD000000}"/>
    <cellStyle name="Style5" xfId="218" xr:uid="{00000000-0005-0000-0000-0000FE000000}"/>
    <cellStyle name="Style5 2" xfId="219" xr:uid="{00000000-0005-0000-0000-0000FF000000}"/>
    <cellStyle name="Style5_29(d) - Gas extensions -tariffs" xfId="220" xr:uid="{00000000-0005-0000-0000-000000010000}"/>
    <cellStyle name="Table Head Green" xfId="221" xr:uid="{00000000-0005-0000-0000-000001010000}"/>
    <cellStyle name="Table Head_pldt" xfId="222" xr:uid="{00000000-0005-0000-0000-000002010000}"/>
    <cellStyle name="Table Source" xfId="223" xr:uid="{00000000-0005-0000-0000-000003010000}"/>
    <cellStyle name="Table Units" xfId="224" xr:uid="{00000000-0005-0000-0000-000004010000}"/>
    <cellStyle name="Table_Heading" xfId="259" xr:uid="{00000000-0005-0000-0000-000005010000}"/>
    <cellStyle name="Technical_Input" xfId="260" xr:uid="{00000000-0005-0000-0000-000006010000}"/>
    <cellStyle name="Text" xfId="225" xr:uid="{00000000-0005-0000-0000-000007010000}"/>
    <cellStyle name="Text 2" xfId="226" xr:uid="{00000000-0005-0000-0000-000008010000}"/>
    <cellStyle name="Text 3" xfId="227" xr:uid="{00000000-0005-0000-0000-000009010000}"/>
    <cellStyle name="Text Head 1" xfId="228" xr:uid="{00000000-0005-0000-0000-00000A010000}"/>
    <cellStyle name="Text Head 2" xfId="229" xr:uid="{00000000-0005-0000-0000-00000B010000}"/>
    <cellStyle name="Text Indent 2" xfId="230" xr:uid="{00000000-0005-0000-0000-00000C010000}"/>
    <cellStyle name="Theirs" xfId="231" xr:uid="{00000000-0005-0000-0000-00000D010000}"/>
    <cellStyle name="Title 2" xfId="232" xr:uid="{00000000-0005-0000-0000-00000E010000}"/>
    <cellStyle name="TOC 1" xfId="233" xr:uid="{00000000-0005-0000-0000-00000F010000}"/>
    <cellStyle name="TOC 2" xfId="234" xr:uid="{00000000-0005-0000-0000-000010010000}"/>
    <cellStyle name="TOC 3" xfId="235" xr:uid="{00000000-0005-0000-0000-000011010000}"/>
    <cellStyle name="Total 2" xfId="236" xr:uid="{00000000-0005-0000-0000-000012010000}"/>
    <cellStyle name="Totals" xfId="261" xr:uid="{00000000-0005-0000-0000-000013010000}"/>
    <cellStyle name="unit" xfId="262" xr:uid="{00000000-0005-0000-0000-000014010000}"/>
    <cellStyle name="User_Input" xfId="263" xr:uid="{00000000-0005-0000-0000-000015010000}"/>
    <cellStyle name="Warning Text 2" xfId="237" xr:uid="{00000000-0005-0000-0000-000016010000}"/>
    <cellStyle name="year" xfId="238" xr:uid="{00000000-0005-0000-0000-000017010000}"/>
    <cellStyle name="year 2" xfId="239" xr:uid="{00000000-0005-0000-0000-000018010000}"/>
    <cellStyle name="year_29(d) - Gas extensions -tariffs" xfId="240" xr:uid="{00000000-0005-0000-0000-000019010000}"/>
  </cellStyles>
  <dxfs count="24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00FF00"/>
      <color rgb="FFDAEEF3"/>
      <color rgb="FF006100"/>
      <color rgb="FFC6EFCE"/>
      <color rgb="FF9C0006"/>
      <color rgb="FFFFFF99"/>
      <color rgb="FFFFFFCC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U33"/>
  <sheetViews>
    <sheetView showGridLines="0" tabSelected="1" workbookViewId="0">
      <selection activeCell="C15" sqref="C15"/>
    </sheetView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47" s="1" customFormat="1" ht="15.75" customHeight="1">
      <c r="A1" s="38"/>
      <c r="B1" s="35" t="s">
        <v>195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3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 ht="10.5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181</v>
      </c>
      <c r="D10" s="7" t="s">
        <v>171</v>
      </c>
    </row>
    <row r="11" spans="1:47">
      <c r="C11" s="19" t="s">
        <v>59</v>
      </c>
      <c r="D11" s="7" t="s">
        <v>50</v>
      </c>
    </row>
    <row r="12" spans="1:47">
      <c r="C12" s="19" t="s">
        <v>182</v>
      </c>
      <c r="D12" s="7" t="s">
        <v>172</v>
      </c>
    </row>
    <row r="13" spans="1:47">
      <c r="C13" s="19" t="s">
        <v>183</v>
      </c>
      <c r="D13" s="7" t="s">
        <v>173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3">
      <c r="C16" s="10"/>
      <c r="D16" s="7"/>
    </row>
    <row r="17" spans="1:47" customFormat="1" ht="13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3" hidden="1">
      <c r="C31" s="10"/>
      <c r="D31" s="7"/>
    </row>
    <row r="32" spans="1:47"/>
    <row r="33"/>
  </sheetData>
  <hyperlinks>
    <hyperlink ref="C12" location="'Calc|Opex forecast'!A1" display="Calc | Opex Forecast_final" xr:uid="{00000000-0004-0000-0100-000001000000}"/>
    <hyperlink ref="C14" location="'Lookup|Tables'!A1" display="Lookup | Tables" xr:uid="{00000000-0004-0000-0100-000002000000}"/>
    <hyperlink ref="C15" location="'Check|List'!A1" display="Check | List" xr:uid="{00000000-0004-0000-0100-000003000000}"/>
    <hyperlink ref="C7" location="'Input|General'!A1" display="Input | General" xr:uid="{00000000-0004-0000-0100-000004000000}"/>
    <hyperlink ref="C9" location="'Input|Reported opex'!A1" display="Input | Reported opex" xr:uid="{00000000-0004-0000-0100-000005000000}"/>
    <hyperlink ref="C10" location="'Input|Rate of change'!A1" display="Input | Rate of change_final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3" location="'Output|Models'!A1" display="Output | Models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U28"/>
  <sheetViews>
    <sheetView showGridLines="0" zoomScaleNormal="100" workbookViewId="0"/>
  </sheetViews>
  <sheetFormatPr defaultColWidth="0" defaultRowHeight="10" zeroHeight="1"/>
  <cols>
    <col min="1" max="2" width="1.44140625" style="29" customWidth="1"/>
    <col min="3" max="3" width="42" style="29" customWidth="1"/>
    <col min="4" max="4" width="11.109375" style="30" customWidth="1"/>
    <col min="5" max="6" width="3.33203125" style="30" customWidth="1"/>
    <col min="7" max="7" width="16.109375" style="30" bestFit="1" customWidth="1"/>
    <col min="8" max="9" width="3.332031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 v1.91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3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 ht="10.5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 ht="10.5">
      <c r="C7" s="29" t="s">
        <v>63</v>
      </c>
      <c r="D7" s="30" t="s">
        <v>67</v>
      </c>
      <c r="E7" s="29"/>
      <c r="F7" s="29"/>
      <c r="G7" s="52" t="s">
        <v>193</v>
      </c>
      <c r="H7" s="29"/>
      <c r="I7" s="29"/>
      <c r="S7" s="131" t="str">
        <f>IF(COUNTBLANK($G7),"Check","Ok")</f>
        <v>Ok</v>
      </c>
    </row>
    <row r="8" spans="1:47" ht="10.5">
      <c r="C8" s="29" t="s">
        <v>131</v>
      </c>
      <c r="D8" s="30" t="s">
        <v>68</v>
      </c>
      <c r="E8" s="29"/>
      <c r="F8" s="29"/>
      <c r="G8" s="52" t="s">
        <v>194</v>
      </c>
      <c r="H8" s="29"/>
      <c r="I8" s="29"/>
      <c r="S8" s="131" t="str">
        <f>IF(COUNTBLANK($G8),"Check","Ok")</f>
        <v>Ok</v>
      </c>
    </row>
    <row r="9" spans="1:47" ht="10.5">
      <c r="C9" s="29" t="s">
        <v>177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 ht="10.5">
      <c r="C10" s="29" t="s">
        <v>178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 ht="10.5">
      <c r="C11" s="29" t="s">
        <v>179</v>
      </c>
      <c r="D11" s="30" t="s">
        <v>67</v>
      </c>
      <c r="E11" s="29"/>
      <c r="F11" s="29"/>
      <c r="G11" s="152">
        <v>2018</v>
      </c>
      <c r="H11" s="29"/>
      <c r="I11" s="29"/>
      <c r="S11" s="131" t="str">
        <f>IF(COUNTBLANK($G11),"Check","Ok")</f>
        <v>Ok</v>
      </c>
    </row>
    <row r="12" spans="1:47" ht="10.5">
      <c r="C12" s="29" t="s">
        <v>70</v>
      </c>
      <c r="D12" s="30" t="s">
        <v>67</v>
      </c>
      <c r="E12" s="29"/>
      <c r="F12" s="29"/>
      <c r="G12" s="152">
        <v>2021</v>
      </c>
      <c r="H12" s="29"/>
      <c r="I12" s="29"/>
      <c r="S12" s="131" t="str">
        <f t="shared" ref="S12:S16" si="0">IF(COUNTBLANK($G12),"Check","Ok")</f>
        <v>Ok</v>
      </c>
    </row>
    <row r="13" spans="1:47" ht="10.5">
      <c r="C13" s="29" t="s">
        <v>145</v>
      </c>
      <c r="D13" s="30" t="s">
        <v>67</v>
      </c>
      <c r="E13" s="29"/>
      <c r="F13" s="29"/>
      <c r="G13" s="152">
        <v>2022</v>
      </c>
      <c r="H13" s="29"/>
      <c r="I13" s="29"/>
      <c r="S13" s="131" t="str">
        <f t="shared" si="0"/>
        <v>Ok</v>
      </c>
    </row>
    <row r="14" spans="1:47" ht="10.5">
      <c r="C14" s="29" t="s">
        <v>180</v>
      </c>
      <c r="D14" s="30" t="s">
        <v>67</v>
      </c>
      <c r="E14" s="29"/>
      <c r="F14" s="29"/>
      <c r="G14" s="152">
        <v>2023</v>
      </c>
      <c r="H14" s="29"/>
      <c r="I14" s="29"/>
      <c r="S14" s="131" t="str">
        <f>IF(COUNTBLANK($G14),"Check","Ok")</f>
        <v>Ok</v>
      </c>
    </row>
    <row r="15" spans="1:47" ht="10.5">
      <c r="C15" s="29" t="s">
        <v>64</v>
      </c>
      <c r="D15" s="30" t="s">
        <v>67</v>
      </c>
      <c r="E15" s="29"/>
      <c r="F15" s="29"/>
      <c r="G15" s="152">
        <v>2024</v>
      </c>
      <c r="H15" s="29"/>
      <c r="I15" s="29"/>
      <c r="S15" s="131" t="str">
        <f t="shared" si="0"/>
        <v>Ok</v>
      </c>
    </row>
    <row r="16" spans="1:47" ht="10.5">
      <c r="C16" s="29" t="s">
        <v>65</v>
      </c>
      <c r="D16" s="30" t="s">
        <v>67</v>
      </c>
      <c r="E16" s="29"/>
      <c r="F16" s="29"/>
      <c r="G16" s="152">
        <v>2028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3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</sheetData>
  <dataConsolidate/>
  <conditionalFormatting sqref="W16:W17">
    <cfRule type="cellIs" dxfId="242" priority="13" operator="equal">
      <formula>"Check"</formula>
    </cfRule>
    <cfRule type="cellIs" dxfId="241" priority="14" operator="equal">
      <formula>"Ok"</formula>
    </cfRule>
  </conditionalFormatting>
  <conditionalFormatting sqref="V1">
    <cfRule type="cellIs" dxfId="240" priority="3" operator="equal">
      <formula>"Check"</formula>
    </cfRule>
    <cfRule type="cellIs" dxfId="239" priority="4" operator="equal">
      <formula>"Ok"</formula>
    </cfRule>
  </conditionalFormatting>
  <conditionalFormatting sqref="S7:S16">
    <cfRule type="cellIs" dxfId="238" priority="5" operator="equal">
      <formula>"Check"</formula>
    </cfRule>
    <cfRule type="cellIs" dxfId="237" priority="6" operator="equal">
      <formula>"Ok"</formula>
    </cfRule>
  </conditionalFormatting>
  <conditionalFormatting sqref="S1">
    <cfRule type="cellIs" dxfId="236" priority="1" operator="equal">
      <formula>"Check"</formula>
    </cfRule>
    <cfRule type="cellIs" dxfId="235" priority="2" operator="equal">
      <formula>"Ok"</formula>
    </cfRule>
  </conditionalFormatting>
  <dataValidations count="4">
    <dataValidation type="list" allowBlank="1" showInputMessage="1" showErrorMessage="1" sqref="F13:F15" xr:uid="{00000000-0002-0000-0200-000000000000}">
      <formula1>#REF!</formula1>
    </dataValidation>
    <dataValidation type="list" allowBlank="1" showInputMessage="1" showErrorMessage="1" sqref="G8" xr:uid="{00000000-0002-0000-0200-000001000000}">
      <formula1>"proposal,draft decision,revised proposal,final decision"</formula1>
    </dataValidation>
    <dataValidation type="list" allowBlank="1" showInputMessage="1" showErrorMessage="1" sqref="F16:F17" xr:uid="{00000000-0002-0000-0200-000002000000}">
      <formula1>"Real 2010,Real 2011,Real 2012,Real 2013,Real 2014,Real 2015,Nominal"</formula1>
    </dataValidation>
    <dataValidation type="list" allowBlank="1" showInputMessage="1" showErrorMessage="1" sqref="I13:I17" xr:uid="{00000000-0002-0000-0200-000003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4000000}">
          <x14:formula1>
            <xm:f>'Lookup|Tables'!$G$25:$G$36</xm:f>
          </x14:formula1>
          <xm:sqref>G9:G10</xm:sqref>
        </x14:dataValidation>
        <x14:dataValidation type="list" allowBlank="1" showInputMessage="1" showErrorMessage="1" xr:uid="{00000000-0002-0000-0200-000005000000}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96"/>
  <sheetViews>
    <sheetView showGridLines="0" zoomScaleNormal="100" workbookViewId="0"/>
  </sheetViews>
  <sheetFormatPr defaultColWidth="0" defaultRowHeight="11.25" customHeight="1" zeroHeight="1"/>
  <cols>
    <col min="1" max="2" width="1.44140625" style="29" customWidth="1"/>
    <col min="3" max="3" width="11.6640625" style="29" bestFit="1" customWidth="1"/>
    <col min="4" max="4" width="21.44140625" style="30" bestFit="1" customWidth="1"/>
    <col min="5" max="5" width="21.44140625" style="30" customWidth="1"/>
    <col min="6" max="7" width="15" style="30" customWidth="1"/>
    <col min="8" max="10" width="3.33203125" style="30" customWidth="1"/>
    <col min="11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 v1.91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3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0">
      <c r="D6" s="62" t="s">
        <v>96</v>
      </c>
      <c r="E6" s="62" t="s">
        <v>129</v>
      </c>
      <c r="F6" s="62" t="s">
        <v>96</v>
      </c>
      <c r="G6" s="62" t="s">
        <v>129</v>
      </c>
      <c r="H6" s="62"/>
      <c r="I6" s="29"/>
      <c r="J6" s="29"/>
    </row>
    <row r="7" spans="1:48" ht="10.5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 ht="10.5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 ht="10.5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IF(C9&gt;EOMONTH(DATE('Input|General'!$G$14,MONTH('Input|General'!$G$10),1),0),"Ok",IF(ISBLANK($D9),"Check","Ok"))</f>
        <v>Ok</v>
      </c>
    </row>
    <row r="10" spans="1:48" ht="10.5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IF(C10&gt;EOMONTH(DATE('Input|General'!$G$14,MONTH('Input|General'!$G$10),1),0),"Ok",IF(ISBLANK($D10),"Check","Ok"))</f>
        <v>Ok</v>
      </c>
    </row>
    <row r="11" spans="1:48" ht="10.5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IF(C11&gt;EOMONTH(DATE('Input|General'!$G$14,MONTH('Input|General'!$G$10),1),0),"Ok",IF(ISBLANK($D11),"Check","Ok"))</f>
        <v>Ok</v>
      </c>
    </row>
    <row r="12" spans="1:48" ht="10.5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IF(C12&gt;EOMONTH(DATE('Input|General'!$G$14,MONTH('Input|General'!$G$10),1),0),"Ok",IF(ISBLANK($D12),"Check","Ok"))</f>
        <v>Ok</v>
      </c>
    </row>
    <row r="13" spans="1:48" ht="10.5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IF(C13&gt;EOMONTH(DATE('Input|General'!$G$14,MONTH('Input|General'!$G$10),1),0),"Ok",IF(ISBLANK($D13),"Check","Ok"))</f>
        <v>Ok</v>
      </c>
    </row>
    <row r="14" spans="1:48" ht="10.5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IF(C14&gt;EOMONTH(DATE('Input|General'!$G$14,MONTH('Input|General'!$G$10),1),0),"Ok",IF(ISBLANK($D14),"Check","Ok"))</f>
        <v>Ok</v>
      </c>
    </row>
    <row r="15" spans="1:48" ht="10.5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IF(C15&gt;EOMONTH(DATE('Input|General'!$G$14,MONTH('Input|General'!$G$10),1),0),"Ok",IF(ISBLANK($D15),"Check","Ok"))</f>
        <v>Ok</v>
      </c>
    </row>
    <row r="16" spans="1:48" ht="10.5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IF(C16&gt;EOMONTH(DATE('Input|General'!$G$14,MONTH('Input|General'!$G$10),1),0),"Ok",IF(ISBLANK($D16),"Check","Ok"))</f>
        <v>Ok</v>
      </c>
    </row>
    <row r="17" spans="3:20" ht="10.5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IF(C17&gt;EOMONTH(DATE('Input|General'!$G$14,MONTH('Input|General'!$G$10),1),0),"Ok",IF(ISBLANK($D17),"Check","Ok"))</f>
        <v>Ok</v>
      </c>
    </row>
    <row r="18" spans="3:20" ht="10.5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IF(C18&gt;EOMONTH(DATE('Input|General'!$G$14,MONTH('Input|General'!$G$10),1),0),"Ok",IF(ISBLANK($D18),"Check","Ok"))</f>
        <v>Ok</v>
      </c>
    </row>
    <row r="19" spans="3:20" ht="10.5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IF(C19&gt;EOMONTH(DATE('Input|General'!$G$14,MONTH('Input|General'!$G$10),1),0),"Ok",IF(ISBLANK($D19),"Check","Ok"))</f>
        <v>Ok</v>
      </c>
    </row>
    <row r="20" spans="3:20" ht="10.5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IF(C20&gt;EOMONTH(DATE('Input|General'!$G$14,MONTH('Input|General'!$G$10),1),0),"Ok",IF(ISBLANK($D20),"Check","Ok"))</f>
        <v>Ok</v>
      </c>
    </row>
    <row r="21" spans="3:20" ht="10.5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IF(C21&gt;EOMONTH(DATE('Input|General'!$G$14,MONTH('Input|General'!$G$10),1),0),"Ok",IF(ISBLANK($F21),"Check","Ok"))</f>
        <v>Ok</v>
      </c>
    </row>
    <row r="22" spans="3:20" ht="10.5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IF(C22&gt;EOMONTH(DATE('Input|General'!$G$14,MONTH('Input|General'!$G$10),1),0),"Ok",IF(ISBLANK($F22),"Check","Ok"))</f>
        <v>Ok</v>
      </c>
    </row>
    <row r="23" spans="3:20" ht="10.5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IF(C23&gt;EOMONTH(DATE('Input|General'!$G$14,MONTH('Input|General'!$G$10),1),0),"Ok",IF(ISBLANK($F23),"Check","Ok"))</f>
        <v>Ok</v>
      </c>
    </row>
    <row r="24" spans="3:20" ht="10.5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IF(C24&gt;EOMONTH(DATE('Input|General'!$G$14,MONTH('Input|General'!$G$10),1),0),"Ok",IF(ISBLANK($F24),"Check","Ok"))</f>
        <v>Ok</v>
      </c>
    </row>
    <row r="25" spans="3:20" ht="10.5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IF(C25&gt;EOMONTH(DATE('Input|General'!$G$14,MONTH('Input|General'!$G$10),1),0),"Ok",IF(ISBLANK($F25),"Check","Ok"))</f>
        <v>Ok</v>
      </c>
    </row>
    <row r="26" spans="3:20" ht="10.5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IF(C26&gt;EOMONTH(DATE('Input|General'!$G$14,MONTH('Input|General'!$G$10),1),0),"Ok",IF(ISBLANK($F26),"Check","Ok"))</f>
        <v>Ok</v>
      </c>
    </row>
    <row r="27" spans="3:20" ht="10.5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IF(C27&gt;EOMONTH(DATE('Input|General'!$G$14,MONTH('Input|General'!$G$10),1),0),"Ok",IF(ISBLANK($F27),"Check","Ok"))</f>
        <v>Ok</v>
      </c>
    </row>
    <row r="28" spans="3:20" ht="10.5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IF(C28&gt;EOMONTH(DATE('Input|General'!$G$14,MONTH('Input|General'!$G$10),1),0),"Ok",IF(ISBLANK($F28),"Check","Ok"))</f>
        <v>Ok</v>
      </c>
    </row>
    <row r="29" spans="3:20" ht="10.5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IF(C29&gt;EOMONTH(DATE('Input|General'!$G$14,MONTH('Input|General'!$G$10),1),0),"Ok",IF(ISBLANK($F29),"Check","Ok"))</f>
        <v>Ok</v>
      </c>
    </row>
    <row r="30" spans="3:20" ht="10.5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IF(C30&gt;EOMONTH(DATE('Input|General'!$G$14,MONTH('Input|General'!$G$10),1),0),"Ok",IF(ISBLANK($F30),"Check","Ok"))</f>
        <v>Ok</v>
      </c>
    </row>
    <row r="31" spans="3:20" ht="10.5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IF(C31&gt;EOMONTH(DATE('Input|General'!$G$14,MONTH('Input|General'!$G$10),1),0),"Ok",IF(ISBLANK($F31),"Check","Ok"))</f>
        <v>Ok</v>
      </c>
    </row>
    <row r="32" spans="3:20" ht="10.5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IF(C32&gt;EOMONTH(DATE('Input|General'!$G$14,MONTH('Input|General'!$G$10),1),0),"Ok",IF(ISBLANK($F32),"Check","Ok"))</f>
        <v>Ok</v>
      </c>
    </row>
    <row r="33" spans="3:20" ht="10.5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IF(C33&gt;EOMONTH(DATE('Input|General'!$G$14,MONTH('Input|General'!$G$10),1),0),"Ok",IF(ISBLANK($F33),"Check","Ok"))</f>
        <v>Ok</v>
      </c>
    </row>
    <row r="34" spans="3:20" ht="10.5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IF(C34&gt;EOMONTH(DATE('Input|General'!$G$14,MONTH('Input|General'!$G$10),1),0),"Ok",IF(ISBLANK($F34),"Check","Ok"))</f>
        <v>Ok</v>
      </c>
    </row>
    <row r="35" spans="3:20" ht="10.5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IF(C35&gt;EOMONTH(DATE('Input|General'!$G$14,MONTH('Input|General'!$G$10),1),0),"Ok",IF(ISBLANK($F35),"Check","Ok"))</f>
        <v>Ok</v>
      </c>
    </row>
    <row r="36" spans="3:20" ht="10.5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IF(C36&gt;EOMONTH(DATE('Input|General'!$G$14,MONTH('Input|General'!$G$10),1),0),"Ok",IF(ISBLANK($F36),"Check","Ok"))</f>
        <v>Ok</v>
      </c>
    </row>
    <row r="37" spans="3:20" ht="10.5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IF(C37&gt;EOMONTH(DATE('Input|General'!$G$14,MONTH('Input|General'!$G$10),1),0),"Ok",IF(ISBLANK($F37),"Check","Ok"))</f>
        <v>Ok</v>
      </c>
    </row>
    <row r="38" spans="3:20" ht="10.5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IF(C38&gt;EOMONTH(DATE('Input|General'!$G$14,MONTH('Input|General'!$G$10),1),0),"Ok",IF(ISBLANK($F38),"Check","Ok"))</f>
        <v>Ok</v>
      </c>
    </row>
    <row r="39" spans="3:20" ht="10.5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IF(C39&gt;EOMONTH(DATE('Input|General'!$G$14,MONTH('Input|General'!$G$10),1),0),"Ok",IF(ISBLANK($F39),"Check","Ok"))</f>
        <v>Ok</v>
      </c>
    </row>
    <row r="40" spans="3:20" ht="10.5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IF(C40&gt;EOMONTH(DATE('Input|General'!$G$14,MONTH('Input|General'!$G$10),1),0),"Ok",IF(ISBLANK($F40),"Check","Ok"))</f>
        <v>Ok</v>
      </c>
    </row>
    <row r="41" spans="3:20" ht="10.5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IF(C41&gt;EOMONTH(DATE('Input|General'!$G$14,MONTH('Input|General'!$G$10),1),0),"Ok",IF(ISBLANK($F41),"Check","Ok"))</f>
        <v>Ok</v>
      </c>
    </row>
    <row r="42" spans="3:20" ht="10.5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IF(C42&gt;EOMONTH(DATE('Input|General'!$G$14,MONTH('Input|General'!$G$10),1),0),"Ok",IF(ISBLANK($F42),"Check","Ok"))</f>
        <v>Ok</v>
      </c>
    </row>
    <row r="43" spans="3:20" ht="10.5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IF(C43&gt;EOMONTH(DATE('Input|General'!$G$14,MONTH('Input|General'!$G$10),1),0),"Ok",IF(ISBLANK($F43),"Check","Ok"))</f>
        <v>Ok</v>
      </c>
    </row>
    <row r="44" spans="3:20" ht="10.5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IF(C44&gt;EOMONTH(DATE('Input|General'!$G$14,MONTH('Input|General'!$G$10),1),0),"Ok",IF(ISBLANK($F44),"Check","Ok"))</f>
        <v>Ok</v>
      </c>
    </row>
    <row r="45" spans="3:20" ht="10.5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IF(C45&gt;EOMONTH(DATE('Input|General'!$G$14,MONTH('Input|General'!$G$10),1),0),"Ok",IF(ISBLANK($F45),"Check","Ok"))</f>
        <v>Ok</v>
      </c>
    </row>
    <row r="46" spans="3:20" ht="10.5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IF(C46&gt;EOMONTH(DATE('Input|General'!$G$14,MONTH('Input|General'!$G$10),1),0),"Ok",IF(ISBLANK($F46),"Check","Ok"))</f>
        <v>Ok</v>
      </c>
    </row>
    <row r="47" spans="3:20" ht="10.5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IF(C47&gt;EOMONTH(DATE('Input|General'!$G$14,MONTH('Input|General'!$G$10),1),0),"Ok",IF(ISBLANK($F47),"Check","Ok"))</f>
        <v>Ok</v>
      </c>
    </row>
    <row r="48" spans="3:20" ht="10.5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IF(C48&gt;EOMONTH(DATE('Input|General'!$G$14,MONTH('Input|General'!$G$10),1),0),"Ok",IF(ISBLANK($F48),"Check","Ok"))</f>
        <v>Ok</v>
      </c>
    </row>
    <row r="49" spans="3:20" ht="10.5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IF(C49&gt;EOMONTH(DATE('Input|General'!$G$14,MONTH('Input|General'!$G$10),1),0),"Ok",IF(ISBLANK($F49),"Check","Ok"))</f>
        <v>Ok</v>
      </c>
    </row>
    <row r="50" spans="3:20" ht="10.5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IF(C50&gt;EOMONTH(DATE('Input|General'!$G$14,MONTH('Input|General'!$G$10),1),0),"Ok",IF(ISBLANK($F50),"Check","Ok"))</f>
        <v>Ok</v>
      </c>
    </row>
    <row r="51" spans="3:20" ht="10.5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IF(C51&gt;EOMONTH(DATE('Input|General'!$G$14,MONTH('Input|General'!$G$10),1),0),"Ok",IF(ISBLANK($F51),"Check","Ok"))</f>
        <v>Ok</v>
      </c>
    </row>
    <row r="52" spans="3:20" ht="10.5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IF(C52&gt;EOMONTH(DATE('Input|General'!$G$14,MONTH('Input|General'!$G$10),1),0),"Ok",IF(ISBLANK($F52),"Check","Ok"))</f>
        <v>Ok</v>
      </c>
    </row>
    <row r="53" spans="3:20" ht="10.5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IF(C53&gt;EOMONTH(DATE('Input|General'!$G$14,MONTH('Input|General'!$G$10),1),0),"Ok",IF(ISBLANK($F53),"Check","Ok"))</f>
        <v>Ok</v>
      </c>
    </row>
    <row r="54" spans="3:20" ht="10.5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IF(C54&gt;EOMONTH(DATE('Input|General'!$G$14,MONTH('Input|General'!$G$10),1),0),"Ok",IF(ISBLANK($F54),"Check","Ok"))</f>
        <v>Ok</v>
      </c>
    </row>
    <row r="55" spans="3:20" ht="10.5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6"/>
      <c r="I55" s="29"/>
      <c r="J55" s="29"/>
      <c r="T55" s="131" t="str">
        <f>IF(C55&gt;EOMONTH(DATE('Input|General'!$G$14,MONTH('Input|General'!$G$10),1),0),"Ok",IF(ISBLANK($F55),"Check","Ok"))</f>
        <v>Ok</v>
      </c>
    </row>
    <row r="56" spans="3:20" ht="10.5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IF(C56&gt;EOMONTH(DATE('Input|General'!$G$14,MONTH('Input|General'!$G$10),1),0),"Ok",IF(ISBLANK($F56),"Check","Ok"))</f>
        <v>Ok</v>
      </c>
    </row>
    <row r="57" spans="3:20" ht="10.5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IF(C57&gt;EOMONTH(DATE('Input|General'!$G$14,MONTH('Input|General'!$G$10),1),0),"Ok",IF(ISBLANK($F57),"Check","Ok"))</f>
        <v>Ok</v>
      </c>
    </row>
    <row r="58" spans="3:20" ht="10.5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IF(C58&gt;EOMONTH(DATE('Input|General'!$G$14,MONTH('Input|General'!$G$10),1),0),"Ok",IF(ISBLANK($F58),"Check","Ok"))</f>
        <v>Ok</v>
      </c>
    </row>
    <row r="59" spans="3:20" ht="10.5">
      <c r="C59" s="64">
        <v>43738</v>
      </c>
      <c r="D59" s="29"/>
      <c r="E59" s="29"/>
      <c r="F59" s="63">
        <v>115.4</v>
      </c>
      <c r="G59" s="117">
        <f t="shared" si="1"/>
        <v>1.6740088105726914E-2</v>
      </c>
      <c r="H59" s="186"/>
      <c r="I59" s="29"/>
      <c r="J59" s="29"/>
      <c r="T59" s="131" t="str">
        <f>IF(C59&gt;EOMONTH(DATE('Input|General'!$G$14,MONTH('Input|General'!$G$10),1),0),"Ok",IF(ISBLANK($F59),"Check","Ok"))</f>
        <v>Ok</v>
      </c>
    </row>
    <row r="60" spans="3:20" ht="10.5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IF(C60&gt;EOMONTH(DATE('Input|General'!$G$14,MONTH('Input|General'!$G$10),1),0),"Ok",IF(ISBLANK($F60),"Check","Ok"))</f>
        <v>Ok</v>
      </c>
    </row>
    <row r="61" spans="3:20" ht="10.5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IF(C61&gt;EOMONTH(DATE('Input|General'!$G$14,MONTH('Input|General'!$G$10),1),0),"Ok",IF(ISBLANK($F61),"Check","Ok"))</f>
        <v>Ok</v>
      </c>
    </row>
    <row r="62" spans="3:20" ht="10.5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IF(C62&gt;EOMONTH(DATE('Input|General'!$G$14,MONTH('Input|General'!$G$10),1),0),"Ok",IF(ISBLANK($F62),"Check","Ok"))</f>
        <v>Ok</v>
      </c>
    </row>
    <row r="63" spans="3:20" ht="10.5">
      <c r="C63" s="64">
        <v>44104</v>
      </c>
      <c r="D63" s="29"/>
      <c r="E63" s="29"/>
      <c r="F63" s="63">
        <v>116.2</v>
      </c>
      <c r="G63" s="117">
        <f t="shared" si="1"/>
        <v>6.9324090121316573E-3</v>
      </c>
      <c r="H63" s="186"/>
      <c r="I63" s="29"/>
      <c r="J63" s="29"/>
      <c r="T63" s="131" t="str">
        <f>IF(C63&gt;EOMONTH(DATE('Input|General'!$G$14,MONTH('Input|General'!$G$10),1),0),"Ok",IF(ISBLANK($F63),"Check","Ok"))</f>
        <v>Ok</v>
      </c>
    </row>
    <row r="64" spans="3:20" ht="10.5">
      <c r="C64" s="64">
        <v>44196</v>
      </c>
      <c r="D64" s="29"/>
      <c r="E64" s="29"/>
      <c r="F64" s="63">
        <v>117.2</v>
      </c>
      <c r="G64" s="117">
        <f t="shared" si="1"/>
        <v>8.6058519793459354E-3</v>
      </c>
      <c r="H64" s="186"/>
      <c r="I64" s="29"/>
      <c r="J64" s="29"/>
      <c r="T64" s="131" t="str">
        <f>IF(C64&gt;EOMONTH(DATE('Input|General'!$G$14,MONTH('Input|General'!$G$10),1),0),"Ok",IF(ISBLANK($F64),"Check","Ok"))</f>
        <v>Ok</v>
      </c>
    </row>
    <row r="65" spans="3:20" ht="10.5">
      <c r="C65" s="64">
        <v>44286</v>
      </c>
      <c r="D65" s="29"/>
      <c r="E65" s="29"/>
      <c r="F65" s="63">
        <v>117.9</v>
      </c>
      <c r="G65" s="117">
        <f t="shared" si="1"/>
        <v>1.1149228130360234E-2</v>
      </c>
      <c r="H65" s="186"/>
      <c r="I65" s="29"/>
      <c r="J65" s="29"/>
      <c r="T65" s="131" t="str">
        <f>IF(C65&gt;EOMONTH(DATE('Input|General'!$G$14,MONTH('Input|General'!$G$10),1),0),"Ok",IF(ISBLANK($F65),"Check","Ok"))</f>
        <v>Ok</v>
      </c>
    </row>
    <row r="66" spans="3:20" ht="10.5">
      <c r="C66" s="64">
        <v>44377</v>
      </c>
      <c r="D66" s="29"/>
      <c r="E66" s="29"/>
      <c r="F66" s="63">
        <v>118.8</v>
      </c>
      <c r="G66" s="117">
        <f t="shared" si="1"/>
        <v>3.8461538461538325E-2</v>
      </c>
      <c r="H66" s="186"/>
      <c r="I66" s="29"/>
      <c r="J66" s="29"/>
      <c r="T66" s="131" t="str">
        <f>IF(C66&gt;EOMONTH(DATE('Input|General'!$G$14,MONTH('Input|General'!$G$10),1),0),"Ok",IF(ISBLANK($F66),"Check","Ok"))</f>
        <v>Ok</v>
      </c>
    </row>
    <row r="67" spans="3:20" ht="10.5">
      <c r="C67" s="64">
        <v>44469</v>
      </c>
      <c r="D67" s="29"/>
      <c r="E67" s="29"/>
      <c r="F67" s="63">
        <v>119.7</v>
      </c>
      <c r="G67" s="117">
        <f t="shared" si="1"/>
        <v>3.0120481927710774E-2</v>
      </c>
      <c r="H67" s="186"/>
      <c r="I67" s="29"/>
      <c r="J67" s="29"/>
      <c r="T67" s="131" t="str">
        <f>IF(C67&gt;EOMONTH(DATE('Input|General'!$G$14,MONTH('Input|General'!$G$10),1),0),"Ok",IF(ISBLANK($F67),"Check","Ok"))</f>
        <v>Ok</v>
      </c>
    </row>
    <row r="68" spans="3:20" ht="10.5">
      <c r="C68" s="64">
        <v>44561</v>
      </c>
      <c r="D68" s="29"/>
      <c r="E68" s="29"/>
      <c r="F68" s="63">
        <v>121.3</v>
      </c>
      <c r="G68" s="117">
        <f t="shared" si="1"/>
        <v>3.4982935153583528E-2</v>
      </c>
      <c r="H68" s="186"/>
      <c r="I68" s="29"/>
      <c r="J68" s="29"/>
      <c r="T68" s="131" t="str">
        <f>IF(C68&gt;EOMONTH(DATE('Input|General'!$G$14,MONTH('Input|General'!$G$10),1),0),"Ok",IF(ISBLANK($F68),"Check","Ok"))</f>
        <v>Ok</v>
      </c>
    </row>
    <row r="69" spans="3:20" ht="10.5">
      <c r="C69" s="64">
        <v>44651</v>
      </c>
      <c r="D69" s="29"/>
      <c r="E69" s="29"/>
      <c r="F69" s="63">
        <v>123.9</v>
      </c>
      <c r="G69" s="117">
        <f t="shared" si="1"/>
        <v>5.0890585241730291E-2</v>
      </c>
      <c r="H69" s="186"/>
      <c r="I69" s="29"/>
      <c r="J69" s="29"/>
      <c r="T69" s="131" t="str">
        <f>IF(C69&gt;EOMONTH(DATE('Input|General'!$G$14,MONTH('Input|General'!$G$10),1),0),"Ok",IF(ISBLANK($F69),"Check","Ok"))</f>
        <v>Ok</v>
      </c>
    </row>
    <row r="70" spans="3:20" ht="10.5">
      <c r="C70" s="64">
        <v>44742</v>
      </c>
      <c r="D70" s="29"/>
      <c r="E70" s="29"/>
      <c r="F70" s="63">
        <v>126.1</v>
      </c>
      <c r="G70" s="117">
        <f t="shared" si="1"/>
        <v>6.1447811447811418E-2</v>
      </c>
      <c r="H70" s="186"/>
      <c r="I70" s="29"/>
      <c r="J70" s="29"/>
      <c r="T70" s="131" t="str">
        <f>IF(C70&gt;EOMONTH(DATE('Input|General'!$G$14,MONTH('Input|General'!$G$10),1),0),"Ok",IF(ISBLANK($F70),"Check","Ok"))</f>
        <v>Ok</v>
      </c>
    </row>
    <row r="71" spans="3:20" ht="10.5">
      <c r="C71" s="64">
        <v>44834</v>
      </c>
      <c r="D71" s="29"/>
      <c r="E71" s="29"/>
      <c r="F71" s="63">
        <v>128.4</v>
      </c>
      <c r="G71" s="117">
        <f t="shared" si="1"/>
        <v>7.268170426065157E-2</v>
      </c>
      <c r="H71" s="186"/>
      <c r="I71" s="29"/>
      <c r="J71" s="29"/>
      <c r="T71" s="131" t="str">
        <f>IF(C71&gt;EOMONTH(DATE('Input|General'!$G$14,MONTH('Input|General'!$G$10),1),0),"Ok",IF(ISBLANK($F71),"Check","Ok"))</f>
        <v>Ok</v>
      </c>
    </row>
    <row r="72" spans="3:20" ht="10.5">
      <c r="C72" s="64">
        <v>44926</v>
      </c>
      <c r="D72" s="29"/>
      <c r="E72" s="29"/>
      <c r="F72" s="63">
        <f>F68*(1+8%)</f>
        <v>131.00400000000002</v>
      </c>
      <c r="G72" s="117">
        <f t="shared" si="1"/>
        <v>8.0000000000000293E-2</v>
      </c>
      <c r="H72" s="186"/>
      <c r="I72" s="29"/>
      <c r="J72" s="29"/>
      <c r="T72" s="131" t="str">
        <f>IF(C72&gt;EOMONTH(DATE('Input|General'!$G$14,MONTH('Input|General'!$G$10),1),0),"Ok",IF(ISBLANK($F72),"Check","Ok"))</f>
        <v>Ok</v>
      </c>
    </row>
    <row r="73" spans="3:20" ht="10.5">
      <c r="C73" s="64">
        <v>45016</v>
      </c>
      <c r="D73" s="29"/>
      <c r="E73" s="29"/>
      <c r="F73" s="63">
        <f>AVERAGE(F72,F74)</f>
        <v>132.52415000000002</v>
      </c>
      <c r="G73" s="117">
        <f t="shared" si="1"/>
        <v>6.9605730427764412E-2</v>
      </c>
      <c r="H73" s="186"/>
      <c r="I73" s="29"/>
      <c r="J73" s="29"/>
      <c r="T73" s="131" t="str">
        <f>IF(C73&gt;EOMONTH(DATE('Input|General'!$G$14,MONTH('Input|General'!$G$10),1),0),"Ok",IF(ISBLANK($F73),"Check","Ok"))</f>
        <v>Ok</v>
      </c>
    </row>
    <row r="74" spans="3:20" ht="10.5">
      <c r="C74" s="64">
        <v>45107</v>
      </c>
      <c r="D74" s="29"/>
      <c r="E74" s="29"/>
      <c r="F74" s="63">
        <f>F70*(1+6.3%)</f>
        <v>134.04429999999999</v>
      </c>
      <c r="G74" s="117">
        <f>IF(ISBLANK(F74),"",F74/F72-1)</f>
        <v>2.320768831486042E-2</v>
      </c>
      <c r="H74" s="186"/>
      <c r="I74" s="29"/>
      <c r="J74" s="29"/>
      <c r="T74" s="131" t="str">
        <f>IF(C74&gt;EOMONTH(DATE('Input|General'!$G$14,MONTH('Input|General'!$G$10),1),0),"Ok",IF(ISBLANK($F74),"Check","Ok"))</f>
        <v>Ok</v>
      </c>
    </row>
    <row r="75" spans="3:20" ht="10.5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IF(C75&gt;EOMONTH(DATE('Input|General'!$G$14,MONTH('Input|General'!$G$10),1),0),"Ok",IF(ISBLANK($F75),"Check","Ok"))</f>
        <v>Ok</v>
      </c>
    </row>
    <row r="76" spans="3:20" ht="10.5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IF(C76&gt;EOMONTH(DATE('Input|General'!$G$14,MONTH('Input|General'!$G$10),1),0),"Ok",IF(ISBLANK($F76),"Check","Ok"))</f>
        <v>Ok</v>
      </c>
    </row>
    <row r="77" spans="3:20" ht="10.5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IF(C77&gt;EOMONTH(DATE('Input|General'!$G$14,MONTH('Input|General'!$G$10),1),0),"Ok",IF(ISBLANK($F77),"Check","Ok"))</f>
        <v>Ok</v>
      </c>
    </row>
    <row r="78" spans="3:20" ht="10.5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IF(C78&gt;EOMONTH(DATE('Input|General'!$G$14,MONTH('Input|General'!$G$10),1),0),"Ok",IF(ISBLANK($F78),"Check","Ok"))</f>
        <v>Ok</v>
      </c>
    </row>
    <row r="79" spans="3:20" ht="10.5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IF(C79&gt;EOMONTH(DATE('Input|General'!$G$14,MONTH('Input|General'!$G$10),1),0),"Ok",IF(ISBLANK($F79),"Check","Ok"))</f>
        <v>Ok</v>
      </c>
    </row>
    <row r="80" spans="3:20" ht="10.5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IF(C80&gt;EOMONTH(DATE('Input|General'!$G$14,MONTH('Input|General'!$G$10),1),0),"Ok",IF(ISBLANK($F80),"Check","Ok"))</f>
        <v>Ok</v>
      </c>
    </row>
    <row r="81" spans="1:48" ht="10.5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IF(C81&gt;EOMONTH(DATE('Input|General'!$G$14,MONTH('Input|General'!$G$10),1),0),"Ok",IF(ISBLANK($F81),"Check","Ok"))</f>
        <v>Ok</v>
      </c>
    </row>
    <row r="82" spans="1:48" ht="10.5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IF(C82&gt;EOMONTH(DATE('Input|General'!$G$14,MONTH('Input|General'!$G$10),1),0),"Ok",IF(ISBLANK($F82),"Check","Ok"))</f>
        <v>Ok</v>
      </c>
    </row>
    <row r="83" spans="1:48" ht="10.5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IF(C83&gt;EOMONTH(DATE('Input|General'!$G$14,MONTH('Input|General'!$G$10),1),0),"Ok",IF(ISBLANK($F83),"Check","Ok"))</f>
        <v>Ok</v>
      </c>
    </row>
    <row r="84" spans="1:48" ht="10.5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IF(C84&gt;EOMONTH(DATE('Input|General'!$G$14,MONTH('Input|General'!$G$10),1),0),"Ok",IF(ISBLANK($F84),"Check","Ok"))</f>
        <v>Ok</v>
      </c>
    </row>
    <row r="85" spans="1:48" ht="10.5">
      <c r="F85" s="29"/>
      <c r="G85" s="29"/>
      <c r="H85" s="29"/>
      <c r="I85" s="29"/>
      <c r="J85" s="29"/>
      <c r="T85" s="132"/>
    </row>
    <row r="86" spans="1:48" s="103" customFormat="1" ht="13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t="10" hidden="1">
      <c r="H87" s="32"/>
      <c r="I87" s="32"/>
      <c r="J87" s="32"/>
    </row>
    <row r="88" spans="1:48" ht="10" hidden="1">
      <c r="H88" s="32"/>
      <c r="I88" s="32"/>
      <c r="J88" s="32"/>
    </row>
    <row r="89" spans="1:48" s="30" customFormat="1" ht="10" hidden="1">
      <c r="A89" s="29"/>
      <c r="B89" s="29"/>
      <c r="C89" s="29"/>
      <c r="H89" s="32"/>
      <c r="I89" s="32"/>
      <c r="J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t="10" hidden="1">
      <c r="A90" s="29"/>
      <c r="B90" s="29"/>
      <c r="C90" s="29"/>
      <c r="H90" s="32"/>
      <c r="I90" s="32"/>
      <c r="J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t="10" hidden="1">
      <c r="A91" s="29"/>
      <c r="B91" s="29"/>
      <c r="C91" s="29"/>
      <c r="H91" s="32"/>
      <c r="I91" s="32"/>
      <c r="J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t="10" hidden="1">
      <c r="A92" s="29"/>
      <c r="B92" s="29"/>
      <c r="C92" s="29"/>
      <c r="H92" s="32"/>
      <c r="I92" s="32"/>
      <c r="J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t="10" hidden="1">
      <c r="A93" s="29"/>
      <c r="B93" s="29"/>
      <c r="C93" s="29"/>
      <c r="H93" s="32"/>
      <c r="I93" s="32"/>
      <c r="J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t="10" hidden="1">
      <c r="A94" s="29"/>
      <c r="B94" s="29"/>
      <c r="C94" s="29"/>
      <c r="H94" s="32"/>
      <c r="I94" s="32"/>
      <c r="J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t="10" hidden="1">
      <c r="A95" s="29"/>
      <c r="B95" s="29"/>
      <c r="C95" s="29"/>
      <c r="H95" s="32"/>
      <c r="I95" s="32"/>
      <c r="J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t="10" hidden="1">
      <c r="A96" s="29"/>
      <c r="B96" s="29"/>
      <c r="C96" s="29"/>
      <c r="H96" s="32"/>
      <c r="I96" s="32"/>
      <c r="J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</sheetData>
  <conditionalFormatting sqref="X14:X50 T85 X63:X85">
    <cfRule type="cellIs" dxfId="234" priority="11" operator="equal">
      <formula>"Check"</formula>
    </cfRule>
    <cfRule type="cellIs" dxfId="233" priority="12" operator="equal">
      <formula>"Ok"</formula>
    </cfRule>
  </conditionalFormatting>
  <conditionalFormatting sqref="W1">
    <cfRule type="cellIs" dxfId="232" priority="7" operator="equal">
      <formula>"Check"</formula>
    </cfRule>
    <cfRule type="cellIs" dxfId="231" priority="8" operator="equal">
      <formula>"Ok"</formula>
    </cfRule>
  </conditionalFormatting>
  <conditionalFormatting sqref="T1">
    <cfRule type="cellIs" dxfId="230" priority="5" operator="equal">
      <formula>"Check"</formula>
    </cfRule>
    <cfRule type="cellIs" dxfId="229" priority="6" operator="equal">
      <formula>"Ok"</formula>
    </cfRule>
  </conditionalFormatting>
  <conditionalFormatting sqref="X51:X57">
    <cfRule type="cellIs" dxfId="228" priority="3" operator="equal">
      <formula>"Check"</formula>
    </cfRule>
    <cfRule type="cellIs" dxfId="227" priority="4" operator="equal">
      <formula>"Ok"</formula>
    </cfRule>
  </conditionalFormatting>
  <conditionalFormatting sqref="X58:X62 T9:T84">
    <cfRule type="cellIs" dxfId="226" priority="1" operator="equal">
      <formula>"Check"</formula>
    </cfRule>
    <cfRule type="cellIs" dxfId="225" priority="2" operator="equal">
      <formula>"Ok"</formula>
    </cfRule>
  </conditionalFormatting>
  <dataValidations count="1">
    <dataValidation type="list" allowBlank="1" showInputMessage="1" showErrorMessage="1" sqref="G85" xr:uid="{00000000-0002-0000-0300-000000000000}">
      <formula1>"Real 2010,Real 2011,Real 2012,Real 2013,Real 2014,Real 2015,Nominal"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95"/>
  <sheetViews>
    <sheetView zoomScaleNormal="100" workbookViewId="0"/>
  </sheetViews>
  <sheetFormatPr defaultColWidth="0" defaultRowHeight="10" zeroHeight="1"/>
  <cols>
    <col min="1" max="2" width="1.6640625" style="103" customWidth="1"/>
    <col min="3" max="3" width="49.77734375" style="103" bestFit="1" customWidth="1"/>
    <col min="4" max="6" width="13.33203125" style="103" customWidth="1"/>
    <col min="7" max="9" width="3.33203125" style="103" customWidth="1"/>
    <col min="10" max="24" width="10.77734375" style="103" customWidth="1"/>
    <col min="25" max="16384" width="9.33203125" style="103" hidden="1"/>
  </cols>
  <sheetData>
    <row r="1" spans="1:24" ht="15.5">
      <c r="A1" s="69"/>
      <c r="B1" s="70"/>
      <c r="C1" s="70" t="str">
        <f>Index!$B$1</f>
        <v>AER opex model v1.91</v>
      </c>
      <c r="D1" s="70"/>
      <c r="E1" s="70"/>
      <c r="F1" s="71"/>
      <c r="G1" s="71"/>
      <c r="H1" s="71"/>
      <c r="I1" s="71"/>
      <c r="J1" s="214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81</v>
      </c>
      <c r="S1" s="76" t="str">
        <f>IF(COUNTA($X$29:$X$288)=COUNTIF($X$29:$X$288,"OK"),"OK","Check")</f>
        <v>OK</v>
      </c>
      <c r="T1" s="76"/>
      <c r="U1" s="69"/>
      <c r="V1" s="185" t="s">
        <v>24</v>
      </c>
      <c r="W1" s="76" t="str">
        <f>'Check|List'!$S$1</f>
        <v>Ok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ht="10.5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115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7">
        <f>DATE(PPFirstYear,MONTH('Input|General'!$G$9),1)</f>
        <v>43435</v>
      </c>
      <c r="K4" s="217">
        <f>DATE(PPFirstYear+1,MONTH('Input|General'!$G$9),1)</f>
        <v>43800</v>
      </c>
      <c r="L4" s="217">
        <f>DATE(PPFirstYear+2,MONTH('Input|General'!$G$9),1)</f>
        <v>44166</v>
      </c>
      <c r="M4" s="217">
        <f>DATE(PPFirstYear+3,MONTH('Input|General'!$G$9),1)</f>
        <v>44531</v>
      </c>
      <c r="N4" s="217">
        <f>DATE(PPFirstYear+4,MONTH('Input|General'!$G$9),1)</f>
        <v>44896</v>
      </c>
      <c r="O4" s="217">
        <f>DATE(PPFirstYear+5,MONTH('Input|General'!$G$10),1)</f>
        <v>45078</v>
      </c>
      <c r="P4" s="217">
        <f>DATE(PPFirstYear+6,MONTH('Input|General'!$G$10),1)</f>
        <v>45444</v>
      </c>
      <c r="Q4" s="217">
        <f>DATE(PPFirstYear+7,MONTH('Input|General'!$G$10),1)</f>
        <v>45809</v>
      </c>
      <c r="R4" s="217">
        <f>DATE(PPFirstYear+8,MONTH('Input|General'!$G$10),1)</f>
        <v>46174</v>
      </c>
      <c r="S4" s="217">
        <f>DATE(PPFirstYear+9,MONTH('Input|General'!$G$10),1)</f>
        <v>46539</v>
      </c>
      <c r="T4" s="217">
        <f>DATE(PPFirstYear+10,MONTH('Input|General'!$G$10),1)</f>
        <v>46905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3">
      <c r="A8" s="94"/>
      <c r="B8" s="95" t="s">
        <v>196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ht="10.5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43435</v>
      </c>
      <c r="K10" s="156">
        <f t="shared" si="0"/>
        <v>43800</v>
      </c>
      <c r="L10" s="156">
        <f t="shared" si="0"/>
        <v>44166</v>
      </c>
      <c r="M10" s="156">
        <f t="shared" si="0"/>
        <v>44531</v>
      </c>
      <c r="N10" s="156">
        <f t="shared" si="0"/>
        <v>44896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 ht="10.5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0.5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43070</v>
      </c>
      <c r="G13" s="32"/>
      <c r="H13" s="32"/>
      <c r="I13" s="30"/>
      <c r="J13" s="161">
        <v>64.060266050397374</v>
      </c>
      <c r="K13" s="161">
        <v>64.74961772693598</v>
      </c>
      <c r="L13" s="161">
        <v>65.501191414118423</v>
      </c>
      <c r="M13" s="161">
        <v>66.348551596772808</v>
      </c>
      <c r="N13" s="161">
        <v>67.250279765330802</v>
      </c>
      <c r="O13" s="150"/>
      <c r="P13" s="150"/>
      <c r="Q13" s="150"/>
      <c r="R13" s="150"/>
      <c r="S13" s="150"/>
      <c r="T13" s="150"/>
      <c r="U13" s="29" t="s">
        <v>161</v>
      </c>
      <c r="V13" s="29"/>
      <c r="W13" s="29"/>
      <c r="X13" s="29"/>
    </row>
    <row r="14" spans="1:24" ht="10.5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0.5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43070</v>
      </c>
      <c r="G15" s="32"/>
      <c r="H15" s="32"/>
      <c r="I15" s="30"/>
      <c r="J15" s="129">
        <f>J13</f>
        <v>64.060266050397374</v>
      </c>
      <c r="K15" s="129">
        <f t="shared" ref="K15:T15" si="1">K13</f>
        <v>64.74961772693598</v>
      </c>
      <c r="L15" s="129">
        <f t="shared" si="1"/>
        <v>65.501191414118423</v>
      </c>
      <c r="M15" s="129">
        <f t="shared" si="1"/>
        <v>66.348551596772808</v>
      </c>
      <c r="N15" s="129">
        <f t="shared" si="1"/>
        <v>67.250279765330802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 ht="10.5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ht="10.5">
      <c r="A17" s="29"/>
      <c r="B17" s="29"/>
      <c r="C17" s="67" t="s">
        <v>154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ht="10.5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43070</v>
      </c>
      <c r="G19" s="32"/>
      <c r="H19" s="32"/>
      <c r="I19" s="30"/>
      <c r="J19" s="161">
        <v>0.77354270489644106</v>
      </c>
      <c r="K19" s="161">
        <v>0.79349704928177855</v>
      </c>
      <c r="L19" s="161">
        <v>0.81935169343739744</v>
      </c>
      <c r="M19" s="161">
        <v>0.83773480257979038</v>
      </c>
      <c r="N19" s="161">
        <v>0.8487510855878323</v>
      </c>
      <c r="O19" s="150"/>
      <c r="P19" s="150"/>
      <c r="Q19" s="150"/>
      <c r="R19" s="150"/>
      <c r="S19" s="150"/>
      <c r="T19" s="150"/>
      <c r="U19" s="29" t="s">
        <v>165</v>
      </c>
      <c r="V19" s="29"/>
      <c r="W19" s="29"/>
      <c r="X19" s="29"/>
    </row>
    <row r="20" spans="1:24">
      <c r="A20" s="29"/>
      <c r="B20" s="29"/>
      <c r="C20" s="61" t="s">
        <v>198</v>
      </c>
      <c r="D20" s="30" t="s">
        <v>68</v>
      </c>
      <c r="E20" s="30" t="str">
        <f t="shared" ref="E20:E27" si="3">$E$15</f>
        <v>$millions</v>
      </c>
      <c r="F20" s="158">
        <f t="shared" si="2"/>
        <v>43070</v>
      </c>
      <c r="G20" s="32"/>
      <c r="H20" s="32"/>
      <c r="I20" s="30"/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50"/>
      <c r="P20" s="150"/>
      <c r="Q20" s="150"/>
      <c r="R20" s="150"/>
      <c r="S20" s="150"/>
      <c r="T20" s="150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43070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43070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43070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43070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43070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43070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43070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 ht="10.5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 ht="10.5">
      <c r="A29" s="29"/>
      <c r="B29" s="29"/>
      <c r="C29" s="139" t="s">
        <v>152</v>
      </c>
      <c r="D29" s="140" t="s">
        <v>30</v>
      </c>
      <c r="E29" s="130" t="s">
        <v>15</v>
      </c>
      <c r="F29" s="159">
        <v>43070</v>
      </c>
      <c r="G29" s="32"/>
      <c r="H29" s="32"/>
      <c r="I29" s="30"/>
      <c r="J29" s="129">
        <f>SUM(J19:J27)</f>
        <v>0.77354270489644106</v>
      </c>
      <c r="K29" s="129">
        <f t="shared" ref="K29:S29" si="4">SUM(K19:K27)</f>
        <v>0.79349704928177855</v>
      </c>
      <c r="L29" s="129">
        <f t="shared" si="4"/>
        <v>0.81935169343739744</v>
      </c>
      <c r="M29" s="129">
        <f t="shared" si="4"/>
        <v>0.83773480257979038</v>
      </c>
      <c r="N29" s="129">
        <f t="shared" si="4"/>
        <v>0.8487510855878323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3">
      <c r="A31" s="94"/>
      <c r="B31" s="95" t="s">
        <v>197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10.5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45078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 ht="10.5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 ht="10.5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44896</v>
      </c>
      <c r="G36" s="32"/>
      <c r="H36" s="32"/>
      <c r="I36" s="30"/>
      <c r="J36" s="161"/>
      <c r="K36" s="161"/>
      <c r="L36" s="161"/>
      <c r="M36" s="161"/>
      <c r="N36" s="161"/>
      <c r="O36" s="161">
        <v>39.592520688561201</v>
      </c>
      <c r="P36" s="161"/>
      <c r="Q36" s="161"/>
      <c r="R36" s="161"/>
      <c r="S36" s="161"/>
      <c r="T36" s="161"/>
      <c r="U36" s="29" t="s">
        <v>161</v>
      </c>
      <c r="V36" s="29"/>
      <c r="W36" s="29"/>
      <c r="X36" s="29"/>
    </row>
    <row r="37" spans="1:24" ht="10.5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 ht="10.5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44896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39.592520688561201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 ht="10.5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0.5">
      <c r="A40" s="29"/>
      <c r="B40" s="29"/>
      <c r="C40" s="67" t="s">
        <v>154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 ht="10.5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44896</v>
      </c>
      <c r="G42" s="32"/>
      <c r="H42" s="32"/>
      <c r="I42" s="30"/>
      <c r="J42" s="161"/>
      <c r="K42" s="161"/>
      <c r="L42" s="161"/>
      <c r="M42" s="161"/>
      <c r="N42" s="161"/>
      <c r="O42" s="161">
        <v>0.47838787141308253</v>
      </c>
      <c r="P42" s="150"/>
      <c r="Q42" s="150"/>
      <c r="R42" s="150"/>
      <c r="S42" s="150"/>
      <c r="T42" s="150"/>
      <c r="U42" s="29" t="s">
        <v>165</v>
      </c>
      <c r="V42" s="29"/>
      <c r="W42" s="29"/>
      <c r="X42" s="29"/>
    </row>
    <row r="43" spans="1:24">
      <c r="A43" s="29"/>
      <c r="B43" s="29"/>
      <c r="C43" s="61" t="s">
        <v>198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44896</v>
      </c>
      <c r="G43" s="32"/>
      <c r="H43" s="32"/>
      <c r="I43" s="30"/>
      <c r="J43" s="161"/>
      <c r="K43" s="161"/>
      <c r="L43" s="161"/>
      <c r="M43" s="161"/>
      <c r="N43" s="161"/>
      <c r="O43" s="161">
        <v>0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44896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44896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44896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44896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44896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44896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44896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 ht="10.5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 ht="10.5">
      <c r="A52" s="29"/>
      <c r="B52" s="29"/>
      <c r="C52" s="139" t="s">
        <v>152</v>
      </c>
      <c r="D52" s="140" t="s">
        <v>30</v>
      </c>
      <c r="E52" s="130" t="s">
        <v>15</v>
      </c>
      <c r="F52" s="159">
        <v>44896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0.47838787141308253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3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 ht="10.5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43435</v>
      </c>
      <c r="K57" s="156">
        <f t="shared" ref="K57:O57" si="10">K$4</f>
        <v>43800</v>
      </c>
      <c r="L57" s="156">
        <f t="shared" si="10"/>
        <v>44166</v>
      </c>
      <c r="M57" s="156">
        <f t="shared" si="10"/>
        <v>44531</v>
      </c>
      <c r="N57" s="156">
        <f t="shared" si="10"/>
        <v>44896</v>
      </c>
      <c r="O57" s="156">
        <f t="shared" si="10"/>
        <v>45078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2" t="str">
        <f>$E$79</f>
        <v>$millions</v>
      </c>
      <c r="F60" s="213" t="s">
        <v>99</v>
      </c>
      <c r="G60" s="32"/>
      <c r="H60" s="32"/>
      <c r="I60" s="30"/>
      <c r="J60" s="161">
        <v>65.329267070811852</v>
      </c>
      <c r="K60" s="161">
        <v>69.422059369102001</v>
      </c>
      <c r="L60" s="161">
        <v>70.545593279752623</v>
      </c>
      <c r="M60" s="161">
        <v>74.141316179230785</v>
      </c>
      <c r="N60" s="161"/>
      <c r="O60" s="161"/>
      <c r="P60" s="150"/>
      <c r="Q60" s="150"/>
      <c r="R60" s="150"/>
      <c r="S60" s="150"/>
      <c r="T60" s="150"/>
      <c r="U60" s="29" t="s">
        <v>162</v>
      </c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 ht="10.5">
      <c r="A62" s="29"/>
      <c r="B62" s="29"/>
      <c r="C62" s="67" t="s">
        <v>170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 ht="10.5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166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0.31014883508137903</v>
      </c>
      <c r="K64" s="161">
        <v>0.13136886854192548</v>
      </c>
      <c r="L64" s="161">
        <v>0.79329940487773398</v>
      </c>
      <c r="M64" s="161">
        <v>0.13116070821630518</v>
      </c>
      <c r="N64" s="161"/>
      <c r="O64" s="161"/>
      <c r="P64" s="150"/>
      <c r="Q64" s="150"/>
      <c r="R64" s="150"/>
      <c r="S64" s="150"/>
      <c r="T64" s="150"/>
      <c r="U64" s="29" t="s">
        <v>169</v>
      </c>
      <c r="V64" s="29"/>
      <c r="W64" s="29"/>
      <c r="X64" s="29"/>
    </row>
    <row r="65" spans="1:24">
      <c r="A65" s="29"/>
      <c r="B65" s="29"/>
      <c r="C65" s="61" t="s">
        <v>199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4.6774562</v>
      </c>
      <c r="K65" s="161">
        <v>3.9073035999999988</v>
      </c>
      <c r="L65" s="161">
        <v>2.8188665000000004</v>
      </c>
      <c r="M65" s="161">
        <v>3.1234375000000005</v>
      </c>
      <c r="N65" s="161"/>
      <c r="O65" s="150"/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/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 ht="10.5">
      <c r="A70" s="29"/>
      <c r="B70" s="29"/>
      <c r="C70" s="139" t="s">
        <v>167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60.341662035730472</v>
      </c>
      <c r="K70" s="129">
        <f t="shared" ref="K70:S70" si="12">K60-SUM(K64:K68)</f>
        <v>65.383386900560083</v>
      </c>
      <c r="L70" s="129">
        <f t="shared" si="12"/>
        <v>66.933427374874896</v>
      </c>
      <c r="M70" s="129">
        <f t="shared" si="12"/>
        <v>70.886717971014477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 ht="10.5">
      <c r="A72" s="29"/>
      <c r="B72" s="29"/>
      <c r="C72" s="67" t="s">
        <v>109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>
        <v>0.67680538193710316</v>
      </c>
      <c r="K74" s="161">
        <v>1.0293062773446426</v>
      </c>
      <c r="L74" s="161">
        <v>1.1307281836601182</v>
      </c>
      <c r="M74" s="161">
        <v>1.2853950000000001</v>
      </c>
      <c r="N74" s="161"/>
      <c r="O74" s="161"/>
      <c r="P74" s="150"/>
      <c r="Q74" s="150"/>
      <c r="R74" s="150"/>
      <c r="S74" s="150"/>
      <c r="T74" s="150"/>
      <c r="U74" s="29" t="s">
        <v>165</v>
      </c>
      <c r="V74" s="29"/>
      <c r="W74" s="29"/>
      <c r="X74" s="29"/>
    </row>
    <row r="75" spans="1:24">
      <c r="A75" s="29"/>
      <c r="B75" s="29"/>
      <c r="C75" s="61" t="s">
        <v>198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0.37896061999999997</v>
      </c>
      <c r="K75" s="161">
        <v>3.6230000000000002</v>
      </c>
      <c r="L75" s="161">
        <v>1.49726366</v>
      </c>
      <c r="M75" s="161">
        <v>0.51600000000000001</v>
      </c>
      <c r="N75" s="161"/>
      <c r="O75" s="161"/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 ht="10.5">
      <c r="A79" s="29"/>
      <c r="B79" s="29"/>
      <c r="C79" s="139" t="s">
        <v>152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1.0557660019371031</v>
      </c>
      <c r="K79" s="184">
        <f t="shared" ref="K79:S79" si="14">SUM(K74:K77)</f>
        <v>4.6523062773446426</v>
      </c>
      <c r="L79" s="184">
        <f t="shared" si="14"/>
        <v>2.6279918436601184</v>
      </c>
      <c r="M79" s="184">
        <f t="shared" si="14"/>
        <v>1.8013950000000001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3">
      <c r="A81" s="94"/>
      <c r="B81" s="95" t="s">
        <v>110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 ht="10.5">
      <c r="A83" s="29"/>
      <c r="B83" s="29"/>
      <c r="C83" s="67" t="s">
        <v>111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45078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 ht="10.5">
      <c r="A84" s="29"/>
      <c r="B84" s="29"/>
      <c r="C84" s="67"/>
      <c r="D84" s="32"/>
      <c r="E84" s="32"/>
      <c r="F84" s="32"/>
      <c r="G84" s="32"/>
      <c r="H84" s="32"/>
      <c r="I84" s="32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61" t="s">
        <v>200</v>
      </c>
      <c r="D85" s="30" t="s">
        <v>34</v>
      </c>
      <c r="E85" s="30" t="str">
        <f>$E$79</f>
        <v>$millions</v>
      </c>
      <c r="F85" s="169">
        <v>44531</v>
      </c>
      <c r="G85" s="32"/>
      <c r="H85" s="32"/>
      <c r="I85" s="32"/>
      <c r="J85" s="161"/>
      <c r="K85" s="161"/>
      <c r="L85" s="161"/>
      <c r="M85" s="161"/>
      <c r="N85" s="161"/>
      <c r="O85" s="161">
        <v>4.5510000000000002</v>
      </c>
      <c r="P85" s="161"/>
      <c r="Q85" s="161"/>
      <c r="R85" s="161"/>
      <c r="S85" s="161"/>
      <c r="T85" s="161"/>
      <c r="U85" s="29" t="s">
        <v>175</v>
      </c>
      <c r="V85" s="142"/>
      <c r="W85" s="142"/>
      <c r="X85" s="29"/>
    </row>
    <row r="86" spans="1:24" ht="10.5">
      <c r="A86" s="29"/>
      <c r="B86" s="29"/>
      <c r="C86" s="61" t="s">
        <v>201</v>
      </c>
      <c r="D86" s="30" t="s">
        <v>34</v>
      </c>
      <c r="E86" s="30" t="str">
        <f t="shared" ref="E86:E91" si="15">$E$79</f>
        <v>$millions</v>
      </c>
      <c r="F86" s="169">
        <v>44531</v>
      </c>
      <c r="G86" s="32"/>
      <c r="H86" s="32"/>
      <c r="I86" s="32"/>
      <c r="J86" s="161"/>
      <c r="K86" s="161"/>
      <c r="L86" s="161"/>
      <c r="M86" s="161"/>
      <c r="N86" s="161"/>
      <c r="O86" s="161">
        <v>2.395</v>
      </c>
      <c r="P86" s="161"/>
      <c r="Q86" s="161"/>
      <c r="R86" s="161"/>
      <c r="S86" s="161"/>
      <c r="T86" s="161"/>
      <c r="U86" s="124"/>
      <c r="V86" s="142"/>
      <c r="W86" s="142"/>
      <c r="X86" s="29"/>
    </row>
    <row r="87" spans="1:24" ht="10.5">
      <c r="A87" s="29"/>
      <c r="B87" s="29"/>
      <c r="C87" s="61"/>
      <c r="D87" s="30" t="s">
        <v>34</v>
      </c>
      <c r="E87" s="30" t="str">
        <f t="shared" si="15"/>
        <v>$millions</v>
      </c>
      <c r="F87" s="169">
        <v>45078</v>
      </c>
      <c r="G87" s="32"/>
      <c r="H87" s="32"/>
      <c r="I87" s="32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24"/>
      <c r="V87" s="142"/>
      <c r="W87" s="142"/>
      <c r="X87" s="29"/>
    </row>
    <row r="88" spans="1:24" ht="10.5">
      <c r="A88" s="29"/>
      <c r="B88" s="29"/>
      <c r="C88" s="61"/>
      <c r="D88" s="30" t="s">
        <v>34</v>
      </c>
      <c r="E88" s="30" t="str">
        <f t="shared" si="15"/>
        <v>$millions</v>
      </c>
      <c r="F88" s="169">
        <v>45078</v>
      </c>
      <c r="G88" s="32"/>
      <c r="H88" s="32"/>
      <c r="I88" s="32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 ht="10.5">
      <c r="A89" s="29"/>
      <c r="B89" s="29"/>
      <c r="C89" s="61"/>
      <c r="D89" s="30" t="s">
        <v>34</v>
      </c>
      <c r="E89" s="30" t="str">
        <f t="shared" si="15"/>
        <v>$millions</v>
      </c>
      <c r="F89" s="169">
        <v>45078</v>
      </c>
      <c r="G89" s="32"/>
      <c r="H89" s="32"/>
      <c r="I89" s="32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 s="102" customFormat="1" ht="10.5">
      <c r="A90" s="195"/>
      <c r="B90" s="195"/>
      <c r="C90" s="196"/>
      <c r="D90" s="105"/>
      <c r="E90" s="105"/>
      <c r="F90" s="197"/>
      <c r="G90" s="198"/>
      <c r="H90" s="198"/>
      <c r="I90" s="198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04"/>
      <c r="V90" s="162"/>
      <c r="W90" s="162"/>
      <c r="X90" s="195"/>
    </row>
    <row r="91" spans="1:24" ht="10.5">
      <c r="A91" s="29"/>
      <c r="B91" s="29"/>
      <c r="C91" s="61" t="s">
        <v>168</v>
      </c>
      <c r="D91" s="30" t="s">
        <v>34</v>
      </c>
      <c r="E91" s="30" t="str">
        <f t="shared" si="15"/>
        <v>$millions</v>
      </c>
      <c r="F91" s="169">
        <v>45078</v>
      </c>
      <c r="G91" s="32"/>
      <c r="H91" s="32"/>
      <c r="I91" s="32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 ht="10.5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 ht="10.5">
      <c r="A93" s="29"/>
      <c r="B93" s="29"/>
      <c r="C93" s="61" t="s">
        <v>88</v>
      </c>
      <c r="D93" s="30" t="s">
        <v>34</v>
      </c>
      <c r="E93" s="30" t="s">
        <v>31</v>
      </c>
      <c r="F93" s="32"/>
      <c r="G93" s="32"/>
      <c r="H93" s="32"/>
      <c r="I93" s="32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124"/>
      <c r="V93" s="142"/>
      <c r="W93" s="142"/>
      <c r="X93" s="29"/>
    </row>
    <row r="94" spans="1:24">
      <c r="A94" s="29"/>
      <c r="B94" s="29"/>
      <c r="C94" s="111"/>
      <c r="D94" s="30"/>
      <c r="E94" s="30"/>
      <c r="F94" s="30"/>
      <c r="G94" s="32"/>
      <c r="H94" s="32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13">
      <c r="A95" s="94"/>
      <c r="B95" s="95" t="s">
        <v>21</v>
      </c>
      <c r="C95" s="94"/>
      <c r="D95" s="94"/>
      <c r="E95" s="94"/>
      <c r="F95" s="96"/>
      <c r="G95" s="96"/>
      <c r="H95" s="96"/>
      <c r="I95" s="96"/>
      <c r="J95" s="97"/>
      <c r="K95" s="98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7"/>
      <c r="W95" s="98"/>
      <c r="X95" s="98"/>
    </row>
  </sheetData>
  <conditionalFormatting sqref="X60 X74:X77 X64:X68">
    <cfRule type="cellIs" dxfId="224" priority="54" operator="equal">
      <formula>"Check"</formula>
    </cfRule>
    <cfRule type="cellIs" dxfId="223" priority="55" operator="equal">
      <formula>"Ok"</formula>
    </cfRule>
  </conditionalFormatting>
  <conditionalFormatting sqref="X79">
    <cfRule type="cellIs" dxfId="222" priority="52" operator="equal">
      <formula>"Check"</formula>
    </cfRule>
    <cfRule type="cellIs" dxfId="221" priority="53" operator="equal">
      <formula>"Ok"</formula>
    </cfRule>
  </conditionalFormatting>
  <conditionalFormatting sqref="X15">
    <cfRule type="cellIs" dxfId="220" priority="50" operator="equal">
      <formula>"Check"</formula>
    </cfRule>
    <cfRule type="cellIs" dxfId="219" priority="51" operator="equal">
      <formula>"Ok"</formula>
    </cfRule>
  </conditionalFormatting>
  <conditionalFormatting sqref="W1">
    <cfRule type="cellIs" dxfId="218" priority="48" operator="equal">
      <formula>"Check"</formula>
    </cfRule>
    <cfRule type="cellIs" dxfId="217" priority="49" operator="equal">
      <formula>"Ok"</formula>
    </cfRule>
  </conditionalFormatting>
  <conditionalFormatting sqref="S1:T1">
    <cfRule type="cellIs" dxfId="216" priority="46" operator="equal">
      <formula>"Check"</formula>
    </cfRule>
    <cfRule type="cellIs" dxfId="215" priority="47" operator="equal">
      <formula>"Ok"</formula>
    </cfRule>
  </conditionalFormatting>
  <conditionalFormatting sqref="J15:T15">
    <cfRule type="cellIs" dxfId="214" priority="45" operator="equal">
      <formula>0</formula>
    </cfRule>
  </conditionalFormatting>
  <conditionalFormatting sqref="J79:S79">
    <cfRule type="cellIs" dxfId="213" priority="44" operator="equal">
      <formula>0</formula>
    </cfRule>
  </conditionalFormatting>
  <conditionalFormatting sqref="X71:X73">
    <cfRule type="cellIs" dxfId="212" priority="42" operator="equal">
      <formula>"Check"</formula>
    </cfRule>
    <cfRule type="cellIs" dxfId="211" priority="43" operator="equal">
      <formula>"Ok"</formula>
    </cfRule>
  </conditionalFormatting>
  <conditionalFormatting sqref="J56:T56 N60:T60 J74:S77 J64:T68">
    <cfRule type="expression" dxfId="210" priority="40">
      <formula>J$57=J$4</formula>
    </cfRule>
  </conditionalFormatting>
  <conditionalFormatting sqref="P13:T13 O19:T20 J21:T27">
    <cfRule type="expression" dxfId="209" priority="39">
      <formula>J$10=J$4</formula>
    </cfRule>
  </conditionalFormatting>
  <conditionalFormatting sqref="J60:O60">
    <cfRule type="expression" dxfId="208" priority="36">
      <formula>J$10=J$4</formula>
    </cfRule>
  </conditionalFormatting>
  <conditionalFormatting sqref="X70">
    <cfRule type="cellIs" dxfId="207" priority="34" operator="equal">
      <formula>"Check"</formula>
    </cfRule>
    <cfRule type="cellIs" dxfId="206" priority="35" operator="equal">
      <formula>"Ok"</formula>
    </cfRule>
  </conditionalFormatting>
  <conditionalFormatting sqref="J70:S70">
    <cfRule type="cellIs" dxfId="205" priority="32" operator="equal">
      <formula>0</formula>
    </cfRule>
  </conditionalFormatting>
  <conditionalFormatting sqref="J85:T89 J91:T91 J93:T93">
    <cfRule type="expression" dxfId="204" priority="31">
      <formula>J$83=J$4</formula>
    </cfRule>
  </conditionalFormatting>
  <conditionalFormatting sqref="X29">
    <cfRule type="cellIs" dxfId="203" priority="27" operator="equal">
      <formula>"Check"</formula>
    </cfRule>
    <cfRule type="cellIs" dxfId="202" priority="28" operator="equal">
      <formula>"Ok"</formula>
    </cfRule>
  </conditionalFormatting>
  <conditionalFormatting sqref="J29:T29">
    <cfRule type="cellIs" dxfId="201" priority="26" operator="equal">
      <formula>0</formula>
    </cfRule>
  </conditionalFormatting>
  <conditionalFormatting sqref="N13">
    <cfRule type="expression" dxfId="200" priority="23">
      <formula>N$57=N$4</formula>
    </cfRule>
  </conditionalFormatting>
  <conditionalFormatting sqref="J13:N13">
    <cfRule type="expression" dxfId="199" priority="22">
      <formula>J$10=J$4</formula>
    </cfRule>
  </conditionalFormatting>
  <conditionalFormatting sqref="O60">
    <cfRule type="expression" dxfId="198" priority="20">
      <formula>O$10=O$4</formula>
    </cfRule>
  </conditionalFormatting>
  <conditionalFormatting sqref="T79">
    <cfRule type="cellIs" dxfId="197" priority="19" operator="equal">
      <formula>0</formula>
    </cfRule>
  </conditionalFormatting>
  <conditionalFormatting sqref="T74:T77">
    <cfRule type="expression" dxfId="196" priority="18">
      <formula>T$57=T$4</formula>
    </cfRule>
  </conditionalFormatting>
  <conditionalFormatting sqref="T70">
    <cfRule type="cellIs" dxfId="195" priority="17" operator="equal">
      <formula>0</formula>
    </cfRule>
  </conditionalFormatting>
  <conditionalFormatting sqref="O12:O13">
    <cfRule type="expression" dxfId="194" priority="15">
      <formula>O$10=O$4</formula>
    </cfRule>
  </conditionalFormatting>
  <conditionalFormatting sqref="X38">
    <cfRule type="cellIs" dxfId="193" priority="13" operator="equal">
      <formula>"Check"</formula>
    </cfRule>
    <cfRule type="cellIs" dxfId="192" priority="14" operator="equal">
      <formula>"Ok"</formula>
    </cfRule>
  </conditionalFormatting>
  <conditionalFormatting sqref="J38:T38">
    <cfRule type="cellIs" dxfId="191" priority="12" operator="equal">
      <formula>0</formula>
    </cfRule>
  </conditionalFormatting>
  <conditionalFormatting sqref="J42:N50 P42:T50">
    <cfRule type="expression" dxfId="190" priority="11">
      <formula>J$33=J$4</formula>
    </cfRule>
  </conditionalFormatting>
  <conditionalFormatting sqref="X52">
    <cfRule type="cellIs" dxfId="189" priority="9" operator="equal">
      <formula>"Check"</formula>
    </cfRule>
    <cfRule type="cellIs" dxfId="188" priority="10" operator="equal">
      <formula>"Ok"</formula>
    </cfRule>
  </conditionalFormatting>
  <conditionalFormatting sqref="J52:T52">
    <cfRule type="cellIs" dxfId="187" priority="8" operator="equal">
      <formula>0</formula>
    </cfRule>
  </conditionalFormatting>
  <conditionalFormatting sqref="J36">
    <cfRule type="expression" dxfId="186" priority="6">
      <formula>J$33=J$4</formula>
    </cfRule>
  </conditionalFormatting>
  <conditionalFormatting sqref="O35">
    <cfRule type="expression" dxfId="185" priority="5">
      <formula>O$10=O$4</formula>
    </cfRule>
  </conditionalFormatting>
  <conditionalFormatting sqref="K36:T36">
    <cfRule type="expression" dxfId="184" priority="3">
      <formula>K$33=K$4</formula>
    </cfRule>
  </conditionalFormatting>
  <conditionalFormatting sqref="O42:O50">
    <cfRule type="expression" dxfId="183" priority="2">
      <formula>O$33=O$4</formula>
    </cfRule>
  </conditionalFormatting>
  <conditionalFormatting sqref="J19:N20">
    <cfRule type="expression" dxfId="182" priority="1">
      <formula>J$10=J$4</formula>
    </cfRule>
  </conditionalFormatting>
  <dataValidations count="1">
    <dataValidation type="list" allowBlank="1" showInputMessage="1" showErrorMessage="1" sqref="J56:T56" xr:uid="{00000000-0002-0000-0400-000000000000}">
      <formula1>"Actual,Estimate"</formula1>
    </dataValidation>
  </dataValidations>
  <hyperlinks>
    <hyperlink ref="V1" location="'Check|List'!A1" display="Overall Check:" xr:uid="{00000000-0004-0000-0400-000000000000}"/>
    <hyperlink ref="J1" location="Index!A1" display="Back to Index" xr:uid="{00000000-0004-0000-04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 xr:uid="{00000000-0002-0000-0400-000002000000}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 xr:uid="{00000000-0002-0000-0400-000003000000}">
          <x14:formula1>
            <xm:f>'Lookup|Tables'!$H$41:$H$61</xm:f>
          </x14:formula1>
          <xm:sqref>F60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X111"/>
  <sheetViews>
    <sheetView showGridLines="0" zoomScale="102" workbookViewId="0"/>
  </sheetViews>
  <sheetFormatPr defaultColWidth="0" defaultRowHeight="10" zeroHeight="1" outlineLevelRow="1"/>
  <cols>
    <col min="1" max="2" width="1.44140625" style="29" customWidth="1"/>
    <col min="3" max="3" width="57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10" width="10.77734375" style="30" customWidth="1"/>
    <col min="11" max="23" width="10.77734375" style="29" customWidth="1"/>
    <col min="24" max="16384" width="10.44140625" style="29" hidden="1"/>
  </cols>
  <sheetData>
    <row r="1" spans="1:50" s="69" customFormat="1" ht="15.5">
      <c r="B1" s="70" t="str">
        <f>Index!$B$1</f>
        <v>AER opex model v1.91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IF(COUNTIF(W5:W110,"Check")=0,"Ok","Check")</f>
        <v>Ok</v>
      </c>
      <c r="V1" s="185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 ht="10.5">
      <c r="C3" s="81"/>
      <c r="D3" s="180"/>
      <c r="E3" s="180"/>
      <c r="F3" s="180"/>
      <c r="G3" s="180"/>
      <c r="H3" s="180"/>
      <c r="I3" s="180"/>
      <c r="J3" s="155" t="s">
        <v>115</v>
      </c>
      <c r="K3" s="222"/>
      <c r="L3" s="222"/>
      <c r="M3" s="222"/>
      <c r="N3" s="180"/>
      <c r="O3" s="222"/>
      <c r="P3" s="222"/>
      <c r="Q3" s="222"/>
      <c r="R3" s="222"/>
      <c r="S3" s="222"/>
      <c r="T3" s="222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43070</v>
      </c>
      <c r="K4" s="217">
        <f>DATE(PPFirstYear,MONTH('Input|General'!$G$9),1)</f>
        <v>43435</v>
      </c>
      <c r="L4" s="217">
        <f>DATE(PPFirstYear+1,MONTH('Input|General'!$G$9),1)</f>
        <v>43800</v>
      </c>
      <c r="M4" s="217">
        <f>DATE(PPFirstYear+2,MONTH('Input|General'!$G$9),1)</f>
        <v>44166</v>
      </c>
      <c r="N4" s="217">
        <f>DATE(PPFirstYear+3,MONTH('Input|General'!$G$9),1)</f>
        <v>44531</v>
      </c>
      <c r="O4" s="217">
        <f>DATE(PPFirstYear+4,MONTH('Input|General'!$G$9),1)</f>
        <v>44896</v>
      </c>
      <c r="P4" s="217">
        <f>DATE(PPFirstYear+5,MONTH('Input|General'!$G$10),1)</f>
        <v>45078</v>
      </c>
      <c r="Q4" s="217">
        <f>DATE(PPFirstYear+6,MONTH('Input|General'!$G$10),1)</f>
        <v>45444</v>
      </c>
      <c r="R4" s="217">
        <f>DATE(PPFirstYear+7,MONTH('Input|General'!$G$10),1)</f>
        <v>45809</v>
      </c>
      <c r="S4" s="217">
        <f>DATE(PPFirstYear+8,MONTH('Input|General'!$G$10),1)</f>
        <v>46174</v>
      </c>
      <c r="T4" s="217">
        <f>DATE(PPFirstYear+9,MONTH('Input|General'!$G$10),1)</f>
        <v>46539</v>
      </c>
      <c r="U4" s="217">
        <f>DATE(PPFirstYear+10,MONTH('Input|General'!$G$10),1)</f>
        <v>46905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3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43070</v>
      </c>
      <c r="K10" s="156">
        <f t="shared" ref="K10:P10" si="0">K4</f>
        <v>43435</v>
      </c>
      <c r="L10" s="156">
        <f t="shared" si="0"/>
        <v>43800</v>
      </c>
      <c r="M10" s="156">
        <f t="shared" si="0"/>
        <v>44166</v>
      </c>
      <c r="N10" s="156">
        <f t="shared" si="0"/>
        <v>44531</v>
      </c>
      <c r="O10" s="156">
        <f t="shared" si="0"/>
        <v>44896</v>
      </c>
      <c r="P10" s="156">
        <f t="shared" si="0"/>
        <v>45078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1.9090909090909047E-2</v>
      </c>
      <c r="K12" s="143">
        <f>IF(K10=K4,LOOKUP(EOMONTH(K4,0),'Input|Inflation'!$C$9:$C$84,'Input|Inflation'!$G$9:$G$84),"")</f>
        <v>1.7841213202497874E-2</v>
      </c>
      <c r="L12" s="143">
        <f>IF(L10=L4,LOOKUP(EOMONTH(L4,0),'Input|Inflation'!$C$9:$C$84,'Input|Inflation'!$G$9:$G$84),"")</f>
        <v>1.8404907975460238E-2</v>
      </c>
      <c r="M12" s="143">
        <f>IF(M10=M4,LOOKUP(EOMONTH(M4,0),'Input|Inflation'!$C$9:$C$84,'Input|Inflation'!$G$9:$G$84),"")</f>
        <v>8.6058519793459354E-3</v>
      </c>
      <c r="N12" s="143">
        <f>IF(N10=N4,LOOKUP(EOMONTH(N4,0),'Input|Inflation'!$C$9:$C$84,'Input|Inflation'!$G$9:$G$84),"")</f>
        <v>3.4982935153583528E-2</v>
      </c>
      <c r="O12" s="143">
        <f>IF(O10=O4,LOOKUP(EOMONTH(O4,0),'Input|Inflation'!$C$9:$C$84,'Input|Inflation'!$G$9:$G$84),"")</f>
        <v>8.0000000000000293E-2</v>
      </c>
      <c r="P12" s="143">
        <f>IF(P10=P4,LOOKUP(EOMONTH(P4,0),'Input|Inflation'!$C$9:$C$84,'Input|Inflation'!$G$9:$G$84),"")</f>
        <v>2.320768831486042E-2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98</v>
      </c>
      <c r="I14" s="29"/>
      <c r="J14" s="156">
        <f>J4</f>
        <v>43070</v>
      </c>
      <c r="K14" s="156">
        <f t="shared" ref="K14:P14" si="1">K4</f>
        <v>43435</v>
      </c>
      <c r="L14" s="156">
        <f t="shared" si="1"/>
        <v>43800</v>
      </c>
      <c r="M14" s="156">
        <f t="shared" si="1"/>
        <v>44166</v>
      </c>
      <c r="N14" s="156">
        <f t="shared" si="1"/>
        <v>44531</v>
      </c>
      <c r="O14" s="156">
        <f t="shared" si="1"/>
        <v>44896</v>
      </c>
      <c r="P14" s="156">
        <f t="shared" si="1"/>
        <v>45078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43070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1.0178412132024979</v>
      </c>
      <c r="L16" s="22">
        <f t="shared" si="3"/>
        <v>1.0365744870651206</v>
      </c>
      <c r="M16" s="22">
        <f t="shared" si="3"/>
        <v>1.0454950936663694</v>
      </c>
      <c r="N16" s="22">
        <f t="shared" si="3"/>
        <v>1.0820695807314897</v>
      </c>
      <c r="O16" s="22">
        <f t="shared" si="3"/>
        <v>1.1686351471900092</v>
      </c>
      <c r="P16" s="22">
        <f t="shared" ref="P16" si="4">IF(AND($C16&gt;P$14,ISNONTEXT($C16)),Q16/(1+P$12),IF(AND($C16=P$14,P$14=P$4),1,IF(AND($C16&lt;P$14,P$14=P$4),O16*(1+P$12),0)))</f>
        <v>1.195756467439786</v>
      </c>
      <c r="Q16" s="206"/>
      <c r="R16" s="206"/>
      <c r="S16" s="206"/>
      <c r="T16" s="206"/>
      <c r="U16" s="206"/>
    </row>
    <row r="17" spans="3:22" ht="11.25" customHeight="1" outlineLevel="1">
      <c r="C17" s="163">
        <v>43435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0.98247151621384743</v>
      </c>
      <c r="K17" s="22">
        <f t="shared" si="6"/>
        <v>1</v>
      </c>
      <c r="L17" s="22">
        <f t="shared" si="6"/>
        <v>1.0184049079754602</v>
      </c>
      <c r="M17" s="22">
        <f t="shared" si="6"/>
        <v>1.0271691498685365</v>
      </c>
      <c r="N17" s="22">
        <f t="shared" si="6"/>
        <v>1.0631025416301489</v>
      </c>
      <c r="O17" s="22">
        <f t="shared" si="6"/>
        <v>1.1481507449605612</v>
      </c>
      <c r="P17" s="22">
        <f t="shared" ref="P17" si="7">IF(AND($C17&gt;P$14,ISNONTEXT($C17)),Q17/(1+P$12),IF(AND($C17=P$14,P$14=P$4),1,IF(AND($C17&lt;P$14,P$14=P$4),O17*(1+P$12),0)))</f>
        <v>1.1747966695880807</v>
      </c>
      <c r="Q17" s="206"/>
      <c r="R17" s="206"/>
      <c r="S17" s="206"/>
      <c r="T17" s="206"/>
      <c r="U17" s="206"/>
    </row>
    <row r="18" spans="3:22" ht="11.25" customHeight="1" outlineLevel="1">
      <c r="C18" s="163">
        <v>43800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0.9647160068846814</v>
      </c>
      <c r="K18" s="22">
        <f t="shared" si="8"/>
        <v>0.98192771084337338</v>
      </c>
      <c r="L18" s="22">
        <f t="shared" si="8"/>
        <v>1</v>
      </c>
      <c r="M18" s="22">
        <f t="shared" si="8"/>
        <v>1.0086058519793459</v>
      </c>
      <c r="N18" s="22">
        <f t="shared" si="8"/>
        <v>1.0438898450946643</v>
      </c>
      <c r="O18" s="22">
        <f t="shared" si="8"/>
        <v>1.1274010327022377</v>
      </c>
      <c r="P18" s="22">
        <f t="shared" ref="P18" si="9">IF(AND($C18&gt;P$14,ISNONTEXT($C18)),Q18/(1+P$12),IF(AND($C18=P$14,P$14=P$4),1,IF(AND($C18&lt;P$14,P$14=P$4),O18*(1+P$12),0)))</f>
        <v>1.153565404475043</v>
      </c>
      <c r="Q18" s="206"/>
      <c r="R18" s="206"/>
      <c r="S18" s="206"/>
      <c r="T18" s="206"/>
      <c r="U18" s="206"/>
    </row>
    <row r="19" spans="3:22" ht="11.25" customHeight="1" outlineLevel="1">
      <c r="C19" s="163">
        <v>44166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0.956484641638225</v>
      </c>
      <c r="K19" s="22">
        <f t="shared" si="10"/>
        <v>0.97354948805460739</v>
      </c>
      <c r="L19" s="22">
        <f t="shared" si="10"/>
        <v>0.99146757679180886</v>
      </c>
      <c r="M19" s="22">
        <f t="shared" si="10"/>
        <v>1</v>
      </c>
      <c r="N19" s="22">
        <f t="shared" si="10"/>
        <v>1.0349829351535835</v>
      </c>
      <c r="O19" s="22">
        <f t="shared" si="10"/>
        <v>1.1177815699658704</v>
      </c>
      <c r="P19" s="22">
        <f t="shared" ref="P19" si="11">IF(AND($C19&gt;P$14,ISNONTEXT($C19)),Q19/(1+P$12),IF(AND($C19=P$14,P$14=P$4),1,IF(AND($C19&lt;P$14,P$14=P$4),O19*(1+P$12),0)))</f>
        <v>1.1437226962457336</v>
      </c>
      <c r="Q19" s="206"/>
      <c r="R19" s="206"/>
      <c r="S19" s="206"/>
      <c r="T19" s="206"/>
      <c r="U19" s="206"/>
    </row>
    <row r="20" spans="3:22" ht="11.25" customHeight="1" outlineLevel="1">
      <c r="C20" s="163">
        <v>44531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0.92415498763396531</v>
      </c>
      <c r="K20" s="22">
        <f t="shared" ref="K20:O20" si="12">IF(AND($C20&gt;K$14,ISNONTEXT($C20)),L20/(1+L$12),IF(AND($C20=K$14,K$14=K$4),1,IF(AND($C20&lt;K$14,K$14=K$4),J20*(1+K$12),0)))</f>
        <v>0.94064303380049463</v>
      </c>
      <c r="L20" s="22">
        <f t="shared" si="12"/>
        <v>0.95795548227535043</v>
      </c>
      <c r="M20" s="22">
        <f t="shared" si="12"/>
        <v>0.9661995053586151</v>
      </c>
      <c r="N20" s="22">
        <f t="shared" si="12"/>
        <v>1</v>
      </c>
      <c r="O20" s="22">
        <f t="shared" si="12"/>
        <v>1.0800000000000003</v>
      </c>
      <c r="P20" s="22">
        <f t="shared" ref="P20" si="13">IF(AND($C20&gt;P$14,ISNONTEXT($C20)),Q20/(1+P$12),IF(AND($C20=P$14,P$14=P$4),1,IF(AND($C20&lt;P$14,P$14=P$4),O20*(1+P$12),0)))</f>
        <v>1.1050643033800496</v>
      </c>
      <c r="Q20" s="206"/>
      <c r="R20" s="206"/>
      <c r="S20" s="206"/>
      <c r="T20" s="206"/>
      <c r="U20" s="206"/>
    </row>
    <row r="21" spans="3:22" ht="11.25" customHeight="1" outlineLevel="1">
      <c r="C21" s="163">
        <v>44896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0.85569906262404172</v>
      </c>
      <c r="K21" s="22">
        <f t="shared" ref="K21" si="14">IF(AND($C21&gt;K$14,ISNONTEXT($C21)),L21/(1+L$12),IF(AND($C21=K$14,K$14=K$4),1,IF(AND($C21&lt;K$14,K$14=K$4),J21*(1+K$12),0)))</f>
        <v>0.87096577203749481</v>
      </c>
      <c r="L21" s="22">
        <f t="shared" ref="L21" si="15">IF(AND($C21&gt;L$14,ISNONTEXT($C21)),M21/(1+M$12),IF(AND($C21=L$14,L$14=L$4),1,IF(AND($C21&lt;L$14,L$14=L$4),K21*(1+L$12),0)))</f>
        <v>0.88699581692162055</v>
      </c>
      <c r="M21" s="22">
        <f t="shared" ref="M21" si="16">IF(AND($C21&gt;M$14,ISNONTEXT($C21)),N21/(1+N$12),IF(AND($C21=M$14,M$14=M$4),1,IF(AND($C21&lt;M$14,M$14=M$4),L21*(1+M$12),0)))</f>
        <v>0.8946291716283471</v>
      </c>
      <c r="N21" s="22">
        <f t="shared" ref="N21:O21" si="17">IF(AND($C21&gt;N$14,ISNONTEXT($C21)),O21/(1+O$12),IF(AND($C21=N$14,N$14=N$4),1,IF(AND($C21&lt;N$14,N$14=N$4),M21*(1+N$12),0)))</f>
        <v>0.92592592592592571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1.0232076883148604</v>
      </c>
      <c r="Q21" s="206"/>
      <c r="R21" s="206"/>
      <c r="S21" s="206"/>
      <c r="T21" s="206"/>
      <c r="U21" s="206"/>
    </row>
    <row r="22" spans="3:22" ht="11.25" customHeight="1" outlineLevel="1">
      <c r="C22" s="163">
        <v>45078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0.83629068897371972</v>
      </c>
      <c r="K22" s="22">
        <f t="shared" ref="K22" si="19">IF(AND($C22&gt;K$14,ISNONTEXT($C22)),L22/(1+L$12),IF(AND($C22=K$14,K$14=K$4),1,IF(AND($C22&lt;K$14,K$14=K$4),J22*(1+K$12),0)))</f>
        <v>0.85121112945496369</v>
      </c>
      <c r="L22" s="22">
        <f t="shared" ref="L22" si="20">IF(AND($C22&gt;L$14,ISNONTEXT($C22)),M22/(1+M$12),IF(AND($C22=L$14,L$14=L$4),1,IF(AND($C22&lt;L$14,L$14=L$4),K22*(1+L$12),0)))</f>
        <v>0.86687759196026992</v>
      </c>
      <c r="M22" s="22">
        <f t="shared" ref="M22" si="21">IF(AND($C22&gt;M$14,ISNONTEXT($C22)),N22/(1+N$12),IF(AND($C22=M$14,M$14=M$4),1,IF(AND($C22&lt;M$14,M$14=M$4),L22*(1+M$12),0)))</f>
        <v>0.8743378122008918</v>
      </c>
      <c r="N22" s="22">
        <f t="shared" ref="N22:O22" si="22">IF(AND($C22&gt;N$14,ISNONTEXT($C22)),O22/(1+O$12),IF(AND($C22=N$14,N$14=N$4),1,IF(AND($C22&lt;N$14,N$14=N$4),M22*(1+N$12),0)))</f>
        <v>0.90492471518744166</v>
      </c>
      <c r="O22" s="22">
        <f t="shared" si="22"/>
        <v>0.97731869240243729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43070</v>
      </c>
      <c r="K24" s="156">
        <f t="shared" ref="K24:P24" si="24">K4</f>
        <v>43435</v>
      </c>
      <c r="L24" s="156">
        <f t="shared" si="24"/>
        <v>43800</v>
      </c>
      <c r="M24" s="156">
        <f t="shared" si="24"/>
        <v>44166</v>
      </c>
      <c r="N24" s="156">
        <f t="shared" si="24"/>
        <v>44531</v>
      </c>
      <c r="O24" s="156">
        <f t="shared" si="24"/>
        <v>44896</v>
      </c>
      <c r="P24" s="156">
        <f t="shared" si="24"/>
        <v>45078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43070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1.0095003264441815</v>
      </c>
      <c r="K26" s="22">
        <f t="shared" ref="K26:T26" si="26">IF(AND(K$24=K$4,ISNONTEXT($C26)),1/K16*(1+K$12)^0.5,0)</f>
        <v>0.99119701180635511</v>
      </c>
      <c r="L26" s="22">
        <f t="shared" si="26"/>
        <v>0.97355328462275847</v>
      </c>
      <c r="M26" s="22">
        <f t="shared" si="26"/>
        <v>0.96059150742016974</v>
      </c>
      <c r="N26" s="22">
        <f t="shared" si="26"/>
        <v>0.94018086141191581</v>
      </c>
      <c r="O26" s="22">
        <f t="shared" si="26"/>
        <v>0.88926855147234185</v>
      </c>
      <c r="P26" s="22">
        <f t="shared" si="26"/>
        <v>0.84593921686846174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43435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1.0275110369962634</v>
      </c>
      <c r="K27" s="22">
        <f t="shared" si="28"/>
        <v>1.0088811690196711</v>
      </c>
      <c r="L27" s="22">
        <f t="shared" si="28"/>
        <v>0.99092265633770504</v>
      </c>
      <c r="M27" s="22">
        <f t="shared" si="28"/>
        <v>0.97772962530456164</v>
      </c>
      <c r="N27" s="22">
        <f t="shared" si="28"/>
        <v>0.95695482860927372</v>
      </c>
      <c r="O27" s="22">
        <f t="shared" si="28"/>
        <v>0.90513418129343626</v>
      </c>
      <c r="P27" s="22">
        <f t="shared" si="28"/>
        <v>0.86103179879296587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43800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1.0464222830759493</v>
      </c>
      <c r="K28" s="22">
        <f t="shared" si="29"/>
        <v>1.0274495340936529</v>
      </c>
      <c r="L28" s="22">
        <f t="shared" si="29"/>
        <v>1.0091604966383991</v>
      </c>
      <c r="M28" s="22">
        <f t="shared" si="29"/>
        <v>0.99572464908317337</v>
      </c>
      <c r="N28" s="22">
        <f t="shared" si="29"/>
        <v>0.97456749416649968</v>
      </c>
      <c r="O28" s="22">
        <f t="shared" si="29"/>
        <v>0.9217930926055854</v>
      </c>
      <c r="P28" s="22">
        <f t="shared" si="29"/>
        <v>0.87687900981369549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44166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1.0554276383519903</v>
      </c>
      <c r="K29" s="22">
        <f t="shared" si="30"/>
        <v>1.0362916127003108</v>
      </c>
      <c r="L29" s="22">
        <f t="shared" si="30"/>
        <v>1.0178451824958725</v>
      </c>
      <c r="M29" s="22">
        <f t="shared" si="30"/>
        <v>1.0042937080253693</v>
      </c>
      <c r="N29" s="22">
        <f t="shared" si="30"/>
        <v>0.98295447776517875</v>
      </c>
      <c r="O29" s="22">
        <f t="shared" si="30"/>
        <v>0.92972590751613271</v>
      </c>
      <c r="P29" s="22">
        <f t="shared" si="30"/>
        <v>0.88442530077594761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44531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1.0923495949837576</v>
      </c>
      <c r="K30" s="22">
        <f t="shared" si="31"/>
        <v>1.0725441349876081</v>
      </c>
      <c r="L30" s="22">
        <f t="shared" si="31"/>
        <v>1.0534523945115131</v>
      </c>
      <c r="M30" s="22">
        <f t="shared" si="31"/>
        <v>1.0394268496883727</v>
      </c>
      <c r="N30" s="22">
        <f t="shared" si="31"/>
        <v>1.0173411105197625</v>
      </c>
      <c r="O30" s="22">
        <f t="shared" si="31"/>
        <v>0.96225044864937614</v>
      </c>
      <c r="P30" s="22">
        <f t="shared" si="31"/>
        <v>0.91536509372118102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44896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1.1797375625824587</v>
      </c>
      <c r="K31" s="22">
        <f t="shared" si="32"/>
        <v>1.1583476657866172</v>
      </c>
      <c r="L31" s="22">
        <f t="shared" si="32"/>
        <v>1.1377285860724342</v>
      </c>
      <c r="M31" s="22">
        <f t="shared" si="32"/>
        <v>1.1225809976634429</v>
      </c>
      <c r="N31" s="22">
        <f t="shared" si="32"/>
        <v>1.0987283993613437</v>
      </c>
      <c r="O31" s="22">
        <f t="shared" si="32"/>
        <v>1.0392304845413265</v>
      </c>
      <c r="P31" s="22">
        <f t="shared" si="32"/>
        <v>0.98859430121887581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45078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1.2071165442282052</v>
      </c>
      <c r="K32" s="22">
        <f t="shared" si="32"/>
        <v>1.1852302373744392</v>
      </c>
      <c r="L32" s="22">
        <f t="shared" si="32"/>
        <v>1.1641326364849101</v>
      </c>
      <c r="M32" s="22">
        <f t="shared" si="32"/>
        <v>1.1486335075654013</v>
      </c>
      <c r="N32" s="22">
        <f t="shared" si="32"/>
        <v>1.1242273455964074</v>
      </c>
      <c r="O32" s="22">
        <f t="shared" si="32"/>
        <v>1.063348621713863</v>
      </c>
      <c r="P32" s="22">
        <f t="shared" si="32"/>
        <v>1.0115372896314108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3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45444</v>
      </c>
      <c r="R36" s="160">
        <f t="shared" ref="R36:U36" si="33">R4</f>
        <v>45809</v>
      </c>
      <c r="S36" s="160">
        <f t="shared" si="33"/>
        <v>46174</v>
      </c>
      <c r="T36" s="160">
        <f t="shared" si="33"/>
        <v>46539</v>
      </c>
      <c r="U36" s="160">
        <f t="shared" si="33"/>
        <v>46905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188</v>
      </c>
      <c r="D38" s="30" t="s">
        <v>100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3.9558192285364946E-3</v>
      </c>
      <c r="R38" s="165">
        <v>9.2324270998921428E-3</v>
      </c>
      <c r="S38" s="165">
        <v>9.8608803270461114E-3</v>
      </c>
      <c r="T38" s="165">
        <v>8.6671719416965051E-3</v>
      </c>
      <c r="U38" s="165">
        <v>6.7592073439644903E-3</v>
      </c>
    </row>
    <row r="39" spans="1:50" ht="11.25" customHeight="1" outlineLevel="1">
      <c r="C39" s="61" t="s">
        <v>190</v>
      </c>
      <c r="D39" s="30" t="s">
        <v>100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165">
        <v>5.6065407922920585E-3</v>
      </c>
      <c r="R39" s="165">
        <v>1.0959002480069202E-2</v>
      </c>
      <c r="S39" s="165">
        <v>8.2410147417375512E-3</v>
      </c>
      <c r="T39" s="165">
        <v>4.0449978813716925E-3</v>
      </c>
      <c r="U39" s="165">
        <v>3.9810991449322763E-3</v>
      </c>
    </row>
    <row r="40" spans="1:50" ht="11.25" customHeight="1" outlineLevel="1">
      <c r="C40" s="61" t="s">
        <v>189</v>
      </c>
      <c r="D40" s="30" t="s">
        <v>100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165">
        <f>AVERAGE(Q38:Q39)</f>
        <v>4.7811800104142765E-3</v>
      </c>
      <c r="R40" s="165">
        <f t="shared" ref="R40:U40" si="35">AVERAGE(R38:R39)</f>
        <v>1.0095714789980673E-2</v>
      </c>
      <c r="S40" s="165">
        <f t="shared" si="35"/>
        <v>9.0509475343918313E-3</v>
      </c>
      <c r="T40" s="165">
        <f t="shared" si="35"/>
        <v>6.3560849115340988E-3</v>
      </c>
      <c r="U40" s="165">
        <f t="shared" si="35"/>
        <v>5.3701532444483833E-3</v>
      </c>
    </row>
    <row r="41" spans="1:50" ht="11.25" customHeight="1" outlineLevel="1">
      <c r="C41" s="61" t="s">
        <v>191</v>
      </c>
      <c r="D41" s="30" t="s">
        <v>100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60">
        <v>5.0000000000000001E-3</v>
      </c>
      <c r="R41" s="60">
        <v>5.0000000000000001E-3</v>
      </c>
      <c r="S41" s="60">
        <v>5.0000000000000001E-3</v>
      </c>
      <c r="T41" s="60">
        <v>0</v>
      </c>
      <c r="U41" s="60">
        <v>0</v>
      </c>
    </row>
    <row r="42" spans="1:50" ht="11.25" customHeight="1" outlineLevel="1">
      <c r="C42" s="61" t="s">
        <v>192</v>
      </c>
      <c r="D42" s="30" t="s">
        <v>100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>
        <f>Q40+Q41</f>
        <v>9.7811800104142775E-3</v>
      </c>
      <c r="R42" s="60">
        <f t="shared" ref="R42:U42" si="36">R40+R41</f>
        <v>1.5095714789980674E-2</v>
      </c>
      <c r="S42" s="60">
        <f t="shared" si="36"/>
        <v>1.4050947534391831E-2</v>
      </c>
      <c r="T42" s="60">
        <f t="shared" si="36"/>
        <v>6.3560849115340988E-3</v>
      </c>
      <c r="U42" s="60">
        <f t="shared" si="36"/>
        <v>5.3701532444483833E-3</v>
      </c>
    </row>
    <row r="43" spans="1:50" ht="11.25" customHeight="1" outlineLevel="1">
      <c r="C43" s="61"/>
      <c r="D43" s="30" t="s">
        <v>100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7"/>
      <c r="U43" s="60"/>
    </row>
    <row r="44" spans="1:50" ht="11.25" customHeight="1" outlineLevel="1">
      <c r="C44" s="61"/>
      <c r="D44" s="30" t="s">
        <v>100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7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>
        <v>0</v>
      </c>
      <c r="R45" s="60">
        <v>0</v>
      </c>
      <c r="S45" s="60">
        <v>0</v>
      </c>
      <c r="T45" s="207">
        <v>0</v>
      </c>
      <c r="U45" s="60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37">IF(J36=J4,IF(COUNTA($C38:$C45)=COUNT(J38:J45),"Ok","Check"),"")</f>
        <v/>
      </c>
      <c r="K47" s="132" t="str">
        <f t="shared" si="37"/>
        <v/>
      </c>
      <c r="L47" s="132" t="str">
        <f t="shared" si="37"/>
        <v/>
      </c>
      <c r="M47" s="132" t="str">
        <f t="shared" si="37"/>
        <v/>
      </c>
      <c r="N47" s="132" t="str">
        <f t="shared" si="37"/>
        <v/>
      </c>
      <c r="O47" s="132" t="str">
        <f t="shared" si="37"/>
        <v/>
      </c>
      <c r="P47" s="132" t="str">
        <f t="shared" si="37"/>
        <v/>
      </c>
      <c r="Q47" s="132" t="str">
        <f t="shared" si="37"/>
        <v>Ok</v>
      </c>
      <c r="R47" s="132" t="str">
        <f t="shared" si="37"/>
        <v>Ok</v>
      </c>
      <c r="S47" s="132" t="str">
        <f t="shared" si="37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45444</v>
      </c>
      <c r="R49" s="160">
        <f t="shared" ref="R49:U49" si="38">R4</f>
        <v>45809</v>
      </c>
      <c r="S49" s="160">
        <f t="shared" si="38"/>
        <v>46174</v>
      </c>
      <c r="T49" s="160">
        <f t="shared" si="38"/>
        <v>46539</v>
      </c>
      <c r="U49" s="160">
        <f t="shared" si="38"/>
        <v>46905</v>
      </c>
    </row>
    <row r="50" spans="1:50" ht="11.25" customHeight="1" outlineLevel="1"/>
    <row r="51" spans="1:50" ht="11.25" customHeight="1" outlineLevel="1">
      <c r="C51" s="146" t="str">
        <f t="shared" ref="C51:C58" si="39">C38</f>
        <v>WPI - BIS Oxford</v>
      </c>
      <c r="D51" s="30" t="s">
        <v>100</v>
      </c>
      <c r="E51" s="30" t="str">
        <f t="shared" ref="E51:E58" si="40">percent</f>
        <v>Per cent</v>
      </c>
      <c r="J51" s="202"/>
      <c r="K51" s="150"/>
      <c r="L51" s="150"/>
      <c r="M51" s="150"/>
      <c r="N51" s="150"/>
      <c r="O51" s="150"/>
      <c r="P51" s="150"/>
      <c r="Q51" s="60"/>
      <c r="R51" s="60"/>
      <c r="S51" s="60"/>
      <c r="T51" s="60"/>
      <c r="U51" s="60"/>
    </row>
    <row r="52" spans="1:50" ht="11.25" customHeight="1" outlineLevel="1">
      <c r="C52" s="146" t="str">
        <f t="shared" si="39"/>
        <v>WPI - KPMG</v>
      </c>
      <c r="D52" s="30" t="s">
        <v>100</v>
      </c>
      <c r="E52" s="30" t="str">
        <f t="shared" si="40"/>
        <v>Per cent</v>
      </c>
      <c r="J52" s="202"/>
      <c r="K52" s="150"/>
      <c r="L52" s="150"/>
      <c r="M52" s="150"/>
      <c r="N52" s="150"/>
      <c r="O52" s="150"/>
      <c r="P52" s="150"/>
      <c r="Q52" s="60"/>
      <c r="R52" s="60"/>
      <c r="S52" s="60"/>
      <c r="T52" s="60"/>
      <c r="U52" s="60"/>
    </row>
    <row r="53" spans="1:50" ht="11.25" customHeight="1" outlineLevel="1">
      <c r="C53" s="146" t="str">
        <f t="shared" si="39"/>
        <v>WPI - average</v>
      </c>
      <c r="D53" s="30" t="s">
        <v>100</v>
      </c>
      <c r="E53" s="30" t="str">
        <f t="shared" si="40"/>
        <v>Per cent</v>
      </c>
      <c r="J53" s="202"/>
      <c r="K53" s="150"/>
      <c r="L53" s="150"/>
      <c r="M53" s="150"/>
      <c r="N53" s="150"/>
      <c r="O53" s="150"/>
      <c r="P53" s="150"/>
      <c r="Q53" s="60"/>
      <c r="R53" s="60"/>
      <c r="S53" s="60"/>
      <c r="T53" s="60"/>
      <c r="U53" s="60"/>
    </row>
    <row r="54" spans="1:50" ht="11.25" customHeight="1" outlineLevel="1">
      <c r="C54" s="146" t="str">
        <f t="shared" si="39"/>
        <v>Superannuation guarantee increase</v>
      </c>
      <c r="D54" s="30" t="s">
        <v>100</v>
      </c>
      <c r="E54" s="30" t="str">
        <f t="shared" si="40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 t="str">
        <f t="shared" si="39"/>
        <v>Forecast labour price growth</v>
      </c>
      <c r="D55" s="30" t="s">
        <v>100</v>
      </c>
      <c r="E55" s="30" t="str">
        <f t="shared" si="40"/>
        <v>Per cent</v>
      </c>
      <c r="J55" s="202"/>
      <c r="K55" s="150"/>
      <c r="L55" s="150"/>
      <c r="M55" s="150"/>
      <c r="N55" s="150"/>
      <c r="O55" s="150"/>
      <c r="P55" s="150"/>
      <c r="Q55" s="60">
        <v>0.62</v>
      </c>
      <c r="R55" s="60">
        <f>$Q55</f>
        <v>0.62</v>
      </c>
      <c r="S55" s="60">
        <f t="shared" ref="S55:U55" si="41">$Q55</f>
        <v>0.62</v>
      </c>
      <c r="T55" s="60">
        <f t="shared" si="41"/>
        <v>0.62</v>
      </c>
      <c r="U55" s="60">
        <f t="shared" si="41"/>
        <v>0.62</v>
      </c>
    </row>
    <row r="56" spans="1:50" ht="11.25" customHeight="1" outlineLevel="1">
      <c r="C56" s="146">
        <f t="shared" si="39"/>
        <v>0</v>
      </c>
      <c r="D56" s="30" t="s">
        <v>100</v>
      </c>
      <c r="E56" s="30" t="str">
        <f t="shared" si="40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9"/>
        <v>0</v>
      </c>
      <c r="D57" s="30" t="s">
        <v>100</v>
      </c>
      <c r="E57" s="30" t="str">
        <f t="shared" si="40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39"/>
        <v>CPI</v>
      </c>
      <c r="D58" s="30" t="s">
        <v>100</v>
      </c>
      <c r="E58" s="30" t="str">
        <f t="shared" si="40"/>
        <v>Per cent</v>
      </c>
      <c r="J58" s="202"/>
      <c r="K58" s="150"/>
      <c r="L58" s="150"/>
      <c r="M58" s="150"/>
      <c r="N58" s="150"/>
      <c r="O58" s="150"/>
      <c r="P58" s="150"/>
      <c r="Q58" s="60">
        <v>0.38</v>
      </c>
      <c r="R58" s="60">
        <f>$Q58</f>
        <v>0.38</v>
      </c>
      <c r="S58" s="60">
        <f t="shared" ref="S58:U58" si="42">$Q58</f>
        <v>0.38</v>
      </c>
      <c r="T58" s="60">
        <f t="shared" si="42"/>
        <v>0.38</v>
      </c>
      <c r="U58" s="60">
        <f t="shared" si="42"/>
        <v>0.38</v>
      </c>
    </row>
    <row r="59" spans="1:50" ht="11.25" customHeight="1" outlineLevel="1"/>
    <row r="60" spans="1:50" ht="10.5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43">IF(Q49=Q$4,IF(SUM(Q51:Q58)=1,"Ok","Check"),"")</f>
        <v>Ok</v>
      </c>
      <c r="R60" s="132" t="str">
        <f t="shared" si="43"/>
        <v>Ok</v>
      </c>
      <c r="S60" s="132" t="str">
        <f t="shared" si="43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3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ht="10.5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45078</v>
      </c>
      <c r="Q64" s="160">
        <f t="shared" ref="Q64:U64" si="44">Q4</f>
        <v>45444</v>
      </c>
      <c r="R64" s="160">
        <f t="shared" si="44"/>
        <v>45809</v>
      </c>
      <c r="S64" s="160">
        <f t="shared" si="44"/>
        <v>46174</v>
      </c>
      <c r="T64" s="160">
        <f t="shared" si="44"/>
        <v>46539</v>
      </c>
      <c r="U64" s="160">
        <f t="shared" si="44"/>
        <v>46905</v>
      </c>
    </row>
    <row r="65" spans="3:23" ht="10.5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206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221">
        <v>748536.81176138169</v>
      </c>
      <c r="Q66" s="221">
        <v>752424.85686951713</v>
      </c>
      <c r="R66" s="221">
        <v>752073.01783765666</v>
      </c>
      <c r="S66" s="221">
        <v>747322.73973480437</v>
      </c>
      <c r="T66" s="221">
        <v>736202.94366238499</v>
      </c>
      <c r="U66" s="221">
        <v>719510.80430965917</v>
      </c>
    </row>
    <row r="67" spans="3:23" outlineLevel="1">
      <c r="C67" s="61" t="s">
        <v>207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221">
        <v>12341.602550075993</v>
      </c>
      <c r="Q67" s="221">
        <v>12472.786740042671</v>
      </c>
      <c r="R67" s="221">
        <v>12637.468144713792</v>
      </c>
      <c r="S67" s="221">
        <v>12776.783862739756</v>
      </c>
      <c r="T67" s="221">
        <v>12888.283126063356</v>
      </c>
      <c r="U67" s="221">
        <v>12971.548222566606</v>
      </c>
    </row>
    <row r="68" spans="3:23" outlineLevel="1">
      <c r="C68" s="61" t="s">
        <v>208</v>
      </c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221">
        <v>55300.019245432457</v>
      </c>
      <c r="Q68" s="221">
        <v>54193.793218281658</v>
      </c>
      <c r="R68" s="221">
        <v>52529.241275732282</v>
      </c>
      <c r="S68" s="221">
        <v>50845.603285150923</v>
      </c>
      <c r="T68" s="221">
        <v>48897.114061660526</v>
      </c>
      <c r="U68" s="221">
        <v>46908.928421344011</v>
      </c>
    </row>
    <row r="69" spans="3:23" outlineLevel="1">
      <c r="C69" s="61"/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/>
      <c r="Q69" s="194"/>
      <c r="R69" s="194"/>
      <c r="S69" s="194"/>
      <c r="T69" s="194"/>
      <c r="U69" s="194"/>
    </row>
    <row r="70" spans="3:23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ht="10.5" outlineLevel="1">
      <c r="C72" s="111"/>
      <c r="G72" s="32"/>
      <c r="H72" s="32"/>
      <c r="K72" s="23"/>
      <c r="L72" s="23"/>
      <c r="M72" s="23"/>
      <c r="N72" s="23"/>
      <c r="O72" s="23"/>
    </row>
    <row r="73" spans="3:23" ht="10.5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45">IF(J64=J$4,IF(COUNTA($C66:$C71)=COUNT(J66:J71),"Ok","Check"),"")</f>
        <v/>
      </c>
      <c r="K73" s="132" t="str">
        <f t="shared" si="45"/>
        <v/>
      </c>
      <c r="L73" s="132" t="str">
        <f t="shared" si="45"/>
        <v/>
      </c>
      <c r="M73" s="132" t="str">
        <f t="shared" si="45"/>
        <v/>
      </c>
      <c r="N73" s="132" t="str">
        <f t="shared" si="45"/>
        <v/>
      </c>
      <c r="O73" s="132"/>
      <c r="P73" s="132" t="str">
        <f t="shared" si="45"/>
        <v>Ok</v>
      </c>
      <c r="Q73" s="132" t="str">
        <f t="shared" si="45"/>
        <v>Ok</v>
      </c>
      <c r="R73" s="132" t="str">
        <f t="shared" si="45"/>
        <v>Ok</v>
      </c>
      <c r="S73" s="132" t="str">
        <f t="shared" si="45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ht="10.5" outlineLevel="1">
      <c r="C74" s="111"/>
      <c r="G74" s="32"/>
      <c r="H74" s="32"/>
      <c r="K74" s="23"/>
      <c r="L74" s="23"/>
      <c r="M74" s="23"/>
      <c r="N74" s="23"/>
      <c r="O74" s="23"/>
    </row>
    <row r="75" spans="3:23" ht="10.5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45444</v>
      </c>
      <c r="R75" s="160">
        <f t="shared" ref="R75:U75" si="46">R4</f>
        <v>45809</v>
      </c>
      <c r="S75" s="160">
        <f t="shared" si="46"/>
        <v>46174</v>
      </c>
      <c r="T75" s="160">
        <f t="shared" si="46"/>
        <v>46539</v>
      </c>
      <c r="U75" s="160">
        <f t="shared" si="46"/>
        <v>46905</v>
      </c>
    </row>
    <row r="76" spans="3:23" ht="10.5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97</v>
      </c>
      <c r="E77" s="30" t="s">
        <v>18</v>
      </c>
      <c r="F77" s="30" t="s">
        <v>36</v>
      </c>
      <c r="G77" s="32"/>
      <c r="H77" s="32"/>
      <c r="J77" s="117" t="str">
        <f t="shared" ref="J77:M77" si="47">IF(ISBLANK(I66),"",IF(ISBLANK(J66),"",LN(J66)-LN(I66)))</f>
        <v/>
      </c>
      <c r="K77" s="117" t="str">
        <f t="shared" si="47"/>
        <v/>
      </c>
      <c r="L77" s="117" t="str">
        <f t="shared" si="47"/>
        <v/>
      </c>
      <c r="M77" s="117" t="str">
        <f t="shared" si="47"/>
        <v/>
      </c>
      <c r="N77" s="117" t="str">
        <f>IF(ISBLANK(M66),"",IF(ISBLANK(N66),"",LN(N66)-LN(M66)))</f>
        <v/>
      </c>
      <c r="O77" s="117" t="str">
        <f t="shared" ref="O77:U77" si="48">IF(ISBLANK(N66),"",IF(ISBLANK(O66),"",LN(O66)-LN(N66)))</f>
        <v/>
      </c>
      <c r="P77" s="117" t="str">
        <f t="shared" si="48"/>
        <v/>
      </c>
      <c r="Q77" s="117">
        <f t="shared" si="48"/>
        <v>5.180750295902925E-3</v>
      </c>
      <c r="R77" s="117">
        <f t="shared" si="48"/>
        <v>-4.6771623169306054E-4</v>
      </c>
      <c r="S77" s="117">
        <f t="shared" si="48"/>
        <v>-6.3362777597077979E-3</v>
      </c>
      <c r="T77" s="117">
        <f t="shared" si="48"/>
        <v>-1.4991320273107789E-2</v>
      </c>
      <c r="U77" s="117">
        <f t="shared" si="48"/>
        <v>-2.2934276763294292E-2</v>
      </c>
    </row>
    <row r="78" spans="3:23" outlineLevel="1">
      <c r="C78" s="146" t="str">
        <f t="shared" ref="C78:C82" si="49">C67</f>
        <v>Network Length (km)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U78" si="50">IF(ISBLANK(I67),"",IF(ISBLANK(J67),"",LN(J67)-LN(I67)))</f>
        <v/>
      </c>
      <c r="K78" s="117" t="str">
        <f t="shared" si="50"/>
        <v/>
      </c>
      <c r="L78" s="117" t="str">
        <f t="shared" si="50"/>
        <v/>
      </c>
      <c r="M78" s="117" t="str">
        <f t="shared" si="50"/>
        <v/>
      </c>
      <c r="N78" s="117" t="str">
        <f t="shared" si="50"/>
        <v/>
      </c>
      <c r="O78" s="117" t="str">
        <f t="shared" si="50"/>
        <v/>
      </c>
      <c r="P78" s="117" t="str">
        <f t="shared" si="50"/>
        <v/>
      </c>
      <c r="Q78" s="117">
        <f t="shared" si="50"/>
        <v>1.0573333929730921E-2</v>
      </c>
      <c r="R78" s="117">
        <f t="shared" si="50"/>
        <v>1.3116853378438265E-2</v>
      </c>
      <c r="S78" s="117">
        <f t="shared" si="50"/>
        <v>1.0963699698333329E-2</v>
      </c>
      <c r="T78" s="117">
        <f t="shared" si="50"/>
        <v>8.6888504792561605E-3</v>
      </c>
      <c r="U78" s="117">
        <f t="shared" si="50"/>
        <v>6.4397468903152344E-3</v>
      </c>
    </row>
    <row r="79" spans="3:23" outlineLevel="1">
      <c r="C79" s="146" t="str">
        <f t="shared" si="49"/>
        <v>Energy throughput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51">IF(ISBLANK(I68),"",IF(ISBLANK(J68),"",LN(J68)-LN(I68)))</f>
        <v/>
      </c>
      <c r="K79" s="117" t="str">
        <f t="shared" si="51"/>
        <v/>
      </c>
      <c r="L79" s="117" t="str">
        <f t="shared" si="51"/>
        <v/>
      </c>
      <c r="M79" s="117" t="str">
        <f t="shared" si="51"/>
        <v/>
      </c>
      <c r="N79" s="117" t="str">
        <f t="shared" si="51"/>
        <v/>
      </c>
      <c r="O79" s="117" t="str">
        <f t="shared" si="51"/>
        <v/>
      </c>
      <c r="P79" s="117" t="str">
        <f t="shared" si="51"/>
        <v/>
      </c>
      <c r="Q79" s="117">
        <f t="shared" si="51"/>
        <v>-2.0206870926651632E-2</v>
      </c>
      <c r="R79" s="117">
        <f t="shared" si="51"/>
        <v>-3.1196394395992755E-2</v>
      </c>
      <c r="S79" s="117">
        <f t="shared" si="51"/>
        <v>-3.2576336870091538E-2</v>
      </c>
      <c r="T79" s="117">
        <f t="shared" si="51"/>
        <v>-3.9075276758872235E-2</v>
      </c>
      <c r="U79" s="117">
        <f t="shared" si="51"/>
        <v>-4.1510348804173702E-2</v>
      </c>
    </row>
    <row r="80" spans="3:23" outlineLevel="1">
      <c r="C80" s="146">
        <f t="shared" si="49"/>
        <v>0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U80" si="52">IF(ISBLANK(I69),"",IF(ISBLANK(J69),"",LN(J69)-LN(I69)))</f>
        <v/>
      </c>
      <c r="K80" s="117" t="str">
        <f t="shared" si="52"/>
        <v/>
      </c>
      <c r="L80" s="117" t="str">
        <f t="shared" si="52"/>
        <v/>
      </c>
      <c r="M80" s="117" t="str">
        <f t="shared" si="52"/>
        <v/>
      </c>
      <c r="N80" s="117" t="str">
        <f t="shared" si="52"/>
        <v/>
      </c>
      <c r="O80" s="117" t="str">
        <f t="shared" si="52"/>
        <v/>
      </c>
      <c r="P80" s="117" t="str">
        <f t="shared" si="52"/>
        <v/>
      </c>
      <c r="Q80" s="117" t="str">
        <f t="shared" si="52"/>
        <v/>
      </c>
      <c r="R80" s="117" t="str">
        <f t="shared" si="52"/>
        <v/>
      </c>
      <c r="S80" s="117" t="str">
        <f t="shared" si="52"/>
        <v/>
      </c>
      <c r="T80" s="117" t="str">
        <f t="shared" si="52"/>
        <v/>
      </c>
      <c r="U80" s="117" t="str">
        <f t="shared" si="52"/>
        <v/>
      </c>
    </row>
    <row r="81" spans="3:23" outlineLevel="1">
      <c r="C81" s="146">
        <f t="shared" si="49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U81" si="53">IF(ISBLANK(I70),"",IF(ISBLANK(J70),"",LN(J70)-LN(I70)))</f>
        <v/>
      </c>
      <c r="K81" s="117" t="str">
        <f t="shared" si="53"/>
        <v/>
      </c>
      <c r="L81" s="117" t="str">
        <f t="shared" si="53"/>
        <v/>
      </c>
      <c r="M81" s="117" t="str">
        <f t="shared" si="53"/>
        <v/>
      </c>
      <c r="N81" s="117" t="str">
        <f t="shared" si="53"/>
        <v/>
      </c>
      <c r="O81" s="117" t="str">
        <f t="shared" si="53"/>
        <v/>
      </c>
      <c r="P81" s="117" t="str">
        <f t="shared" si="53"/>
        <v/>
      </c>
      <c r="Q81" s="117" t="str">
        <f t="shared" si="53"/>
        <v/>
      </c>
      <c r="R81" s="117" t="str">
        <f t="shared" si="53"/>
        <v/>
      </c>
      <c r="S81" s="117" t="str">
        <f t="shared" si="53"/>
        <v/>
      </c>
      <c r="T81" s="117" t="str">
        <f t="shared" si="53"/>
        <v/>
      </c>
      <c r="U81" s="117" t="str">
        <f t="shared" si="53"/>
        <v/>
      </c>
    </row>
    <row r="82" spans="3:23" outlineLevel="1">
      <c r="C82" s="146">
        <f t="shared" si="49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54">IF(ISBLANK(I71),"",IF(ISBLANK(J71),"",LN(J71)-LN(I71)))</f>
        <v/>
      </c>
      <c r="K82" s="117" t="str">
        <f t="shared" si="54"/>
        <v/>
      </c>
      <c r="L82" s="117" t="str">
        <f t="shared" si="54"/>
        <v/>
      </c>
      <c r="M82" s="117" t="str">
        <f t="shared" si="54"/>
        <v/>
      </c>
      <c r="N82" s="117" t="str">
        <f t="shared" si="54"/>
        <v/>
      </c>
      <c r="O82" s="117" t="str">
        <f t="shared" si="54"/>
        <v/>
      </c>
      <c r="P82" s="117" t="str">
        <f t="shared" si="54"/>
        <v/>
      </c>
      <c r="Q82" s="117" t="str">
        <f t="shared" si="54"/>
        <v/>
      </c>
      <c r="R82" s="117" t="str">
        <f t="shared" si="54"/>
        <v/>
      </c>
      <c r="S82" s="117" t="str">
        <f t="shared" si="54"/>
        <v/>
      </c>
      <c r="T82" s="117" t="str">
        <f t="shared" si="54"/>
        <v/>
      </c>
      <c r="U82" s="117" t="str">
        <f t="shared" si="54"/>
        <v/>
      </c>
    </row>
    <row r="83" spans="3:23" ht="10.5" outlineLevel="1">
      <c r="C83" s="111"/>
      <c r="G83" s="32"/>
      <c r="H83" s="32"/>
      <c r="K83" s="23"/>
      <c r="L83" s="23"/>
      <c r="M83" s="23"/>
      <c r="N83" s="23"/>
      <c r="O83" s="23"/>
    </row>
    <row r="84" spans="3:23" ht="10.5" outlineLevel="1">
      <c r="C84" s="67" t="s">
        <v>163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9" t="s">
        <v>209</v>
      </c>
      <c r="K84" s="209" t="s">
        <v>210</v>
      </c>
      <c r="L84" s="209" t="s">
        <v>209</v>
      </c>
      <c r="M84" s="209" t="s">
        <v>210</v>
      </c>
      <c r="N84" s="209"/>
      <c r="O84" s="160"/>
      <c r="P84" s="160"/>
      <c r="Q84" s="160"/>
      <c r="R84" s="160"/>
      <c r="S84" s="160"/>
      <c r="T84" s="160"/>
    </row>
    <row r="85" spans="3:23" ht="10.5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15">
        <v>0.27047146401985112</v>
      </c>
      <c r="K86" s="215">
        <v>0.73522458628841614</v>
      </c>
      <c r="L86" s="215">
        <v>0.79805013927576596</v>
      </c>
      <c r="M86" s="215">
        <v>0.96057681125712291</v>
      </c>
      <c r="N86" s="215"/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5">C67</f>
        <v>Network Length (km)</v>
      </c>
      <c r="D87" s="30" t="s">
        <v>100</v>
      </c>
      <c r="E87" s="30" t="s">
        <v>18</v>
      </c>
      <c r="F87" s="30" t="s">
        <v>36</v>
      </c>
      <c r="G87" s="32"/>
      <c r="H87" s="32"/>
      <c r="J87" s="215">
        <v>0.72952853598014888</v>
      </c>
      <c r="K87" s="215">
        <v>0.26477541371158392</v>
      </c>
      <c r="L87" s="215">
        <v>0</v>
      </c>
      <c r="M87" s="215">
        <v>0</v>
      </c>
      <c r="N87" s="215"/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5"/>
        <v>Energy throughput</v>
      </c>
      <c r="D88" s="30" t="s">
        <v>100</v>
      </c>
      <c r="E88" s="30" t="s">
        <v>18</v>
      </c>
      <c r="F88" s="30" t="s">
        <v>36</v>
      </c>
      <c r="G88" s="32"/>
      <c r="H88" s="32"/>
      <c r="J88" s="215">
        <v>0</v>
      </c>
      <c r="K88" s="215">
        <v>0</v>
      </c>
      <c r="L88" s="215">
        <v>0.20194986072423399</v>
      </c>
      <c r="M88" s="215">
        <v>3.9423188742877077E-2</v>
      </c>
      <c r="N88" s="215"/>
      <c r="O88" s="191"/>
      <c r="P88" s="191"/>
      <c r="Q88" s="191"/>
      <c r="R88" s="191"/>
      <c r="S88" s="191"/>
      <c r="T88" s="191"/>
    </row>
    <row r="89" spans="3:23" outlineLevel="1">
      <c r="C89" s="146">
        <f t="shared" si="55"/>
        <v>0</v>
      </c>
      <c r="D89" s="30" t="s">
        <v>100</v>
      </c>
      <c r="E89" s="30" t="s">
        <v>18</v>
      </c>
      <c r="F89" s="30" t="s">
        <v>36</v>
      </c>
      <c r="G89" s="32"/>
      <c r="H89" s="32"/>
      <c r="J89" s="215"/>
      <c r="K89" s="215"/>
      <c r="L89" s="215"/>
      <c r="M89" s="215"/>
      <c r="N89" s="215"/>
      <c r="O89" s="191"/>
      <c r="P89" s="191"/>
      <c r="Q89" s="191"/>
      <c r="R89" s="191"/>
      <c r="S89" s="191"/>
      <c r="T89" s="191"/>
    </row>
    <row r="90" spans="3:23" outlineLevel="1">
      <c r="C90" s="146">
        <f t="shared" si="55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5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ht="10.5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Ok</v>
      </c>
      <c r="K93" s="132" t="str">
        <f t="array" ref="K93">IF(ISBLANK(K84),IF(ISBLANK(K86:K91),"Ok","Check"),IF(SUM(K86:K91)=1,"Ok","Check"))</f>
        <v>Ok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/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Ok</v>
      </c>
    </row>
    <row r="94" spans="3:23" ht="10.5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ht="10.5" outlineLevel="1">
      <c r="C95" s="67" t="s">
        <v>164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45444</v>
      </c>
      <c r="R95" s="160">
        <f t="shared" ref="R95:U95" si="56">R4</f>
        <v>45809</v>
      </c>
      <c r="S95" s="160">
        <f t="shared" si="56"/>
        <v>46174</v>
      </c>
      <c r="T95" s="160">
        <f t="shared" si="56"/>
        <v>46539</v>
      </c>
      <c r="U95" s="160">
        <f t="shared" si="56"/>
        <v>46905</v>
      </c>
      <c r="W95" s="132"/>
    </row>
    <row r="96" spans="3:23" ht="10.5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ht="10.5" outlineLevel="1">
      <c r="C97" s="146" t="str">
        <f t="array" ref="C97:C101">TRANSPOSE(J84:N84)</f>
        <v>FGLS</v>
      </c>
      <c r="D97" s="30" t="s">
        <v>97</v>
      </c>
      <c r="E97" s="30" t="s">
        <v>18</v>
      </c>
      <c r="F97" s="30" t="s">
        <v>36</v>
      </c>
      <c r="J97" s="117" t="str">
        <f t="shared" ref="J97:S97" si="57">IF(J$95=J$4,SUMPRODUCT(J$77:J$82,$J$86:$J$91),"")</f>
        <v/>
      </c>
      <c r="K97" s="117" t="str">
        <f t="shared" si="57"/>
        <v/>
      </c>
      <c r="L97" s="117" t="str">
        <f t="shared" si="57"/>
        <v/>
      </c>
      <c r="M97" s="117" t="str">
        <f t="shared" si="57"/>
        <v/>
      </c>
      <c r="N97" s="117" t="str">
        <f t="shared" si="57"/>
        <v/>
      </c>
      <c r="O97" s="117" t="str">
        <f t="shared" si="57"/>
        <v/>
      </c>
      <c r="P97" s="117" t="str">
        <f t="shared" si="57"/>
        <v/>
      </c>
      <c r="Q97" s="117">
        <f t="shared" si="57"/>
        <v>9.114793939439975E-3</v>
      </c>
      <c r="R97" s="117">
        <f t="shared" si="57"/>
        <v>9.4426149479064671E-3</v>
      </c>
      <c r="S97" s="117">
        <f t="shared" si="57"/>
        <v>6.2845494677465242E-3</v>
      </c>
      <c r="T97" s="117">
        <f>IF(T$95=T$4,SUMPRODUCT(T$77:T$82,$J$86:$J$91),"")</f>
        <v>2.2840400276242243E-3</v>
      </c>
      <c r="U97" s="117">
        <f>IF(U$95=U$4,SUMPRODUCT(U$77:U$82,$J$86:$J$91),"")</f>
        <v>-1.5050882914302705E-3</v>
      </c>
      <c r="W97" s="132"/>
    </row>
    <row r="98" spans="1:50" ht="10.5" outlineLevel="1">
      <c r="C98" s="146" t="str">
        <v>SFA</v>
      </c>
      <c r="D98" s="30" t="s">
        <v>97</v>
      </c>
      <c r="E98" s="30" t="s">
        <v>18</v>
      </c>
      <c r="F98" s="30" t="s">
        <v>36</v>
      </c>
      <c r="J98" s="117" t="str">
        <f t="shared" ref="J98:S98" si="58">IF(J$95=J$4,SUMPRODUCT(J$77:J$82,$K$86:$K$91),"")</f>
        <v/>
      </c>
      <c r="K98" s="117" t="str">
        <f t="shared" si="58"/>
        <v/>
      </c>
      <c r="L98" s="117" t="str">
        <f t="shared" si="58"/>
        <v/>
      </c>
      <c r="M98" s="117" t="str">
        <f t="shared" si="58"/>
        <v/>
      </c>
      <c r="N98" s="117" t="str">
        <f t="shared" si="58"/>
        <v/>
      </c>
      <c r="O98" s="117" t="str">
        <f t="shared" si="58"/>
        <v/>
      </c>
      <c r="P98" s="117" t="str">
        <f t="shared" si="58"/>
        <v/>
      </c>
      <c r="Q98" s="117">
        <f t="shared" si="58"/>
        <v>6.60857385852405E-3</v>
      </c>
      <c r="R98" s="117">
        <f t="shared" si="58"/>
        <v>3.1291438069232713E-3</v>
      </c>
      <c r="S98" s="117">
        <f t="shared" si="58"/>
        <v>-1.7556690710538833E-3</v>
      </c>
      <c r="T98" s="117">
        <f>IF(T$95=T$4,SUMPRODUCT(T$77:T$82,$K$86:$K$91),"")</f>
        <v>-8.7213932653896764E-3</v>
      </c>
      <c r="U98" s="117">
        <f>IF(U$95=U$4,SUMPRODUCT(U$77:U$82,$K$86:$K$91),"")</f>
        <v>-1.515675749803598E-2</v>
      </c>
      <c r="W98" s="132"/>
    </row>
    <row r="99" spans="1:50" ht="10.5" outlineLevel="1">
      <c r="C99" s="146" t="str">
        <v>FGLS</v>
      </c>
      <c r="D99" s="30" t="s">
        <v>97</v>
      </c>
      <c r="E99" s="30" t="s">
        <v>18</v>
      </c>
      <c r="F99" s="30" t="s">
        <v>36</v>
      </c>
      <c r="J99" s="117" t="str">
        <f t="shared" ref="J99:S99" si="59">IF(J$95=J$4,SUMPRODUCT(J$77:J$82,$L$86:$L$91),"")</f>
        <v/>
      </c>
      <c r="K99" s="117" t="str">
        <f t="shared" si="59"/>
        <v/>
      </c>
      <c r="L99" s="117" t="str">
        <f t="shared" si="59"/>
        <v/>
      </c>
      <c r="M99" s="117" t="str">
        <f t="shared" si="59"/>
        <v/>
      </c>
      <c r="N99" s="117" t="str">
        <f t="shared" si="59"/>
        <v/>
      </c>
      <c r="O99" s="117" t="str">
        <f t="shared" si="59"/>
        <v/>
      </c>
      <c r="P99" s="117" t="str">
        <f t="shared" si="59"/>
        <v/>
      </c>
      <c r="Q99" s="117">
        <f t="shared" si="59"/>
        <v>5.3723725888425201E-5</v>
      </c>
      <c r="R99" s="117">
        <f t="shared" si="59"/>
        <v>-6.673368507213194E-3</v>
      </c>
      <c r="S99" s="117">
        <f t="shared" si="59"/>
        <v>-1.163545404244546E-2</v>
      </c>
      <c r="T99" s="117">
        <f>IF(T$95=T$4,SUMPRODUCT(T$77:T$82,$L$86:$L$91),"")</f>
        <v>-1.9855071931096431E-2</v>
      </c>
      <c r="U99" s="117">
        <f>IF(U$95=U$4,SUMPRODUCT(U$77:U$82,$L$86:$L$91),"")</f>
        <v>-2.6685711924753226E-2</v>
      </c>
      <c r="W99" s="132"/>
    </row>
    <row r="100" spans="1:50" ht="10.5" outlineLevel="1">
      <c r="C100" s="146" t="str">
        <v>SFA</v>
      </c>
      <c r="D100" s="30" t="s">
        <v>97</v>
      </c>
      <c r="E100" s="30" t="s">
        <v>18</v>
      </c>
      <c r="F100" s="30" t="s">
        <v>36</v>
      </c>
      <c r="J100" s="117" t="str">
        <f t="shared" ref="J100:S100" si="60">IF(J$95=J$4,SUMPRODUCT(J$77:J$82,$M$86:$M$91),"")</f>
        <v/>
      </c>
      <c r="K100" s="117" t="str">
        <f t="shared" si="60"/>
        <v/>
      </c>
      <c r="L100" s="117" t="str">
        <f t="shared" si="60"/>
        <v/>
      </c>
      <c r="M100" s="117" t="str">
        <f t="shared" si="60"/>
        <v/>
      </c>
      <c r="N100" s="117" t="str">
        <f t="shared" si="60"/>
        <v/>
      </c>
      <c r="O100" s="117" t="str">
        <f t="shared" si="60"/>
        <v/>
      </c>
      <c r="P100" s="117" t="str">
        <f t="shared" si="60"/>
        <v/>
      </c>
      <c r="Q100" s="117">
        <f t="shared" si="60"/>
        <v>4.1798893127134853E-3</v>
      </c>
      <c r="R100" s="117">
        <f t="shared" si="60"/>
        <v>-1.6791387107833729E-3</v>
      </c>
      <c r="S100" s="117">
        <f t="shared" si="60"/>
        <v>-7.3707445626407077E-3</v>
      </c>
      <c r="T100" s="117">
        <f>IF(T$95=T$4,SUMPRODUCT(T$77:T$82,$M$86:$M$91),"")</f>
        <v>-1.5940786635321318E-2</v>
      </c>
      <c r="U100" s="117">
        <f>IF(U$95=U$4,SUMPRODUCT(U$77:U$82,$M$86:$M$91),"")</f>
        <v>-2.3666604757463162E-2</v>
      </c>
      <c r="W100" s="132"/>
    </row>
    <row r="101" spans="1:50" ht="10.5" outlineLevel="1">
      <c r="C101" s="218">
        <v>0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0</v>
      </c>
      <c r="R101" s="117">
        <f t="shared" ref="R101:U101" si="61">IF(R$95=R$4,SUMPRODUCT(R$77:R$82,$N$86:$N$91),"")</f>
        <v>0</v>
      </c>
      <c r="S101" s="117">
        <f t="shared" si="61"/>
        <v>0</v>
      </c>
      <c r="T101" s="117">
        <f t="shared" si="61"/>
        <v>0</v>
      </c>
      <c r="U101" s="117">
        <f t="shared" si="61"/>
        <v>0</v>
      </c>
      <c r="W101" s="132"/>
    </row>
    <row r="102" spans="1:50" ht="10.5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3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ht="10.5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45444</v>
      </c>
      <c r="R105" s="160">
        <f t="shared" ref="R105:U105" si="62">R4</f>
        <v>45809</v>
      </c>
      <c r="S105" s="160">
        <f t="shared" si="62"/>
        <v>46174</v>
      </c>
      <c r="T105" s="160">
        <f t="shared" si="62"/>
        <v>46539</v>
      </c>
      <c r="U105" s="160">
        <f t="shared" si="62"/>
        <v>46905</v>
      </c>
    </row>
    <row r="106" spans="1:50" ht="10.5" outlineLevel="1">
      <c r="C106" s="111"/>
      <c r="G106" s="32"/>
      <c r="H106" s="32"/>
      <c r="K106" s="23"/>
      <c r="L106" s="23"/>
      <c r="M106" s="23"/>
      <c r="N106" s="23"/>
      <c r="O106" s="23"/>
    </row>
    <row r="107" spans="1:50" ht="10.5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v>1.213398930277957E-3</v>
      </c>
      <c r="R107" s="167">
        <v>-4.9101810526417657E-4</v>
      </c>
      <c r="S107" s="167">
        <v>-1.651947394912247E-3</v>
      </c>
      <c r="T107" s="167">
        <v>-3.7740547546197961E-3</v>
      </c>
      <c r="U107" s="167">
        <v>-5.8281586589347869E-3</v>
      </c>
    </row>
    <row r="108" spans="1:50" ht="10.5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ht="10.5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63">IF(J105=J$4,IF(ISBLANK(J107),"Check","Ok"),"")</f>
        <v/>
      </c>
      <c r="K109" s="132" t="str">
        <f t="shared" si="63"/>
        <v/>
      </c>
      <c r="L109" s="132" t="str">
        <f t="shared" si="63"/>
        <v/>
      </c>
      <c r="M109" s="132" t="str">
        <f t="shared" si="63"/>
        <v/>
      </c>
      <c r="N109" s="132" t="str">
        <f t="shared" si="63"/>
        <v/>
      </c>
      <c r="O109" s="132" t="str">
        <f t="shared" si="63"/>
        <v/>
      </c>
      <c r="P109" s="132" t="str">
        <f t="shared" si="63"/>
        <v/>
      </c>
      <c r="Q109" s="132" t="str">
        <f t="shared" si="63"/>
        <v>Ok</v>
      </c>
      <c r="R109" s="132" t="str">
        <f t="shared" si="63"/>
        <v>Ok</v>
      </c>
      <c r="S109" s="132" t="str">
        <f t="shared" si="63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ht="10.5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3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</sheetData>
  <mergeCells count="2">
    <mergeCell ref="K3:M3"/>
    <mergeCell ref="O3:T3"/>
  </mergeCells>
  <conditionalFormatting sqref="W1">
    <cfRule type="cellIs" dxfId="181" priority="134" operator="equal">
      <formula>"Check"</formula>
    </cfRule>
    <cfRule type="cellIs" dxfId="180" priority="135" operator="equal">
      <formula>"Ok"</formula>
    </cfRule>
  </conditionalFormatting>
  <conditionalFormatting sqref="T1">
    <cfRule type="cellIs" dxfId="179" priority="98" operator="equal">
      <formula>"Check"</formula>
    </cfRule>
    <cfRule type="cellIs" dxfId="178" priority="99" operator="equal">
      <formula>"Ok"</formula>
    </cfRule>
  </conditionalFormatting>
  <conditionalFormatting sqref="W60">
    <cfRule type="cellIs" dxfId="177" priority="86" operator="equal">
      <formula>"Check"</formula>
    </cfRule>
    <cfRule type="cellIs" dxfId="176" priority="87" operator="equal">
      <formula>"Ok"</formula>
    </cfRule>
  </conditionalFormatting>
  <conditionalFormatting sqref="J60:T60">
    <cfRule type="cellIs" dxfId="175" priority="78" operator="equal">
      <formula>"Check"</formula>
    </cfRule>
    <cfRule type="cellIs" dxfId="174" priority="79" operator="equal">
      <formula>"Ok"</formula>
    </cfRule>
  </conditionalFormatting>
  <conditionalFormatting sqref="J36:U36">
    <cfRule type="expression" dxfId="173" priority="69">
      <formula>J$36=J$4</formula>
    </cfRule>
  </conditionalFormatting>
  <conditionalFormatting sqref="J40:T45 Q40:U42 J38:P39">
    <cfRule type="expression" dxfId="172" priority="67">
      <formula>J$36=J$4</formula>
    </cfRule>
  </conditionalFormatting>
  <conditionalFormatting sqref="J51:U58">
    <cfRule type="expression" dxfId="171" priority="66">
      <formula>J$49=J$4</formula>
    </cfRule>
  </conditionalFormatting>
  <conditionalFormatting sqref="W109">
    <cfRule type="cellIs" dxfId="170" priority="60" operator="equal">
      <formula>"Check"</formula>
    </cfRule>
    <cfRule type="cellIs" dxfId="169" priority="61" operator="equal">
      <formula>"Ok"</formula>
    </cfRule>
  </conditionalFormatting>
  <conditionalFormatting sqref="J109:T109">
    <cfRule type="cellIs" dxfId="168" priority="58" operator="equal">
      <formula>"Check"</formula>
    </cfRule>
    <cfRule type="cellIs" dxfId="167" priority="59" operator="equal">
      <formula>"Ok"</formula>
    </cfRule>
  </conditionalFormatting>
  <conditionalFormatting sqref="W47">
    <cfRule type="cellIs" dxfId="166" priority="56" operator="equal">
      <formula>"Check"</formula>
    </cfRule>
    <cfRule type="cellIs" dxfId="165" priority="57" operator="equal">
      <formula>"Ok"</formula>
    </cfRule>
  </conditionalFormatting>
  <conditionalFormatting sqref="J47:T47">
    <cfRule type="cellIs" dxfId="164" priority="54" operator="equal">
      <formula>"Check"</formula>
    </cfRule>
    <cfRule type="cellIs" dxfId="163" priority="55" operator="equal">
      <formula>"Ok"</formula>
    </cfRule>
  </conditionalFormatting>
  <conditionalFormatting sqref="W73">
    <cfRule type="cellIs" dxfId="162" priority="52" operator="equal">
      <formula>"Check"</formula>
    </cfRule>
    <cfRule type="cellIs" dxfId="161" priority="53" operator="equal">
      <formula>"Ok"</formula>
    </cfRule>
  </conditionalFormatting>
  <conditionalFormatting sqref="J73:T73">
    <cfRule type="cellIs" dxfId="160" priority="50" operator="equal">
      <formula>"Check"</formula>
    </cfRule>
    <cfRule type="cellIs" dxfId="159" priority="51" operator="equal">
      <formula>"Ok"</formula>
    </cfRule>
  </conditionalFormatting>
  <conditionalFormatting sqref="J64:U64">
    <cfRule type="expression" dxfId="158" priority="44">
      <formula>J$64=J$4</formula>
    </cfRule>
  </conditionalFormatting>
  <conditionalFormatting sqref="J70:T71 J69:U69 J66:O68">
    <cfRule type="expression" dxfId="157" priority="42">
      <formula>J$64=J$4</formula>
    </cfRule>
  </conditionalFormatting>
  <conditionalFormatting sqref="J49:U49">
    <cfRule type="expression" dxfId="156" priority="39">
      <formula>J$36=J$4</formula>
    </cfRule>
  </conditionalFormatting>
  <conditionalFormatting sqref="J75:U75">
    <cfRule type="expression" dxfId="155" priority="38">
      <formula>J$36=J$4</formula>
    </cfRule>
  </conditionalFormatting>
  <conditionalFormatting sqref="J105:U105">
    <cfRule type="expression" dxfId="154" priority="37">
      <formula>J$36=J$4</formula>
    </cfRule>
  </conditionalFormatting>
  <conditionalFormatting sqref="J26:T32">
    <cfRule type="cellIs" dxfId="153" priority="35" operator="equal">
      <formula>0</formula>
    </cfRule>
  </conditionalFormatting>
  <conditionalFormatting sqref="J16:T22">
    <cfRule type="cellIs" dxfId="152" priority="34" operator="equal">
      <formula>0</formula>
    </cfRule>
  </conditionalFormatting>
  <conditionalFormatting sqref="W93:W101">
    <cfRule type="cellIs" dxfId="151" priority="30" operator="equal">
      <formula>"Check"</formula>
    </cfRule>
    <cfRule type="cellIs" dxfId="150" priority="31" operator="equal">
      <formula>"Ok"</formula>
    </cfRule>
  </conditionalFormatting>
  <conditionalFormatting sqref="K90:M91">
    <cfRule type="expression" dxfId="149" priority="29">
      <formula>K$84=K$4</formula>
    </cfRule>
  </conditionalFormatting>
  <conditionalFormatting sqref="J96:T96 J93:T94">
    <cfRule type="cellIs" dxfId="148" priority="27" operator="equal">
      <formula>"Check"</formula>
    </cfRule>
    <cfRule type="cellIs" dxfId="147" priority="28" operator="equal">
      <formula>"Ok"</formula>
    </cfRule>
  </conditionalFormatting>
  <conditionalFormatting sqref="J95:U95">
    <cfRule type="expression" dxfId="146" priority="26">
      <formula>J$95=J$4</formula>
    </cfRule>
  </conditionalFormatting>
  <conditionalFormatting sqref="J107:U107">
    <cfRule type="expression" dxfId="145" priority="139">
      <formula>J$105=J$4</formula>
    </cfRule>
  </conditionalFormatting>
  <conditionalFormatting sqref="K89:M89">
    <cfRule type="expression" dxfId="144" priority="25">
      <formula>K$84=K$4</formula>
    </cfRule>
  </conditionalFormatting>
  <conditionalFormatting sqref="U26:U32">
    <cfRule type="cellIs" dxfId="143" priority="24" operator="equal">
      <formula>0</formula>
    </cfRule>
  </conditionalFormatting>
  <conditionalFormatting sqref="U16:U22">
    <cfRule type="cellIs" dxfId="142" priority="23" operator="equal">
      <formula>0</formula>
    </cfRule>
  </conditionalFormatting>
  <conditionalFormatting sqref="U109">
    <cfRule type="cellIs" dxfId="141" priority="5" operator="equal">
      <formula>"Check"</formula>
    </cfRule>
    <cfRule type="cellIs" dxfId="140" priority="6" operator="equal">
      <formula>"Ok"</formula>
    </cfRule>
  </conditionalFormatting>
  <conditionalFormatting sqref="U47">
    <cfRule type="cellIs" dxfId="139" priority="18" operator="equal">
      <formula>"Check"</formula>
    </cfRule>
    <cfRule type="cellIs" dxfId="138" priority="19" operator="equal">
      <formula>"Ok"</formula>
    </cfRule>
  </conditionalFormatting>
  <conditionalFormatting sqref="U40:U45">
    <cfRule type="expression" dxfId="137" priority="17">
      <formula>U$36=U$4</formula>
    </cfRule>
  </conditionalFormatting>
  <conditionalFormatting sqref="U51:U58">
    <cfRule type="expression" dxfId="136" priority="14">
      <formula>U$49=U$4</formula>
    </cfRule>
  </conditionalFormatting>
  <conditionalFormatting sqref="U60">
    <cfRule type="cellIs" dxfId="135" priority="12" operator="equal">
      <formula>"Check"</formula>
    </cfRule>
    <cfRule type="cellIs" dxfId="134" priority="13" operator="equal">
      <formula>"Ok"</formula>
    </cfRule>
  </conditionalFormatting>
  <conditionalFormatting sqref="U73">
    <cfRule type="cellIs" dxfId="133" priority="9" operator="equal">
      <formula>"Check"</formula>
    </cfRule>
    <cfRule type="cellIs" dxfId="132" priority="10" operator="equal">
      <formula>"Ok"</formula>
    </cfRule>
  </conditionalFormatting>
  <conditionalFormatting sqref="U70:U71">
    <cfRule type="expression" dxfId="131" priority="8">
      <formula>U$64=U$4</formula>
    </cfRule>
  </conditionalFormatting>
  <conditionalFormatting sqref="U107">
    <cfRule type="expression" dxfId="130" priority="7">
      <formula>U$105=U$4</formula>
    </cfRule>
  </conditionalFormatting>
  <conditionalFormatting sqref="P66:U68">
    <cfRule type="expression" dxfId="129" priority="4">
      <formula>P$64=P$4</formula>
    </cfRule>
  </conditionalFormatting>
  <conditionalFormatting sqref="Q38:U39">
    <cfRule type="expression" dxfId="128" priority="3">
      <formula>Q$36=Q$4</formula>
    </cfRule>
  </conditionalFormatting>
  <conditionalFormatting sqref="U38:U39">
    <cfRule type="expression" dxfId="127" priority="2">
      <formula>U$36=U$4</formula>
    </cfRule>
  </conditionalFormatting>
  <conditionalFormatting sqref="S38:S39">
    <cfRule type="expression" dxfId="126" priority="1">
      <formula>S$36=S$4</formula>
    </cfRule>
  </conditionalFormatting>
  <dataValidations disablePrompts="1" count="2">
    <dataValidation type="list" allowBlank="1" showInputMessage="1" showErrorMessage="1" sqref="F110 F74 F102" xr:uid="{00000000-0002-0000-0500-000000000000}">
      <formula1>#REF!</formula1>
    </dataValidation>
    <dataValidation type="list" allowBlank="1" showInputMessage="1" showErrorMessage="1" sqref="F85 F83" xr:uid="{00000000-0002-0000-0500-000001000000}">
      <formula1>#REF!</formula1>
    </dataValidation>
  </dataValidations>
  <hyperlinks>
    <hyperlink ref="K1" location="Index!A1" display="Back to Index" xr:uid="{00000000-0004-0000-0500-000000000000}"/>
    <hyperlink ref="V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V52"/>
  <sheetViews>
    <sheetView showGridLines="0" zoomScale="130" zoomScaleNormal="130" workbookViewId="0"/>
  </sheetViews>
  <sheetFormatPr defaultColWidth="0" defaultRowHeight="10" zeroHeight="1" outlineLevelRow="1"/>
  <cols>
    <col min="1" max="2" width="1.44140625" style="29" customWidth="1"/>
    <col min="3" max="3" width="48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4" width="10.77734375" style="29" customWidth="1"/>
    <col min="25" max="48" width="10.44140625" style="29" hidden="1" customWidth="1"/>
    <col min="49" max="16384" width="0" style="29" hidden="1"/>
  </cols>
  <sheetData>
    <row r="1" spans="1:48" s="69" customFormat="1" ht="15.5">
      <c r="B1" s="70" t="str">
        <f>Index!$B$1</f>
        <v>AER opex model v1.91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IF(COUNTA($X$8:$X$235)=COUNTIF($X$8:$X$235,"OK"),"OK","Check")</f>
        <v>OK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 ht="10.5">
      <c r="C3" s="81"/>
      <c r="D3" s="180"/>
      <c r="E3" s="180"/>
      <c r="F3" s="180"/>
      <c r="G3" s="180"/>
      <c r="H3" s="180"/>
      <c r="I3" s="180"/>
      <c r="J3" s="155" t="s">
        <v>115</v>
      </c>
      <c r="K3" s="170"/>
      <c r="L3" s="170"/>
      <c r="M3" s="180"/>
      <c r="N3" s="222"/>
      <c r="O3" s="222"/>
      <c r="P3" s="222"/>
      <c r="Q3" s="222"/>
      <c r="R3" s="222"/>
      <c r="S3" s="222"/>
      <c r="T3" s="216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7">
        <f>DATE(PPFirstYear,MONTH('Input|General'!$G$9),1)</f>
        <v>43435</v>
      </c>
      <c r="K4" s="217">
        <f>DATE(PPFirstYear+1,MONTH('Input|General'!$G$9),1)</f>
        <v>43800</v>
      </c>
      <c r="L4" s="217">
        <f>DATE(PPFirstYear+2,MONTH('Input|General'!$G$9),1)</f>
        <v>44166</v>
      </c>
      <c r="M4" s="217">
        <f>DATE(PPFirstYear+3,MONTH('Input|General'!$G$9),1)</f>
        <v>44531</v>
      </c>
      <c r="N4" s="217">
        <f>DATE(PPFirstYear+4,MONTH('Input|General'!$G$9),1)</f>
        <v>44896</v>
      </c>
      <c r="O4" s="217">
        <f>DATE(PPFirstYear+5,MONTH('Input|General'!$G$10),1)</f>
        <v>45078</v>
      </c>
      <c r="P4" s="217">
        <f>DATE(PPFirstYear+6,MONTH('Input|General'!$G$10),1)</f>
        <v>45444</v>
      </c>
      <c r="Q4" s="217">
        <f>DATE(PPFirstYear+7,MONTH('Input|General'!$G$10),1)</f>
        <v>45809</v>
      </c>
      <c r="R4" s="217">
        <f>DATE(PPFirstYear+8,MONTH('Input|General'!$G$10),1)</f>
        <v>46174</v>
      </c>
      <c r="S4" s="217">
        <f>DATE(PPFirstYear+9,MONTH('Input|General'!$G$10),1)</f>
        <v>46539</v>
      </c>
      <c r="T4" s="217">
        <f>DATE(PPFirstYear+10,MONTH('Input|General'!$G$10),1)</f>
        <v>46905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3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ht="10.5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45444</v>
      </c>
      <c r="Q10" s="160">
        <f t="shared" si="1"/>
        <v>45809</v>
      </c>
      <c r="R10" s="160">
        <f t="shared" si="1"/>
        <v>46174</v>
      </c>
      <c r="S10" s="160">
        <f t="shared" si="1"/>
        <v>46539</v>
      </c>
      <c r="T10" s="160">
        <f t="shared" si="1"/>
        <v>46905</v>
      </c>
    </row>
    <row r="11" spans="1:48" outlineLevel="1">
      <c r="G11" s="32"/>
      <c r="H11" s="32"/>
    </row>
    <row r="12" spans="1:48" outlineLevel="1">
      <c r="C12" s="61" t="s">
        <v>202</v>
      </c>
      <c r="D12" s="30" t="s">
        <v>68</v>
      </c>
      <c r="E12" s="148" t="s">
        <v>15</v>
      </c>
      <c r="F12" s="169">
        <v>45078</v>
      </c>
      <c r="G12" s="32"/>
      <c r="H12" s="32"/>
      <c r="J12" s="150"/>
      <c r="K12" s="150"/>
      <c r="L12" s="150"/>
      <c r="M12" s="150"/>
      <c r="N12" s="150"/>
      <c r="O12" s="168"/>
      <c r="P12" s="219">
        <v>2.6175985369539698</v>
      </c>
      <c r="Q12" s="219">
        <v>3.8827683902602299</v>
      </c>
      <c r="R12" s="219">
        <v>2.6681081571341601</v>
      </c>
      <c r="S12" s="219">
        <v>3.9992920166587602</v>
      </c>
      <c r="T12" s="219">
        <v>2.7146317689533901</v>
      </c>
      <c r="U12" s="220"/>
    </row>
    <row r="13" spans="1:48" outlineLevel="1">
      <c r="C13" s="61" t="s">
        <v>203</v>
      </c>
      <c r="D13" s="30" t="s">
        <v>68</v>
      </c>
      <c r="E13" s="148" t="s">
        <v>15</v>
      </c>
      <c r="F13" s="169">
        <v>44531</v>
      </c>
      <c r="G13" s="32"/>
      <c r="H13" s="32"/>
      <c r="J13" s="150"/>
      <c r="K13" s="150"/>
      <c r="L13" s="150"/>
      <c r="M13" s="150"/>
      <c r="N13" s="150"/>
      <c r="O13" s="168"/>
      <c r="P13" s="219">
        <v>0</v>
      </c>
      <c r="Q13" s="219">
        <v>0</v>
      </c>
      <c r="R13" s="219">
        <v>0</v>
      </c>
      <c r="S13" s="219">
        <v>0</v>
      </c>
      <c r="T13" s="219">
        <v>0</v>
      </c>
      <c r="U13" s="220"/>
    </row>
    <row r="14" spans="1:48" outlineLevel="1">
      <c r="C14" s="61" t="s">
        <v>204</v>
      </c>
      <c r="D14" s="30" t="s">
        <v>68</v>
      </c>
      <c r="E14" s="148" t="s">
        <v>15</v>
      </c>
      <c r="F14" s="169">
        <v>45078</v>
      </c>
      <c r="G14" s="32"/>
      <c r="H14" s="32"/>
      <c r="J14" s="150"/>
      <c r="K14" s="150"/>
      <c r="L14" s="150"/>
      <c r="M14" s="150"/>
      <c r="N14" s="150"/>
      <c r="O14" s="168"/>
      <c r="P14" s="219">
        <v>0</v>
      </c>
      <c r="Q14" s="219">
        <v>0</v>
      </c>
      <c r="R14" s="219">
        <v>0</v>
      </c>
      <c r="S14" s="219">
        <v>0</v>
      </c>
      <c r="T14" s="219">
        <v>0</v>
      </c>
      <c r="U14" s="220"/>
    </row>
    <row r="15" spans="1:48" outlineLevel="1">
      <c r="C15" s="61"/>
      <c r="D15" s="30" t="s">
        <v>68</v>
      </c>
      <c r="E15" s="148" t="s">
        <v>15</v>
      </c>
      <c r="F15" s="169">
        <v>45078</v>
      </c>
      <c r="G15" s="32"/>
      <c r="H15" s="32"/>
      <c r="J15" s="150"/>
      <c r="K15" s="150"/>
      <c r="L15" s="150"/>
      <c r="M15" s="150"/>
      <c r="N15" s="150"/>
      <c r="O15" s="168"/>
      <c r="P15" s="219"/>
      <c r="Q15" s="219"/>
      <c r="R15" s="219"/>
      <c r="S15" s="219"/>
      <c r="T15" s="219"/>
    </row>
    <row r="16" spans="1:48" outlineLevel="1">
      <c r="C16" s="61"/>
      <c r="D16" s="30" t="s">
        <v>68</v>
      </c>
      <c r="E16" s="148" t="s">
        <v>15</v>
      </c>
      <c r="F16" s="169">
        <v>45078</v>
      </c>
      <c r="G16" s="32"/>
      <c r="H16" s="32"/>
      <c r="J16" s="150"/>
      <c r="K16" s="150"/>
      <c r="L16" s="150"/>
      <c r="M16" s="150"/>
      <c r="N16" s="150"/>
      <c r="O16" s="168"/>
      <c r="P16" s="219"/>
      <c r="Q16" s="219"/>
      <c r="R16" s="219"/>
      <c r="S16" s="219"/>
      <c r="T16" s="219"/>
    </row>
    <row r="17" spans="1:48" outlineLevel="1">
      <c r="C17" s="61"/>
      <c r="D17" s="30" t="s">
        <v>68</v>
      </c>
      <c r="E17" s="148" t="s">
        <v>15</v>
      </c>
      <c r="F17" s="169">
        <v>45078</v>
      </c>
      <c r="G17" s="32"/>
      <c r="H17" s="32"/>
      <c r="J17" s="150"/>
      <c r="K17" s="150"/>
      <c r="L17" s="150"/>
      <c r="M17" s="150"/>
      <c r="N17" s="150"/>
      <c r="O17" s="168"/>
      <c r="P17" s="219"/>
      <c r="Q17" s="219"/>
      <c r="R17" s="219"/>
      <c r="S17" s="219"/>
      <c r="T17" s="219"/>
    </row>
    <row r="18" spans="1:48" outlineLevel="1">
      <c r="C18" s="61"/>
      <c r="D18" s="30" t="s">
        <v>68</v>
      </c>
      <c r="E18" s="148" t="s">
        <v>15</v>
      </c>
      <c r="F18" s="169">
        <v>45078</v>
      </c>
      <c r="G18" s="32"/>
      <c r="H18" s="32"/>
      <c r="J18" s="150"/>
      <c r="K18" s="150"/>
      <c r="L18" s="150"/>
      <c r="M18" s="150"/>
      <c r="N18" s="150"/>
      <c r="O18" s="168"/>
      <c r="P18" s="219"/>
      <c r="Q18" s="219"/>
      <c r="R18" s="219"/>
      <c r="S18" s="219"/>
      <c r="T18" s="219"/>
    </row>
    <row r="19" spans="1:48" outlineLevel="1">
      <c r="C19" s="61"/>
      <c r="D19" s="30" t="s">
        <v>68</v>
      </c>
      <c r="E19" s="148" t="s">
        <v>15</v>
      </c>
      <c r="F19" s="169">
        <v>45078</v>
      </c>
      <c r="G19" s="32"/>
      <c r="H19" s="32"/>
      <c r="J19" s="150"/>
      <c r="K19" s="150"/>
      <c r="L19" s="150"/>
      <c r="M19" s="150"/>
      <c r="N19" s="150"/>
      <c r="O19" s="168"/>
      <c r="P19" s="219"/>
      <c r="Q19" s="219"/>
      <c r="R19" s="219"/>
      <c r="S19" s="219"/>
      <c r="T19" s="219"/>
    </row>
    <row r="20" spans="1:48" outlineLevel="1">
      <c r="C20" s="61"/>
      <c r="D20" s="30" t="s">
        <v>68</v>
      </c>
      <c r="E20" s="148" t="s">
        <v>15</v>
      </c>
      <c r="F20" s="169">
        <v>45078</v>
      </c>
      <c r="G20" s="32"/>
      <c r="H20" s="32"/>
      <c r="J20" s="150"/>
      <c r="K20" s="150"/>
      <c r="L20" s="150"/>
      <c r="M20" s="150"/>
      <c r="N20" s="150"/>
      <c r="O20" s="168"/>
      <c r="P20" s="168"/>
      <c r="Q20" s="168"/>
      <c r="R20" s="168"/>
      <c r="S20" s="168"/>
      <c r="T20" s="168"/>
    </row>
    <row r="21" spans="1:48" outlineLevel="1">
      <c r="G21" s="32"/>
      <c r="H21" s="32"/>
    </row>
    <row r="22" spans="1:48" ht="10.5" outlineLevel="1">
      <c r="C22" s="29" t="s">
        <v>40</v>
      </c>
      <c r="D22" s="30" t="s">
        <v>97</v>
      </c>
      <c r="E22" s="30" t="s">
        <v>28</v>
      </c>
      <c r="F22" s="30" t="s">
        <v>36</v>
      </c>
      <c r="J22" s="132" t="str">
        <f t="shared" ref="J22:T22" si="2">IF(J10=J4,IF(COUNTA($C12:$C20)=COUNT(J12:J20),"Ok","Check"),"")</f>
        <v/>
      </c>
      <c r="K22" s="132" t="str">
        <f t="shared" si="2"/>
        <v/>
      </c>
      <c r="L22" s="132" t="str">
        <f t="shared" si="2"/>
        <v/>
      </c>
      <c r="M22" s="132" t="str">
        <f t="shared" si="2"/>
        <v/>
      </c>
      <c r="N22" s="132" t="str">
        <f t="shared" si="2"/>
        <v/>
      </c>
      <c r="O22" s="132" t="str">
        <f t="shared" si="2"/>
        <v/>
      </c>
      <c r="P22" s="132" t="str">
        <f t="shared" si="2"/>
        <v>Ok</v>
      </c>
      <c r="Q22" s="132" t="str">
        <f t="shared" si="2"/>
        <v>Ok</v>
      </c>
      <c r="R22" s="132" t="str">
        <f t="shared" si="2"/>
        <v>Ok</v>
      </c>
      <c r="S22" s="132" t="str">
        <f t="shared" si="2"/>
        <v>Ok</v>
      </c>
      <c r="T22" s="132" t="str">
        <f t="shared" si="2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3">
      <c r="A24" s="94"/>
      <c r="B24" s="95" t="s">
        <v>112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ht="10.5" outlineLevel="1">
      <c r="C26" s="67" t="s">
        <v>108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3">IF(YEAR(J$4)&gt;=FPFirstYear,IF(YEAR(J$4)&lt;=FPLastYear,J$4,""),"")</f>
        <v/>
      </c>
      <c r="K26" s="160" t="str">
        <f t="shared" si="3"/>
        <v/>
      </c>
      <c r="L26" s="160" t="str">
        <f t="shared" si="3"/>
        <v/>
      </c>
      <c r="M26" s="160" t="str">
        <f t="shared" si="3"/>
        <v/>
      </c>
      <c r="N26" s="160" t="str">
        <f t="shared" si="3"/>
        <v/>
      </c>
      <c r="O26" s="160"/>
      <c r="P26" s="160">
        <f t="shared" ref="P26:T26" si="4">P$4</f>
        <v>45444</v>
      </c>
      <c r="Q26" s="160">
        <f t="shared" si="4"/>
        <v>45809</v>
      </c>
      <c r="R26" s="160">
        <f t="shared" si="4"/>
        <v>46174</v>
      </c>
      <c r="S26" s="160">
        <f t="shared" si="4"/>
        <v>46539</v>
      </c>
      <c r="T26" s="160">
        <f t="shared" si="4"/>
        <v>46905</v>
      </c>
    </row>
    <row r="27" spans="1:48" outlineLevel="1">
      <c r="G27" s="32"/>
      <c r="H27" s="32"/>
    </row>
    <row r="28" spans="1:48" outlineLevel="1">
      <c r="C28" s="61" t="s">
        <v>205</v>
      </c>
      <c r="D28" s="30" t="s">
        <v>68</v>
      </c>
      <c r="E28" s="148" t="s">
        <v>15</v>
      </c>
      <c r="F28" s="169">
        <v>44531</v>
      </c>
      <c r="G28" s="32"/>
      <c r="H28" s="32"/>
      <c r="J28" s="150"/>
      <c r="K28" s="150"/>
      <c r="L28" s="150"/>
      <c r="M28" s="150"/>
      <c r="N28" s="168"/>
      <c r="O28" s="168"/>
      <c r="P28" s="168">
        <v>1.1274500000000001</v>
      </c>
      <c r="Q28" s="168">
        <v>0.86470000000000002</v>
      </c>
      <c r="R28" s="168">
        <v>0.89144999999999996</v>
      </c>
      <c r="S28" s="168">
        <v>0.86470000000000002</v>
      </c>
      <c r="T28" s="168">
        <v>0.89144999999999996</v>
      </c>
      <c r="U28" s="220"/>
    </row>
    <row r="29" spans="1:48" outlineLevel="1">
      <c r="C29" s="61"/>
      <c r="D29" s="30" t="s">
        <v>68</v>
      </c>
      <c r="E29" s="148" t="s">
        <v>15</v>
      </c>
      <c r="F29" s="169">
        <v>45078</v>
      </c>
      <c r="G29" s="32"/>
      <c r="H29" s="32"/>
      <c r="J29" s="150"/>
      <c r="K29" s="150"/>
      <c r="L29" s="150"/>
      <c r="M29" s="150"/>
      <c r="N29" s="168"/>
      <c r="O29" s="168"/>
      <c r="P29" s="168"/>
      <c r="Q29" s="168"/>
      <c r="R29" s="168"/>
      <c r="S29" s="168"/>
      <c r="T29" s="168"/>
    </row>
    <row r="30" spans="1:48" outlineLevel="1">
      <c r="C30" s="61"/>
      <c r="D30" s="30" t="s">
        <v>68</v>
      </c>
      <c r="E30" s="148" t="s">
        <v>15</v>
      </c>
      <c r="F30" s="169">
        <v>45078</v>
      </c>
      <c r="G30" s="32"/>
      <c r="H30" s="32"/>
      <c r="J30" s="150"/>
      <c r="K30" s="150"/>
      <c r="L30" s="150"/>
      <c r="M30" s="150"/>
      <c r="N30" s="168"/>
      <c r="O30" s="168"/>
      <c r="P30" s="168"/>
      <c r="Q30" s="168"/>
      <c r="R30" s="168"/>
      <c r="S30" s="168"/>
      <c r="T30" s="168"/>
    </row>
    <row r="31" spans="1:48" outlineLevel="1">
      <c r="G31" s="32"/>
      <c r="H31" s="32"/>
    </row>
    <row r="32" spans="1:48" ht="10.5" outlineLevel="1">
      <c r="C32" s="29" t="s">
        <v>40</v>
      </c>
      <c r="D32" s="30" t="s">
        <v>97</v>
      </c>
      <c r="E32" s="30" t="s">
        <v>28</v>
      </c>
      <c r="F32" s="30" t="s">
        <v>36</v>
      </c>
      <c r="J32" s="132" t="str">
        <f t="shared" ref="J32:R32" si="5">IF(J26=J4,IF(COUNTA($C28:$C30)=COUNT(J28:J30),"Ok","Check"),"")</f>
        <v/>
      </c>
      <c r="K32" s="132" t="str">
        <f t="shared" si="5"/>
        <v/>
      </c>
      <c r="L32" s="132" t="str">
        <f t="shared" si="5"/>
        <v/>
      </c>
      <c r="M32" s="132" t="str">
        <f t="shared" si="5"/>
        <v/>
      </c>
      <c r="N32" s="132" t="str">
        <f t="shared" si="5"/>
        <v/>
      </c>
      <c r="O32" s="132" t="str">
        <f t="shared" si="5"/>
        <v/>
      </c>
      <c r="P32" s="132" t="str">
        <f t="shared" si="5"/>
        <v>Ok</v>
      </c>
      <c r="Q32" s="132" t="str">
        <f t="shared" si="5"/>
        <v>Ok</v>
      </c>
      <c r="R32" s="132" t="str">
        <f t="shared" si="5"/>
        <v>Ok</v>
      </c>
      <c r="S32" s="132" t="str">
        <f>IF(S26=S4,IF(COUNTA($C28:$C30)=COUNT(S28:S30),"Ok","Check"),"")</f>
        <v>Ok</v>
      </c>
      <c r="T32" s="132" t="str">
        <f>IF(T26=T4,IF(COUNTA($C28:$C30)=COUNT(T28:T30),"Ok","Check"),"")</f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3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ht="10.5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6">IF(YEAR(J$4)&gt;=FPFirstYear,IF(YEAR(J$4)&lt;=FPLastYear,J$4,""),"")</f>
        <v/>
      </c>
      <c r="K36" s="160" t="str">
        <f t="shared" si="6"/>
        <v/>
      </c>
      <c r="L36" s="160" t="str">
        <f t="shared" si="6"/>
        <v/>
      </c>
      <c r="M36" s="160" t="str">
        <f t="shared" si="6"/>
        <v/>
      </c>
      <c r="N36" s="160" t="str">
        <f t="shared" si="6"/>
        <v/>
      </c>
      <c r="O36" s="160"/>
      <c r="P36" s="160">
        <f t="shared" ref="P36:T36" si="7">P$4</f>
        <v>45444</v>
      </c>
      <c r="Q36" s="160">
        <f t="shared" si="7"/>
        <v>45809</v>
      </c>
      <c r="R36" s="160">
        <f t="shared" si="7"/>
        <v>46174</v>
      </c>
      <c r="S36" s="160">
        <f t="shared" si="7"/>
        <v>46539</v>
      </c>
      <c r="T36" s="160">
        <f t="shared" si="7"/>
        <v>46905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08">
        <v>45078</v>
      </c>
      <c r="G38" s="32"/>
      <c r="H38" s="32"/>
      <c r="J38" s="168"/>
      <c r="K38" s="168"/>
      <c r="L38" s="168"/>
      <c r="M38" s="168"/>
      <c r="N38" s="168"/>
      <c r="O38" s="168"/>
      <c r="P38" s="168">
        <v>1.007301210667733</v>
      </c>
      <c r="Q38" s="168">
        <v>1.0131501053484899</v>
      </c>
      <c r="R38" s="168">
        <v>1.0102151296447908</v>
      </c>
      <c r="S38" s="168">
        <v>0.99692990716519081</v>
      </c>
      <c r="T38" s="168">
        <v>0.97725003678460254</v>
      </c>
      <c r="U38" s="220"/>
    </row>
    <row r="39" spans="1:48" outlineLevel="1">
      <c r="G39" s="32"/>
      <c r="H39" s="32"/>
    </row>
    <row r="40" spans="1:48" ht="10.5" outlineLevel="1">
      <c r="C40" s="29" t="s">
        <v>40</v>
      </c>
      <c r="D40" s="30" t="s">
        <v>97</v>
      </c>
      <c r="E40" s="30" t="s">
        <v>28</v>
      </c>
      <c r="F40" s="30" t="s">
        <v>36</v>
      </c>
      <c r="J40" s="132" t="str">
        <f t="shared" ref="J40:R40" si="8">IF(J36=J4,IF(ISBLANK(J38),"Check","Ok"),"")</f>
        <v/>
      </c>
      <c r="K40" s="132" t="str">
        <f t="shared" si="8"/>
        <v/>
      </c>
      <c r="L40" s="132" t="str">
        <f t="shared" si="8"/>
        <v/>
      </c>
      <c r="M40" s="132" t="str">
        <f t="shared" si="8"/>
        <v/>
      </c>
      <c r="N40" s="132" t="str">
        <f t="shared" si="8"/>
        <v/>
      </c>
      <c r="O40" s="132" t="str">
        <f t="shared" si="8"/>
        <v/>
      </c>
      <c r="P40" s="132" t="str">
        <f t="shared" si="8"/>
        <v>Ok</v>
      </c>
      <c r="Q40" s="132" t="str">
        <f t="shared" si="8"/>
        <v>Ok</v>
      </c>
      <c r="R40" s="132" t="str">
        <f t="shared" si="8"/>
        <v>Ok</v>
      </c>
      <c r="S40" s="132" t="str">
        <f>IF(S36=S4,IF(ISBLANK(S38),"Check","Ok"),"")</f>
        <v>Ok</v>
      </c>
      <c r="T40" s="132" t="str">
        <f>IF(T36=T4,IF(ISBLANK(T38),"Check","Ok"),"")</f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3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:T1">
    <cfRule type="cellIs" dxfId="125" priority="32" operator="equal">
      <formula>"Check"</formula>
    </cfRule>
    <cfRule type="cellIs" dxfId="124" priority="33" operator="equal">
      <formula>"Ok"</formula>
    </cfRule>
  </conditionalFormatting>
  <conditionalFormatting sqref="W1">
    <cfRule type="cellIs" dxfId="123" priority="34" operator="equal">
      <formula>"Check"</formula>
    </cfRule>
    <cfRule type="cellIs" dxfId="122" priority="35" operator="equal">
      <formula>"Ok"</formula>
    </cfRule>
  </conditionalFormatting>
  <conditionalFormatting sqref="J10:T10">
    <cfRule type="expression" dxfId="121" priority="30">
      <formula>J$10=J$4</formula>
    </cfRule>
  </conditionalFormatting>
  <conditionalFormatting sqref="J20:T20 J12:O19">
    <cfRule type="expression" dxfId="120" priority="29">
      <formula>J$10=J$4</formula>
    </cfRule>
  </conditionalFormatting>
  <conditionalFormatting sqref="X22">
    <cfRule type="cellIs" dxfId="119" priority="25" operator="equal">
      <formula>"Check"</formula>
    </cfRule>
    <cfRule type="cellIs" dxfId="118" priority="26" operator="equal">
      <formula>"Ok"</formula>
    </cfRule>
  </conditionalFormatting>
  <conditionalFormatting sqref="J22:U22">
    <cfRule type="cellIs" dxfId="117" priority="23" operator="equal">
      <formula>"Check"</formula>
    </cfRule>
    <cfRule type="cellIs" dxfId="116" priority="24" operator="equal">
      <formula>"Ok"</formula>
    </cfRule>
  </conditionalFormatting>
  <conditionalFormatting sqref="X32">
    <cfRule type="cellIs" dxfId="115" priority="21" operator="equal">
      <formula>"Check"</formula>
    </cfRule>
    <cfRule type="cellIs" dxfId="114" priority="22" operator="equal">
      <formula>"Ok"</formula>
    </cfRule>
  </conditionalFormatting>
  <conditionalFormatting sqref="J32:U32">
    <cfRule type="cellIs" dxfId="113" priority="19" operator="equal">
      <formula>"Check"</formula>
    </cfRule>
    <cfRule type="cellIs" dxfId="112" priority="20" operator="equal">
      <formula>"Ok"</formula>
    </cfRule>
  </conditionalFormatting>
  <conditionalFormatting sqref="J28:M30 O29:T30">
    <cfRule type="expression" dxfId="111" priority="18">
      <formula>J$26=J$4</formula>
    </cfRule>
  </conditionalFormatting>
  <conditionalFormatting sqref="X40">
    <cfRule type="cellIs" dxfId="110" priority="16" operator="equal">
      <formula>"Check"</formula>
    </cfRule>
    <cfRule type="cellIs" dxfId="109" priority="17" operator="equal">
      <formula>"Ok"</formula>
    </cfRule>
  </conditionalFormatting>
  <conditionalFormatting sqref="J40:U40">
    <cfRule type="cellIs" dxfId="108" priority="14" operator="equal">
      <formula>"Check"</formula>
    </cfRule>
    <cfRule type="cellIs" dxfId="107" priority="15" operator="equal">
      <formula>"Ok"</formula>
    </cfRule>
  </conditionalFormatting>
  <conditionalFormatting sqref="O28">
    <cfRule type="expression" dxfId="106" priority="13">
      <formula>O$10=O$4</formula>
    </cfRule>
  </conditionalFormatting>
  <conditionalFormatting sqref="N28:N30">
    <cfRule type="expression" dxfId="105" priority="12">
      <formula>N$10=N$4</formula>
    </cfRule>
  </conditionalFormatting>
  <conditionalFormatting sqref="J38:T38">
    <cfRule type="expression" dxfId="104" priority="9">
      <formula>J$36=J$4</formula>
    </cfRule>
  </conditionalFormatting>
  <conditionalFormatting sqref="J26:N26">
    <cfRule type="expression" dxfId="103" priority="8">
      <formula>J$10=J$4</formula>
    </cfRule>
  </conditionalFormatting>
  <conditionalFormatting sqref="J36:N36">
    <cfRule type="expression" dxfId="102" priority="7">
      <formula>J$10=J$4</formula>
    </cfRule>
  </conditionalFormatting>
  <conditionalFormatting sqref="O26">
    <cfRule type="expression" dxfId="101" priority="6">
      <formula>O$10=O$4</formula>
    </cfRule>
  </conditionalFormatting>
  <conditionalFormatting sqref="O36">
    <cfRule type="expression" dxfId="100" priority="5">
      <formula>O$10=O$4</formula>
    </cfRule>
  </conditionalFormatting>
  <conditionalFormatting sqref="P26:T26">
    <cfRule type="expression" dxfId="99" priority="4">
      <formula>P$10=P$4</formula>
    </cfRule>
  </conditionalFormatting>
  <conditionalFormatting sqref="P36:T36">
    <cfRule type="expression" dxfId="98" priority="3">
      <formula>P$10=P$4</formula>
    </cfRule>
  </conditionalFormatting>
  <conditionalFormatting sqref="P12:T19">
    <cfRule type="expression" dxfId="97" priority="2">
      <formula>P$10=P$4</formula>
    </cfRule>
  </conditionalFormatting>
  <conditionalFormatting sqref="P28:T28">
    <cfRule type="expression" dxfId="96" priority="1">
      <formula>P$10=P$4</formula>
    </cfRule>
  </conditionalFormatting>
  <dataValidations count="2">
    <dataValidation type="list" allowBlank="1" showInputMessage="1" showErrorMessage="1" sqref="F23 F31 F33 F41" xr:uid="{00000000-0002-0000-0600-000000000000}">
      <formula1>"Real 2010,Real 2011,Real 2012,Real 2013,Real 2014,Real 2015,Nominal"</formula1>
    </dataValidation>
    <dataValidation type="list" allowBlank="1" showInputMessage="1" showErrorMessage="1" sqref="V28:V31 I38 V23 I23 V12:V21 I28:I31 V33 I33 V41 I41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600-000003000000}">
          <x14:formula1>
            <xm:f>'Lookup|Tables'!$C$67:$C$76</xm:f>
          </x14:formula1>
          <xm:sqref>F21</xm:sqref>
        </x14:dataValidation>
        <x14:dataValidation type="list" allowBlank="1" showInputMessage="1" showErrorMessage="1" xr:uid="{00000000-0002-0000-0600-000004000000}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V191"/>
  <sheetViews>
    <sheetView showGridLines="0" workbookViewId="0"/>
  </sheetViews>
  <sheetFormatPr defaultColWidth="0" defaultRowHeight="10" zeroHeight="1" outlineLevelRow="1"/>
  <cols>
    <col min="1" max="2" width="1.44140625" style="29" customWidth="1"/>
    <col min="3" max="3" width="76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44140625" style="30" customWidth="1"/>
    <col min="10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 v1.91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 ht="10.5">
      <c r="C3" s="81"/>
      <c r="D3" s="180"/>
      <c r="E3" s="180"/>
      <c r="F3" s="180"/>
      <c r="G3" s="180"/>
      <c r="H3" s="180"/>
      <c r="I3" s="180"/>
      <c r="J3" s="170" t="s">
        <v>115</v>
      </c>
      <c r="K3" s="170"/>
      <c r="L3" s="170"/>
      <c r="M3" s="180"/>
      <c r="N3" s="222"/>
      <c r="O3" s="222"/>
      <c r="P3" s="222"/>
      <c r="Q3" s="222"/>
      <c r="R3" s="222"/>
      <c r="S3" s="222"/>
      <c r="T3" s="216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7">
        <f>DATE(PPFirstYear,MONTH('Input|General'!$G$9),1)</f>
        <v>43435</v>
      </c>
      <c r="K4" s="217">
        <f>DATE(PPFirstYear+1,MONTH('Input|General'!$G$9),1)</f>
        <v>43800</v>
      </c>
      <c r="L4" s="217">
        <f>DATE(PPFirstYear+2,MONTH('Input|General'!$G$9),1)</f>
        <v>44166</v>
      </c>
      <c r="M4" s="217">
        <f>DATE(PPFirstYear+3,MONTH('Input|General'!$G$9),1)</f>
        <v>44531</v>
      </c>
      <c r="N4" s="217">
        <f>DATE(PPFirstYear+4,MONTH('Input|General'!$G$9),1)</f>
        <v>44896</v>
      </c>
      <c r="O4" s="217">
        <f>DATE(PPFirstYear+5,MONTH('Input|General'!$G$10),1)</f>
        <v>45078</v>
      </c>
      <c r="P4" s="217">
        <f>DATE(PPFirstYear+6,MONTH('Input|General'!$G$10),1)</f>
        <v>45444</v>
      </c>
      <c r="Q4" s="217">
        <f>DATE(PPFirstYear+7,MONTH('Input|General'!$G$10),1)</f>
        <v>45809</v>
      </c>
      <c r="R4" s="217">
        <f>DATE(PPFirstYear+8,MONTH('Input|General'!$G$10),1)</f>
        <v>46174</v>
      </c>
      <c r="S4" s="217">
        <f>DATE(PPFirstYear+9,MONTH('Input|General'!$G$10),1)</f>
        <v>46539</v>
      </c>
      <c r="T4" s="217">
        <f>DATE(PPFirstYear+10,MONTH('Input|General'!$G$10),1)</f>
        <v>46905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3">
      <c r="A8" s="94"/>
      <c r="B8" s="95" t="s">
        <v>85</v>
      </c>
      <c r="C8" s="94"/>
      <c r="D8" s="94"/>
      <c r="E8" s="68" t="s">
        <v>15</v>
      </c>
      <c r="F8" s="204">
        <v>45078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ht="10.5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43435</v>
      </c>
      <c r="K10" s="160">
        <f t="shared" ref="K10:O10" si="0">K$4</f>
        <v>43800</v>
      </c>
      <c r="L10" s="160">
        <f t="shared" si="0"/>
        <v>44166</v>
      </c>
      <c r="M10" s="160">
        <f t="shared" si="0"/>
        <v>44531</v>
      </c>
      <c r="N10" s="160">
        <f t="shared" si="0"/>
        <v>44896</v>
      </c>
      <c r="O10" s="160">
        <f t="shared" si="0"/>
        <v>45078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155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0</v>
      </c>
      <c r="M12" s="109">
        <f>IF(YEAR(M$4)=BaseYear,'Input|Reported opex'!M70,0)</f>
        <v>70.886717971014477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155</v>
      </c>
      <c r="D13" s="110" t="s">
        <v>30</v>
      </c>
      <c r="E13" s="30" t="str">
        <f>$E$8</f>
        <v>$millions</v>
      </c>
      <c r="F13" s="158">
        <f>$F$8</f>
        <v>45078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79.692786782594752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156</v>
      </c>
      <c r="D14" s="108" t="s">
        <v>91</v>
      </c>
      <c r="E14" s="30" t="str">
        <f>'Input|Reported opex'!E15</f>
        <v>$millions</v>
      </c>
      <c r="F14" s="158">
        <f>'Input|Reported opex'!F15</f>
        <v>43070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66.348551596772808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156</v>
      </c>
      <c r="D15" s="110" t="s">
        <v>30</v>
      </c>
      <c r="E15" s="30" t="str">
        <f>$E$8</f>
        <v>$millions</v>
      </c>
      <c r="F15" s="158">
        <f>$F$8</f>
        <v>45078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79.336709677103428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48" outlineLevel="1">
      <c r="C16" s="111" t="s">
        <v>184</v>
      </c>
      <c r="D16" s="108" t="s">
        <v>91</v>
      </c>
      <c r="E16" s="30" t="str">
        <f>'Input|Reported opex'!E38</f>
        <v>$millions</v>
      </c>
      <c r="F16" s="158">
        <f>'Input|Reported opex'!F38</f>
        <v>44896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39.592520688561201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184</v>
      </c>
      <c r="D17" s="110" t="s">
        <v>30</v>
      </c>
      <c r="E17" s="30" t="str">
        <f>$E$8</f>
        <v>$millions</v>
      </c>
      <c r="F17" s="158">
        <f>$F$8</f>
        <v>45078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40.511371568300994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185</v>
      </c>
      <c r="D18" s="110" t="s">
        <v>30</v>
      </c>
      <c r="E18" s="30" t="str">
        <f>$E$8</f>
        <v>$millions</v>
      </c>
      <c r="F18" s="158">
        <f>$F$8</f>
        <v>45078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81.022743136601989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157</v>
      </c>
      <c r="D20" s="108" t="s">
        <v>91</v>
      </c>
      <c r="E20" s="30" t="str">
        <f>'Input|Reported opex'!E86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</v>
      </c>
      <c r="M20" s="109">
        <f>IF(YEAR(M$4)=BaseYear,'Input|Reported opex'!M79,0)</f>
        <v>1.8013950000000001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157</v>
      </c>
      <c r="D21" s="110" t="s">
        <v>30</v>
      </c>
      <c r="E21" s="30" t="str">
        <f>$E$8</f>
        <v>$millions</v>
      </c>
      <c r="F21" s="158">
        <f>$F$8</f>
        <v>45078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2.0251775192206405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158</v>
      </c>
      <c r="D22" s="108" t="s">
        <v>91</v>
      </c>
      <c r="E22" s="30" t="str">
        <f>'Input|Reported opex'!E22</f>
        <v>$millions</v>
      </c>
      <c r="F22" s="158">
        <f>'Input|Reported opex'!F29</f>
        <v>43070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</v>
      </c>
      <c r="M22" s="109">
        <f>IF(YEAR(M$4)=BaseYear,'Input|Reported opex'!M29,0)</f>
        <v>0.83773480257979038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158</v>
      </c>
      <c r="D23" s="110" t="s">
        <v>30</v>
      </c>
      <c r="E23" s="30" t="str">
        <f>$E$8</f>
        <v>$millions</v>
      </c>
      <c r="F23" s="158">
        <f>$F$8</f>
        <v>45078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1.0017268081841766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>
        <f>T22*IF($F22="nominal",LOOKUP($F23,Nominal_to_Real,'Input|Rate of change'!U$26:U$32),INDEX('Input|Rate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</row>
    <row r="24" spans="3:20" outlineLevel="1">
      <c r="C24" s="111" t="s">
        <v>186</v>
      </c>
      <c r="D24" s="108" t="s">
        <v>91</v>
      </c>
      <c r="E24" s="30" t="str">
        <f>'Input|Reported opex'!E52</f>
        <v>$millions</v>
      </c>
      <c r="F24" s="158">
        <f>'Input|Reported opex'!F52</f>
        <v>44896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0.47838787141308253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186</v>
      </c>
      <c r="D25" s="110" t="s">
        <v>30</v>
      </c>
      <c r="E25" s="30" t="str">
        <f>$E$8</f>
        <v>$millions</v>
      </c>
      <c r="F25" s="158">
        <f>$F$8</f>
        <v>45078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0.48949014802644686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187</v>
      </c>
      <c r="D26" s="110" t="s">
        <v>30</v>
      </c>
      <c r="E26" s="30" t="str">
        <f>$E$8</f>
        <v>$millions</v>
      </c>
      <c r="F26" s="158">
        <f>$F$8</f>
        <v>45078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0.97898029605289372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ht="10.5" outlineLevel="1">
      <c r="C28" s="113" t="s">
        <v>132</v>
      </c>
      <c r="D28" s="114" t="s">
        <v>30</v>
      </c>
      <c r="E28" s="114" t="str">
        <f>$E$8</f>
        <v>$millions</v>
      </c>
      <c r="F28" s="158">
        <f>$F$8</f>
        <v>45078</v>
      </c>
      <c r="J28" s="115">
        <f t="shared" ref="J28:S28" si="3">J13</f>
        <v>0</v>
      </c>
      <c r="K28" s="115">
        <f t="shared" si="3"/>
        <v>0</v>
      </c>
      <c r="L28" s="115">
        <f t="shared" si="3"/>
        <v>0</v>
      </c>
      <c r="M28" s="115">
        <f t="shared" si="3"/>
        <v>79.692786782594752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ht="10.5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ht="10.5" outlineLevel="1">
      <c r="C30" s="123" t="s">
        <v>153</v>
      </c>
      <c r="D30" s="108" t="s">
        <v>91</v>
      </c>
      <c r="E30" s="110" t="str">
        <f>'Input|Reported opex'!E91</f>
        <v>$millions</v>
      </c>
      <c r="F30" s="158">
        <f>'Input|Reported opex'!F91</f>
        <v>45078</v>
      </c>
      <c r="J30" s="115">
        <f>IF('Input|Reported opex'!J$83=J$10,'Input|Reported opex'!J91,0)</f>
        <v>0</v>
      </c>
      <c r="K30" s="115">
        <f>IF('Input|Reported opex'!K$83=K$10,'Input|Reported opex'!K91,0)</f>
        <v>0</v>
      </c>
      <c r="L30" s="115">
        <f>IF('Input|Reported opex'!L$83=L$10,'Input|Reported opex'!L91,0)</f>
        <v>0</v>
      </c>
      <c r="M30" s="115">
        <f>IF('Input|Reported opex'!M$83=M$10,'Input|Reported opex'!M91,0)</f>
        <v>0</v>
      </c>
      <c r="N30" s="115">
        <f>IF('Input|Reported opex'!N$83=N$10,'Input|Reported opex'!N91,0)</f>
        <v>0</v>
      </c>
      <c r="O30" s="115">
        <f>IF('Input|Reported opex'!O$83=O$10,'Input|Reported opex'!O91,0)</f>
        <v>0</v>
      </c>
      <c r="P30" s="115">
        <f>IF('Input|Reported opex'!P$83=P$10,'Input|Reported opex'!P91,0)</f>
        <v>0</v>
      </c>
      <c r="Q30" s="115">
        <f>IF('Input|Reported opex'!Q$83=Q$10,'Input|Reported opex'!Q91,0)</f>
        <v>0</v>
      </c>
      <c r="R30" s="115">
        <f>IF('Input|Reported opex'!R$83=R$10,'Input|Reported opex'!R91,0)</f>
        <v>0</v>
      </c>
      <c r="S30" s="115">
        <f>IF('Input|Reported opex'!S$83=S$10,'Input|Reported opex'!S91,0)</f>
        <v>0</v>
      </c>
      <c r="T30" s="115">
        <f>IF('Input|Reported opex'!T$83=T$10,'Input|Reported opex'!T91,0)</f>
        <v>0</v>
      </c>
    </row>
    <row r="31" spans="3:20" ht="10.5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45078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09">
        <f>T30*IF($F30="nominal",LOOKUP($F31,Nominal_to_Real,'Input|Rate of change'!U$26:U$32),INDEX('Input|Rate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</row>
    <row r="32" spans="3:20" ht="10.5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ht="10.5" outlineLevel="1">
      <c r="C33" s="123" t="s">
        <v>151</v>
      </c>
      <c r="D33" s="110" t="s">
        <v>30</v>
      </c>
      <c r="E33" s="110" t="str">
        <f>$E$8</f>
        <v>$millions</v>
      </c>
      <c r="F33" s="158">
        <f>$F$8</f>
        <v>45078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1.6860334594985602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ht="10.5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ht="10.5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45078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81.378820242093312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ht="10.5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ht="10.5" outlineLevel="1">
      <c r="C37" s="123" t="s">
        <v>159</v>
      </c>
      <c r="D37" s="110" t="s">
        <v>30</v>
      </c>
      <c r="E37" s="110" t="str">
        <f>$E$8</f>
        <v>$millions</v>
      </c>
      <c r="F37" s="158">
        <f>$F$8</f>
        <v>45078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-2.0024310070893576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ht="10.5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ht="10.5" outlineLevel="1">
      <c r="C39" s="123" t="str">
        <f>'Input|Reported opex'!$C$85</f>
        <v>Change in treatment of overheads (O&amp;M)</v>
      </c>
      <c r="D39" s="108" t="s">
        <v>91</v>
      </c>
      <c r="E39" s="110" t="str">
        <f>'Input|Reported opex'!E85</f>
        <v>$millions</v>
      </c>
      <c r="F39" s="158">
        <f>'Input|Reported opex'!F85</f>
        <v>44531</v>
      </c>
      <c r="J39" s="109">
        <f>IF(YEAR(J$4)=InterveningPeriod,'Input|Reported opex'!J85,0)</f>
        <v>0</v>
      </c>
      <c r="K39" s="109">
        <f>IF(YEAR(K$4)=InterveningPeriod,'Input|Reported opex'!K85,0)</f>
        <v>0</v>
      </c>
      <c r="L39" s="109">
        <f>IF(YEAR(L$4)=InterveningPeriod,'Input|Reported opex'!L85,0)</f>
        <v>0</v>
      </c>
      <c r="M39" s="109">
        <f>IF(YEAR(M$4)=InterveningPeriod,'Input|Reported opex'!M85,0)</f>
        <v>0</v>
      </c>
      <c r="N39" s="109">
        <f>IF(YEAR(N$4)=InterveningPeriod,'Input|Reported opex'!N85,0)</f>
        <v>0</v>
      </c>
      <c r="O39" s="109">
        <f>IF(YEAR(O$4)=InterveningPeriod,'Input|Reported opex'!O85,0)</f>
        <v>4.5510000000000002</v>
      </c>
      <c r="P39" s="109">
        <f>IF(YEAR(P$4)=InterveningPeriod,'Input|Reported opex'!P85,0)</f>
        <v>0</v>
      </c>
      <c r="Q39" s="109">
        <f>IF(YEAR(Q$4)=InterveningPeriod,'Input|Reported opex'!Q85,0)</f>
        <v>0</v>
      </c>
      <c r="R39" s="109">
        <f>IF(YEAR(R$4)=InterveningPeriod,'Input|Reported opex'!R85,0)</f>
        <v>0</v>
      </c>
      <c r="S39" s="109">
        <f>IF(YEAR(S$4)=InterveningPeriod,'Input|Reported opex'!S85,0)</f>
        <v>0</v>
      </c>
      <c r="T39" s="109">
        <f>IF(YEAR(T$4)=InterveningPeriod,'Input|Reported opex'!T85,0)</f>
        <v>0</v>
      </c>
    </row>
    <row r="40" spans="3:20" ht="10.5" outlineLevel="1">
      <c r="C40" s="123" t="str">
        <f>C39</f>
        <v>Change in treatment of overheads (O&amp;M)</v>
      </c>
      <c r="D40" s="110" t="s">
        <v>30</v>
      </c>
      <c r="E40" s="30" t="str">
        <f>$E$8</f>
        <v>$millions</v>
      </c>
      <c r="F40" s="158">
        <f>$F$8</f>
        <v>45078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5.029147644682606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09">
        <f>T39*IF($F39="nominal",LOOKUP($F40,Nominal_to_Real,'Input|Rate of change'!U$26:U$32),INDEX('Input|Rate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</row>
    <row r="41" spans="3:20" ht="10.5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ht="10.5" outlineLevel="1">
      <c r="C42" s="123" t="str">
        <f>'Input|Reported opex'!$C$86</f>
        <v>Change in treatment of overheads (Support)</v>
      </c>
      <c r="D42" s="108" t="s">
        <v>91</v>
      </c>
      <c r="E42" s="30" t="str">
        <f>'Input|Reported opex'!$E$86</f>
        <v>$millions</v>
      </c>
      <c r="F42" s="158">
        <f>'Input|Reported opex'!$F$86</f>
        <v>44531</v>
      </c>
      <c r="J42" s="109">
        <f>IF(YEAR(J$4)=InterveningPeriod,'Input|Reported opex'!J86,0)</f>
        <v>0</v>
      </c>
      <c r="K42" s="109">
        <f>IF(YEAR(K$4)=InterveningPeriod,'Input|Reported opex'!K86,0)</f>
        <v>0</v>
      </c>
      <c r="L42" s="109">
        <f>IF(YEAR(L$4)=InterveningPeriod,'Input|Reported opex'!L86,0)</f>
        <v>0</v>
      </c>
      <c r="M42" s="109">
        <f>IF(YEAR(M$4)=InterveningPeriod,'Input|Reported opex'!M86,0)</f>
        <v>0</v>
      </c>
      <c r="N42" s="109">
        <f>IF(YEAR(N$4)=InterveningPeriod,'Input|Reported opex'!N86,0)</f>
        <v>0</v>
      </c>
      <c r="O42" s="109">
        <f>IF(YEAR(O$4)=InterveningPeriod,'Input|Reported opex'!O86,0)</f>
        <v>2.395</v>
      </c>
      <c r="P42" s="109">
        <f>IF(YEAR(P$4)=InterveningPeriod,'Input|Reported opex'!P86,0)</f>
        <v>0</v>
      </c>
      <c r="Q42" s="109">
        <f>IF(YEAR(Q$4)=InterveningPeriod,'Input|Reported opex'!Q86,0)</f>
        <v>0</v>
      </c>
      <c r="R42" s="109">
        <f>IF(YEAR(R$4)=InterveningPeriod,'Input|Reported opex'!R86,0)</f>
        <v>0</v>
      </c>
      <c r="S42" s="109">
        <f>IF(YEAR(S$4)=InterveningPeriod,'Input|Reported opex'!S86,0)</f>
        <v>0</v>
      </c>
      <c r="T42" s="109">
        <f>IF(YEAR(T$4)=InterveningPeriod,'Input|Reported opex'!T86,0)</f>
        <v>0</v>
      </c>
    </row>
    <row r="43" spans="3:20" ht="10.5" outlineLevel="1">
      <c r="C43" s="123" t="str">
        <f>C42</f>
        <v>Change in treatment of overheads (Support)</v>
      </c>
      <c r="D43" s="110" t="s">
        <v>30</v>
      </c>
      <c r="E43" s="30" t="str">
        <f>$E$8</f>
        <v>$millions</v>
      </c>
      <c r="F43" s="158">
        <f>$F$8</f>
        <v>45078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2.6466290065952189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>
        <f>T42*IF($F42="nominal",LOOKUP($F43,Nominal_to_Real,'Input|Rate of change'!U$26:U$32),INDEX('Input|Rate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</row>
    <row r="44" spans="3:20" ht="10.5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ht="10.5" outlineLevel="1">
      <c r="C45" s="123">
        <f>'Input|Reported opex'!$C$87</f>
        <v>0</v>
      </c>
      <c r="D45" s="108" t="s">
        <v>91</v>
      </c>
      <c r="E45" s="30" t="str">
        <f>'Input|Reported opex'!$E$87</f>
        <v>$millions</v>
      </c>
      <c r="F45" s="158">
        <f>'Input|Reported opex'!$F$87</f>
        <v>45078</v>
      </c>
      <c r="J45" s="109">
        <f>IF(YEAR(J$4)=InterveningPeriod,'Input|Reported opex'!J87,0)</f>
        <v>0</v>
      </c>
      <c r="K45" s="109">
        <f>IF(YEAR(K$4)=InterveningPeriod,'Input|Reported opex'!K87,0)</f>
        <v>0</v>
      </c>
      <c r="L45" s="109">
        <f>IF(YEAR(L$4)=InterveningPeriod,'Input|Reported opex'!L87,0)</f>
        <v>0</v>
      </c>
      <c r="M45" s="109">
        <f>IF(YEAR(M$4)=InterveningPeriod,'Input|Reported opex'!M87,0)</f>
        <v>0</v>
      </c>
      <c r="N45" s="109">
        <f>IF(YEAR(N$4)=InterveningPeriod,'Input|Reported opex'!N87,0)</f>
        <v>0</v>
      </c>
      <c r="O45" s="109">
        <f>IF(YEAR(O$4)=InterveningPeriod,'Input|Reported opex'!O87,0)</f>
        <v>0</v>
      </c>
      <c r="P45" s="109">
        <f>IF(YEAR(P$4)=InterveningPeriod,'Input|Reported opex'!P87,0)</f>
        <v>0</v>
      </c>
      <c r="Q45" s="109">
        <f>IF(YEAR(Q$4)=InterveningPeriod,'Input|Reported opex'!Q87,0)</f>
        <v>0</v>
      </c>
      <c r="R45" s="109">
        <f>IF(YEAR(R$4)=InterveningPeriod,'Input|Reported opex'!R87,0)</f>
        <v>0</v>
      </c>
      <c r="S45" s="109">
        <f>IF(YEAR(S$4)=InterveningPeriod,'Input|Reported opex'!S87,0)</f>
        <v>0</v>
      </c>
      <c r="T45" s="109">
        <f>IF(YEAR(T$4)=InterveningPeriod,'Input|Reported opex'!T87,0)</f>
        <v>0</v>
      </c>
    </row>
    <row r="46" spans="3:20" ht="10.5" outlineLevel="1">
      <c r="C46" s="123">
        <f>C45</f>
        <v>0</v>
      </c>
      <c r="D46" s="110" t="s">
        <v>30</v>
      </c>
      <c r="E46" s="30" t="str">
        <f>$E$8</f>
        <v>$millions</v>
      </c>
      <c r="F46" s="158">
        <f>$F$8</f>
        <v>45078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09">
        <f>T45*IF($F45="nominal",LOOKUP($F46,Nominal_to_Real,'Input|Rate of change'!U$26:U$32),INDEX('Input|Rate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</row>
    <row r="47" spans="3:20" ht="10.5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ht="10.5" outlineLevel="1">
      <c r="C48" s="123">
        <f>'Input|Reported opex'!$C$88</f>
        <v>0</v>
      </c>
      <c r="D48" s="108" t="s">
        <v>91</v>
      </c>
      <c r="E48" s="30" t="str">
        <f>'Input|Reported opex'!$E$88</f>
        <v>$millions</v>
      </c>
      <c r="F48" s="158">
        <f>'Input|Reported opex'!$F$88</f>
        <v>45078</v>
      </c>
      <c r="J48" s="109">
        <f>IF(YEAR(J$4)=InterveningPeriod,'Input|Reported opex'!J88,0)</f>
        <v>0</v>
      </c>
      <c r="K48" s="109">
        <f>IF(YEAR(K$4)=InterveningPeriod,'Input|Reported opex'!K88,0)</f>
        <v>0</v>
      </c>
      <c r="L48" s="109">
        <f>IF(YEAR(L$4)=InterveningPeriod,'Input|Reported opex'!L88,0)</f>
        <v>0</v>
      </c>
      <c r="M48" s="109">
        <f>IF(YEAR(M$4)=InterveningPeriod,'Input|Reported opex'!M88,0)</f>
        <v>0</v>
      </c>
      <c r="N48" s="109">
        <f>IF(YEAR(N$4)=InterveningPeriod,'Input|Reported opex'!N88,0)</f>
        <v>0</v>
      </c>
      <c r="O48" s="109">
        <f>IF(YEAR(O$4)=InterveningPeriod,'Input|Reported opex'!O88,0)</f>
        <v>0</v>
      </c>
      <c r="P48" s="109">
        <f>IF(YEAR(P$4)=InterveningPeriod,'Input|Reported opex'!P88,0)</f>
        <v>0</v>
      </c>
      <c r="Q48" s="109">
        <f>IF(YEAR(Q$4)=InterveningPeriod,'Input|Reported opex'!Q88,0)</f>
        <v>0</v>
      </c>
      <c r="R48" s="109">
        <f>IF(YEAR(R$4)=InterveningPeriod,'Input|Reported opex'!R88,0)</f>
        <v>0</v>
      </c>
      <c r="S48" s="109">
        <f>IF(YEAR(S$4)=InterveningPeriod,'Input|Reported opex'!S88,0)</f>
        <v>0</v>
      </c>
      <c r="T48" s="109">
        <f>IF(YEAR(T$4)=InterveningPeriod,'Input|Reported opex'!T88,0)</f>
        <v>0</v>
      </c>
    </row>
    <row r="49" spans="1:48" ht="10.5" outlineLevel="1">
      <c r="C49" s="123">
        <f>C48</f>
        <v>0</v>
      </c>
      <c r="D49" s="110" t="s">
        <v>30</v>
      </c>
      <c r="E49" s="30" t="str">
        <f>$E$8</f>
        <v>$millions</v>
      </c>
      <c r="F49" s="158">
        <f>$F$8</f>
        <v>45078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09">
        <f>T48*IF($F48="nominal",LOOKUP($F49,Nominal_to_Real,'Input|Rate of change'!U$26:U$32),INDEX('Input|Rate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</row>
    <row r="50" spans="1:48" ht="10.5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ht="10.5" outlineLevel="1">
      <c r="C51" s="123">
        <f>'Input|Reported opex'!$C$89</f>
        <v>0</v>
      </c>
      <c r="D51" s="108" t="s">
        <v>91</v>
      </c>
      <c r="E51" s="30" t="str">
        <f>'Input|Reported opex'!$E$89</f>
        <v>$millions</v>
      </c>
      <c r="F51" s="158">
        <f>'Input|Reported opex'!$F$89</f>
        <v>45078</v>
      </c>
      <c r="J51" s="109">
        <f>IF(YEAR(J$4)=InterveningPeriod,'Input|Reported opex'!J89,0)</f>
        <v>0</v>
      </c>
      <c r="K51" s="109">
        <f>IF(YEAR(K$4)=InterveningPeriod,'Input|Reported opex'!K89,0)</f>
        <v>0</v>
      </c>
      <c r="L51" s="109">
        <f>IF(YEAR(L$4)=InterveningPeriod,'Input|Reported opex'!L89,0)</f>
        <v>0</v>
      </c>
      <c r="M51" s="109">
        <f>IF(YEAR(M$4)=InterveningPeriod,'Input|Reported opex'!M89,0)</f>
        <v>0</v>
      </c>
      <c r="N51" s="109">
        <f>IF(YEAR(N$4)=InterveningPeriod,'Input|Reported opex'!N89,0)</f>
        <v>0</v>
      </c>
      <c r="O51" s="109">
        <f>IF(YEAR(O$4)=InterveningPeriod,'Input|Reported opex'!O89,0)</f>
        <v>0</v>
      </c>
      <c r="P51" s="109">
        <f>IF(YEAR(P$4)=InterveningPeriod,'Input|Reported opex'!P89,0)</f>
        <v>0</v>
      </c>
      <c r="Q51" s="109">
        <f>IF(YEAR(Q$4)=InterveningPeriod,'Input|Reported opex'!Q89,0)</f>
        <v>0</v>
      </c>
      <c r="R51" s="109">
        <f>IF(YEAR(R$4)=InterveningPeriod,'Input|Reported opex'!R89,0)</f>
        <v>0</v>
      </c>
      <c r="S51" s="109">
        <f>IF(YEAR(S$4)=InterveningPeriod,'Input|Reported opex'!S89,0)</f>
        <v>0</v>
      </c>
      <c r="T51" s="109">
        <f>IF(YEAR(T$4)=InterveningPeriod,'Input|Reported opex'!T89,0)</f>
        <v>0</v>
      </c>
    </row>
    <row r="52" spans="1:48" ht="10.5" outlineLevel="1">
      <c r="C52" s="123">
        <f>C51</f>
        <v>0</v>
      </c>
      <c r="D52" s="110" t="s">
        <v>30</v>
      </c>
      <c r="E52" s="30" t="str">
        <f>$E$8</f>
        <v>$millions</v>
      </c>
      <c r="F52" s="158">
        <f>$F$8</f>
        <v>45078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09">
        <f>T51*IF($F51="nominal",LOOKUP($F52,Nominal_to_Real,'Input|Rate of change'!U$26:U$32),INDEX('Input|Rate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</row>
    <row r="53" spans="1:48" ht="10.5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ht="10.5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45078</v>
      </c>
      <c r="J54" s="115">
        <f>SUM(J35,J40,J43,J46,J49,J52)*'Input|Reported opex'!J93</f>
        <v>0</v>
      </c>
      <c r="K54" s="115">
        <f>SUM(K35,K40,K43,K46,K49,K52)*'Input|Reported opex'!K93</f>
        <v>0</v>
      </c>
      <c r="L54" s="115">
        <f>SUM(L35,L40,L43,L46,L49,L52)*'Input|Reported opex'!L93</f>
        <v>0</v>
      </c>
      <c r="M54" s="115">
        <f>SUM(M35,M40,M43,M46,M49,M52)*'Input|Reported opex'!M93</f>
        <v>0</v>
      </c>
      <c r="N54" s="115">
        <f>SUM(N35,N40,N43,N46,N49,N52)*'Input|Reported opex'!N93</f>
        <v>0</v>
      </c>
      <c r="O54" s="115">
        <f>SUM(O35,O40,O43,O46,O49,O52)*'Input|Reported opex'!O93</f>
        <v>0</v>
      </c>
      <c r="P54" s="115">
        <f>SUM(P35,P40,P43,P46,P49,P52)*'Input|Reported opex'!P93</f>
        <v>0</v>
      </c>
      <c r="Q54" s="115">
        <f>SUM(Q35,Q40,Q43,Q46,Q49,Q52)*'Input|Reported opex'!Q93</f>
        <v>0</v>
      </c>
      <c r="R54" s="115">
        <f>SUM(R35,R40,R43,R46,R49,R52)*'Input|Reported opex'!R93</f>
        <v>0</v>
      </c>
      <c r="S54" s="115">
        <f>SUM(S35,S40,S43,S46,S49,S52)*'Input|Reported opex'!S93</f>
        <v>0</v>
      </c>
      <c r="T54" s="115">
        <f>SUM(T35,T40,T43,T46,T49,T52)*'Input|Reported opex'!T93</f>
        <v>0</v>
      </c>
    </row>
    <row r="55" spans="1:48" ht="10.5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ht="10.5" outlineLevel="1">
      <c r="C56" s="176" t="s">
        <v>160</v>
      </c>
      <c r="D56" s="112" t="s">
        <v>97</v>
      </c>
      <c r="E56" s="112" t="str">
        <f>$E$8</f>
        <v>$millions</v>
      </c>
      <c r="F56" s="177">
        <f>$F$8</f>
        <v>45078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87.052165886281784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>
        <f t="shared" ref="T56" si="8">SUM(T35,T37,T40,T43,T46,T49,T52,T54)</f>
        <v>0</v>
      </c>
    </row>
    <row r="57" spans="1:48">
      <c r="J57" s="107"/>
      <c r="K57" s="107"/>
      <c r="L57" s="107"/>
    </row>
    <row r="58" spans="1:48" s="103" customFormat="1" ht="13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ht="10.5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45444</v>
      </c>
      <c r="Q60" s="160">
        <f t="shared" ref="Q60:T60" si="9">Q$4</f>
        <v>45809</v>
      </c>
      <c r="R60" s="160">
        <f t="shared" si="9"/>
        <v>46174</v>
      </c>
      <c r="S60" s="160">
        <f t="shared" si="9"/>
        <v>46539</v>
      </c>
      <c r="T60" s="160">
        <f t="shared" si="9"/>
        <v>46905</v>
      </c>
    </row>
    <row r="61" spans="1:48" ht="10.5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ht="10.5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4.9892452091414834E-3</v>
      </c>
      <c r="Q63" s="117">
        <f ca="1">IF(Q60=Q4,AVERAGE(OFFSET('Input|Rate of change'!R97,0,0,COUNTA('Input|Rate of change'!$J$84:$N$84),1)),0)</f>
        <v>1.054812884208293E-3</v>
      </c>
      <c r="R63" s="117">
        <f ca="1">IF(R60=R4,AVERAGE(OFFSET('Input|Rate of change'!S97,0,0,COUNTA('Input|Rate of change'!$J$84:$N$84),1)),0)</f>
        <v>-3.6193295520983819E-3</v>
      </c>
      <c r="S63" s="117">
        <f ca="1">IF(S60=S4,AVERAGE(OFFSET('Input|Rate of change'!T97,0,0,COUNTA('Input|Rate of change'!$J$84:$N$84),1)),0)</f>
        <v>-1.05583029510458E-2</v>
      </c>
      <c r="T63" s="117">
        <f ca="1">IF(T60=T4,AVERAGE(OFFSET('Input|Rate of change'!U97,0,0,COUNTA('Input|Rate of change'!$J$84:$N$84),1)),0)</f>
        <v>-1.675354061792066E-2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6.0643316064568518E-3</v>
      </c>
      <c r="Q65" s="117">
        <f>SUMPRODUCT('Input|Rate of change'!R38:R45,'Input|Rate of change'!R51:R58)</f>
        <v>9.3593431697880178E-3</v>
      </c>
      <c r="R65" s="117">
        <f>SUMPRODUCT('Input|Rate of change'!S38:S45,'Input|Rate of change'!S51:S58)</f>
        <v>8.7115874713229353E-3</v>
      </c>
      <c r="S65" s="117">
        <f>SUMPRODUCT('Input|Rate of change'!T38:T45,'Input|Rate of change'!T51:T58)</f>
        <v>3.9407726451511412E-3</v>
      </c>
      <c r="T65" s="117">
        <f>SUMPRODUCT('Input|Rate of change'!U38:U45,'Input|Rate of change'!U51:U58)</f>
        <v>3.3294950115579976E-3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1.213398930277957E-3</v>
      </c>
      <c r="Q67" s="117">
        <f>'Input|Rate of change'!R107</f>
        <v>-4.9101810526417657E-4</v>
      </c>
      <c r="R67" s="117">
        <f>'Input|Rate of change'!S107</f>
        <v>-1.651947394912247E-3</v>
      </c>
      <c r="S67" s="117">
        <f>'Input|Rate of change'!T107</f>
        <v>-3.7740547546197961E-3</v>
      </c>
      <c r="T67" s="117">
        <f>'Input|Rate of change'!U107</f>
        <v>-5.8281586589347869E-3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ht="10.5" outlineLevel="1">
      <c r="C69" s="118" t="s">
        <v>133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10">(1+K63)*(1+K65)*(1-K67)-1</f>
        <v>0</v>
      </c>
      <c r="L69" s="143">
        <f t="shared" ca="1" si="10"/>
        <v>0</v>
      </c>
      <c r="M69" s="143">
        <f t="shared" ca="1" si="10"/>
        <v>0</v>
      </c>
      <c r="N69" s="143">
        <f t="shared" ca="1" si="10"/>
        <v>0</v>
      </c>
      <c r="O69" s="143">
        <f t="shared" ca="1" si="10"/>
        <v>0</v>
      </c>
      <c r="P69" s="143">
        <f t="shared" ca="1" si="10"/>
        <v>9.8569852113219447E-3</v>
      </c>
      <c r="Q69" s="143">
        <f t="shared" ca="1" si="10"/>
        <v>1.0920164901702778E-2</v>
      </c>
      <c r="R69" s="143">
        <f t="shared" ca="1" si="10"/>
        <v>6.7210352642832483E-3</v>
      </c>
      <c r="S69" s="143">
        <f t="shared" ca="1" si="10"/>
        <v>-2.9102153748231663E-3</v>
      </c>
      <c r="T69" s="143">
        <f t="shared" ref="T69" ca="1" si="11">(1+T63)*(1+T65)*(1-T67)-1</f>
        <v>-7.7302303445065945E-3</v>
      </c>
    </row>
    <row r="70" spans="1:48" ht="10.5" outlineLevel="1">
      <c r="C70" s="124" t="s">
        <v>134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9.8569852113219447E-3</v>
      </c>
      <c r="Q70" s="117">
        <f t="array" aca="1" ref="Q70" ca="1">IF(Q$60=Q$4,PRODUCT(1+$J69:Q69)-1,"")</f>
        <v>2.0884790016965971E-2</v>
      </c>
      <c r="R70" s="117">
        <f t="array" aca="1" ref="R70" ca="1">IF(R$60=R$4,PRODUCT(1+$J69:R69)-1,"")</f>
        <v>2.7746192691440408E-2</v>
      </c>
      <c r="S70" s="117">
        <f t="array" aca="1" ref="S70" ca="1">IF(S$60=S$4,PRODUCT(1+$J69:S69)-1,"")</f>
        <v>2.4755229920053745E-2</v>
      </c>
      <c r="T70" s="117">
        <f t="array" aca="1" ref="T70" ca="1">IF(T$60=T$4,PRODUCT(1+$J69:T69)-1,"")</f>
        <v>1.6833635946033931E-2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3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ht="10.5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45444</v>
      </c>
      <c r="Q74" s="160">
        <f t="shared" ref="Q74:T74" si="12">Q$4</f>
        <v>45809</v>
      </c>
      <c r="R74" s="160">
        <f t="shared" si="12"/>
        <v>46174</v>
      </c>
      <c r="S74" s="160">
        <f t="shared" si="12"/>
        <v>46539</v>
      </c>
      <c r="T74" s="160">
        <f t="shared" si="12"/>
        <v>46905</v>
      </c>
    </row>
    <row r="75" spans="1:48" ht="10.5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Capex to opex activities</v>
      </c>
      <c r="D76" s="110" t="s">
        <v>30</v>
      </c>
      <c r="E76" s="30" t="str">
        <f t="shared" ref="E76:E94" si="13">$E$8</f>
        <v>$millions</v>
      </c>
      <c r="F76" s="158">
        <f t="shared" ref="F76:F86" si="14">$F$8</f>
        <v>45078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2.6175985369539698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3.8827683902602299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2.6681081571341601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3.9992920166587602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2.7146317689533901</v>
      </c>
    </row>
    <row r="77" spans="1:48" outlineLevel="1">
      <c r="C77" s="121" t="str">
        <f>'Input|Step changes'!C13</f>
        <v>Uplift in Cyber Security Capabilities</v>
      </c>
      <c r="D77" s="110" t="s">
        <v>30</v>
      </c>
      <c r="E77" s="30" t="str">
        <f t="shared" si="13"/>
        <v>$millions</v>
      </c>
      <c r="F77" s="158">
        <f t="shared" si="14"/>
        <v>45078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</row>
    <row r="78" spans="1:48" outlineLevel="1">
      <c r="C78" s="121" t="str">
        <f>'Input|Step changes'!C14</f>
        <v>Renewable gas communications and education</v>
      </c>
      <c r="D78" s="110" t="s">
        <v>30</v>
      </c>
      <c r="E78" s="30" t="str">
        <f t="shared" si="13"/>
        <v>$millions</v>
      </c>
      <c r="F78" s="158">
        <f t="shared" si="14"/>
        <v>45078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</row>
    <row r="79" spans="1:48" outlineLevel="1">
      <c r="C79" s="121">
        <f>'Input|Step changes'!C15</f>
        <v>0</v>
      </c>
      <c r="D79" s="110" t="s">
        <v>30</v>
      </c>
      <c r="E79" s="30" t="str">
        <f t="shared" si="13"/>
        <v>$millions</v>
      </c>
      <c r="F79" s="158">
        <f t="shared" si="14"/>
        <v>45078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</row>
    <row r="80" spans="1:48" outlineLevel="1">
      <c r="C80" s="121">
        <f>'Input|Step changes'!C16</f>
        <v>0</v>
      </c>
      <c r="D80" s="110" t="s">
        <v>30</v>
      </c>
      <c r="E80" s="30" t="str">
        <f t="shared" si="13"/>
        <v>$millions</v>
      </c>
      <c r="F80" s="158">
        <f t="shared" si="14"/>
        <v>45078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</row>
    <row r="81" spans="1:48" outlineLevel="1">
      <c r="C81" s="121">
        <f>'Input|Step changes'!C17</f>
        <v>0</v>
      </c>
      <c r="D81" s="110" t="s">
        <v>30</v>
      </c>
      <c r="E81" s="30" t="str">
        <f t="shared" si="13"/>
        <v>$millions</v>
      </c>
      <c r="F81" s="158">
        <f t="shared" si="14"/>
        <v>45078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48" outlineLevel="1">
      <c r="C82" s="121">
        <f>'Input|Step changes'!C18</f>
        <v>0</v>
      </c>
      <c r="D82" s="110" t="s">
        <v>30</v>
      </c>
      <c r="E82" s="30" t="str">
        <f t="shared" si="13"/>
        <v>$millions</v>
      </c>
      <c r="F82" s="158">
        <f t="shared" si="14"/>
        <v>45078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>
        <f>'Input|Step changes'!C19</f>
        <v>0</v>
      </c>
      <c r="D83" s="110" t="s">
        <v>30</v>
      </c>
      <c r="E83" s="30" t="str">
        <f t="shared" si="13"/>
        <v>$millions</v>
      </c>
      <c r="F83" s="158">
        <f t="shared" si="14"/>
        <v>45078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>
        <f>'Input|Step changes'!C20</f>
        <v>0</v>
      </c>
      <c r="D84" s="110" t="s">
        <v>30</v>
      </c>
      <c r="E84" s="30" t="str">
        <f t="shared" si="13"/>
        <v>$millions</v>
      </c>
      <c r="F84" s="158">
        <f t="shared" si="14"/>
        <v>45078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ht="10.5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4"/>
        <v>45078</v>
      </c>
      <c r="G86" s="32"/>
      <c r="H86" s="32"/>
      <c r="I86" s="32"/>
      <c r="J86" s="174">
        <f>SUM(J75:J85)</f>
        <v>0</v>
      </c>
      <c r="K86" s="174">
        <f t="shared" ref="K86:S86" si="15">SUM(K75:K85)</f>
        <v>0</v>
      </c>
      <c r="L86" s="174">
        <f t="shared" si="15"/>
        <v>0</v>
      </c>
      <c r="M86" s="174">
        <f t="shared" si="15"/>
        <v>0</v>
      </c>
      <c r="N86" s="174">
        <f t="shared" si="15"/>
        <v>0</v>
      </c>
      <c r="O86" s="174">
        <f t="shared" si="15"/>
        <v>0</v>
      </c>
      <c r="P86" s="174">
        <f t="shared" si="15"/>
        <v>2.6175985369539698</v>
      </c>
      <c r="Q86" s="174">
        <f t="shared" si="15"/>
        <v>3.8827683902602299</v>
      </c>
      <c r="R86" s="174">
        <f t="shared" si="15"/>
        <v>2.6681081571341601</v>
      </c>
      <c r="S86" s="174">
        <f t="shared" si="15"/>
        <v>3.9992920166587602</v>
      </c>
      <c r="T86" s="174">
        <f t="shared" ref="T86" si="16">SUM(T75:T85)</f>
        <v>2.7146317689533901</v>
      </c>
    </row>
    <row r="87" spans="1:48" ht="10.5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3">
      <c r="A88" s="94"/>
      <c r="B88" s="95" t="s">
        <v>113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ht="10.5" outlineLevel="1">
      <c r="C90" s="67" t="s">
        <v>108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45444</v>
      </c>
      <c r="Q90" s="160">
        <f t="shared" ref="Q90:T90" si="17">Q$4</f>
        <v>45809</v>
      </c>
      <c r="R90" s="160">
        <f t="shared" si="17"/>
        <v>46174</v>
      </c>
      <c r="S90" s="160">
        <f t="shared" si="17"/>
        <v>46539</v>
      </c>
      <c r="T90" s="160">
        <f t="shared" si="17"/>
        <v>46905</v>
      </c>
    </row>
    <row r="91" spans="1:48" ht="10.5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Priority Services Program</v>
      </c>
      <c r="D92" s="110" t="s">
        <v>30</v>
      </c>
      <c r="E92" s="30" t="str">
        <f t="shared" si="13"/>
        <v>$millions</v>
      </c>
      <c r="F92" s="158">
        <f t="shared" ref="F92:F94" si="18">$F$8</f>
        <v>45078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1.245904748845837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0.95554910313272878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0.98510957324814519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0.95554910313272878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0.98510957324814519</v>
      </c>
    </row>
    <row r="93" spans="1:48" outlineLevel="1">
      <c r="C93" s="121">
        <f>'Input|Step changes'!C29</f>
        <v>0</v>
      </c>
      <c r="D93" s="110" t="s">
        <v>30</v>
      </c>
      <c r="E93" s="30" t="str">
        <f t="shared" si="13"/>
        <v>$millions</v>
      </c>
      <c r="F93" s="158">
        <f t="shared" si="18"/>
        <v>45078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3"/>
        <v>$millions</v>
      </c>
      <c r="F94" s="158">
        <f t="shared" si="18"/>
        <v>45078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ht="10.5" outlineLevel="1">
      <c r="C96" s="113" t="s">
        <v>114</v>
      </c>
      <c r="D96" s="122" t="s">
        <v>30</v>
      </c>
      <c r="E96" s="122" t="str">
        <f>$E$8</f>
        <v>$millions</v>
      </c>
      <c r="F96" s="172">
        <f t="shared" ref="F96" si="19">$F$8</f>
        <v>45078</v>
      </c>
      <c r="G96" s="32"/>
      <c r="H96" s="32"/>
      <c r="I96" s="32"/>
      <c r="J96" s="128">
        <f>SUM(J91:J95)</f>
        <v>0</v>
      </c>
      <c r="K96" s="128">
        <f t="shared" ref="K96:S96" si="20">SUM(K91:K95)</f>
        <v>0</v>
      </c>
      <c r="L96" s="128">
        <f t="shared" si="20"/>
        <v>0</v>
      </c>
      <c r="M96" s="128">
        <f t="shared" si="20"/>
        <v>0</v>
      </c>
      <c r="N96" s="128">
        <f t="shared" si="20"/>
        <v>0</v>
      </c>
      <c r="O96" s="128">
        <f t="shared" si="20"/>
        <v>0</v>
      </c>
      <c r="P96" s="128">
        <f t="shared" si="20"/>
        <v>1.245904748845837</v>
      </c>
      <c r="Q96" s="128">
        <f t="shared" si="20"/>
        <v>0.95554910313272878</v>
      </c>
      <c r="R96" s="128">
        <f t="shared" si="20"/>
        <v>0.98510957324814519</v>
      </c>
      <c r="S96" s="128">
        <f t="shared" si="20"/>
        <v>0.95554910313272878</v>
      </c>
      <c r="T96" s="128">
        <f t="shared" ref="T96" si="21">SUM(T91:T95)</f>
        <v>0.98510957324814519</v>
      </c>
    </row>
    <row r="97" spans="1:48" ht="10.5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3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ht="10.5" outlineLevel="1">
      <c r="C100" s="67"/>
      <c r="J100" s="160"/>
      <c r="K100" s="160"/>
      <c r="L100" s="160"/>
      <c r="M100" s="160"/>
      <c r="N100" s="160"/>
      <c r="O100" s="160"/>
      <c r="P100" s="160">
        <f>P$4</f>
        <v>45444</v>
      </c>
      <c r="Q100" s="160">
        <f t="shared" ref="Q100:T100" si="22">Q$4</f>
        <v>45809</v>
      </c>
      <c r="R100" s="160">
        <f t="shared" si="22"/>
        <v>46174</v>
      </c>
      <c r="S100" s="160">
        <f t="shared" si="22"/>
        <v>46539</v>
      </c>
      <c r="T100" s="160">
        <f t="shared" si="22"/>
        <v>46905</v>
      </c>
    </row>
    <row r="101" spans="1:48" ht="10.5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ht="10.5" outlineLevel="1">
      <c r="C102" s="123" t="s">
        <v>130</v>
      </c>
      <c r="D102" s="126" t="s">
        <v>30</v>
      </c>
      <c r="E102" s="126" t="str">
        <f>$E$8</f>
        <v>$millions</v>
      </c>
      <c r="F102" s="172">
        <f t="shared" ref="F102:F104" si="23">$F$8</f>
        <v>45078</v>
      </c>
      <c r="J102" s="149"/>
      <c r="K102" s="149"/>
      <c r="L102" s="149"/>
      <c r="M102" s="149"/>
      <c r="N102" s="149"/>
      <c r="O102" s="149"/>
      <c r="P102" s="149">
        <f ca="1">(1+P70)*SUM($J56:$S56)+P86</f>
        <v>90.527836334990369</v>
      </c>
      <c r="Q102" s="149">
        <f t="shared" ref="Q102:T102" ca="1" si="24">(1+Q70)*SUM($J56:$S56)+Q86</f>
        <v>92.753000481599088</v>
      </c>
      <c r="R102" s="149">
        <f t="shared" ca="1" si="24"/>
        <v>92.135640212303954</v>
      </c>
      <c r="S102" s="149">
        <f t="shared" ca="1" si="24"/>
        <v>93.2064542844941</v>
      </c>
      <c r="T102" s="149">
        <f t="shared" ca="1" si="24"/>
        <v>91.232202124078597</v>
      </c>
    </row>
    <row r="103" spans="1:48" ht="10.5" outlineLevel="1">
      <c r="C103" s="123" t="s">
        <v>106</v>
      </c>
      <c r="D103" s="126" t="s">
        <v>30</v>
      </c>
      <c r="E103" s="126" t="str">
        <f>$E$8</f>
        <v>$millions</v>
      </c>
      <c r="F103" s="172">
        <f t="shared" si="23"/>
        <v>45078</v>
      </c>
      <c r="J103" s="149"/>
      <c r="K103" s="149"/>
      <c r="L103" s="149"/>
      <c r="M103" s="149"/>
      <c r="N103" s="149"/>
      <c r="O103" s="149"/>
      <c r="P103" s="149">
        <f ca="1">(1+P70)*SUM($J56:$S56)+P86+P96</f>
        <v>91.7737410838362</v>
      </c>
      <c r="Q103" s="149">
        <f t="shared" ref="Q103:T103" ca="1" si="25">(1+Q70)*SUM($J56:$S56)+Q86+Q96</f>
        <v>93.708549584731813</v>
      </c>
      <c r="R103" s="149">
        <f t="shared" ca="1" si="25"/>
        <v>93.120749785552093</v>
      </c>
      <c r="S103" s="149">
        <f t="shared" ca="1" si="25"/>
        <v>94.162003387626825</v>
      </c>
      <c r="T103" s="149">
        <f t="shared" ca="1" si="25"/>
        <v>92.217311697326735</v>
      </c>
    </row>
    <row r="104" spans="1:48" ht="10.5" outlineLevel="1">
      <c r="C104" s="123" t="s">
        <v>107</v>
      </c>
      <c r="D104" s="126" t="s">
        <v>30</v>
      </c>
      <c r="E104" s="126" t="str">
        <f>$E$8</f>
        <v>$millions</v>
      </c>
      <c r="F104" s="172">
        <f t="shared" si="23"/>
        <v>45078</v>
      </c>
      <c r="J104" s="149"/>
      <c r="K104" s="149"/>
      <c r="L104" s="149"/>
      <c r="M104" s="149"/>
      <c r="N104" s="149"/>
      <c r="O104" s="149"/>
      <c r="P104" s="149">
        <f ca="1">P103+'Input|Step changes'!P38</f>
        <v>92.781042294503933</v>
      </c>
      <c r="Q104" s="149">
        <f ca="1">Q103+'Input|Step changes'!Q38</f>
        <v>94.7216996900803</v>
      </c>
      <c r="R104" s="149">
        <f ca="1">R103+'Input|Step changes'!R38</f>
        <v>94.130964915196884</v>
      </c>
      <c r="S104" s="149">
        <f ca="1">S103+'Input|Step changes'!S38</f>
        <v>95.158933294792021</v>
      </c>
      <c r="T104" s="149">
        <f ca="1">T103+'Input|Step changes'!T38</f>
        <v>93.194561734111332</v>
      </c>
    </row>
    <row r="105" spans="1:48" ht="10.5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3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15" s="29" customFormat="1" hidden="1"/>
    <row r="116" s="29" customFormat="1" hidden="1"/>
    <row r="117" s="29" customFormat="1" hidden="1"/>
    <row r="118" s="29" customFormat="1" hidden="1"/>
    <row r="119" s="29" customFormat="1" hidden="1"/>
    <row r="120" s="29" customFormat="1" hidden="1"/>
    <row r="121" s="29" customFormat="1" hidden="1"/>
    <row r="122" s="29" customFormat="1" hidden="1"/>
    <row r="123" s="29" customFormat="1" hidden="1"/>
    <row r="124" s="29" customFormat="1" hidden="1"/>
    <row r="125" s="29" customFormat="1" hidden="1"/>
    <row r="126" s="29" customFormat="1" hidden="1"/>
    <row r="127" s="29" customFormat="1" hidden="1"/>
    <row r="128" s="29" customFormat="1" hidden="1"/>
    <row r="129" s="29" customFormat="1" hidden="1"/>
    <row r="130" s="29" customFormat="1" hidden="1"/>
    <row r="131" s="29" customFormat="1" hidden="1"/>
    <row r="132" s="29" customFormat="1" hidden="1"/>
    <row r="133" s="29" customFormat="1" hidden="1"/>
    <row r="134" s="29" customFormat="1" hidden="1"/>
    <row r="135" s="29" customFormat="1" hidden="1"/>
    <row r="136" s="29" customFormat="1" hidden="1"/>
    <row r="137" s="29" customFormat="1" hidden="1"/>
    <row r="138" s="29" customFormat="1" hidden="1"/>
    <row r="139" s="29" customFormat="1" hidden="1"/>
    <row r="140" s="29" customFormat="1" hidden="1"/>
    <row r="141" s="29" customFormat="1" hidden="1"/>
    <row r="142" s="29" customFormat="1" hidden="1"/>
    <row r="143" s="29" customFormat="1" hidden="1"/>
    <row r="144" s="29" customFormat="1" hidden="1"/>
    <row r="145" s="29" customFormat="1" hidden="1"/>
    <row r="146" s="29" customFormat="1" hidden="1"/>
    <row r="147" s="29" customFormat="1" hidden="1"/>
    <row r="148" s="29" customFormat="1" hidden="1"/>
    <row r="149" s="29" customFormat="1" hidden="1"/>
    <row r="150" s="29" customFormat="1" hidden="1"/>
    <row r="151" s="29" customFormat="1" hidden="1"/>
    <row r="152" s="29" customFormat="1" hidden="1"/>
    <row r="153" s="29" customFormat="1" hidden="1"/>
    <row r="154" s="29" customFormat="1" hidden="1"/>
    <row r="155" s="29" customFormat="1" hidden="1"/>
    <row r="156" s="29" customFormat="1" hidden="1"/>
    <row r="157" s="29" customFormat="1" hidden="1"/>
    <row r="158" s="29" customFormat="1" hidden="1"/>
    <row r="159" s="29" customFormat="1" hidden="1"/>
    <row r="160" s="29" customFormat="1" hidden="1"/>
    <row r="161" s="29" customFormat="1" hidden="1"/>
    <row r="162" s="29" customFormat="1" hidden="1"/>
    <row r="163" s="29" customFormat="1" hidden="1"/>
    <row r="164" s="29" customFormat="1" hidden="1"/>
    <row r="165" s="29" customFormat="1" hidden="1"/>
    <row r="166" s="29" customFormat="1" hidden="1"/>
    <row r="167" s="29" customFormat="1" hidden="1"/>
    <row r="168" s="29" customFormat="1" hidden="1"/>
    <row r="169" s="29" customFormat="1" hidden="1"/>
    <row r="170" s="29" customFormat="1" hidden="1"/>
    <row r="171" s="29" customFormat="1" hidden="1"/>
    <row r="172" s="29" customFormat="1" hidden="1"/>
    <row r="173" s="29" customFormat="1" hidden="1"/>
    <row r="174" s="29" customFormat="1" hidden="1"/>
    <row r="175" s="29" customFormat="1" hidden="1"/>
    <row r="176" s="29" customFormat="1" hidden="1"/>
    <row r="177" s="29" customFormat="1" hidden="1"/>
    <row r="178" s="29" customFormat="1" hidden="1"/>
    <row r="179" s="29" customFormat="1" hidden="1"/>
    <row r="180" s="29" customFormat="1" hidden="1"/>
    <row r="181" s="29" customFormat="1" hidden="1"/>
    <row r="182" s="29" customFormat="1" hidden="1"/>
    <row r="183" s="29" customFormat="1" hidden="1"/>
    <row r="184" s="29" customFormat="1" hidden="1"/>
    <row r="185" s="29" customFormat="1" hidden="1"/>
    <row r="186" s="29" customFormat="1" hidden="1"/>
    <row r="187" s="29" customFormat="1" hidden="1"/>
    <row r="188" s="29" customFormat="1" hidden="1"/>
    <row r="189" s="29" customFormat="1" hidden="1"/>
    <row r="190" s="29" customFormat="1" hidden="1"/>
    <row r="191" s="29" customFormat="1" hidden="1"/>
  </sheetData>
  <mergeCells count="1">
    <mergeCell ref="N3:S3"/>
  </mergeCells>
  <conditionalFormatting sqref="S1:T1">
    <cfRule type="cellIs" dxfId="95" priority="123" operator="equal">
      <formula>"Check"</formula>
    </cfRule>
    <cfRule type="cellIs" dxfId="94" priority="124" operator="equal">
      <formula>"Ok"</formula>
    </cfRule>
  </conditionalFormatting>
  <conditionalFormatting sqref="W1">
    <cfRule type="cellIs" dxfId="93" priority="125" operator="equal">
      <formula>"Check"</formula>
    </cfRule>
    <cfRule type="cellIs" dxfId="92" priority="126" operator="equal">
      <formula>"Ok"</formula>
    </cfRule>
  </conditionalFormatting>
  <conditionalFormatting sqref="R41:T41 R44:T44 R47:T47 R50:T50 J12:T19">
    <cfRule type="cellIs" dxfId="91" priority="122" operator="equal">
      <formula>0</formula>
    </cfRule>
  </conditionalFormatting>
  <conditionalFormatting sqref="J13:T13">
    <cfRule type="cellIs" dxfId="90" priority="121" operator="equal">
      <formula>0</formula>
    </cfRule>
  </conditionalFormatting>
  <conditionalFormatting sqref="J14:T14">
    <cfRule type="cellIs" dxfId="89" priority="120" operator="equal">
      <formula>0</formula>
    </cfRule>
  </conditionalFormatting>
  <conditionalFormatting sqref="J15:T16">
    <cfRule type="cellIs" dxfId="88" priority="119" operator="equal">
      <formula>0</formula>
    </cfRule>
  </conditionalFormatting>
  <conditionalFormatting sqref="J17:T17">
    <cfRule type="cellIs" dxfId="87" priority="118" operator="equal">
      <formula>0</formula>
    </cfRule>
  </conditionalFormatting>
  <conditionalFormatting sqref="J18:T19">
    <cfRule type="cellIs" dxfId="86" priority="117" operator="equal">
      <formula>0</formula>
    </cfRule>
  </conditionalFormatting>
  <conditionalFormatting sqref="J63:T67">
    <cfRule type="cellIs" dxfId="85" priority="116" operator="equal">
      <formula>0</formula>
    </cfRule>
  </conditionalFormatting>
  <conditionalFormatting sqref="J76:T84 J92:T94">
    <cfRule type="cellIs" dxfId="84" priority="114" operator="equal">
      <formula>0</formula>
    </cfRule>
  </conditionalFormatting>
  <conditionalFormatting sqref="J38:T38 J35:T36 J53:T56">
    <cfRule type="cellIs" dxfId="83" priority="111" operator="equal">
      <formula>0</formula>
    </cfRule>
  </conditionalFormatting>
  <conditionalFormatting sqref="J103:T104">
    <cfRule type="cellIs" dxfId="82" priority="110" operator="equal">
      <formula>0</formula>
    </cfRule>
  </conditionalFormatting>
  <conditionalFormatting sqref="J103:T104">
    <cfRule type="cellIs" dxfId="81" priority="109" operator="equal">
      <formula>0</formula>
    </cfRule>
  </conditionalFormatting>
  <conditionalFormatting sqref="J48:T48">
    <cfRule type="cellIs" dxfId="80" priority="72" operator="equal">
      <formula>0</formula>
    </cfRule>
  </conditionalFormatting>
  <conditionalFormatting sqref="J41:Q41 J44:Q44 J47:Q47">
    <cfRule type="cellIs" dxfId="79" priority="90" operator="equal">
      <formula>0</formula>
    </cfRule>
  </conditionalFormatting>
  <conditionalFormatting sqref="J41:Q41 J44:Q44 J47:Q47">
    <cfRule type="cellIs" dxfId="78" priority="89" operator="equal">
      <formula>0</formula>
    </cfRule>
  </conditionalFormatting>
  <conditionalFormatting sqref="J39:T39">
    <cfRule type="cellIs" dxfId="77" priority="85" operator="equal">
      <formula>0</formula>
    </cfRule>
  </conditionalFormatting>
  <conditionalFormatting sqref="J39:T39">
    <cfRule type="cellIs" dxfId="76" priority="84" operator="equal">
      <formula>0</formula>
    </cfRule>
  </conditionalFormatting>
  <conditionalFormatting sqref="J50:Q50">
    <cfRule type="cellIs" dxfId="75" priority="75" operator="equal">
      <formula>0</formula>
    </cfRule>
  </conditionalFormatting>
  <conditionalFormatting sqref="J50:Q50">
    <cfRule type="cellIs" dxfId="74" priority="74" operator="equal">
      <formula>0</formula>
    </cfRule>
  </conditionalFormatting>
  <conditionalFormatting sqref="J42:T42">
    <cfRule type="cellIs" dxfId="73" priority="81" operator="equal">
      <formula>0</formula>
    </cfRule>
  </conditionalFormatting>
  <conditionalFormatting sqref="J42:T42">
    <cfRule type="cellIs" dxfId="72" priority="80" operator="equal">
      <formula>0</formula>
    </cfRule>
  </conditionalFormatting>
  <conditionalFormatting sqref="J48:T48">
    <cfRule type="cellIs" dxfId="71" priority="73" operator="equal">
      <formula>0</formula>
    </cfRule>
  </conditionalFormatting>
  <conditionalFormatting sqref="J45:T45">
    <cfRule type="cellIs" dxfId="70" priority="77" operator="equal">
      <formula>0</formula>
    </cfRule>
  </conditionalFormatting>
  <conditionalFormatting sqref="J45:T45">
    <cfRule type="cellIs" dxfId="69" priority="76" operator="equal">
      <formula>0</formula>
    </cfRule>
  </conditionalFormatting>
  <conditionalFormatting sqref="J51:T51">
    <cfRule type="cellIs" dxfId="68" priority="67" operator="equal">
      <formula>0</formula>
    </cfRule>
  </conditionalFormatting>
  <conditionalFormatting sqref="J51:T51">
    <cfRule type="cellIs" dxfId="67" priority="68" operator="equal">
      <formula>0</formula>
    </cfRule>
  </conditionalFormatting>
  <conditionalFormatting sqref="J102:T102">
    <cfRule type="cellIs" dxfId="66" priority="46" operator="equal">
      <formula>0</formula>
    </cfRule>
  </conditionalFormatting>
  <conditionalFormatting sqref="J102:T102">
    <cfRule type="cellIs" dxfId="65" priority="45" operator="equal">
      <formula>0</formula>
    </cfRule>
  </conditionalFormatting>
  <conditionalFormatting sqref="J10:T10">
    <cfRule type="expression" dxfId="64" priority="44">
      <formula>J$10=J$4</formula>
    </cfRule>
  </conditionalFormatting>
  <conditionalFormatting sqref="J27:T27">
    <cfRule type="expression" dxfId="63" priority="43">
      <formula>J$10=J$4</formula>
    </cfRule>
  </conditionalFormatting>
  <conditionalFormatting sqref="J56:T56">
    <cfRule type="expression" dxfId="62" priority="42">
      <formula>J$10=J$4</formula>
    </cfRule>
  </conditionalFormatting>
  <conditionalFormatting sqref="J32:T32 J28:T30">
    <cfRule type="cellIs" dxfId="61" priority="39" operator="equal">
      <formula>0</formula>
    </cfRule>
  </conditionalFormatting>
  <conditionalFormatting sqref="J33:T34">
    <cfRule type="cellIs" dxfId="60" priority="38" operator="equal">
      <formula>0</formula>
    </cfRule>
  </conditionalFormatting>
  <conditionalFormatting sqref="J70:T70">
    <cfRule type="cellIs" dxfId="59" priority="35" operator="equal">
      <formula>0</formula>
    </cfRule>
  </conditionalFormatting>
  <conditionalFormatting sqref="J37:T37">
    <cfRule type="cellIs" dxfId="58" priority="34" operator="equal">
      <formula>0</formula>
    </cfRule>
  </conditionalFormatting>
  <conditionalFormatting sqref="J37:T37">
    <cfRule type="cellIs" dxfId="57" priority="33" operator="equal">
      <formula>0</formula>
    </cfRule>
  </conditionalFormatting>
  <conditionalFormatting sqref="J20:T20 J22:T22 T21 J24:T24">
    <cfRule type="cellIs" dxfId="56" priority="30" operator="equal">
      <formula>0</formula>
    </cfRule>
  </conditionalFormatting>
  <conditionalFormatting sqref="T21">
    <cfRule type="cellIs" dxfId="55" priority="29" operator="equal">
      <formula>0</formula>
    </cfRule>
  </conditionalFormatting>
  <conditionalFormatting sqref="J22:T22">
    <cfRule type="cellIs" dxfId="54" priority="28" operator="equal">
      <formula>0</formula>
    </cfRule>
  </conditionalFormatting>
  <conditionalFormatting sqref="J24:T24">
    <cfRule type="cellIs" dxfId="53" priority="26" operator="equal">
      <formula>0</formula>
    </cfRule>
  </conditionalFormatting>
  <conditionalFormatting sqref="J15:S16 K16:T16 T15">
    <cfRule type="cellIs" dxfId="52" priority="24" operator="equal">
      <formula>0</formula>
    </cfRule>
  </conditionalFormatting>
  <conditionalFormatting sqref="J18:T18">
    <cfRule type="cellIs" dxfId="51" priority="23" operator="equal">
      <formula>0</formula>
    </cfRule>
  </conditionalFormatting>
  <conditionalFormatting sqref="J21:S21">
    <cfRule type="cellIs" dxfId="50" priority="22" operator="equal">
      <formula>0</formula>
    </cfRule>
  </conditionalFormatting>
  <conditionalFormatting sqref="J21:S21">
    <cfRule type="cellIs" dxfId="49" priority="21" operator="equal">
      <formula>0</formula>
    </cfRule>
  </conditionalFormatting>
  <conditionalFormatting sqref="J23:T23">
    <cfRule type="cellIs" dxfId="48" priority="20" operator="equal">
      <formula>0</formula>
    </cfRule>
  </conditionalFormatting>
  <conditionalFormatting sqref="J23:T23">
    <cfRule type="cellIs" dxfId="47" priority="19" operator="equal">
      <formula>0</formula>
    </cfRule>
  </conditionalFormatting>
  <conditionalFormatting sqref="J26:T26">
    <cfRule type="cellIs" dxfId="46" priority="18" operator="equal">
      <formula>0</formula>
    </cfRule>
  </conditionalFormatting>
  <conditionalFormatting sqref="J26:T26">
    <cfRule type="cellIs" dxfId="45" priority="17" operator="equal">
      <formula>0</formula>
    </cfRule>
  </conditionalFormatting>
  <conditionalFormatting sqref="J31:T31">
    <cfRule type="cellIs" dxfId="44" priority="16" operator="equal">
      <formula>0</formula>
    </cfRule>
  </conditionalFormatting>
  <conditionalFormatting sqref="J31:T31">
    <cfRule type="cellIs" dxfId="43" priority="15" operator="equal">
      <formula>0</formula>
    </cfRule>
  </conditionalFormatting>
  <conditionalFormatting sqref="J40:T40">
    <cfRule type="cellIs" dxfId="42" priority="14" operator="equal">
      <formula>0</formula>
    </cfRule>
  </conditionalFormatting>
  <conditionalFormatting sqref="J40:T40">
    <cfRule type="cellIs" dxfId="41" priority="13" operator="equal">
      <formula>0</formula>
    </cfRule>
  </conditionalFormatting>
  <conditionalFormatting sqref="J43:T43">
    <cfRule type="cellIs" dxfId="40" priority="12" operator="equal">
      <formula>0</formula>
    </cfRule>
  </conditionalFormatting>
  <conditionalFormatting sqref="J43:T43">
    <cfRule type="cellIs" dxfId="39" priority="11" operator="equal">
      <formula>0</formula>
    </cfRule>
  </conditionalFormatting>
  <conditionalFormatting sqref="J46:T46">
    <cfRule type="cellIs" dxfId="38" priority="10" operator="equal">
      <formula>0</formula>
    </cfRule>
  </conditionalFormatting>
  <conditionalFormatting sqref="J46:T46">
    <cfRule type="cellIs" dxfId="37" priority="9" operator="equal">
      <formula>0</formula>
    </cfRule>
  </conditionalFormatting>
  <conditionalFormatting sqref="J49:T49">
    <cfRule type="cellIs" dxfId="36" priority="8" operator="equal">
      <formula>0</formula>
    </cfRule>
  </conditionalFormatting>
  <conditionalFormatting sqref="J49:T49">
    <cfRule type="cellIs" dxfId="35" priority="7" operator="equal">
      <formula>0</formula>
    </cfRule>
  </conditionalFormatting>
  <conditionalFormatting sqref="J52:T52">
    <cfRule type="cellIs" dxfId="34" priority="6" operator="equal">
      <formula>0</formula>
    </cfRule>
  </conditionalFormatting>
  <conditionalFormatting sqref="J52:T52">
    <cfRule type="cellIs" dxfId="33" priority="5" operator="equal">
      <formula>0</formula>
    </cfRule>
  </conditionalFormatting>
  <conditionalFormatting sqref="J17:T17">
    <cfRule type="cellIs" dxfId="32" priority="3" operator="equal">
      <formula>0</formula>
    </cfRule>
  </conditionalFormatting>
  <conditionalFormatting sqref="J69:T69">
    <cfRule type="expression" dxfId="31" priority="138">
      <formula>J$60=J$4</formula>
    </cfRule>
    <cfRule type="cellIs" dxfId="30" priority="139" operator="equal">
      <formula>0</formula>
    </cfRule>
  </conditionalFormatting>
  <conditionalFormatting sqref="J96:T96">
    <cfRule type="expression" dxfId="29" priority="140">
      <formula>J$90=J$4</formula>
    </cfRule>
    <cfRule type="cellIs" dxfId="28" priority="141" operator="equal">
      <formula>0</formula>
    </cfRule>
  </conditionalFormatting>
  <conditionalFormatting sqref="J86:T86">
    <cfRule type="expression" dxfId="27" priority="142">
      <formula>J$74=J$4</formula>
    </cfRule>
    <cfRule type="cellIs" dxfId="26" priority="143" operator="equal">
      <formula>0</formula>
    </cfRule>
  </conditionalFormatting>
  <conditionalFormatting sqref="J60:T60 J74:T74 J90:T90 P100:T100">
    <cfRule type="expression" dxfId="25" priority="144">
      <formula>J$60=J$4</formula>
    </cfRule>
  </conditionalFormatting>
  <conditionalFormatting sqref="J100:O100">
    <cfRule type="expression" dxfId="24" priority="147">
      <formula>J$100=J$4</formula>
    </cfRule>
  </conditionalFormatting>
  <conditionalFormatting sqref="J25:T25">
    <cfRule type="cellIs" dxfId="23" priority="2" operator="equal">
      <formula>0</formula>
    </cfRule>
  </conditionalFormatting>
  <conditionalFormatting sqref="J25:T25">
    <cfRule type="cellIs" dxfId="22" priority="1" operator="equal">
      <formula>0</formula>
    </cfRule>
  </conditionalFormatting>
  <dataValidations disablePrompts="1" count="2">
    <dataValidation type="list" allowBlank="1" showInputMessage="1" showErrorMessage="1" sqref="F97 F95 F105 F87" xr:uid="{00000000-0002-0000-0700-000000000000}">
      <formula1>"Real 2010,Real 2011,Real 2012,Real 2013,Real 2014,Real 2015,Nominal"</formula1>
    </dataValidation>
    <dataValidation type="list" allowBlank="1" showInputMessage="1" showErrorMessage="1" sqref="F85" xr:uid="{00000000-0002-0000-0700-000001000000}">
      <formula1>$G$62:$G$68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'Lookup|Tables'!$H$65:$H$71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4"/>
  <sheetViews>
    <sheetView showGridLines="0" workbookViewId="0"/>
  </sheetViews>
  <sheetFormatPr defaultColWidth="0" defaultRowHeight="10" zeroHeight="1"/>
  <cols>
    <col min="1" max="2" width="1.44140625" style="29" customWidth="1"/>
    <col min="3" max="3" width="59.66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4" width="10.77734375" style="29" customWidth="1"/>
    <col min="25" max="48" width="0" style="29" hidden="1" customWidth="1"/>
    <col min="49" max="16384" width="10.44140625" style="29" hidden="1"/>
  </cols>
  <sheetData>
    <row r="1" spans="1:27" s="69" customFormat="1" ht="15.5">
      <c r="B1" s="70" t="str">
        <f>Index!$B$1</f>
        <v>AER opex model v1.91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75"/>
      <c r="S1" s="72" t="s">
        <v>81</v>
      </c>
      <c r="T1" s="76" t="s">
        <v>36</v>
      </c>
      <c r="V1" s="185" t="s">
        <v>24</v>
      </c>
      <c r="W1" s="76" t="str">
        <f>'Check|List'!$S$1</f>
        <v>Ok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 ht="10.5">
      <c r="C3" s="81"/>
      <c r="D3" s="180"/>
      <c r="E3" s="180"/>
      <c r="F3" s="180"/>
      <c r="G3" s="180"/>
      <c r="H3" s="180"/>
      <c r="I3" s="180"/>
      <c r="J3" s="170" t="s">
        <v>115</v>
      </c>
      <c r="K3" s="170"/>
      <c r="L3" s="170"/>
      <c r="M3" s="180"/>
      <c r="N3" s="222"/>
      <c r="O3" s="222"/>
      <c r="P3" s="222"/>
      <c r="Q3" s="222"/>
      <c r="R3" s="222"/>
      <c r="S3" s="222"/>
      <c r="T3" s="222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7">
        <f>DATE(PPFirstYear,MONTH('Input|General'!$G$9),1)</f>
        <v>43435</v>
      </c>
      <c r="K4" s="217">
        <f>DATE(PPFirstYear+1,MONTH('Input|General'!$G$9),1)</f>
        <v>43800</v>
      </c>
      <c r="L4" s="217">
        <f>DATE(PPFirstYear+2,MONTH('Input|General'!$G$9),1)</f>
        <v>44166</v>
      </c>
      <c r="M4" s="217">
        <f>DATE(PPFirstYear+3,MONTH('Input|General'!$G$9),1)</f>
        <v>44531</v>
      </c>
      <c r="N4" s="217">
        <f>DATE(PPFirstYear+4,MONTH('Input|General'!$G$9),1)</f>
        <v>44896</v>
      </c>
      <c r="O4" s="217">
        <f>DATE(PPFirstYear+5,MONTH('Input|General'!$G$10),1)</f>
        <v>45078</v>
      </c>
      <c r="P4" s="217">
        <f>DATE(PPFirstYear+6,MONTH('Input|General'!$G$10),1)</f>
        <v>45444</v>
      </c>
      <c r="Q4" s="217">
        <f>DATE(PPFirstYear+7,MONTH('Input|General'!$G$10),1)</f>
        <v>45809</v>
      </c>
      <c r="R4" s="217">
        <f>DATE(PPFirstYear+8,MONTH('Input|General'!$G$10),1)</f>
        <v>46174</v>
      </c>
      <c r="S4" s="217">
        <f>DATE(PPFirstYear+9,MONTH('Input|General'!$G$10),1)</f>
        <v>46539</v>
      </c>
      <c r="T4" s="217">
        <f>DATE(PPFirstYear+10,MONTH('Input|General'!$G$10),1)</f>
        <v>46905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3">
      <c r="A8" s="94"/>
      <c r="B8" s="95" t="s">
        <v>54</v>
      </c>
      <c r="C8" s="94"/>
      <c r="D8" s="94"/>
      <c r="E8" s="68" t="s">
        <v>15</v>
      </c>
      <c r="F8" s="204">
        <v>45078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 ht="10.5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45444</v>
      </c>
      <c r="Q11" s="160">
        <f>IF(YEAR(Q$4)&gt;=FPFirstYear,IF(YEAR(Q$4)&lt;=FPLastYear,Q$4,""),"")</f>
        <v>45809</v>
      </c>
      <c r="R11" s="160">
        <f>IF(YEAR(R$4)&gt;=FPFirstYear,IF(YEAR(R$4)&lt;=FPLastYear,R$4,""),"")</f>
        <v>46174</v>
      </c>
      <c r="S11" s="160">
        <f>IF(YEAR(S$4)&gt;=FPFirstYear,IF(YEAR(S$4)&lt;=FPLastYear,S$4,""),"")</f>
        <v>46539</v>
      </c>
      <c r="T11" s="160">
        <f>IF(YEAR(T$4)&gt;=FPFirstYear,IF(YEAR(T$4)&lt;=FPLastYear,T$4,""),"")</f>
        <v>46905</v>
      </c>
      <c r="V11" s="137" t="s">
        <v>53</v>
      </c>
      <c r="W11" s="138"/>
      <c r="X11" s="138"/>
    </row>
    <row r="12" spans="1:27" ht="10.5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45078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90.527836334990369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92.753000481599088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92.135640212303954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93.2064542844941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91.232202124078597</v>
      </c>
      <c r="U13" s="111"/>
      <c r="V13" s="150"/>
    </row>
    <row r="14" spans="1:27">
      <c r="C14" s="111" t="str">
        <f>'Input|Step changes'!C28</f>
        <v>Priority Services Program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45078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1.245904748845837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0.95554910313272878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0.98510957324814519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0.95554910313272878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0.98510957324814519</v>
      </c>
      <c r="U14" s="111"/>
      <c r="V14" s="150"/>
    </row>
    <row r="15" spans="1:27">
      <c r="C15" s="111">
        <f>'Input|Step changes'!C29</f>
        <v>0</v>
      </c>
      <c r="D15" s="34" t="s">
        <v>103</v>
      </c>
      <c r="E15" s="30" t="str">
        <f t="shared" si="0"/>
        <v>$millions</v>
      </c>
      <c r="F15" s="158">
        <f t="shared" si="1"/>
        <v>45078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45078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 ht="10.5">
      <c r="D17" s="34"/>
      <c r="H17" s="32"/>
      <c r="I17" s="32"/>
      <c r="N17" s="142"/>
      <c r="T17" s="23"/>
    </row>
    <row r="18" spans="1:24" s="103" customFormat="1" ht="13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24" spans="1:24" hidden="1">
      <c r="M24" s="145"/>
      <c r="N24" s="145"/>
      <c r="O24" s="145"/>
      <c r="P24" s="145"/>
      <c r="Q24" s="145"/>
      <c r="R24" s="145"/>
      <c r="S24" s="145"/>
      <c r="T24" s="145"/>
    </row>
  </sheetData>
  <mergeCells count="1">
    <mergeCell ref="N3:T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6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T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2">
    <dataValidation type="list" allowBlank="1" showInputMessage="1" showErrorMessage="1" sqref="F13:F16" xr:uid="{00000000-0002-0000-0800-000000000000}">
      <formula1>$G$20:$G$26</formula1>
    </dataValidation>
    <dataValidation type="list" allowBlank="1" showInputMessage="1" showErrorMessage="1" sqref="F17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6" location="'Calc|Opex forecast'!A1" display="Calc | Opex forecast" xr:uid="{00000000-0004-0000-0800-000004000000}"/>
    <hyperlink ref="V1" location="'Check|List'!A1" display="Overall Check:" xr:uid="{00000000-0004-0000-08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78"/>
  <sheetViews>
    <sheetView showGridLines="0" workbookViewId="0"/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47" s="38" customFormat="1" ht="15.5">
      <c r="B1" s="35" t="str">
        <f>Index!$B$1</f>
        <v>AER opex model v1.91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9" t="s">
        <v>24</v>
      </c>
      <c r="V1" s="40" t="str">
        <f>'Check|List'!$S$1</f>
        <v>Ok</v>
      </c>
    </row>
    <row r="2" spans="1:47" s="38" customFormat="1" ht="13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3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3">
      <c r="A22" s="43"/>
      <c r="B22" s="51" t="s">
        <v>116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 ht="10.5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 ht="10.5">
      <c r="C25" s="15" t="s">
        <v>117</v>
      </c>
      <c r="D25" s="16" t="s">
        <v>68</v>
      </c>
      <c r="E25" s="16"/>
      <c r="F25" s="16"/>
      <c r="G25" s="151">
        <v>36526</v>
      </c>
      <c r="H25" s="14"/>
    </row>
    <row r="26" spans="1:47" ht="10.5">
      <c r="C26" s="15" t="s">
        <v>118</v>
      </c>
      <c r="D26" s="16" t="s">
        <v>68</v>
      </c>
      <c r="E26" s="16"/>
      <c r="F26" s="16"/>
      <c r="G26" s="151">
        <v>36557</v>
      </c>
      <c r="H26" s="14"/>
    </row>
    <row r="27" spans="1:47" ht="10.5">
      <c r="C27" s="15" t="s">
        <v>119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120</v>
      </c>
      <c r="D28" s="16" t="s">
        <v>68</v>
      </c>
      <c r="E28" s="16"/>
      <c r="F28" s="16"/>
      <c r="G28" s="151">
        <v>36617</v>
      </c>
    </row>
    <row r="29" spans="1:47">
      <c r="C29" s="15" t="s">
        <v>121</v>
      </c>
      <c r="D29" s="16" t="s">
        <v>68</v>
      </c>
      <c r="E29" s="16"/>
      <c r="F29" s="16"/>
      <c r="G29" s="151">
        <v>36647</v>
      </c>
    </row>
    <row r="30" spans="1:47">
      <c r="C30" s="15" t="s">
        <v>122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123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124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125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126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127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128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3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 ht="10.5">
      <c r="C40" s="13" t="str">
        <f>B38</f>
        <v>Years</v>
      </c>
      <c r="D40" s="21" t="s">
        <v>7</v>
      </c>
      <c r="E40" s="21"/>
      <c r="F40" s="14"/>
      <c r="G40" s="14" t="s">
        <v>150</v>
      </c>
      <c r="H40" s="14" t="s">
        <v>148</v>
      </c>
      <c r="I40" s="14" t="s">
        <v>149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DATE(G51,MONTH('Input|General'!$G$9),1)</f>
        <v>44531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DATE(G52,MONTH('Input|General'!$G$9),1)</f>
        <v>44896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3">
      <c r="A62" s="43"/>
      <c r="B62" s="51" t="s">
        <v>146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 ht="10.5">
      <c r="C64" s="13" t="str">
        <f>B62</f>
        <v>Regulatory years</v>
      </c>
      <c r="D64" s="21" t="s">
        <v>7</v>
      </c>
      <c r="E64" s="21"/>
      <c r="F64" s="14"/>
      <c r="G64" s="14" t="s">
        <v>147</v>
      </c>
      <c r="H64" s="14" t="s">
        <v>115</v>
      </c>
    </row>
    <row r="65" spans="1:47" ht="10.5">
      <c r="C65" s="15" t="s">
        <v>174</v>
      </c>
      <c r="D65" s="16" t="s">
        <v>97</v>
      </c>
      <c r="E65" s="21"/>
      <c r="F65" s="14"/>
      <c r="G65" s="181">
        <f>G66-1</f>
        <v>2017</v>
      </c>
      <c r="H65" s="183">
        <f>DATE(G65,12,1)</f>
        <v>43070</v>
      </c>
    </row>
    <row r="66" spans="1:47">
      <c r="C66" s="15" t="s">
        <v>135</v>
      </c>
      <c r="D66" s="16" t="s">
        <v>97</v>
      </c>
      <c r="E66" s="16"/>
      <c r="F66" s="16"/>
      <c r="G66" s="181">
        <f>PPFirstYear</f>
        <v>2018</v>
      </c>
      <c r="H66" s="183">
        <f t="shared" ref="H66:H70" si="1">DATE(G66,12,1)</f>
        <v>43435</v>
      </c>
    </row>
    <row r="67" spans="1:47">
      <c r="C67" s="15" t="s">
        <v>136</v>
      </c>
      <c r="D67" s="16" t="s">
        <v>97</v>
      </c>
      <c r="E67" s="16"/>
      <c r="F67" s="16"/>
      <c r="G67" s="181">
        <f>G66+1</f>
        <v>2019</v>
      </c>
      <c r="H67" s="183">
        <f t="shared" si="1"/>
        <v>43800</v>
      </c>
    </row>
    <row r="68" spans="1:47">
      <c r="C68" s="15" t="s">
        <v>137</v>
      </c>
      <c r="D68" s="16" t="s">
        <v>97</v>
      </c>
      <c r="E68" s="16"/>
      <c r="F68" s="16"/>
      <c r="G68" s="181">
        <f t="shared" ref="G68:G70" si="2">G67+1</f>
        <v>2020</v>
      </c>
      <c r="H68" s="183">
        <f t="shared" si="1"/>
        <v>44166</v>
      </c>
    </row>
    <row r="69" spans="1:47">
      <c r="C69" s="15" t="s">
        <v>138</v>
      </c>
      <c r="D69" s="16" t="s">
        <v>97</v>
      </c>
      <c r="E69" s="16"/>
      <c r="F69" s="16"/>
      <c r="G69" s="181">
        <f t="shared" si="2"/>
        <v>2021</v>
      </c>
      <c r="H69" s="183">
        <f t="shared" si="1"/>
        <v>44531</v>
      </c>
    </row>
    <row r="70" spans="1:47">
      <c r="C70" s="15" t="s">
        <v>139</v>
      </c>
      <c r="D70" s="16" t="s">
        <v>97</v>
      </c>
      <c r="E70" s="16"/>
      <c r="F70" s="16"/>
      <c r="G70" s="181">
        <f t="shared" si="2"/>
        <v>2022</v>
      </c>
      <c r="H70" s="183">
        <f t="shared" si="1"/>
        <v>44896</v>
      </c>
    </row>
    <row r="71" spans="1:47">
      <c r="C71" s="15" t="s">
        <v>176</v>
      </c>
      <c r="D71" s="16" t="s">
        <v>97</v>
      </c>
      <c r="E71" s="16"/>
      <c r="F71" s="16"/>
      <c r="G71" s="181" t="str">
        <f>"HY "&amp;G70+1</f>
        <v>HY 2023</v>
      </c>
      <c r="H71" s="183">
        <f>DATE(G70+1,6,1)</f>
        <v>45078</v>
      </c>
    </row>
    <row r="72" spans="1:47">
      <c r="C72" s="15" t="s">
        <v>140</v>
      </c>
      <c r="D72" s="16" t="s">
        <v>97</v>
      </c>
      <c r="E72" s="16"/>
      <c r="F72" s="16"/>
      <c r="G72" s="182" t="str">
        <f>VLOOKUP(H72,$H$41:$I$60,2)</f>
        <v>2023–24</v>
      </c>
      <c r="H72" s="183">
        <f t="shared" ref="H72:H76" si="3">DATE(YEAR(H71)+1,6,1)</f>
        <v>45444</v>
      </c>
      <c r="T72" s="17"/>
    </row>
    <row r="73" spans="1:47">
      <c r="C73" s="15" t="s">
        <v>141</v>
      </c>
      <c r="D73" s="16" t="s">
        <v>97</v>
      </c>
      <c r="E73" s="16"/>
      <c r="F73" s="16"/>
      <c r="G73" s="182" t="str">
        <f t="shared" ref="G73:G76" si="4">VLOOKUP(H73,$H$41:$I$60,2)</f>
        <v>2024–25</v>
      </c>
      <c r="H73" s="183">
        <f t="shared" si="3"/>
        <v>45809</v>
      </c>
      <c r="T73" s="17"/>
    </row>
    <row r="74" spans="1:47">
      <c r="C74" s="15" t="s">
        <v>142</v>
      </c>
      <c r="D74" s="16" t="s">
        <v>97</v>
      </c>
      <c r="E74" s="16"/>
      <c r="F74" s="16"/>
      <c r="G74" s="182" t="str">
        <f t="shared" si="4"/>
        <v>2025–26</v>
      </c>
      <c r="H74" s="183">
        <f t="shared" si="3"/>
        <v>46174</v>
      </c>
      <c r="T74" s="17"/>
    </row>
    <row r="75" spans="1:47">
      <c r="C75" s="15" t="s">
        <v>143</v>
      </c>
      <c r="D75" s="16" t="s">
        <v>97</v>
      </c>
      <c r="E75" s="16"/>
      <c r="F75" s="16"/>
      <c r="G75" s="182" t="str">
        <f t="shared" si="4"/>
        <v>2026–27</v>
      </c>
      <c r="H75" s="183">
        <f t="shared" si="3"/>
        <v>46539</v>
      </c>
      <c r="T75" s="17"/>
    </row>
    <row r="76" spans="1:47">
      <c r="C76" s="15" t="s">
        <v>144</v>
      </c>
      <c r="D76" s="16" t="s">
        <v>97</v>
      </c>
      <c r="E76" s="16"/>
      <c r="F76" s="16"/>
      <c r="G76" s="182" t="str">
        <f t="shared" si="4"/>
        <v>2027–28</v>
      </c>
      <c r="H76" s="183">
        <f t="shared" si="3"/>
        <v>46905</v>
      </c>
      <c r="T76" s="17"/>
    </row>
    <row r="77" spans="1:47">
      <c r="C77" s="15"/>
      <c r="D77" s="16"/>
      <c r="E77" s="16"/>
      <c r="F77" s="16"/>
      <c r="G77" s="210"/>
      <c r="H77" s="211"/>
      <c r="T77" s="17"/>
    </row>
    <row r="78" spans="1:47" customFormat="1" ht="13">
      <c r="A78" s="43"/>
      <c r="B78" s="51" t="s">
        <v>21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</sheetData>
  <conditionalFormatting sqref="P14:Q21">
    <cfRule type="expression" dxfId="13" priority="56" stopIfTrue="1">
      <formula>#REF!="Actual"</formula>
    </cfRule>
  </conditionalFormatting>
  <conditionalFormatting sqref="P14:P21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U23"/>
  <sheetViews>
    <sheetView showGridLines="0" workbookViewId="0">
      <selection activeCell="L15" sqref="L15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47" s="38" customFormat="1" ht="15.5">
      <c r="B1" s="35" t="str">
        <f>Index!$B$1</f>
        <v>AER opex model v1.91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9" t="s">
        <v>24</v>
      </c>
      <c r="S1" s="40" t="str">
        <f>IF(COUNTIF(G10:G17,"Check")=0,"Ok","Check")</f>
        <v>Ok</v>
      </c>
      <c r="U1" s="39"/>
      <c r="V1" s="40"/>
    </row>
    <row r="2" spans="1:47" s="38" customFormat="1" ht="13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3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 ht="10.5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 ht="10.5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 ht="10.5">
      <c r="C12" s="15" t="str">
        <f>Index!C9</f>
        <v>Input | Reported opex</v>
      </c>
      <c r="D12" s="34" t="str">
        <f t="shared" ref="D12:D17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 ht="10.5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 ht="10.5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 ht="10.5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 ht="10.5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 ht="10.5">
      <c r="C17" s="15"/>
      <c r="D17" s="34"/>
      <c r="E17" s="16"/>
      <c r="G17" s="223"/>
    </row>
    <row r="18" spans="1:47">
      <c r="C18" s="15"/>
    </row>
    <row r="19" spans="1:47" customFormat="1" ht="13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>
      <c r="C23" s="15"/>
    </row>
  </sheetData>
  <conditionalFormatting sqref="G10:G17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5" location="'Calc|Opex forecast'!A1" display="'Calc|Opex forecast'!A1" xr:uid="{00000000-0004-0000-0C00-000004000000}"/>
    <hyperlink ref="D11" location="'Input|Inflation'!A1" display="'Input|Inflation'!A1" xr:uid="{00000000-0004-0000-0C00-000006000000}"/>
    <hyperlink ref="R1" location="'Check|List'!A1" display="Overall Check:" xr:uid="{00000000-0004-0000-0C00-000007000000}"/>
    <hyperlink ref="D14" location="'Input|Step changes'!A1" display="'Input|Step changes'!A1" xr:uid="{00000000-0004-0000-0C00-000008000000}"/>
    <hyperlink ref="D16" location="'Output|Models'!A1" display="'Output|Models'!A1" xr:uid="{00000000-0004-0000-0C00-000009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'Input|General'!_FilterDatabase</vt:lpstr>
      <vt:lpstr>'Input|Reported opex'!_FilterDatabase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2022-11-22T02:16:05Z</dcterms:created>
  <dcterms:modified xsi:type="dcterms:W3CDTF">2022-11-22T02:16:56Z</dcterms:modified>
</cp:coreProperties>
</file>