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4226"/>
  <bookViews>
    <workbookView xWindow="1650" yWindow="630" windowWidth="23250" windowHeight="10155" activeTab="8"/>
  </bookViews>
  <sheets>
    <sheet name="Formats" sheetId="9" r:id="rId1"/>
    <sheet name="Inputs" sheetId="10" r:id="rId2"/>
    <sheet name="LRMC - Demand" sheetId="13" r:id="rId3"/>
    <sheet name="LRMC - Augex" sheetId="14" r:id="rId4"/>
    <sheet name="Selection" sheetId="4" r:id="rId5"/>
    <sheet name="Avoided cost" sheetId="1" r:id="rId6"/>
    <sheet name="SAC - VPN" sheetId="8" r:id="rId7"/>
    <sheet name="LRMC" sheetId="15" r:id="rId8"/>
    <sheet name="Summary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Augex'!$A$5:$AH$56</definedName>
    <definedName name="_xlnm._FilterDatabase" localSheetId="4" hidden="1">Selection!$B$89:$C$134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Summary!$A$1:$E$48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45621"/>
</workbook>
</file>

<file path=xl/calcChain.xml><?xml version="1.0" encoding="utf-8"?>
<calcChain xmlns="http://schemas.openxmlformats.org/spreadsheetml/2006/main">
  <c r="I234" i="10" l="1"/>
  <c r="I218" i="10"/>
  <c r="I219" i="10"/>
  <c r="I220" i="10"/>
  <c r="I221" i="10"/>
  <c r="I222" i="10"/>
  <c r="I223" i="10"/>
  <c r="I226" i="10"/>
  <c r="I227" i="10"/>
  <c r="I228" i="10"/>
  <c r="I229" i="10"/>
  <c r="I231" i="10"/>
  <c r="I232" i="10"/>
  <c r="I112" i="10"/>
  <c r="I113" i="10"/>
  <c r="I114" i="10"/>
  <c r="I115" i="10"/>
  <c r="I116" i="10"/>
  <c r="I117" i="10"/>
  <c r="I120" i="10"/>
  <c r="I121" i="10"/>
  <c r="I122" i="10"/>
  <c r="I123" i="10"/>
  <c r="I125" i="10"/>
  <c r="I126" i="10"/>
  <c r="I128" i="10"/>
  <c r="B224" i="10" l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05" i="10"/>
  <c r="C205" i="10"/>
  <c r="B206" i="10"/>
  <c r="C206" i="10"/>
  <c r="B207" i="10"/>
  <c r="C207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G72" i="10" l="1"/>
  <c r="F74" i="10"/>
  <c r="G74" i="10"/>
  <c r="H72" i="10"/>
  <c r="I72" i="10"/>
  <c r="I74" i="10" l="1"/>
  <c r="E72" i="10"/>
  <c r="F72" i="10"/>
  <c r="H74" i="10"/>
  <c r="E74" i="10"/>
  <c r="F66" i="10"/>
  <c r="G66" i="10" s="1"/>
  <c r="H66" i="10" s="1"/>
  <c r="I66" i="10" s="1"/>
  <c r="F64" i="10"/>
  <c r="G64" i="10" s="1"/>
  <c r="H64" i="10" s="1"/>
  <c r="I64" i="10" s="1"/>
  <c r="F62" i="10"/>
  <c r="G62" i="10" s="1"/>
  <c r="H62" i="10" s="1"/>
  <c r="I62" i="10" s="1"/>
  <c r="F60" i="10"/>
  <c r="G60" i="10" s="1"/>
  <c r="H60" i="10" s="1"/>
  <c r="I60" i="10" s="1"/>
  <c r="F65" i="10"/>
  <c r="G65" i="10" s="1"/>
  <c r="H65" i="10" s="1"/>
  <c r="I65" i="10" s="1"/>
  <c r="F63" i="10"/>
  <c r="G63" i="10" s="1"/>
  <c r="H63" i="10" s="1"/>
  <c r="I63" i="10" s="1"/>
  <c r="F61" i="10"/>
  <c r="G61" i="10" s="1"/>
  <c r="H61" i="10" s="1"/>
  <c r="I61" i="10" s="1"/>
  <c r="F59" i="10"/>
  <c r="G59" i="10" s="1"/>
  <c r="H59" i="10" s="1"/>
  <c r="I59" i="10" s="1"/>
  <c r="F19" i="10" l="1"/>
  <c r="G19" i="10" s="1"/>
  <c r="H19" i="10" s="1"/>
  <c r="I19" i="10" s="1"/>
  <c r="F18" i="10"/>
  <c r="G18" i="10" s="1"/>
  <c r="H18" i="10" s="1"/>
  <c r="I18" i="10" s="1"/>
  <c r="F17" i="10"/>
  <c r="G17" i="10" s="1"/>
  <c r="H17" i="10" s="1"/>
  <c r="I17" i="10" s="1"/>
  <c r="F16" i="10"/>
  <c r="G16" i="10" s="1"/>
  <c r="H16" i="10" s="1"/>
  <c r="I16" i="10" s="1"/>
  <c r="F15" i="10"/>
  <c r="G15" i="10" s="1"/>
  <c r="H15" i="10" s="1"/>
  <c r="I15" i="10" s="1"/>
  <c r="C134" i="4" l="1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F67" i="10" l="1"/>
  <c r="G67" i="10" l="1"/>
  <c r="D234" i="10"/>
  <c r="C140" i="10"/>
  <c r="B140" i="10"/>
  <c r="C139" i="10"/>
  <c r="B139" i="10"/>
  <c r="C138" i="10"/>
  <c r="B138" i="10"/>
  <c r="C137" i="10"/>
  <c r="B137" i="10"/>
  <c r="C136" i="10"/>
  <c r="B136" i="10"/>
  <c r="C135" i="10"/>
  <c r="B135" i="10"/>
  <c r="C134" i="10"/>
  <c r="B134" i="10"/>
  <c r="I67" i="10" l="1"/>
  <c r="H67" i="10"/>
  <c r="D181" i="10"/>
  <c r="D6" i="10" l="1"/>
  <c r="C81" i="4" s="1"/>
  <c r="D16" i="1" s="1"/>
  <c r="E8" i="15"/>
  <c r="F8" i="15"/>
  <c r="G8" i="15"/>
  <c r="H8" i="15"/>
  <c r="I8" i="15"/>
  <c r="J8" i="15"/>
  <c r="K8" i="15"/>
  <c r="L8" i="15"/>
  <c r="M8" i="15"/>
  <c r="E25" i="15"/>
  <c r="D25" i="15"/>
  <c r="E26" i="15"/>
  <c r="F25" i="15"/>
  <c r="F26" i="15"/>
  <c r="G25" i="15"/>
  <c r="G26" i="15"/>
  <c r="H25" i="15"/>
  <c r="H26" i="15"/>
  <c r="I25" i="15"/>
  <c r="I26" i="15"/>
  <c r="J25" i="15"/>
  <c r="J26" i="15"/>
  <c r="K25" i="15"/>
  <c r="K26" i="15"/>
  <c r="L25" i="15"/>
  <c r="L26" i="15"/>
  <c r="M25" i="15"/>
  <c r="M26" i="15"/>
  <c r="D8" i="15"/>
  <c r="E17" i="15"/>
  <c r="F17" i="15"/>
  <c r="G17" i="15"/>
  <c r="H17" i="15"/>
  <c r="I17" i="15"/>
  <c r="J17" i="15"/>
  <c r="K17" i="15"/>
  <c r="L17" i="15"/>
  <c r="M17" i="15"/>
  <c r="D34" i="15"/>
  <c r="D46" i="15"/>
  <c r="F46" i="15"/>
  <c r="E9" i="15"/>
  <c r="F9" i="15"/>
  <c r="G9" i="15"/>
  <c r="H9" i="15"/>
  <c r="I9" i="15"/>
  <c r="J9" i="15"/>
  <c r="K9" i="15"/>
  <c r="L9" i="15"/>
  <c r="M9" i="15"/>
  <c r="E27" i="15"/>
  <c r="F27" i="15"/>
  <c r="G27" i="15"/>
  <c r="H27" i="15"/>
  <c r="I27" i="15"/>
  <c r="J27" i="15"/>
  <c r="K27" i="15"/>
  <c r="L27" i="15"/>
  <c r="M27" i="15"/>
  <c r="D9" i="15"/>
  <c r="E18" i="15"/>
  <c r="F18" i="15"/>
  <c r="G18" i="15"/>
  <c r="H18" i="15"/>
  <c r="I18" i="15"/>
  <c r="J18" i="15"/>
  <c r="K18" i="15"/>
  <c r="L18" i="15"/>
  <c r="M18" i="15"/>
  <c r="D35" i="15"/>
  <c r="E10" i="15"/>
  <c r="F10" i="15"/>
  <c r="G10" i="15"/>
  <c r="H10" i="15"/>
  <c r="I10" i="15"/>
  <c r="J10" i="15"/>
  <c r="K10" i="15"/>
  <c r="L10" i="15"/>
  <c r="M10" i="15"/>
  <c r="E28" i="15"/>
  <c r="F28" i="15"/>
  <c r="G28" i="15"/>
  <c r="H28" i="15"/>
  <c r="I28" i="15"/>
  <c r="J28" i="15"/>
  <c r="K28" i="15"/>
  <c r="L28" i="15"/>
  <c r="M28" i="15"/>
  <c r="D10" i="15"/>
  <c r="E19" i="15"/>
  <c r="F19" i="15"/>
  <c r="G19" i="15"/>
  <c r="H19" i="15"/>
  <c r="I19" i="15"/>
  <c r="J19" i="15"/>
  <c r="K19" i="15"/>
  <c r="L19" i="15"/>
  <c r="M19" i="15"/>
  <c r="D36" i="15"/>
  <c r="D45" i="15"/>
  <c r="F45" i="15"/>
  <c r="E11" i="15"/>
  <c r="F11" i="15"/>
  <c r="G11" i="15"/>
  <c r="H11" i="15"/>
  <c r="I11" i="15"/>
  <c r="J11" i="15"/>
  <c r="K11" i="15"/>
  <c r="L11" i="15"/>
  <c r="M11" i="15"/>
  <c r="E29" i="15"/>
  <c r="F29" i="15"/>
  <c r="G29" i="15"/>
  <c r="H29" i="15"/>
  <c r="I29" i="15"/>
  <c r="J29" i="15"/>
  <c r="K29" i="15"/>
  <c r="L29" i="15"/>
  <c r="M29" i="15"/>
  <c r="D11" i="15"/>
  <c r="E20" i="15"/>
  <c r="F20" i="15"/>
  <c r="G20" i="15"/>
  <c r="H20" i="15"/>
  <c r="I20" i="15"/>
  <c r="J20" i="15"/>
  <c r="K20" i="15"/>
  <c r="L20" i="15"/>
  <c r="M20" i="15"/>
  <c r="D37" i="15"/>
  <c r="D44" i="15"/>
  <c r="F44" i="15"/>
  <c r="E12" i="15"/>
  <c r="F12" i="15"/>
  <c r="G12" i="15"/>
  <c r="H12" i="15"/>
  <c r="I12" i="15"/>
  <c r="J12" i="15"/>
  <c r="K12" i="15"/>
  <c r="L12" i="15"/>
  <c r="M12" i="15"/>
  <c r="E30" i="15"/>
  <c r="F30" i="15"/>
  <c r="G30" i="15"/>
  <c r="H30" i="15"/>
  <c r="I30" i="15"/>
  <c r="J30" i="15"/>
  <c r="K30" i="15"/>
  <c r="L30" i="15"/>
  <c r="M30" i="15"/>
  <c r="D12" i="15"/>
  <c r="E21" i="15"/>
  <c r="F21" i="15"/>
  <c r="G21" i="15"/>
  <c r="H21" i="15"/>
  <c r="I21" i="15"/>
  <c r="J21" i="15"/>
  <c r="K21" i="15"/>
  <c r="L21" i="15"/>
  <c r="M21" i="15"/>
  <c r="D38" i="15"/>
  <c r="D43" i="15"/>
  <c r="F43" i="15"/>
  <c r="D42" i="15"/>
  <c r="F42" i="15"/>
  <c r="M22" i="15"/>
  <c r="L22" i="15"/>
  <c r="K22" i="15"/>
  <c r="J22" i="15"/>
  <c r="I22" i="15"/>
  <c r="H22" i="15"/>
  <c r="G22" i="15"/>
  <c r="F22" i="15"/>
  <c r="E22" i="15"/>
  <c r="D17" i="15"/>
  <c r="D18" i="15"/>
  <c r="D19" i="15"/>
  <c r="D20" i="15"/>
  <c r="D21" i="15"/>
  <c r="D22" i="15"/>
  <c r="M13" i="15"/>
  <c r="L13" i="15"/>
  <c r="K13" i="15"/>
  <c r="J13" i="15"/>
  <c r="I13" i="15"/>
  <c r="H13" i="15"/>
  <c r="G13" i="15"/>
  <c r="F13" i="15"/>
  <c r="E13" i="15"/>
  <c r="D13" i="15"/>
  <c r="E5" i="15"/>
  <c r="F5" i="15"/>
  <c r="G5" i="15"/>
  <c r="H5" i="15"/>
  <c r="I5" i="15"/>
  <c r="J5" i="15"/>
  <c r="K5" i="15"/>
  <c r="L5" i="15"/>
  <c r="M5" i="15"/>
  <c r="O56" i="14"/>
  <c r="N56" i="14"/>
  <c r="M56" i="14"/>
  <c r="L56" i="14"/>
  <c r="K56" i="14"/>
  <c r="J56" i="14"/>
  <c r="I56" i="14"/>
  <c r="H56" i="14"/>
  <c r="G56" i="14"/>
  <c r="F56" i="14"/>
  <c r="E56" i="14"/>
  <c r="F5" i="14"/>
  <c r="G5" i="14"/>
  <c r="H5" i="14"/>
  <c r="I5" i="14"/>
  <c r="J5" i="14"/>
  <c r="K5" i="14"/>
  <c r="L5" i="14"/>
  <c r="M5" i="14"/>
  <c r="N5" i="14"/>
  <c r="N45" i="13"/>
  <c r="M45" i="13"/>
  <c r="L45" i="13"/>
  <c r="K45" i="13"/>
  <c r="J45" i="13"/>
  <c r="I45" i="13"/>
  <c r="H45" i="13"/>
  <c r="G45" i="13"/>
  <c r="F45" i="13"/>
  <c r="E45" i="13"/>
  <c r="F5" i="13"/>
  <c r="G5" i="13"/>
  <c r="H5" i="13"/>
  <c r="I5" i="13"/>
  <c r="J5" i="13"/>
  <c r="K5" i="13"/>
  <c r="L5" i="13"/>
  <c r="M5" i="13"/>
  <c r="N5" i="13"/>
  <c r="G43" i="10"/>
  <c r="H43" i="10" s="1"/>
  <c r="I43" i="10" s="1"/>
  <c r="G39" i="10"/>
  <c r="H39" i="10" s="1"/>
  <c r="I39" i="10" s="1"/>
  <c r="F52" i="10"/>
  <c r="F53" i="10"/>
  <c r="F55" i="10"/>
  <c r="F54" i="10"/>
  <c r="F50" i="10"/>
  <c r="F49" i="10"/>
  <c r="F56" i="10"/>
  <c r="G56" i="10" s="1"/>
  <c r="H56" i="10" s="1"/>
  <c r="I56" i="10" s="1"/>
  <c r="F51" i="10"/>
  <c r="G51" i="10" s="1"/>
  <c r="H51" i="10" s="1"/>
  <c r="I51" i="10" s="1"/>
  <c r="G40" i="10"/>
  <c r="H40" i="10" s="1"/>
  <c r="I40" i="10" s="1"/>
  <c r="F41" i="10"/>
  <c r="G41" i="10"/>
  <c r="H41" i="10"/>
  <c r="I41" i="10" s="1"/>
  <c r="F42" i="10"/>
  <c r="G42" i="10"/>
  <c r="H42" i="10" s="1"/>
  <c r="I42" i="10" s="1"/>
  <c r="G44" i="10"/>
  <c r="H44" i="10" s="1"/>
  <c r="I44" i="10" s="1"/>
  <c r="G46" i="10"/>
  <c r="H46" i="10" s="1"/>
  <c r="I46" i="10" s="1"/>
  <c r="D7" i="10"/>
  <c r="C89" i="4"/>
  <c r="C186" i="10"/>
  <c r="C133" i="10"/>
  <c r="I35" i="10"/>
  <c r="H35" i="10"/>
  <c r="G35" i="10"/>
  <c r="F35" i="10"/>
  <c r="E35" i="10"/>
  <c r="D35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27" i="10"/>
  <c r="H27" i="10"/>
  <c r="G27" i="10"/>
  <c r="F27" i="10"/>
  <c r="E27" i="10"/>
  <c r="D27" i="10"/>
  <c r="I26" i="10"/>
  <c r="H26" i="10"/>
  <c r="G26" i="10"/>
  <c r="F26" i="10"/>
  <c r="E26" i="10"/>
  <c r="D26" i="10"/>
  <c r="I25" i="10"/>
  <c r="H25" i="10"/>
  <c r="G25" i="10"/>
  <c r="F25" i="10"/>
  <c r="E25" i="10"/>
  <c r="D25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D9" i="10"/>
  <c r="E9" i="10"/>
  <c r="F9" i="10" s="1"/>
  <c r="G9" i="10" s="1"/>
  <c r="H9" i="10" s="1"/>
  <c r="I9" i="10" s="1"/>
  <c r="C4" i="6"/>
  <c r="E84" i="4"/>
  <c r="F84" i="4"/>
  <c r="G84" i="4"/>
  <c r="H84" i="4"/>
  <c r="E67" i="10"/>
  <c r="B133" i="10"/>
  <c r="B186" i="10"/>
  <c r="B89" i="4"/>
  <c r="C69" i="4"/>
  <c r="D7" i="8" s="1"/>
  <c r="D18" i="6" l="1" a="1"/>
  <c r="D18" i="6" s="1"/>
  <c r="D17" i="6" a="1"/>
  <c r="D17" i="6" s="1"/>
  <c r="D21" i="6" a="1"/>
  <c r="D21" i="6" s="1"/>
  <c r="D20" i="6" a="1"/>
  <c r="D20" i="6" s="1"/>
  <c r="D19" i="6" a="1"/>
  <c r="D19" i="6" s="1"/>
  <c r="G86" i="4"/>
  <c r="H85" i="4"/>
  <c r="C68" i="4"/>
  <c r="D6" i="8" s="1"/>
  <c r="G85" i="4"/>
  <c r="C51" i="4"/>
  <c r="C48" i="4"/>
  <c r="D47" i="4"/>
  <c r="D51" i="4"/>
  <c r="E86" i="4"/>
  <c r="E85" i="4"/>
  <c r="C47" i="4"/>
  <c r="H86" i="4"/>
  <c r="C80" i="4"/>
  <c r="D17" i="1" s="1"/>
  <c r="C70" i="4"/>
  <c r="D8" i="8" s="1"/>
  <c r="C71" i="4"/>
  <c r="D9" i="8" s="1"/>
  <c r="D48" i="4"/>
  <c r="C75" i="4"/>
  <c r="F85" i="4"/>
  <c r="C58" i="4"/>
  <c r="C49" i="4"/>
  <c r="C61" i="4"/>
  <c r="F86" i="4"/>
  <c r="C72" i="4"/>
  <c r="D10" i="8" s="1"/>
  <c r="C73" i="4"/>
  <c r="D11" i="8" s="1"/>
  <c r="D49" i="4"/>
  <c r="C82" i="4"/>
  <c r="D18" i="1" s="1"/>
  <c r="C79" i="4"/>
  <c r="C50" i="4"/>
  <c r="C59" i="4"/>
  <c r="C74" i="4"/>
  <c r="D12" i="8" s="1"/>
  <c r="D63" i="4"/>
  <c r="D50" i="4"/>
  <c r="D58" i="4"/>
  <c r="C63" i="4"/>
  <c r="C57" i="4"/>
  <c r="G53" i="10"/>
  <c r="H53" i="10" s="1"/>
  <c r="I53" i="10" s="1"/>
  <c r="D60" i="4"/>
  <c r="G45" i="10"/>
  <c r="H45" i="10" s="1"/>
  <c r="I45" i="10" s="1"/>
  <c r="C62" i="4"/>
  <c r="D128" i="10"/>
  <c r="G54" i="10"/>
  <c r="H54" i="10" s="1"/>
  <c r="I54" i="10" s="1"/>
  <c r="D61" i="4"/>
  <c r="D57" i="4"/>
  <c r="G50" i="10"/>
  <c r="H50" i="10" s="1"/>
  <c r="I50" i="10" s="1"/>
  <c r="G52" i="10"/>
  <c r="H52" i="10" s="1"/>
  <c r="I52" i="10" s="1"/>
  <c r="C6" i="4"/>
  <c r="C15" i="4" s="1"/>
  <c r="G49" i="10"/>
  <c r="H49" i="10" s="1"/>
  <c r="I49" i="10" s="1"/>
  <c r="D56" i="4"/>
  <c r="G55" i="10"/>
  <c r="H55" i="10" s="1"/>
  <c r="I55" i="10" s="1"/>
  <c r="D62" i="4"/>
  <c r="D85" i="4"/>
  <c r="C60" i="4"/>
  <c r="D86" i="4"/>
  <c r="C56" i="4"/>
  <c r="D59" i="4" l="1"/>
  <c r="E9" i="8" s="1"/>
  <c r="F9" i="8" s="1"/>
  <c r="E11" i="8"/>
  <c r="G11" i="8" s="1"/>
  <c r="D14" i="8"/>
  <c r="D15" i="8" s="1"/>
  <c r="C76" i="4"/>
  <c r="E8" i="8"/>
  <c r="G8" i="8" s="1"/>
  <c r="E12" i="8"/>
  <c r="F12" i="8" s="1"/>
  <c r="E6" i="8"/>
  <c r="G6" i="8" s="1"/>
  <c r="E7" i="8"/>
  <c r="F7" i="8" s="1"/>
  <c r="E10" i="8"/>
  <c r="G10" i="8" s="1"/>
  <c r="F11" i="8"/>
  <c r="C8" i="4"/>
  <c r="C17" i="4" s="1"/>
  <c r="F8" i="8"/>
  <c r="H8" i="8" s="1"/>
  <c r="H18" i="8" s="1"/>
  <c r="C7" i="4"/>
  <c r="C16" i="4" s="1"/>
  <c r="C9" i="4"/>
  <c r="C18" i="4" s="1"/>
  <c r="C10" i="4"/>
  <c r="C19" i="4" s="1"/>
  <c r="G7" i="8" l="1"/>
  <c r="G9" i="8"/>
  <c r="H9" i="8" s="1"/>
  <c r="G12" i="8"/>
  <c r="H12" i="8" s="1"/>
  <c r="C33" i="4"/>
  <c r="D14" i="1" s="1"/>
  <c r="D15" i="1" s="1"/>
  <c r="F6" i="8"/>
  <c r="H6" i="8" s="1"/>
  <c r="F10" i="8"/>
  <c r="E14" i="8"/>
  <c r="E15" i="8" s="1"/>
  <c r="H11" i="8"/>
  <c r="H7" i="8"/>
  <c r="G14" i="8" l="1"/>
  <c r="G15" i="8" s="1"/>
  <c r="F14" i="8"/>
  <c r="F15" i="8" s="1"/>
  <c r="H10" i="8"/>
  <c r="H17" i="8" s="1"/>
  <c r="F24" i="8" s="1"/>
  <c r="H19" i="8"/>
  <c r="H14" i="8" l="1"/>
  <c r="H15" i="8" s="1"/>
  <c r="F25" i="8"/>
  <c r="F26" i="8"/>
  <c r="F27" i="8"/>
  <c r="F23" i="8"/>
  <c r="E128" i="10" l="1"/>
  <c r="D92" i="4" l="1"/>
  <c r="D99" i="4"/>
  <c r="D98" i="4"/>
  <c r="D91" i="4"/>
  <c r="D96" i="4"/>
  <c r="D97" i="4"/>
  <c r="D100" i="4"/>
  <c r="D93" i="4"/>
  <c r="D94" i="4"/>
  <c r="D95" i="4"/>
  <c r="D123" i="4" l="1"/>
  <c r="D129" i="4"/>
  <c r="D113" i="4"/>
  <c r="D124" i="4"/>
  <c r="D128" i="4"/>
  <c r="D121" i="4"/>
  <c r="D133" i="4"/>
  <c r="D131" i="4" l="1"/>
  <c r="D120" i="4"/>
  <c r="D126" i="4"/>
  <c r="D127" i="4"/>
  <c r="D119" i="4"/>
  <c r="D122" i="4"/>
  <c r="D125" i="4"/>
  <c r="D134" i="4"/>
  <c r="D19" i="4" s="1"/>
  <c r="D130" i="4"/>
  <c r="D17" i="4" l="1"/>
  <c r="E17" i="4" s="1"/>
  <c r="F17" i="4" s="1"/>
  <c r="E19" i="4"/>
  <c r="F19" i="4" s="1"/>
  <c r="G44" i="15" l="1"/>
  <c r="F10" i="6" s="1"/>
  <c r="F19" i="6" s="1"/>
  <c r="C40" i="4"/>
  <c r="D40" i="4" s="1"/>
  <c r="F12" i="1" s="1"/>
  <c r="G46" i="15"/>
  <c r="F12" i="6" s="1"/>
  <c r="F21" i="6" s="1"/>
  <c r="C42" i="4"/>
  <c r="D42" i="4" s="1"/>
  <c r="H12" i="1" s="1"/>
  <c r="H9" i="1" l="1"/>
  <c r="H7" i="1"/>
  <c r="H8" i="1"/>
  <c r="F7" i="1"/>
  <c r="F8" i="1"/>
  <c r="F9" i="1"/>
  <c r="D111" i="4" l="1"/>
  <c r="D105" i="4"/>
  <c r="D117" i="4"/>
  <c r="D106" i="4"/>
  <c r="D112" i="4"/>
  <c r="D107" i="4"/>
  <c r="D118" i="4" l="1"/>
  <c r="D104" i="4"/>
  <c r="D132" i="4"/>
  <c r="D18" i="4" s="1"/>
  <c r="D114" i="4"/>
  <c r="D103" i="4"/>
  <c r="D108" i="4"/>
  <c r="D116" i="4"/>
  <c r="D115" i="4"/>
  <c r="E18" i="4" l="1"/>
  <c r="F18" i="4" s="1"/>
  <c r="G45" i="15" l="1"/>
  <c r="F11" i="6" s="1"/>
  <c r="F20" i="6" s="1"/>
  <c r="C41" i="4"/>
  <c r="D41" i="4" s="1"/>
  <c r="G12" i="1" s="1"/>
  <c r="G9" i="1" l="1"/>
  <c r="G8" i="1"/>
  <c r="G7" i="1"/>
  <c r="D109" i="4"/>
  <c r="E181" i="10" l="1"/>
  <c r="E131" i="4"/>
  <c r="E134" i="4"/>
  <c r="E234" i="10"/>
  <c r="D110" i="4"/>
  <c r="D16" i="4" s="1"/>
  <c r="E16" i="4" l="1"/>
  <c r="F16" i="4" s="1"/>
  <c r="E133" i="4"/>
  <c r="E94" i="4"/>
  <c r="E116" i="4"/>
  <c r="E99" i="4"/>
  <c r="E124" i="4"/>
  <c r="E100" i="4"/>
  <c r="E104" i="4"/>
  <c r="E106" i="4"/>
  <c r="E105" i="4"/>
  <c r="E132" i="4"/>
  <c r="E112" i="4"/>
  <c r="E121" i="4"/>
  <c r="E118" i="4"/>
  <c r="E93" i="4"/>
  <c r="E119" i="4"/>
  <c r="E108" i="4"/>
  <c r="E92" i="4"/>
  <c r="E103" i="4"/>
  <c r="E98" i="4"/>
  <c r="E122" i="4"/>
  <c r="E114" i="4"/>
  <c r="E91" i="4"/>
  <c r="E115" i="4"/>
  <c r="E97" i="4"/>
  <c r="E111" i="4"/>
  <c r="E110" i="4"/>
  <c r="E120" i="4"/>
  <c r="E107" i="4"/>
  <c r="E117" i="4"/>
  <c r="E127" i="4"/>
  <c r="E123" i="4"/>
  <c r="E113" i="4"/>
  <c r="E129" i="4"/>
  <c r="E130" i="4"/>
  <c r="E95" i="4"/>
  <c r="F131" i="4"/>
  <c r="E128" i="4"/>
  <c r="E96" i="4"/>
  <c r="E109" i="4"/>
  <c r="F134" i="4"/>
  <c r="E125" i="4" l="1"/>
  <c r="E101" i="4"/>
  <c r="F97" i="4"/>
  <c r="F98" i="4"/>
  <c r="F96" i="4"/>
  <c r="F122" i="4"/>
  <c r="F121" i="4"/>
  <c r="F130" i="4"/>
  <c r="E126" i="4"/>
  <c r="F132" i="4"/>
  <c r="F107" i="4"/>
  <c r="F91" i="4"/>
  <c r="F108" i="4"/>
  <c r="F128" i="4"/>
  <c r="F114" i="4"/>
  <c r="F103" i="4"/>
  <c r="F99" i="4"/>
  <c r="F94" i="4"/>
  <c r="F117" i="4"/>
  <c r="E90" i="4"/>
  <c r="D101" i="4"/>
  <c r="F110" i="4"/>
  <c r="E102" i="4"/>
  <c r="F109" i="4"/>
  <c r="F100" i="4"/>
  <c r="F116" i="4"/>
  <c r="F123" i="4"/>
  <c r="F133" i="4"/>
  <c r="D12" i="6" s="1"/>
  <c r="F93" i="4"/>
  <c r="F92" i="4"/>
  <c r="F95" i="4"/>
  <c r="F129" i="4"/>
  <c r="F111" i="4"/>
  <c r="F119" i="4"/>
  <c r="F113" i="4"/>
  <c r="F120" i="4"/>
  <c r="F115" i="4"/>
  <c r="F118" i="4"/>
  <c r="F112" i="4"/>
  <c r="F105" i="4"/>
  <c r="F106" i="4"/>
  <c r="F127" i="4"/>
  <c r="F104" i="4"/>
  <c r="F124" i="4"/>
  <c r="D102" i="4"/>
  <c r="C39" i="4"/>
  <c r="D39" i="4" s="1"/>
  <c r="E12" i="1" s="1"/>
  <c r="G43" i="15"/>
  <c r="F9" i="6" s="1"/>
  <c r="F18" i="6" s="1"/>
  <c r="D90" i="4" l="1"/>
  <c r="I181" i="10"/>
  <c r="H181" i="10"/>
  <c r="F181" i="10"/>
  <c r="G181" i="10"/>
  <c r="F125" i="4"/>
  <c r="E8" i="1"/>
  <c r="E7" i="1"/>
  <c r="E9" i="1"/>
  <c r="F126" i="4"/>
  <c r="D11" i="6"/>
  <c r="D9" i="6"/>
  <c r="D89" i="4"/>
  <c r="H128" i="10"/>
  <c r="F128" i="10"/>
  <c r="E89" i="4" l="1"/>
  <c r="E135" i="4" s="1"/>
  <c r="D28" i="4" s="1"/>
  <c r="G128" i="10"/>
  <c r="D10" i="6"/>
  <c r="D15" i="4"/>
  <c r="D135" i="4"/>
  <c r="F90" i="4"/>
  <c r="F102" i="4"/>
  <c r="D30" i="4" l="1"/>
  <c r="H6" i="1" s="1"/>
  <c r="H10" i="1" s="1"/>
  <c r="C12" i="6" s="1"/>
  <c r="C21" i="6" s="1"/>
  <c r="D27" i="4"/>
  <c r="E6" i="1" s="1"/>
  <c r="E137" i="4"/>
  <c r="D26" i="4"/>
  <c r="E23" i="8" s="1"/>
  <c r="D29" i="4"/>
  <c r="D137" i="4"/>
  <c r="F89" i="4"/>
  <c r="F234" i="10"/>
  <c r="F101" i="4"/>
  <c r="F6" i="1"/>
  <c r="F10" i="1" s="1"/>
  <c r="C10" i="6" s="1"/>
  <c r="C19" i="6" s="1"/>
  <c r="E25" i="8"/>
  <c r="D20" i="4"/>
  <c r="D21" i="4" s="1"/>
  <c r="C30" i="4"/>
  <c r="E15" i="4"/>
  <c r="C28" i="4"/>
  <c r="C26" i="4"/>
  <c r="C29" i="4"/>
  <c r="C27" i="4"/>
  <c r="D6" i="1" l="1"/>
  <c r="E24" i="8"/>
  <c r="E27" i="8"/>
  <c r="D31" i="4"/>
  <c r="E26" i="8"/>
  <c r="G6" i="1"/>
  <c r="G10" i="1" s="1"/>
  <c r="C11" i="6" s="1"/>
  <c r="C20" i="6" s="1"/>
  <c r="G234" i="10"/>
  <c r="H234" i="10"/>
  <c r="D8" i="6"/>
  <c r="F135" i="4"/>
  <c r="C31" i="4"/>
  <c r="F15" i="4"/>
  <c r="E20" i="4"/>
  <c r="E10" i="1"/>
  <c r="C9" i="6" s="1"/>
  <c r="C18" i="6" s="1"/>
  <c r="D31" i="8" l="1"/>
  <c r="E39" i="8" s="1"/>
  <c r="F137" i="4"/>
  <c r="C38" i="4"/>
  <c r="G42" i="15"/>
  <c r="F8" i="6" s="1"/>
  <c r="F17" i="6" s="1"/>
  <c r="F20" i="4"/>
  <c r="C43" i="4" l="1"/>
  <c r="D38" i="4"/>
  <c r="D12" i="1" s="1"/>
  <c r="D8" i="1" l="1"/>
  <c r="D7" i="1"/>
  <c r="D9" i="1"/>
  <c r="E42" i="4"/>
  <c r="F42" i="4" s="1"/>
  <c r="D27" i="8" s="1"/>
  <c r="G27" i="8" s="1"/>
  <c r="D43" i="8" s="1"/>
  <c r="E41" i="4"/>
  <c r="F41" i="4" s="1"/>
  <c r="D26" i="8" s="1"/>
  <c r="G26" i="8" s="1"/>
  <c r="D42" i="8" s="1"/>
  <c r="E40" i="4"/>
  <c r="F40" i="4" s="1"/>
  <c r="D25" i="8" s="1"/>
  <c r="G25" i="8" s="1"/>
  <c r="D41" i="8" s="1"/>
  <c r="E39" i="4"/>
  <c r="F39" i="4" s="1"/>
  <c r="D24" i="8" s="1"/>
  <c r="G24" i="8" s="1"/>
  <c r="D40" i="8" s="1"/>
  <c r="E38" i="4"/>
  <c r="F38" i="4" s="1"/>
  <c r="D23" i="8" s="1"/>
  <c r="G23" i="8" s="1"/>
  <c r="D39" i="8" s="1"/>
  <c r="F39" i="8" s="1"/>
  <c r="E8" i="6" s="1"/>
  <c r="E17" i="6" s="1"/>
  <c r="D10" i="1" l="1"/>
  <c r="C8" i="6" s="1"/>
  <c r="C17" i="6" s="1"/>
  <c r="D34" i="8"/>
  <c r="E42" i="8" s="1"/>
  <c r="F42" i="8" s="1"/>
  <c r="E11" i="6" s="1"/>
  <c r="E20" i="6" s="1"/>
  <c r="D35" i="8"/>
  <c r="E43" i="8" s="1"/>
  <c r="F43" i="8" s="1"/>
  <c r="E12" i="6" s="1"/>
  <c r="E21" i="6" s="1"/>
  <c r="D33" i="8"/>
  <c r="E41" i="8" s="1"/>
  <c r="F41" i="8" s="1"/>
  <c r="E10" i="6" s="1"/>
  <c r="E19" i="6" s="1"/>
  <c r="D32" i="8"/>
  <c r="E40" i="8" s="1"/>
  <c r="F40" i="8" s="1"/>
  <c r="E9" i="6" s="1"/>
  <c r="E18" i="6" s="1"/>
</calcChain>
</file>

<file path=xl/sharedStrings.xml><?xml version="1.0" encoding="utf-8"?>
<sst xmlns="http://schemas.openxmlformats.org/spreadsheetml/2006/main" count="778" uniqueCount="291">
  <si>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</si>
  <si>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</si>
  <si>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</si>
  <si>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</si>
  <si>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</si>
  <si>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</si>
  <si>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</si>
  <si>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</si>
  <si>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</si>
  <si>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</si>
  <si>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</si>
  <si>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</si>
  <si>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</si>
  <si>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</si>
  <si>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</si>
  <si>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</si>
  <si>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</si>
  <si>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</si>
  <si>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</si>
  <si>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</si>
  <si>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</si>
  <si>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</si>
  <si>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</si>
  <si>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</si>
  <si>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</si>
  <si>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</si>
  <si>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</si>
  <si>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</si>
  <si>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</si>
  <si>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</si>
  <si>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</si>
  <si>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</si>
  <si>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</si>
  <si>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</si>
  <si>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</si>
  <si>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</si>
  <si>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</si>
  <si>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</si>
  <si>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</si>
  <si>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</si>
  <si>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</si>
  <si>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</si>
  <si>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</si>
  <si>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</si>
  <si>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</si>
  <si>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</si>
  <si>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</si>
  <si>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</si>
  <si>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</si>
  <si>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</si>
  <si>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</si>
  <si>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</si>
  <si>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</si>
  <si>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</si>
  <si>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</si>
  <si>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</si>
  <si>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</si>
  <si>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</si>
  <si>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</si>
  <si>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</si>
  <si>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</si>
  <si>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</si>
  <si>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</si>
  <si>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</si>
  <si>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</si>
  <si>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</si>
  <si>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</si>
  <si>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</si>
  <si>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</si>
  <si>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</si>
  <si>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</si>
  <si>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</si>
  <si>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</si>
  <si>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</si>
  <si>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</si>
  <si>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</si>
  <si>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</si>
  <si>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</si>
  <si>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</si>
  <si>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</si>
  <si>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</si>
  <si>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</si>
  <si>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</si>
  <si>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</si>
  <si>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</si>
  <si>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</si>
  <si>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</si>
  <si>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</si>
  <si>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</si>
  <si>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</si>
  <si>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</si>
  <si>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</si>
  <si>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</si>
  <si>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</si>
  <si>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</si>
  <si>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</si>
  <si>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</si>
  <si>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</si>
  <si>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</si>
  <si>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</si>
  <si>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</si>
  <si>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</si>
  <si>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</si>
  <si>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</si>
  <si>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</si>
  <si>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</si>
  <si>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</si>
  <si>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</si>
  <si>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</si>
  <si>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</si>
  <si>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</si>
  <si>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</si>
  <si>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</si>
  <si>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</si>
  <si>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</si>
  <si>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</si>
  <si>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</si>
  <si>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</si>
  <si>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</si>
  <si>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</si>
  <si>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</si>
  <si>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Network replacement cost (000,$2015)</t>
  </si>
  <si>
    <t>CP Pricing Model</t>
  </si>
  <si>
    <t>Tab Format</t>
  </si>
  <si>
    <t>Calculations</t>
  </si>
  <si>
    <t>Inputs and assumptions</t>
  </si>
  <si>
    <t>Yellow tab, black font</t>
  </si>
  <si>
    <t>Blue tab, black font</t>
  </si>
  <si>
    <t>Black tab, white font</t>
  </si>
  <si>
    <t>Output</t>
  </si>
  <si>
    <t>Capital Cost</t>
  </si>
  <si>
    <t>Operating Cost</t>
  </si>
  <si>
    <t>Load forecast in MVA</t>
  </si>
  <si>
    <t>Region</t>
  </si>
  <si>
    <t>Zone Substation</t>
  </si>
  <si>
    <t>Summer or Winter Peaking</t>
  </si>
  <si>
    <t>Summer</t>
  </si>
  <si>
    <t>Winter</t>
  </si>
  <si>
    <t>Voltage</t>
  </si>
  <si>
    <t>Decription of project</t>
  </si>
  <si>
    <t>Terminal Value</t>
  </si>
  <si>
    <t>Sub transmission</t>
  </si>
  <si>
    <t>Zone Substations</t>
  </si>
  <si>
    <t>Low Voltage Substations</t>
  </si>
  <si>
    <t>Low Voltage</t>
  </si>
  <si>
    <t>LRMC Estimation</t>
  </si>
  <si>
    <t>Demand driven augex ($2015)</t>
  </si>
  <si>
    <t>Assumed Opex ($2015)</t>
  </si>
  <si>
    <t>Demand Growth (MVA)</t>
  </si>
  <si>
    <t>NPV</t>
  </si>
  <si>
    <t>Customer Category</t>
  </si>
  <si>
    <t>Connected to</t>
  </si>
  <si>
    <t>LRMC before diversity ($/kVA)</t>
  </si>
  <si>
    <t>WB bus extension to increase station capacity</t>
  </si>
  <si>
    <t>Establish BTS-W 66kV cable</t>
  </si>
  <si>
    <t xml:space="preserve">BTS Connection to Metro - BTS-BQ #1 &amp; BTS-VM </t>
  </si>
  <si>
    <t>Extend FR1-MP1, FR2-MP2 into W</t>
  </si>
  <si>
    <t>Q to HB line uprate</t>
  </si>
  <si>
    <t>L to Q line section (P9 to P18) thermal uprate to 100 deg C - 0.7 kms</t>
  </si>
  <si>
    <t>CBD feeders - load growth</t>
  </si>
  <si>
    <t>Urban feeders - load growth</t>
  </si>
  <si>
    <t>Uprate 11kV feeder sections to 300A</t>
  </si>
  <si>
    <t>Survey 11kV feeder section rated at 230A</t>
  </si>
  <si>
    <t>LV overload mitigation-feeders</t>
  </si>
  <si>
    <t>LV overload mitigation-distribution subs</t>
  </si>
  <si>
    <t>Redevelop WA into 2 x 55MVA Tx</t>
  </si>
  <si>
    <t xml:space="preserve">SB 3rd 55MVA Transformer </t>
  </si>
  <si>
    <t>SB 11kV switchboard (completion of ring bus)</t>
  </si>
  <si>
    <t xml:space="preserve">SB new 12MVAr cap banks </t>
  </si>
  <si>
    <t>Replace VM-WA 66kV cables with 2 x 66kV 130MVA cables</t>
  </si>
  <si>
    <t>BTS-CW-B loop (Supply for BTS)</t>
  </si>
  <si>
    <t>RTS-NR  66kV loop split</t>
  </si>
  <si>
    <t>Establish WMTS-JA, 1 x 66kV cable</t>
  </si>
  <si>
    <t>FBTS-SB new 66kV cable (with SB 3rd Tx)</t>
  </si>
  <si>
    <t>Uprate RTS to AR SPA tower section over Monash freeway</t>
  </si>
  <si>
    <t>Reconductor RTS-AR 66kV line Stage 2: From RTS rack to T426 (90m)</t>
  </si>
  <si>
    <t>RTS-TK-PR 66kV loop formation</t>
  </si>
  <si>
    <t>New WMTS-LS 66kV loop supply</t>
  </si>
  <si>
    <t>Reconductor SVTS-RD</t>
  </si>
  <si>
    <t>TSTS-L line uprate (reconductor 6.3km to 37/3.75AAAC)</t>
  </si>
  <si>
    <t>Permanent transfers  WA &amp; MP to W (3 feeders) via Lees Pl Stn</t>
  </si>
  <si>
    <t>Permanent transfers to BQ: Hardware St SSTN (WA &amp; LQ) - 6 BQ Fdrs</t>
  </si>
  <si>
    <t>Permanent transfers from FR to MP</t>
  </si>
  <si>
    <t>Permanent transfers to BQ: Melbourne Central (JA)</t>
  </si>
  <si>
    <t>Transfer capability between SB and JA via via North Warf SSN</t>
  </si>
  <si>
    <t>Transfer capability between SB and LQ or JA via Galagher Place SSTN</t>
  </si>
  <si>
    <t>NR new 11kV feeder (offload B)</t>
  </si>
  <si>
    <t>TK offload to PR</t>
  </si>
  <si>
    <t>AR offload to PR</t>
  </si>
  <si>
    <t>SK offload to PR</t>
  </si>
  <si>
    <t>Upgrade J to 66kV to 2x55MVA transformers</t>
  </si>
  <si>
    <t>LS  rebuild at 66kV 2 x 27MVA transformers</t>
  </si>
  <si>
    <t xml:space="preserve">B 3rd 27MVA transformer </t>
  </si>
  <si>
    <t>NR 4th transformer and 11kV switchboard</t>
  </si>
  <si>
    <t>NC 3rd 30MVA transformer</t>
  </si>
  <si>
    <t>NC new 9MVAr cap bank</t>
  </si>
  <si>
    <t>Upgrade PR to 66kV to 2x27MVA transformers</t>
  </si>
  <si>
    <t>SO 9MVAr cap bank</t>
  </si>
  <si>
    <t>Upgrade TP to 66kV to 2x55MVA transformers</t>
  </si>
  <si>
    <t>RD 3rd 30MVA transformer</t>
  </si>
  <si>
    <t>Q 3rd 30MVA transformer</t>
  </si>
  <si>
    <t>L 3rd 30MVA transformer</t>
  </si>
  <si>
    <t>NR 5th transformer and 11kV switchboard</t>
  </si>
  <si>
    <t>CitiPower</t>
  </si>
  <si>
    <t>Forecast Demand Driven Augex ($2015,mn)</t>
  </si>
  <si>
    <t>AP</t>
  </si>
  <si>
    <t>AR</t>
  </si>
  <si>
    <t>B</t>
  </si>
  <si>
    <t>BC</t>
  </si>
  <si>
    <t>BK</t>
  </si>
  <si>
    <t>(N) BQ</t>
  </si>
  <si>
    <t>BS/BQ</t>
  </si>
  <si>
    <t>C</t>
  </si>
  <si>
    <t>CL</t>
  </si>
  <si>
    <t>CW</t>
  </si>
  <si>
    <t>DA</t>
  </si>
  <si>
    <t>E</t>
  </si>
  <si>
    <t>F</t>
  </si>
  <si>
    <t>FB</t>
  </si>
  <si>
    <t>FR</t>
  </si>
  <si>
    <t>J</t>
  </si>
  <si>
    <t>JA</t>
  </si>
  <si>
    <t>L</t>
  </si>
  <si>
    <t>LQ</t>
  </si>
  <si>
    <t>LS</t>
  </si>
  <si>
    <t>MG</t>
  </si>
  <si>
    <t>MP</t>
  </si>
  <si>
    <t>NC</t>
  </si>
  <si>
    <t>NR</t>
  </si>
  <si>
    <t>PM</t>
  </si>
  <si>
    <t>PR</t>
  </si>
  <si>
    <t>Q</t>
  </si>
  <si>
    <t>R</t>
  </si>
  <si>
    <t>RD</t>
  </si>
  <si>
    <t>RP</t>
  </si>
  <si>
    <t xml:space="preserve">SB </t>
  </si>
  <si>
    <t>SK</t>
  </si>
  <si>
    <t>SO</t>
  </si>
  <si>
    <t>TK</t>
  </si>
  <si>
    <t>TP</t>
  </si>
  <si>
    <t>VM</t>
  </si>
  <si>
    <t>WA</t>
  </si>
  <si>
    <t>WB</t>
  </si>
  <si>
    <t>WG</t>
  </si>
  <si>
    <t>Residential Single Rate</t>
  </si>
  <si>
    <t>Residential Single Rate - Bulk</t>
  </si>
  <si>
    <t>Residential - flexible pricing</t>
  </si>
  <si>
    <t>Residential - flexible pricing bulk</t>
  </si>
  <si>
    <t>Residential Two Rate 5d</t>
  </si>
  <si>
    <t>Residential Two Rate 5d - Bulk</t>
  </si>
  <si>
    <t>Residential Interval</t>
  </si>
  <si>
    <t>Residential Interval - Bulk</t>
  </si>
  <si>
    <t>Residential Two Rate 5d - Controlled Load</t>
  </si>
  <si>
    <t>Residential Two Rate 5d - Bulk - Controlled Load</t>
  </si>
  <si>
    <t>Dedicated Circuit</t>
  </si>
  <si>
    <t>Dedicated Circuit - Bulk</t>
  </si>
  <si>
    <t>Non-Residential Single Rate</t>
  </si>
  <si>
    <t>Non-Residential Single Rate - Bulk</t>
  </si>
  <si>
    <t>Non-Residential Two Rate 5d</t>
  </si>
  <si>
    <t>Non-Residential Two Rate 5d - Bulk</t>
  </si>
  <si>
    <t>Non-Residential Interval</t>
  </si>
  <si>
    <t>Non-Residential Interval - Bulk</t>
  </si>
  <si>
    <t>Non-Residential Two Rate 7d</t>
  </si>
  <si>
    <t>Non-Residential Two Rate 7d - Bulk</t>
  </si>
  <si>
    <t>Unmetered Supplies / Public Lighting</t>
  </si>
  <si>
    <t>Large Two Rate 7d</t>
  </si>
  <si>
    <t>Large Low Voltage Demand</t>
  </si>
  <si>
    <t>Large Low Voltage Demand - Bulk</t>
  </si>
  <si>
    <t>Large Low Voltage Demand R</t>
  </si>
  <si>
    <t>Large Low Voltage Demand G</t>
  </si>
  <si>
    <t>Large Low Voltage Demand - Bulk R</t>
  </si>
  <si>
    <t>Large Low Voltage Demand - Bulk G</t>
  </si>
  <si>
    <t>High Voltage Demand</t>
  </si>
  <si>
    <t>High Voltage Demand D1</t>
  </si>
  <si>
    <t>High Voltage Demand R</t>
  </si>
  <si>
    <t>High Voltage Demand G</t>
  </si>
  <si>
    <t>Residential Demand</t>
  </si>
  <si>
    <t>Residential Bulk Demand</t>
  </si>
  <si>
    <t>Non-Residential Flexible Pricing</t>
  </si>
  <si>
    <t>Non-Residential - Flexible Pricing Bulk</t>
  </si>
  <si>
    <t>Non-Residential Demand Tariff</t>
  </si>
  <si>
    <t>Non-Residential Bulk Demand Tariff</t>
  </si>
  <si>
    <t>Large low Voltage</t>
  </si>
  <si>
    <t>Large low Voltage Bulk</t>
  </si>
  <si>
    <t>High Voltage Bulk</t>
  </si>
  <si>
    <t xml:space="preserve">Subtransmission </t>
  </si>
  <si>
    <t>Medium business demand</t>
  </si>
  <si>
    <t>Medium business demand bulk</t>
  </si>
  <si>
    <t>Medium business opt-out</t>
  </si>
  <si>
    <t>Medium business bulk opt-out</t>
  </si>
  <si>
    <t>LRMC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</si>
</sst>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</numFmts>
  <fonts count="6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4" fillId="39" borderId="17" applyNumberFormat="0" applyAlignment="0" applyProtection="0"/>
    <xf numFmtId="0" fontId="1" fillId="0" borderId="0"/>
  </cellStyleXfs>
  <cellXfs count="279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right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4" fillId="0" borderId="0" xfId="0" applyFont="1" applyFill="1" applyBorder="1" applyAlignment="1">
      <alignment horizontal="left"/>
    </xf>
    <xf numFmtId="43" fontId="54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5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53" fillId="0" borderId="0" xfId="62" applyNumberFormat="1" applyFont="1" applyBorder="1" applyAlignment="1">
      <alignment horizontal="right"/>
    </xf>
    <xf numFmtId="166" fontId="39" fillId="0" borderId="13" xfId="62" applyNumberFormat="1" applyFont="1" applyBorder="1" applyAlignment="1">
      <alignment horizontal="right"/>
    </xf>
    <xf numFmtId="0" fontId="54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4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right"/>
    </xf>
    <xf numFmtId="165" fontId="56" fillId="0" borderId="0" xfId="0" applyNumberFormat="1" applyFont="1" applyAlignment="1">
      <alignment horizontal="right"/>
    </xf>
    <xf numFmtId="165" fontId="54" fillId="0" borderId="0" xfId="0" applyNumberFormat="1" applyFont="1" applyAlignment="1">
      <alignment horizontal="right"/>
    </xf>
    <xf numFmtId="165" fontId="54" fillId="0" borderId="0" xfId="0" applyNumberFormat="1" applyFont="1"/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4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4" fillId="0" borderId="0" xfId="23" applyNumberFormat="1" applyFont="1" applyFill="1" applyBorder="1" applyAlignment="1">
      <alignment horizontal="right"/>
    </xf>
    <xf numFmtId="170" fontId="43" fillId="0" borderId="14" xfId="23" applyNumberFormat="1" applyFont="1" applyFill="1" applyBorder="1" applyAlignment="1">
      <alignment vertical="center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7" fillId="30" borderId="0" xfId="0" applyFont="1" applyFill="1"/>
    <xf numFmtId="0" fontId="57" fillId="30" borderId="0" xfId="0" applyFont="1" applyFill="1" applyBorder="1"/>
    <xf numFmtId="0" fontId="58" fillId="30" borderId="0" xfId="0" applyFont="1" applyFill="1"/>
    <xf numFmtId="0" fontId="59" fillId="0" borderId="0" xfId="0" applyFont="1"/>
    <xf numFmtId="0" fontId="59" fillId="28" borderId="0" xfId="0" applyFont="1" applyFill="1"/>
    <xf numFmtId="0" fontId="58" fillId="30" borderId="0" xfId="0" applyFont="1" applyFill="1" applyAlignment="1">
      <alignment horizontal="right"/>
    </xf>
    <xf numFmtId="0" fontId="57" fillId="30" borderId="0" xfId="0" applyFont="1" applyFill="1" applyAlignment="1">
      <alignment horizontal="center"/>
    </xf>
    <xf numFmtId="0" fontId="60" fillId="30" borderId="0" xfId="0" applyFont="1" applyFill="1" applyBorder="1" applyAlignment="1">
      <alignment horizontal="left"/>
    </xf>
    <xf numFmtId="0" fontId="61" fillId="30" borderId="0" xfId="0" applyFont="1" applyFill="1" applyBorder="1"/>
    <xf numFmtId="0" fontId="60" fillId="30" borderId="0" xfId="0" applyFont="1" applyFill="1" applyBorder="1" applyAlignment="1">
      <alignment horizontal="right"/>
    </xf>
    <xf numFmtId="0" fontId="61" fillId="30" borderId="0" xfId="0" applyFont="1" applyFill="1"/>
    <xf numFmtId="0" fontId="62" fillId="0" borderId="0" xfId="0" applyFont="1"/>
    <xf numFmtId="0" fontId="62" fillId="0" borderId="0" xfId="0" applyFont="1" applyFill="1" applyBorder="1"/>
    <xf numFmtId="0" fontId="60" fillId="30" borderId="0" xfId="0" applyFont="1" applyFill="1"/>
    <xf numFmtId="0" fontId="61" fillId="30" borderId="0" xfId="0" applyFont="1" applyFill="1" applyAlignment="1">
      <alignment horizontal="right"/>
    </xf>
    <xf numFmtId="0" fontId="39" fillId="35" borderId="0" xfId="0" applyFont="1" applyFill="1" applyBorder="1"/>
    <xf numFmtId="0" fontId="39" fillId="9" borderId="0" xfId="0" applyFont="1" applyFill="1" applyBorder="1" applyAlignment="1">
      <alignment horizontal="center"/>
    </xf>
    <xf numFmtId="0" fontId="63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3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39" fillId="0" borderId="1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46" fillId="32" borderId="14" xfId="0" applyFont="1" applyFill="1" applyBorder="1" applyAlignment="1">
      <alignment horizontal="right"/>
    </xf>
    <xf numFmtId="0" fontId="46" fillId="32" borderId="15" xfId="0" applyFont="1" applyFill="1" applyBorder="1" applyAlignment="1">
      <alignment horizontal="left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0" fontId="57" fillId="30" borderId="0" xfId="123" applyFont="1" applyFill="1"/>
    <xf numFmtId="0" fontId="58" fillId="30" borderId="0" xfId="123" applyFont="1" applyFill="1"/>
    <xf numFmtId="0" fontId="58" fillId="30" borderId="0" xfId="123" applyFont="1" applyFill="1" applyAlignment="1">
      <alignment horizontal="right"/>
    </xf>
    <xf numFmtId="0" fontId="39" fillId="0" borderId="0" xfId="123" applyFont="1"/>
    <xf numFmtId="0" fontId="60" fillId="30" borderId="0" xfId="123" applyFont="1" applyFill="1"/>
    <xf numFmtId="0" fontId="61" fillId="30" borderId="0" xfId="123" applyFont="1" applyFill="1"/>
    <xf numFmtId="0" fontId="61" fillId="30" borderId="0" xfId="123" applyFont="1" applyFill="1" applyAlignment="1">
      <alignment horizontal="right"/>
    </xf>
    <xf numFmtId="0" fontId="39" fillId="40" borderId="0" xfId="123" applyFont="1" applyFill="1"/>
    <xf numFmtId="0" fontId="46" fillId="41" borderId="0" xfId="123" applyFont="1" applyFill="1" applyBorder="1" applyAlignment="1">
      <alignment horizontal="center"/>
    </xf>
    <xf numFmtId="164" fontId="39" fillId="40" borderId="0" xfId="123" applyNumberFormat="1" applyFont="1" applyFill="1"/>
    <xf numFmtId="190" fontId="39" fillId="40" borderId="0" xfId="123" applyNumberFormat="1" applyFont="1" applyFill="1"/>
    <xf numFmtId="0" fontId="39" fillId="40" borderId="0" xfId="123" applyFont="1" applyFill="1" applyBorder="1"/>
    <xf numFmtId="164" fontId="65" fillId="0" borderId="0" xfId="123" applyNumberFormat="1" applyFont="1" applyFill="1" applyBorder="1" applyAlignment="1">
      <alignment horizontal="center"/>
    </xf>
    <xf numFmtId="0" fontId="1" fillId="40" borderId="0" xfId="123" applyFill="1"/>
    <xf numFmtId="8" fontId="1" fillId="40" borderId="0" xfId="123" applyNumberFormat="1" applyFill="1"/>
    <xf numFmtId="0" fontId="46" fillId="41" borderId="0" xfId="123" applyFont="1" applyFill="1" applyBorder="1" applyAlignment="1">
      <alignment horizontal="left"/>
    </xf>
    <xf numFmtId="8" fontId="39" fillId="42" borderId="0" xfId="122" applyNumberFormat="1" applyFont="1" applyFill="1" applyBorder="1" applyAlignment="1">
      <alignment horizontal="left"/>
    </xf>
    <xf numFmtId="8" fontId="66" fillId="40" borderId="0" xfId="123" applyNumberFormat="1" applyFont="1" applyFill="1" applyBorder="1" applyAlignment="1">
      <alignment horizontal="center"/>
    </xf>
    <xf numFmtId="9" fontId="1" fillId="40" borderId="0" xfId="123" applyNumberFormat="1" applyFill="1"/>
    <xf numFmtId="0" fontId="46" fillId="30" borderId="0" xfId="123" applyFont="1" applyFill="1"/>
    <xf numFmtId="0" fontId="63" fillId="30" borderId="0" xfId="123" applyFont="1" applyFill="1"/>
    <xf numFmtId="0" fontId="46" fillId="32" borderId="0" xfId="123" applyFont="1" applyFill="1"/>
    <xf numFmtId="3" fontId="39" fillId="0" borderId="0" xfId="123" applyNumberFormat="1" applyFont="1"/>
    <xf numFmtId="3" fontId="43" fillId="0" borderId="0" xfId="123" applyNumberFormat="1" applyFont="1"/>
    <xf numFmtId="10" fontId="39" fillId="0" borderId="0" xfId="123" applyNumberFormat="1" applyFont="1"/>
    <xf numFmtId="3" fontId="39" fillId="31" borderId="0" xfId="123" applyNumberFormat="1" applyFont="1" applyFill="1"/>
    <xf numFmtId="0" fontId="39" fillId="32" borderId="0" xfId="123" applyFont="1" applyFill="1"/>
    <xf numFmtId="0" fontId="46" fillId="32" borderId="0" xfId="123" applyFont="1" applyFill="1" applyAlignment="1">
      <alignment horizontal="center"/>
    </xf>
    <xf numFmtId="191" fontId="39" fillId="0" borderId="0" xfId="123" applyNumberFormat="1" applyFont="1" applyAlignment="1">
      <alignment horizontal="center"/>
    </xf>
    <xf numFmtId="0" fontId="46" fillId="32" borderId="14" xfId="123" applyFont="1" applyFill="1" applyBorder="1" applyAlignment="1">
      <alignment vertical="center"/>
    </xf>
    <xf numFmtId="0" fontId="46" fillId="32" borderId="14" xfId="123" applyFont="1" applyFill="1" applyBorder="1" applyAlignment="1">
      <alignment horizontal="center" vertical="center" wrapText="1"/>
    </xf>
    <xf numFmtId="0" fontId="39" fillId="0" borderId="0" xfId="123" applyFont="1" applyBorder="1"/>
    <xf numFmtId="191" fontId="39" fillId="0" borderId="0" xfId="123" applyNumberFormat="1" applyFont="1" applyBorder="1" applyAlignment="1">
      <alignment horizontal="center"/>
    </xf>
    <xf numFmtId="169" fontId="39" fillId="0" borderId="0" xfId="123" applyNumberFormat="1" applyFont="1" applyBorder="1" applyAlignment="1">
      <alignment horizontal="center"/>
    </xf>
    <xf numFmtId="3" fontId="39" fillId="0" borderId="0" xfId="123" applyNumberFormat="1" applyFont="1" applyBorder="1" applyAlignment="1">
      <alignment horizontal="center"/>
    </xf>
    <xf numFmtId="0" fontId="39" fillId="0" borderId="13" xfId="123" applyFont="1" applyBorder="1"/>
    <xf numFmtId="191" fontId="39" fillId="0" borderId="13" xfId="123" applyNumberFormat="1" applyFont="1" applyBorder="1" applyAlignment="1">
      <alignment horizontal="center"/>
    </xf>
    <xf numFmtId="169" fontId="39" fillId="0" borderId="13" xfId="123" applyNumberFormat="1" applyFont="1" applyBorder="1" applyAlignment="1">
      <alignment horizontal="center"/>
    </xf>
    <xf numFmtId="3" fontId="39" fillId="0" borderId="13" xfId="123" applyNumberFormat="1" applyFont="1" applyBorder="1" applyAlignment="1">
      <alignment horizontal="center"/>
    </xf>
    <xf numFmtId="1" fontId="39" fillId="0" borderId="0" xfId="123" applyNumberFormat="1" applyFont="1"/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2" fontId="54" fillId="0" borderId="0" xfId="0" applyNumberFormat="1" applyFont="1" applyFill="1" applyBorder="1"/>
    <xf numFmtId="166" fontId="39" fillId="0" borderId="0" xfId="62" applyNumberFormat="1" applyFont="1"/>
    <xf numFmtId="3" fontId="39" fillId="0" borderId="0" xfId="0" applyNumberFormat="1" applyFont="1"/>
    <xf numFmtId="166" fontId="67" fillId="0" borderId="0" xfId="62" applyNumberFormat="1" applyFont="1" applyBorder="1" applyAlignment="1">
      <alignment horizontal="right"/>
    </xf>
    <xf numFmtId="165" fontId="39" fillId="33" borderId="15" xfId="0" applyNumberFormat="1" applyFont="1" applyFill="1" applyBorder="1" applyAlignment="1">
      <alignment horizontal="right"/>
    </xf>
    <xf numFmtId="165" fontId="39" fillId="33" borderId="0" xfId="0" applyNumberFormat="1" applyFont="1" applyFill="1" applyBorder="1" applyAlignment="1">
      <alignment horizontal="right"/>
    </xf>
    <xf numFmtId="165" fontId="39" fillId="33" borderId="13" xfId="0" applyNumberFormat="1" applyFont="1" applyFill="1" applyBorder="1" applyAlignment="1">
      <alignment horizontal="right"/>
    </xf>
    <xf numFmtId="165" fontId="45" fillId="0" borderId="15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165" fontId="45" fillId="0" borderId="13" xfId="0" applyNumberFormat="1" applyFont="1" applyFill="1" applyBorder="1" applyAlignment="1">
      <alignment horizontal="right"/>
    </xf>
    <xf numFmtId="165" fontId="68" fillId="0" borderId="0" xfId="0" applyNumberFormat="1" applyFont="1" applyFill="1" applyBorder="1" applyAlignment="1">
      <alignment horizontal="right"/>
    </xf>
    <xf numFmtId="10" fontId="45" fillId="35" borderId="16" xfId="0" applyNumberFormat="1" applyFont="1" applyFill="1" applyBorder="1" applyAlignment="1">
      <alignment horizontal="center"/>
    </xf>
    <xf numFmtId="43" fontId="39" fillId="0" borderId="0" xfId="0" applyNumberFormat="1" applyFont="1"/>
  </cellXfs>
  <cellStyles count="124">
    <cellStyle name="Assumptions Center Currency" xfId="1"/>
    <cellStyle name="Assumptions Center Date" xfId="2"/>
    <cellStyle name="Assumptions Center Multiple" xfId="3"/>
    <cellStyle name="Assumptions Center Number" xfId="4"/>
    <cellStyle name="Assumptions Center Percentage" xfId="5"/>
    <cellStyle name="Assumptions Center Year" xfId="6"/>
    <cellStyle name="Assumptions Heading" xfId="7"/>
    <cellStyle name="Assumptions Right Currency" xfId="8"/>
    <cellStyle name="Assumptions Right Date" xfId="9"/>
    <cellStyle name="Assumptions Right Multiple" xfId="10"/>
    <cellStyle name="Assumptions Right Number" xfId="11"/>
    <cellStyle name="Assumptions Right Percentage" xfId="12"/>
    <cellStyle name="Assumptions Right Year" xfId="13"/>
    <cellStyle name="Calculation" xfId="122" builtinId="22"/>
    <cellStyle name="CaptionC" xfId="14"/>
    <cellStyle name="CaptionL" xfId="15"/>
    <cellStyle name="Cell Link" xfId="16"/>
    <cellStyle name="Center Currency" xfId="17"/>
    <cellStyle name="Center Date" xfId="18"/>
    <cellStyle name="Center Multiple" xfId="19"/>
    <cellStyle name="Center Number" xfId="20"/>
    <cellStyle name="Center Percentage" xfId="21"/>
    <cellStyle name="Center Year" xfId="22"/>
    <cellStyle name="Comma" xfId="23" builtinId="3"/>
    <cellStyle name="Comma  - Style1" xfId="24"/>
    <cellStyle name="Comma  - Style2" xfId="25"/>
    <cellStyle name="Comma  - Style3" xfId="26"/>
    <cellStyle name="Comma  - Style4" xfId="27"/>
    <cellStyle name="Comma  - Style5" xfId="28"/>
    <cellStyle name="Comma  - Style6" xfId="29"/>
    <cellStyle name="Comma  - Style7" xfId="30"/>
    <cellStyle name="Comma  - Style8" xfId="31"/>
    <cellStyle name="Comma [1]" xfId="32"/>
    <cellStyle name="Currency" xfId="33" builtinId="4"/>
    <cellStyle name="Currency [$0]" xfId="34"/>
    <cellStyle name="Currency [£0]" xfId="35"/>
    <cellStyle name="Euro" xfId="36"/>
    <cellStyle name="fred" xfId="37"/>
    <cellStyle name="Fred%" xfId="38"/>
    <cellStyle name="Grey" xfId="39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/>
    <cellStyle name="Hyperlink" xfId="45" builtinId="8"/>
    <cellStyle name="Hyperlink Arrow" xfId="46"/>
    <cellStyle name="Hyperlink Text" xfId="47"/>
    <cellStyle name="Input $" xfId="48"/>
    <cellStyle name="Input %" xfId="49"/>
    <cellStyle name="Input [yellow]" xfId="50"/>
    <cellStyle name="Input text" xfId="51"/>
    <cellStyle name="Input1" xfId="52"/>
    <cellStyle name="Input3" xfId="53"/>
    <cellStyle name="InputArea" xfId="54"/>
    <cellStyle name="InputAreaDotted" xfId="55"/>
    <cellStyle name="Lookup Table Heading" xfId="56"/>
    <cellStyle name="Lookup Table Label" xfId="57"/>
    <cellStyle name="Lookup Table Number" xfId="58"/>
    <cellStyle name="Model Name" xfId="59"/>
    <cellStyle name="Non crit Input 0.0" xfId="60"/>
    <cellStyle name="Normal" xfId="0" builtinId="0"/>
    <cellStyle name="Normal - Style1" xfId="61"/>
    <cellStyle name="Normal 2" xfId="123"/>
    <cellStyle name="Percent" xfId="62" builtinId="5"/>
    <cellStyle name="Percent [2]" xfId="63"/>
    <cellStyle name="Period Title" xfId="64"/>
    <cellStyle name="PSChar" xfId="65"/>
    <cellStyle name="PSDate" xfId="66"/>
    <cellStyle name="PSDec" xfId="67"/>
    <cellStyle name="PSHeading" xfId="68"/>
    <cellStyle name="PSSpacer" xfId="69"/>
    <cellStyle name="Right Currency" xfId="70"/>
    <cellStyle name="Right Date" xfId="71"/>
    <cellStyle name="Right Multiple" xfId="72"/>
    <cellStyle name="Right Number" xfId="73"/>
    <cellStyle name="Right Percentage" xfId="74"/>
    <cellStyle name="Right Year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ection Number" xfId="114"/>
    <cellStyle name="SEM-BPS-data" xfId="115"/>
    <cellStyle name="SEM-BPS-headdata" xfId="116"/>
    <cellStyle name="SEM-BPS-headkey" xfId="117"/>
    <cellStyle name="SEM-BPS-key" xfId="118"/>
    <cellStyle name="Sheet Title" xfId="119"/>
    <cellStyle name="StaticText" xfId="120"/>
    <cellStyle name="Title" xfId="121" builtinId="15" customBuiltin="1"/>
  </cellStyles>
  <dxfs count="0"/>
  <tableStyles count="0" defaultTableStyle="TableStyleMedium2" defaultPivotStyle="PivotStyleLight16"/>
  <colors>
    <mruColors>
      <color rgb="FFFFFF99"/>
      <color rgb="FFB1EF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</a:t>
            </a:r>
            <a:r>
              <a:rPr lang="en-AU" sz="1200" b="1" baseline="0"/>
              <a:t> Cost, </a:t>
            </a:r>
            <a:r>
              <a:rPr lang="en-AU" sz="1200" b="1"/>
              <a:t>Standalone Cost &amp; Revenue Estimate ('000,</a:t>
            </a:r>
            <a:r>
              <a:rPr lang="en-AU" sz="1200" b="1" baseline="0"/>
              <a:t> $nom</a:t>
            </a:r>
            <a:r>
              <a:rPr lang="en-AU" sz="1200" b="1"/>
              <a:t>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53173.752174995563</c:v>
                </c:pt>
                <c:pt idx="1">
                  <c:v>53251.426325171014</c:v>
                </c:pt>
                <c:pt idx="2">
                  <c:v>23421.465812225404</c:v>
                </c:pt>
                <c:pt idx="3">
                  <c:v>2312.8608337514866</c:v>
                </c:pt>
                <c:pt idx="4">
                  <c:v>157.84636069328502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189779.73248010187</c:v>
                </c:pt>
                <c:pt idx="1">
                  <c:v>174611.03216790967</c:v>
                </c:pt>
                <c:pt idx="2">
                  <c:v>122127.24602806292</c:v>
                </c:pt>
                <c:pt idx="3">
                  <c:v>91084.371932454364</c:v>
                </c:pt>
                <c:pt idx="4">
                  <c:v>78427.345436313699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86557.807296546831</c:v>
                </c:pt>
                <c:pt idx="1">
                  <c:v>103624.64973888098</c:v>
                </c:pt>
                <c:pt idx="2">
                  <c:v>107236.05747592123</c:v>
                </c:pt>
                <c:pt idx="3">
                  <c:v>15945.848020650898</c:v>
                </c:pt>
                <c:pt idx="4">
                  <c:v>1019.9810976362232</c:v>
                </c:pt>
              </c:numCache>
            </c:numRef>
          </c:val>
          <c:smooth val="0"/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Summary!$F$17:$F$21</c:f>
              <c:numCache>
                <c:formatCode>#,##0</c:formatCode>
                <c:ptCount val="5"/>
                <c:pt idx="0">
                  <c:v>53027.681478181403</c:v>
                </c:pt>
                <c:pt idx="1">
                  <c:v>82664.949711130539</c:v>
                </c:pt>
                <c:pt idx="2">
                  <c:v>69760.895860222518</c:v>
                </c:pt>
                <c:pt idx="3">
                  <c:v>8646.4393712931178</c:v>
                </c:pt>
                <c:pt idx="4">
                  <c:v>430.40745967843475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07260416"/>
        <c:axId val="307262208"/>
      </c:lineChart>
      <c:catAx>
        <c:axId val="3072604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3072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262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307260416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22</xdr:row>
      <xdr:rowOff>133350</xdr:rowOff>
    </xdr:from>
    <xdr:to>
      <xdr:col>6</xdr:col>
      <xdr:colOff>19050</xdr:colOff>
      <xdr:row>44</xdr:row>
      <xdr:rowOff>142875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99"/>
  </sheetPr>
  <dimension ref="A1:R25"/>
  <sheetViews>
    <sheetView showGridLines="0" zoomScaleNormal="100" workbookViewId="0">
      <selection activeCell="J21" sqref="J21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197" customFormat="1" ht="18" customHeight="1">
      <c r="A1" s="193" t="s">
        <v>122</v>
      </c>
      <c r="B1" s="194"/>
      <c r="C1" s="194"/>
      <c r="D1" s="194"/>
      <c r="E1" s="194"/>
      <c r="F1" s="195"/>
      <c r="G1" s="195"/>
      <c r="H1" s="195"/>
      <c r="I1" s="195"/>
      <c r="J1" s="195"/>
      <c r="K1" s="195"/>
      <c r="L1" s="195"/>
      <c r="M1" s="195"/>
      <c r="N1" s="196"/>
      <c r="O1" s="196"/>
      <c r="P1" s="196"/>
      <c r="Q1" s="196"/>
      <c r="R1" s="196"/>
    </row>
    <row r="2" spans="1:18" s="205" customFormat="1" ht="15.75">
      <c r="A2" s="200" t="s">
        <v>80</v>
      </c>
      <c r="B2" s="201"/>
      <c r="C2" s="201"/>
      <c r="D2" s="202"/>
      <c r="E2" s="201"/>
      <c r="F2" s="201"/>
      <c r="G2" s="201"/>
      <c r="H2" s="203"/>
      <c r="I2" s="203"/>
      <c r="J2" s="203"/>
      <c r="K2" s="203"/>
      <c r="L2" s="203"/>
      <c r="M2" s="203"/>
      <c r="N2" s="204"/>
      <c r="O2" s="204"/>
      <c r="P2" s="204"/>
      <c r="Q2" s="204"/>
      <c r="R2" s="204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14" t="s">
        <v>81</v>
      </c>
      <c r="C5" s="214" t="s">
        <v>82</v>
      </c>
      <c r="D5" s="214"/>
      <c r="E5" s="214"/>
      <c r="F5" s="215"/>
      <c r="G5" s="216" t="s">
        <v>83</v>
      </c>
    </row>
    <row r="6" spans="1:18">
      <c r="F6" s="6"/>
      <c r="G6" s="6"/>
    </row>
    <row r="7" spans="1:18">
      <c r="B7" s="1" t="s">
        <v>85</v>
      </c>
      <c r="C7" s="1" t="s">
        <v>120</v>
      </c>
      <c r="F7" s="6"/>
      <c r="G7" s="8" t="s">
        <v>84</v>
      </c>
    </row>
    <row r="8" spans="1:18">
      <c r="F8" s="6"/>
      <c r="G8" s="9"/>
    </row>
    <row r="9" spans="1:18">
      <c r="B9" s="1" t="s">
        <v>86</v>
      </c>
      <c r="C9" s="1" t="s">
        <v>116</v>
      </c>
      <c r="F9" s="6"/>
      <c r="G9" s="10" t="s">
        <v>84</v>
      </c>
    </row>
    <row r="10" spans="1:18">
      <c r="F10" s="6"/>
      <c r="G10" s="6"/>
    </row>
    <row r="11" spans="1:18">
      <c r="B11" s="1" t="s">
        <v>86</v>
      </c>
      <c r="C11" s="1" t="s">
        <v>117</v>
      </c>
      <c r="F11" s="6"/>
      <c r="G11" s="11" t="s">
        <v>84</v>
      </c>
    </row>
    <row r="12" spans="1:18">
      <c r="F12" s="6"/>
      <c r="G12" s="6"/>
    </row>
    <row r="13" spans="1:18">
      <c r="B13" s="1" t="s">
        <v>86</v>
      </c>
      <c r="C13" s="1" t="s">
        <v>118</v>
      </c>
      <c r="F13" s="6"/>
      <c r="G13" s="12" t="s">
        <v>84</v>
      </c>
    </row>
    <row r="14" spans="1:18">
      <c r="F14" s="6"/>
      <c r="G14" s="6"/>
    </row>
    <row r="15" spans="1:18">
      <c r="B15" s="1" t="s">
        <v>86</v>
      </c>
      <c r="C15" s="1" t="s">
        <v>119</v>
      </c>
      <c r="F15" s="6"/>
      <c r="G15" s="13" t="s">
        <v>84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14" t="s">
        <v>123</v>
      </c>
      <c r="C19" s="214" t="s">
        <v>82</v>
      </c>
      <c r="D19" s="214"/>
      <c r="E19" s="214"/>
      <c r="F19" s="215"/>
      <c r="G19" s="216" t="s">
        <v>83</v>
      </c>
    </row>
    <row r="21" spans="2:7">
      <c r="B21" s="1" t="s">
        <v>126</v>
      </c>
      <c r="C21" s="1" t="s">
        <v>125</v>
      </c>
      <c r="G21" s="8" t="s">
        <v>84</v>
      </c>
    </row>
    <row r="23" spans="2:7">
      <c r="B23" s="1" t="s">
        <v>128</v>
      </c>
      <c r="C23" s="1" t="s">
        <v>124</v>
      </c>
      <c r="G23" s="210" t="s">
        <v>124</v>
      </c>
    </row>
    <row r="25" spans="2:7">
      <c r="B25" s="1" t="s">
        <v>127</v>
      </c>
      <c r="C25" s="1" t="s">
        <v>129</v>
      </c>
      <c r="G25" s="211" t="s">
        <v>129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285"/>
  <sheetViews>
    <sheetView showGridLines="0" zoomScaleNormal="100" workbookViewId="0">
      <pane xSplit="2" ySplit="9" topLeftCell="C220" activePane="bottomRight" state="frozen"/>
      <selection activeCell="F20" sqref="F20"/>
      <selection pane="topRight" activeCell="F20" sqref="F20"/>
      <selection pane="bottomLeft" activeCell="F20" sqref="F20"/>
      <selection pane="bottomRight" activeCell="F225" sqref="F225"/>
    </sheetView>
  </sheetViews>
  <sheetFormatPr defaultRowHeight="12.75"/>
  <cols>
    <col min="1" max="1" width="3.710937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196" customFormat="1" ht="21">
      <c r="A1" s="193" t="s">
        <v>122</v>
      </c>
      <c r="B1" s="193"/>
      <c r="C1" s="193"/>
      <c r="D1" s="198"/>
      <c r="E1" s="199"/>
      <c r="F1" s="199"/>
      <c r="G1" s="195"/>
      <c r="H1" s="195"/>
      <c r="I1" s="195"/>
      <c r="J1" s="195"/>
      <c r="K1" s="195"/>
      <c r="L1" s="195"/>
      <c r="M1" s="195"/>
    </row>
    <row r="2" spans="1:15" s="204" customFormat="1" ht="15.75">
      <c r="A2" s="206" t="s">
        <v>66</v>
      </c>
      <c r="B2" s="203"/>
      <c r="C2" s="203"/>
      <c r="D2" s="207"/>
      <c r="E2" s="207"/>
      <c r="F2" s="203"/>
      <c r="G2" s="203"/>
      <c r="H2" s="203"/>
      <c r="I2" s="203"/>
      <c r="J2" s="203"/>
      <c r="K2" s="203"/>
      <c r="L2" s="203"/>
      <c r="M2" s="203"/>
    </row>
    <row r="3" spans="1:15" s="17" customFormat="1">
      <c r="B3" s="74"/>
      <c r="C3" s="74"/>
      <c r="D3" s="75"/>
      <c r="E3" s="75"/>
      <c r="F3" s="74"/>
      <c r="G3" s="74"/>
      <c r="H3" s="74"/>
      <c r="I3" s="74"/>
      <c r="J3" s="74"/>
      <c r="K3" s="74"/>
      <c r="L3" s="74"/>
      <c r="M3" s="74"/>
    </row>
    <row r="4" spans="1:15">
      <c r="B4" s="1" t="s">
        <v>35</v>
      </c>
      <c r="C4" s="277">
        <v>2.3230798209937155E-2</v>
      </c>
      <c r="D4" s="1"/>
    </row>
    <row r="5" spans="1:15">
      <c r="B5" s="1" t="s">
        <v>27</v>
      </c>
      <c r="C5" s="277">
        <v>4.4468566781553198E-2</v>
      </c>
      <c r="D5" s="1"/>
    </row>
    <row r="6" spans="1:15" s="17" customFormat="1">
      <c r="B6" s="17" t="s">
        <v>87</v>
      </c>
      <c r="C6" s="150">
        <v>2020</v>
      </c>
      <c r="D6" s="14">
        <f>IF(RIGHT(C6,1)="0",5,RIGHT(C6,1)-5)</f>
        <v>5</v>
      </c>
      <c r="E6" s="74"/>
      <c r="F6" s="74"/>
      <c r="G6" s="74"/>
      <c r="H6" s="74"/>
      <c r="I6" s="74"/>
      <c r="J6" s="74"/>
      <c r="K6" s="74"/>
      <c r="L6" s="74"/>
    </row>
    <row r="7" spans="1:15" s="17" customFormat="1">
      <c r="B7" s="17" t="s">
        <v>113</v>
      </c>
      <c r="C7" s="150" t="s">
        <v>115</v>
      </c>
      <c r="D7" s="14">
        <f>IF(C7="VPN",1,2)</f>
        <v>1</v>
      </c>
      <c r="E7" s="74"/>
      <c r="F7" s="74"/>
      <c r="G7" s="74"/>
      <c r="H7" s="74"/>
      <c r="I7" s="74"/>
      <c r="J7" s="74"/>
      <c r="K7" s="74"/>
      <c r="L7" s="74"/>
    </row>
    <row r="8" spans="1:15" s="17" customFormat="1">
      <c r="D8" s="151"/>
      <c r="E8" s="152"/>
      <c r="J8" s="1"/>
    </row>
    <row r="9" spans="1:15">
      <c r="B9" s="153"/>
      <c r="C9" s="153">
        <v>2014</v>
      </c>
      <c r="D9" s="153">
        <f>C9+1</f>
        <v>2015</v>
      </c>
      <c r="E9" s="153">
        <f>D9+1</f>
        <v>2016</v>
      </c>
      <c r="F9" s="153">
        <f t="shared" ref="F9:I9" si="0">E9+1</f>
        <v>2017</v>
      </c>
      <c r="G9" s="153">
        <f t="shared" si="0"/>
        <v>2018</v>
      </c>
      <c r="H9" s="153">
        <f t="shared" si="0"/>
        <v>2019</v>
      </c>
      <c r="I9" s="153">
        <f t="shared" si="0"/>
        <v>2020</v>
      </c>
    </row>
    <row r="10" spans="1:15" s="17" customFormat="1">
      <c r="B10" s="154"/>
      <c r="C10" s="154"/>
      <c r="D10" s="154"/>
      <c r="E10" s="154"/>
      <c r="F10" s="154"/>
      <c r="G10" s="154"/>
      <c r="H10" s="154"/>
      <c r="I10" s="154"/>
    </row>
    <row r="11" spans="1:15">
      <c r="B11" s="1" t="s">
        <v>100</v>
      </c>
      <c r="C11" s="155">
        <v>1.0362915789903879</v>
      </c>
      <c r="D11" s="155">
        <v>1</v>
      </c>
      <c r="E11" s="155">
        <v>0.97465886939571145</v>
      </c>
      <c r="F11" s="155">
        <v>0.94995991169172667</v>
      </c>
      <c r="G11" s="155">
        <v>0.92588685350070821</v>
      </c>
      <c r="H11" s="155">
        <v>0.90242383382135294</v>
      </c>
      <c r="I11" s="155">
        <v>0.87955539358806323</v>
      </c>
    </row>
    <row r="12" spans="1:15">
      <c r="B12" s="5"/>
      <c r="C12" s="5"/>
      <c r="D12" s="1"/>
      <c r="E12" s="1"/>
    </row>
    <row r="14" spans="1:15">
      <c r="B14" s="156" t="s">
        <v>99</v>
      </c>
      <c r="C14" s="77"/>
      <c r="D14" s="156"/>
      <c r="E14" s="78"/>
      <c r="F14" s="78"/>
      <c r="G14" s="78"/>
      <c r="H14" s="78"/>
      <c r="I14" s="78"/>
    </row>
    <row r="15" spans="1:15">
      <c r="B15" s="131" t="s">
        <v>47</v>
      </c>
      <c r="C15" s="273"/>
      <c r="D15" s="157"/>
      <c r="E15" s="270">
        <v>1382000</v>
      </c>
      <c r="F15" s="157">
        <f>E15</f>
        <v>1382000</v>
      </c>
      <c r="G15" s="157">
        <f t="shared" ref="G15:I15" si="1">F15</f>
        <v>1382000</v>
      </c>
      <c r="H15" s="157">
        <f t="shared" si="1"/>
        <v>1382000</v>
      </c>
      <c r="I15" s="157">
        <f t="shared" si="1"/>
        <v>1382000</v>
      </c>
      <c r="N15" s="158"/>
    </row>
    <row r="16" spans="1:15">
      <c r="B16" s="44" t="s">
        <v>50</v>
      </c>
      <c r="C16" s="274"/>
      <c r="D16" s="80"/>
      <c r="E16" s="271">
        <v>973000</v>
      </c>
      <c r="F16" s="80">
        <f t="shared" ref="F16:I16" si="2">E16</f>
        <v>973000</v>
      </c>
      <c r="G16" s="80">
        <f t="shared" si="2"/>
        <v>973000</v>
      </c>
      <c r="H16" s="80">
        <f t="shared" si="2"/>
        <v>973000</v>
      </c>
      <c r="I16" s="80">
        <f t="shared" si="2"/>
        <v>973000</v>
      </c>
      <c r="N16" s="158"/>
      <c r="O16" s="1" t="s">
        <v>92</v>
      </c>
    </row>
    <row r="17" spans="2:15">
      <c r="B17" s="44" t="s">
        <v>51</v>
      </c>
      <c r="C17" s="274"/>
      <c r="D17" s="80"/>
      <c r="E17" s="271">
        <v>590000</v>
      </c>
      <c r="F17" s="80">
        <f t="shared" ref="F17:I17" si="3">E17</f>
        <v>590000</v>
      </c>
      <c r="G17" s="80">
        <f t="shared" si="3"/>
        <v>590000</v>
      </c>
      <c r="H17" s="80">
        <f t="shared" si="3"/>
        <v>590000</v>
      </c>
      <c r="I17" s="80">
        <f t="shared" si="3"/>
        <v>590000</v>
      </c>
      <c r="N17" s="158"/>
      <c r="O17" s="1" t="s">
        <v>92</v>
      </c>
    </row>
    <row r="18" spans="2:15">
      <c r="B18" s="44" t="s">
        <v>48</v>
      </c>
      <c r="C18" s="274"/>
      <c r="D18" s="80"/>
      <c r="E18" s="271">
        <v>307000</v>
      </c>
      <c r="F18" s="80">
        <f t="shared" ref="F18:I18" si="4">E18</f>
        <v>307000</v>
      </c>
      <c r="G18" s="80">
        <f t="shared" si="4"/>
        <v>307000</v>
      </c>
      <c r="H18" s="80">
        <f t="shared" si="4"/>
        <v>307000</v>
      </c>
      <c r="I18" s="80">
        <f t="shared" si="4"/>
        <v>307000</v>
      </c>
      <c r="N18" s="158"/>
      <c r="O18" s="1" t="s">
        <v>92</v>
      </c>
    </row>
    <row r="19" spans="2:15">
      <c r="B19" s="51" t="s">
        <v>49</v>
      </c>
      <c r="C19" s="275"/>
      <c r="D19" s="82"/>
      <c r="E19" s="272">
        <v>158000</v>
      </c>
      <c r="F19" s="82">
        <f t="shared" ref="F19:I19" si="5">E19</f>
        <v>158000</v>
      </c>
      <c r="G19" s="82">
        <f t="shared" si="5"/>
        <v>158000</v>
      </c>
      <c r="H19" s="82">
        <f t="shared" si="5"/>
        <v>158000</v>
      </c>
      <c r="I19" s="82">
        <f t="shared" si="5"/>
        <v>158000</v>
      </c>
      <c r="N19" s="158"/>
      <c r="O19" s="1" t="s">
        <v>92</v>
      </c>
    </row>
    <row r="20" spans="2:15">
      <c r="E20" s="84"/>
      <c r="O20" s="1" t="s">
        <v>92</v>
      </c>
    </row>
    <row r="21" spans="2:15">
      <c r="B21" s="5"/>
      <c r="C21" s="5"/>
      <c r="E21" s="1"/>
      <c r="G21" s="117"/>
      <c r="H21" s="117"/>
      <c r="O21" s="1" t="s">
        <v>91</v>
      </c>
    </row>
    <row r="22" spans="2:15">
      <c r="B22" s="156" t="s">
        <v>36</v>
      </c>
      <c r="C22" s="156"/>
      <c r="D22" s="118"/>
      <c r="E22" s="78"/>
      <c r="F22" s="78"/>
      <c r="G22" s="78"/>
      <c r="H22" s="78"/>
      <c r="I22" s="78"/>
    </row>
    <row r="23" spans="2:15">
      <c r="B23" s="131" t="s">
        <v>6</v>
      </c>
      <c r="C23" s="159">
        <v>0.8</v>
      </c>
      <c r="D23" s="160">
        <f>$C23</f>
        <v>0.8</v>
      </c>
      <c r="E23" s="160">
        <f t="shared" ref="E23:I27" si="6">$C23</f>
        <v>0.8</v>
      </c>
      <c r="F23" s="160">
        <f t="shared" si="6"/>
        <v>0.8</v>
      </c>
      <c r="G23" s="160">
        <f t="shared" si="6"/>
        <v>0.8</v>
      </c>
      <c r="H23" s="160">
        <f t="shared" si="6"/>
        <v>0.8</v>
      </c>
      <c r="I23" s="160">
        <f t="shared" si="6"/>
        <v>0.8</v>
      </c>
    </row>
    <row r="24" spans="2:15">
      <c r="B24" s="44" t="s">
        <v>23</v>
      </c>
      <c r="C24" s="161">
        <v>0.8</v>
      </c>
      <c r="D24" s="43">
        <f t="shared" ref="D24:D27" si="7">$C24</f>
        <v>0.8</v>
      </c>
      <c r="E24" s="43">
        <f t="shared" si="6"/>
        <v>0.8</v>
      </c>
      <c r="F24" s="43">
        <f t="shared" si="6"/>
        <v>0.8</v>
      </c>
      <c r="G24" s="43">
        <f t="shared" si="6"/>
        <v>0.8</v>
      </c>
      <c r="H24" s="43">
        <f t="shared" si="6"/>
        <v>0.8</v>
      </c>
      <c r="I24" s="43">
        <f t="shared" si="6"/>
        <v>0.8</v>
      </c>
    </row>
    <row r="25" spans="2:15">
      <c r="B25" s="44" t="s">
        <v>5</v>
      </c>
      <c r="C25" s="161">
        <v>0.84599999999999997</v>
      </c>
      <c r="D25" s="43">
        <f t="shared" si="7"/>
        <v>0.84599999999999997</v>
      </c>
      <c r="E25" s="43">
        <f t="shared" si="6"/>
        <v>0.84599999999999997</v>
      </c>
      <c r="F25" s="43">
        <f t="shared" si="6"/>
        <v>0.84599999999999997</v>
      </c>
      <c r="G25" s="43">
        <f t="shared" si="6"/>
        <v>0.84599999999999997</v>
      </c>
      <c r="H25" s="43">
        <f t="shared" si="6"/>
        <v>0.84599999999999997</v>
      </c>
      <c r="I25" s="43">
        <f t="shared" si="6"/>
        <v>0.84599999999999997</v>
      </c>
    </row>
    <row r="26" spans="2:15">
      <c r="B26" s="44" t="s">
        <v>4</v>
      </c>
      <c r="C26" s="161">
        <v>0.9</v>
      </c>
      <c r="D26" s="43">
        <f t="shared" si="7"/>
        <v>0.9</v>
      </c>
      <c r="E26" s="43">
        <f t="shared" si="6"/>
        <v>0.9</v>
      </c>
      <c r="F26" s="43">
        <f t="shared" si="6"/>
        <v>0.9</v>
      </c>
      <c r="G26" s="43">
        <f t="shared" si="6"/>
        <v>0.9</v>
      </c>
      <c r="H26" s="43">
        <f t="shared" si="6"/>
        <v>0.9</v>
      </c>
      <c r="I26" s="43">
        <f t="shared" si="6"/>
        <v>0.9</v>
      </c>
    </row>
    <row r="27" spans="2:15">
      <c r="B27" s="51" t="s">
        <v>11</v>
      </c>
      <c r="C27" s="162">
        <v>0.95</v>
      </c>
      <c r="D27" s="122">
        <f t="shared" si="7"/>
        <v>0.95</v>
      </c>
      <c r="E27" s="122">
        <f t="shared" si="6"/>
        <v>0.95</v>
      </c>
      <c r="F27" s="122">
        <f t="shared" si="6"/>
        <v>0.95</v>
      </c>
      <c r="G27" s="122">
        <f t="shared" si="6"/>
        <v>0.95</v>
      </c>
      <c r="H27" s="122">
        <f t="shared" si="6"/>
        <v>0.95</v>
      </c>
      <c r="I27" s="122">
        <f t="shared" si="6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6" t="s">
        <v>37</v>
      </c>
      <c r="C30" s="156"/>
      <c r="D30" s="118"/>
      <c r="E30" s="78"/>
      <c r="F30" s="78"/>
      <c r="G30" s="78"/>
      <c r="H30" s="78"/>
      <c r="I30" s="78"/>
    </row>
    <row r="31" spans="2:15" ht="12" customHeight="1">
      <c r="B31" s="44" t="s">
        <v>6</v>
      </c>
      <c r="C31" s="161">
        <v>0.35</v>
      </c>
      <c r="D31" s="43">
        <f>$C31</f>
        <v>0.35</v>
      </c>
      <c r="E31" s="43">
        <f t="shared" ref="E31:I35" si="8">$C31</f>
        <v>0.35</v>
      </c>
      <c r="F31" s="43">
        <f t="shared" si="8"/>
        <v>0.35</v>
      </c>
      <c r="G31" s="43">
        <f t="shared" si="8"/>
        <v>0.35</v>
      </c>
      <c r="H31" s="43">
        <f t="shared" si="8"/>
        <v>0.35</v>
      </c>
      <c r="I31" s="43">
        <f t="shared" si="8"/>
        <v>0.35</v>
      </c>
    </row>
    <row r="32" spans="2:15" ht="12" customHeight="1">
      <c r="B32" s="44" t="s">
        <v>23</v>
      </c>
      <c r="C32" s="161">
        <v>0.35</v>
      </c>
      <c r="D32" s="43">
        <f t="shared" ref="D32:D35" si="9">$C32</f>
        <v>0.35</v>
      </c>
      <c r="E32" s="43">
        <f t="shared" si="8"/>
        <v>0.35</v>
      </c>
      <c r="F32" s="43">
        <f t="shared" si="8"/>
        <v>0.35</v>
      </c>
      <c r="G32" s="43">
        <f t="shared" si="8"/>
        <v>0.35</v>
      </c>
      <c r="H32" s="43">
        <f t="shared" si="8"/>
        <v>0.35</v>
      </c>
      <c r="I32" s="43">
        <f t="shared" si="8"/>
        <v>0.35</v>
      </c>
    </row>
    <row r="33" spans="2:11" ht="12" customHeight="1">
      <c r="B33" s="44" t="s">
        <v>5</v>
      </c>
      <c r="C33" s="161">
        <v>0.5</v>
      </c>
      <c r="D33" s="43">
        <f t="shared" si="9"/>
        <v>0.5</v>
      </c>
      <c r="E33" s="43">
        <f t="shared" si="8"/>
        <v>0.5</v>
      </c>
      <c r="F33" s="43">
        <f t="shared" si="8"/>
        <v>0.5</v>
      </c>
      <c r="G33" s="43">
        <f t="shared" si="8"/>
        <v>0.5</v>
      </c>
      <c r="H33" s="43">
        <f t="shared" si="8"/>
        <v>0.5</v>
      </c>
      <c r="I33" s="43">
        <f t="shared" si="8"/>
        <v>0.5</v>
      </c>
    </row>
    <row r="34" spans="2:11" ht="12" customHeight="1">
      <c r="B34" s="44" t="s">
        <v>4</v>
      </c>
      <c r="C34" s="161">
        <v>0.6</v>
      </c>
      <c r="D34" s="43">
        <f t="shared" si="9"/>
        <v>0.6</v>
      </c>
      <c r="E34" s="43">
        <f t="shared" si="8"/>
        <v>0.6</v>
      </c>
      <c r="F34" s="43">
        <f t="shared" si="8"/>
        <v>0.6</v>
      </c>
      <c r="G34" s="43">
        <f t="shared" si="8"/>
        <v>0.6</v>
      </c>
      <c r="H34" s="43">
        <f t="shared" si="8"/>
        <v>0.6</v>
      </c>
      <c r="I34" s="43">
        <f t="shared" si="8"/>
        <v>0.6</v>
      </c>
    </row>
    <row r="35" spans="2:11" ht="12" customHeight="1">
      <c r="B35" s="51" t="s">
        <v>11</v>
      </c>
      <c r="C35" s="162">
        <v>0.7</v>
      </c>
      <c r="D35" s="122">
        <f t="shared" si="9"/>
        <v>0.7</v>
      </c>
      <c r="E35" s="122">
        <f t="shared" si="8"/>
        <v>0.7</v>
      </c>
      <c r="F35" s="122">
        <f t="shared" si="8"/>
        <v>0.7</v>
      </c>
      <c r="G35" s="122">
        <f t="shared" si="8"/>
        <v>0.7</v>
      </c>
      <c r="H35" s="122">
        <f t="shared" si="8"/>
        <v>0.7</v>
      </c>
      <c r="I35" s="122">
        <f t="shared" si="8"/>
        <v>0.7</v>
      </c>
    </row>
    <row r="36" spans="2:11" ht="12" customHeight="1">
      <c r="E36" s="1"/>
    </row>
    <row r="37" spans="2:11" ht="12" customHeight="1">
      <c r="E37" s="1"/>
    </row>
    <row r="38" spans="2:11">
      <c r="B38" s="163" t="s">
        <v>88</v>
      </c>
      <c r="C38" s="163"/>
      <c r="D38" s="163"/>
      <c r="E38" s="78"/>
      <c r="F38" s="108"/>
      <c r="G38" s="108"/>
      <c r="H38" s="108"/>
      <c r="I38" s="108"/>
    </row>
    <row r="39" spans="2:11">
      <c r="B39" s="29" t="s">
        <v>11</v>
      </c>
      <c r="C39" s="164"/>
      <c r="D39" s="164"/>
      <c r="E39" s="165">
        <v>50</v>
      </c>
      <c r="F39" s="165">
        <v>50</v>
      </c>
      <c r="G39" s="166">
        <f t="shared" ref="G39:I39" si="10">F39</f>
        <v>50</v>
      </c>
      <c r="H39" s="166">
        <f t="shared" si="10"/>
        <v>50</v>
      </c>
      <c r="I39" s="166">
        <f t="shared" si="10"/>
        <v>50</v>
      </c>
      <c r="J39" s="125"/>
      <c r="K39" s="125"/>
    </row>
    <row r="40" spans="2:11">
      <c r="B40" s="2" t="s">
        <v>14</v>
      </c>
      <c r="C40" s="167"/>
      <c r="D40" s="167"/>
      <c r="E40" s="168">
        <v>49</v>
      </c>
      <c r="F40" s="168">
        <v>49</v>
      </c>
      <c r="G40" s="169">
        <f t="shared" ref="G40:I40" si="11">F40</f>
        <v>49</v>
      </c>
      <c r="H40" s="169">
        <f t="shared" si="11"/>
        <v>49</v>
      </c>
      <c r="I40" s="169">
        <f t="shared" si="11"/>
        <v>49</v>
      </c>
      <c r="K40" s="125"/>
    </row>
    <row r="41" spans="2:11">
      <c r="B41" s="2" t="s">
        <v>15</v>
      </c>
      <c r="C41" s="167"/>
      <c r="D41" s="167"/>
      <c r="E41" s="170">
        <v>15</v>
      </c>
      <c r="F41" s="170">
        <f t="shared" ref="F41:I41" si="12">E41</f>
        <v>15</v>
      </c>
      <c r="G41" s="169">
        <f t="shared" si="12"/>
        <v>15</v>
      </c>
      <c r="H41" s="169">
        <f t="shared" si="12"/>
        <v>15</v>
      </c>
      <c r="I41" s="169">
        <f t="shared" si="12"/>
        <v>15</v>
      </c>
      <c r="J41" s="171"/>
    </row>
    <row r="42" spans="2:11">
      <c r="B42" s="18" t="s">
        <v>16</v>
      </c>
      <c r="C42" s="167"/>
      <c r="D42" s="167"/>
      <c r="E42" s="170">
        <v>25</v>
      </c>
      <c r="F42" s="170">
        <f t="shared" ref="F42:I42" si="13">E42</f>
        <v>25</v>
      </c>
      <c r="G42" s="169">
        <f t="shared" si="13"/>
        <v>25</v>
      </c>
      <c r="H42" s="169">
        <f t="shared" si="13"/>
        <v>25</v>
      </c>
      <c r="I42" s="169">
        <f t="shared" si="13"/>
        <v>25</v>
      </c>
      <c r="J42" s="171"/>
    </row>
    <row r="43" spans="2:11">
      <c r="B43" s="2" t="s">
        <v>17</v>
      </c>
      <c r="C43" s="167"/>
      <c r="D43" s="167"/>
      <c r="E43" s="168">
        <v>13</v>
      </c>
      <c r="F43" s="168">
        <v>13</v>
      </c>
      <c r="G43" s="169">
        <f t="shared" ref="G43:I43" si="14">F43</f>
        <v>13</v>
      </c>
      <c r="H43" s="169">
        <f t="shared" si="14"/>
        <v>13</v>
      </c>
      <c r="I43" s="169">
        <f t="shared" si="14"/>
        <v>13</v>
      </c>
    </row>
    <row r="44" spans="2:11">
      <c r="B44" s="2" t="s">
        <v>18</v>
      </c>
      <c r="C44" s="167"/>
      <c r="D44" s="167"/>
      <c r="E44" s="168">
        <v>6</v>
      </c>
      <c r="F44" s="168">
        <v>6</v>
      </c>
      <c r="G44" s="169">
        <f t="shared" ref="G44:I44" si="15">F44</f>
        <v>6</v>
      </c>
      <c r="H44" s="169">
        <f t="shared" si="15"/>
        <v>6</v>
      </c>
      <c r="I44" s="169">
        <f t="shared" si="15"/>
        <v>6</v>
      </c>
    </row>
    <row r="45" spans="2:11">
      <c r="B45" s="2" t="s">
        <v>19</v>
      </c>
      <c r="C45" s="167"/>
      <c r="D45" s="167"/>
      <c r="E45" s="168">
        <v>10</v>
      </c>
      <c r="F45" s="168">
        <v>10</v>
      </c>
      <c r="G45" s="169">
        <f t="shared" ref="G45:I45" si="16">F45</f>
        <v>10</v>
      </c>
      <c r="H45" s="169">
        <f t="shared" si="16"/>
        <v>10</v>
      </c>
      <c r="I45" s="169">
        <f t="shared" si="16"/>
        <v>10</v>
      </c>
    </row>
    <row r="46" spans="2:11">
      <c r="B46" s="32" t="s">
        <v>102</v>
      </c>
      <c r="C46" s="172"/>
      <c r="D46" s="172"/>
      <c r="E46" s="173">
        <v>20.824132556453524</v>
      </c>
      <c r="F46" s="173">
        <v>25.606197014581664</v>
      </c>
      <c r="G46" s="174">
        <f t="shared" ref="G46:I46" si="17">F46</f>
        <v>25.606197014581664</v>
      </c>
      <c r="H46" s="174">
        <f t="shared" si="17"/>
        <v>25.606197014581664</v>
      </c>
      <c r="I46" s="174">
        <f t="shared" si="17"/>
        <v>25.606197014581664</v>
      </c>
    </row>
    <row r="47" spans="2:11">
      <c r="E47" s="1"/>
    </row>
    <row r="48" spans="2:11">
      <c r="B48" s="163" t="s">
        <v>89</v>
      </c>
      <c r="C48" s="163"/>
      <c r="D48" s="163"/>
      <c r="E48" s="78"/>
      <c r="F48" s="108"/>
      <c r="G48" s="108"/>
      <c r="H48" s="108"/>
      <c r="I48" s="108"/>
    </row>
    <row r="49" spans="2:11">
      <c r="B49" s="29" t="s">
        <v>11</v>
      </c>
      <c r="C49" s="164"/>
      <c r="D49" s="164"/>
      <c r="E49" s="175">
        <v>37.819405056092606</v>
      </c>
      <c r="F49" s="166">
        <f t="shared" ref="F49:I49" si="18">E49</f>
        <v>37.819405056092606</v>
      </c>
      <c r="G49" s="166">
        <f t="shared" si="18"/>
        <v>37.819405056092606</v>
      </c>
      <c r="H49" s="166">
        <f t="shared" si="18"/>
        <v>37.819405056092606</v>
      </c>
      <c r="I49" s="166">
        <f t="shared" si="18"/>
        <v>37.819405056092606</v>
      </c>
      <c r="J49" s="125"/>
      <c r="K49" s="125"/>
    </row>
    <row r="50" spans="2:11">
      <c r="B50" s="2" t="s">
        <v>14</v>
      </c>
      <c r="C50" s="167"/>
      <c r="D50" s="167"/>
      <c r="E50" s="176">
        <v>25.305769806159724</v>
      </c>
      <c r="F50" s="169">
        <f t="shared" ref="F50:I50" si="19">E50</f>
        <v>25.305769806159724</v>
      </c>
      <c r="G50" s="169">
        <f t="shared" si="19"/>
        <v>25.305769806159724</v>
      </c>
      <c r="H50" s="169">
        <f t="shared" si="19"/>
        <v>25.305769806159724</v>
      </c>
      <c r="I50" s="169">
        <f t="shared" si="19"/>
        <v>25.305769806159724</v>
      </c>
    </row>
    <row r="51" spans="2:11">
      <c r="B51" s="2" t="s">
        <v>15</v>
      </c>
      <c r="C51" s="167"/>
      <c r="D51" s="167"/>
      <c r="E51" s="176">
        <v>1.0609571852169655</v>
      </c>
      <c r="F51" s="169">
        <f t="shared" ref="F51:I51" si="20">E51</f>
        <v>1.0609571852169655</v>
      </c>
      <c r="G51" s="169">
        <f t="shared" si="20"/>
        <v>1.0609571852169655</v>
      </c>
      <c r="H51" s="169">
        <f t="shared" si="20"/>
        <v>1.0609571852169655</v>
      </c>
      <c r="I51" s="169">
        <f t="shared" si="20"/>
        <v>1.0609571852169655</v>
      </c>
    </row>
    <row r="52" spans="2:11">
      <c r="B52" s="18" t="s">
        <v>16</v>
      </c>
      <c r="C52" s="167"/>
      <c r="D52" s="167"/>
      <c r="E52" s="176">
        <v>8.2652175220605777</v>
      </c>
      <c r="F52" s="169">
        <f t="shared" ref="F52:I52" si="21">E52</f>
        <v>8.2652175220605777</v>
      </c>
      <c r="G52" s="169">
        <f t="shared" si="21"/>
        <v>8.2652175220605777</v>
      </c>
      <c r="H52" s="169">
        <f t="shared" si="21"/>
        <v>8.2652175220605777</v>
      </c>
      <c r="I52" s="169">
        <f t="shared" si="21"/>
        <v>8.2652175220605777</v>
      </c>
    </row>
    <row r="53" spans="2:11">
      <c r="B53" s="2" t="s">
        <v>17</v>
      </c>
      <c r="C53" s="167"/>
      <c r="D53" s="167"/>
      <c r="E53" s="176">
        <v>8.1910005017619962</v>
      </c>
      <c r="F53" s="169">
        <f t="shared" ref="F53:I53" si="22">E53</f>
        <v>8.1910005017619962</v>
      </c>
      <c r="G53" s="169">
        <f t="shared" si="22"/>
        <v>8.1910005017619962</v>
      </c>
      <c r="H53" s="169">
        <f t="shared" si="22"/>
        <v>8.1910005017619962</v>
      </c>
      <c r="I53" s="169">
        <f t="shared" si="22"/>
        <v>8.1910005017619962</v>
      </c>
    </row>
    <row r="54" spans="2:11">
      <c r="B54" s="2" t="s">
        <v>18</v>
      </c>
      <c r="C54" s="167"/>
      <c r="D54" s="167"/>
      <c r="E54" s="176">
        <v>5.1921124035995563</v>
      </c>
      <c r="F54" s="169">
        <f t="shared" ref="F54:I54" si="23">E54</f>
        <v>5.1921124035995563</v>
      </c>
      <c r="G54" s="169">
        <f t="shared" si="23"/>
        <v>5.1921124035995563</v>
      </c>
      <c r="H54" s="169">
        <f t="shared" si="23"/>
        <v>5.1921124035995563</v>
      </c>
      <c r="I54" s="169">
        <f t="shared" si="23"/>
        <v>5.1921124035995563</v>
      </c>
    </row>
    <row r="55" spans="2:11">
      <c r="B55" s="2" t="s">
        <v>19</v>
      </c>
      <c r="C55" s="167"/>
      <c r="D55" s="167"/>
      <c r="E55" s="176">
        <v>6.6697709794128999</v>
      </c>
      <c r="F55" s="169">
        <f t="shared" ref="F55:I55" si="24">E55</f>
        <v>6.6697709794128999</v>
      </c>
      <c r="G55" s="169">
        <f t="shared" si="24"/>
        <v>6.6697709794128999</v>
      </c>
      <c r="H55" s="169">
        <f t="shared" si="24"/>
        <v>6.6697709794128999</v>
      </c>
      <c r="I55" s="169">
        <f t="shared" si="24"/>
        <v>6.6697709794128999</v>
      </c>
    </row>
    <row r="56" spans="2:11">
      <c r="B56" s="51" t="s">
        <v>102</v>
      </c>
      <c r="C56" s="172"/>
      <c r="D56" s="172"/>
      <c r="E56" s="177">
        <v>0</v>
      </c>
      <c r="F56" s="174">
        <f t="shared" ref="F56:I56" si="25">E56</f>
        <v>0</v>
      </c>
      <c r="G56" s="174">
        <f t="shared" si="25"/>
        <v>0</v>
      </c>
      <c r="H56" s="174">
        <f t="shared" si="25"/>
        <v>0</v>
      </c>
      <c r="I56" s="174">
        <f t="shared" si="25"/>
        <v>0</v>
      </c>
    </row>
    <row r="57" spans="2:11">
      <c r="E57" s="1"/>
    </row>
    <row r="58" spans="2:11">
      <c r="B58" s="163" t="s">
        <v>103</v>
      </c>
      <c r="C58" s="163"/>
      <c r="D58" s="163"/>
      <c r="E58" s="78"/>
      <c r="F58" s="78"/>
      <c r="G58" s="78"/>
      <c r="H58" s="78"/>
      <c r="I58" s="78"/>
    </row>
    <row r="59" spans="2:11">
      <c r="B59" s="2" t="s">
        <v>11</v>
      </c>
      <c r="C59" s="167"/>
      <c r="D59" s="167"/>
      <c r="E59" s="178">
        <v>422018.53927837283</v>
      </c>
      <c r="F59" s="276">
        <f>E59</f>
        <v>422018.53927837283</v>
      </c>
      <c r="G59" s="276">
        <f t="shared" ref="G59:I59" si="26">F59</f>
        <v>422018.53927837283</v>
      </c>
      <c r="H59" s="276">
        <f t="shared" si="26"/>
        <v>422018.53927837283</v>
      </c>
      <c r="I59" s="276">
        <f t="shared" si="26"/>
        <v>422018.53927837283</v>
      </c>
      <c r="J59" s="125"/>
      <c r="K59" s="125"/>
    </row>
    <row r="60" spans="2:11">
      <c r="B60" s="2" t="s">
        <v>14</v>
      </c>
      <c r="C60" s="167"/>
      <c r="D60" s="167"/>
      <c r="E60" s="178">
        <v>1245582.4167759414</v>
      </c>
      <c r="F60" s="276">
        <f t="shared" ref="F60:I60" si="27">E60</f>
        <v>1245582.4167759414</v>
      </c>
      <c r="G60" s="276">
        <f t="shared" si="27"/>
        <v>1245582.4167759414</v>
      </c>
      <c r="H60" s="276">
        <f t="shared" si="27"/>
        <v>1245582.4167759414</v>
      </c>
      <c r="I60" s="276">
        <f t="shared" si="27"/>
        <v>1245582.4167759414</v>
      </c>
    </row>
    <row r="61" spans="2:11">
      <c r="B61" s="2" t="s">
        <v>15</v>
      </c>
      <c r="C61" s="167"/>
      <c r="D61" s="167"/>
      <c r="E61" s="178">
        <v>7549.1381452734995</v>
      </c>
      <c r="F61" s="276">
        <f t="shared" ref="F61:I61" si="28">E61</f>
        <v>7549.1381452734995</v>
      </c>
      <c r="G61" s="276">
        <f t="shared" si="28"/>
        <v>7549.1381452734995</v>
      </c>
      <c r="H61" s="276">
        <f t="shared" si="28"/>
        <v>7549.1381452734995</v>
      </c>
      <c r="I61" s="276">
        <f t="shared" si="28"/>
        <v>7549.1381452734995</v>
      </c>
    </row>
    <row r="62" spans="2:11">
      <c r="B62" s="18" t="s">
        <v>16</v>
      </c>
      <c r="C62" s="167"/>
      <c r="D62" s="167"/>
      <c r="E62" s="178">
        <v>7665.6831943492298</v>
      </c>
      <c r="F62" s="276">
        <f t="shared" ref="F62:I62" si="29">E62</f>
        <v>7665.6831943492298</v>
      </c>
      <c r="G62" s="276">
        <f t="shared" si="29"/>
        <v>7665.6831943492298</v>
      </c>
      <c r="H62" s="276">
        <f t="shared" si="29"/>
        <v>7665.6831943492298</v>
      </c>
      <c r="I62" s="276">
        <f t="shared" si="29"/>
        <v>7665.6831943492298</v>
      </c>
    </row>
    <row r="63" spans="2:11">
      <c r="B63" s="2" t="s">
        <v>17</v>
      </c>
      <c r="C63" s="167"/>
      <c r="D63" s="167"/>
      <c r="E63" s="178">
        <v>14550.336068502165</v>
      </c>
      <c r="F63" s="276">
        <f t="shared" ref="F63:I63" si="30">E63</f>
        <v>14550.336068502165</v>
      </c>
      <c r="G63" s="276">
        <f t="shared" si="30"/>
        <v>14550.336068502165</v>
      </c>
      <c r="H63" s="276">
        <f t="shared" si="30"/>
        <v>14550.336068502165</v>
      </c>
      <c r="I63" s="276">
        <f t="shared" si="30"/>
        <v>14550.336068502165</v>
      </c>
    </row>
    <row r="64" spans="2:11">
      <c r="B64" s="2" t="s">
        <v>18</v>
      </c>
      <c r="C64" s="167"/>
      <c r="D64" s="167"/>
      <c r="E64" s="178">
        <v>37556.040811173749</v>
      </c>
      <c r="F64" s="276">
        <f t="shared" ref="F64:I64" si="31">E64</f>
        <v>37556.040811173749</v>
      </c>
      <c r="G64" s="276">
        <f t="shared" si="31"/>
        <v>37556.040811173749</v>
      </c>
      <c r="H64" s="276">
        <f t="shared" si="31"/>
        <v>37556.040811173749</v>
      </c>
      <c r="I64" s="276">
        <f t="shared" si="31"/>
        <v>37556.040811173749</v>
      </c>
    </row>
    <row r="65" spans="2:16">
      <c r="B65" s="2" t="s">
        <v>19</v>
      </c>
      <c r="C65" s="167"/>
      <c r="D65" s="167"/>
      <c r="E65" s="178">
        <v>10367.91710848225</v>
      </c>
      <c r="F65" s="276">
        <f t="shared" ref="F65:I65" si="32">E65</f>
        <v>10367.91710848225</v>
      </c>
      <c r="G65" s="276">
        <f t="shared" si="32"/>
        <v>10367.91710848225</v>
      </c>
      <c r="H65" s="276">
        <f t="shared" si="32"/>
        <v>10367.91710848225</v>
      </c>
      <c r="I65" s="276">
        <f t="shared" si="32"/>
        <v>10367.91710848225</v>
      </c>
    </row>
    <row r="66" spans="2:16">
      <c r="B66" s="32" t="s">
        <v>102</v>
      </c>
      <c r="C66" s="167"/>
      <c r="D66" s="167"/>
      <c r="E66" s="178">
        <v>0</v>
      </c>
      <c r="F66" s="276">
        <f t="shared" ref="F66:I66" si="33">E66</f>
        <v>0</v>
      </c>
      <c r="G66" s="276">
        <f t="shared" si="33"/>
        <v>0</v>
      </c>
      <c r="H66" s="276">
        <f t="shared" si="33"/>
        <v>0</v>
      </c>
      <c r="I66" s="276">
        <f t="shared" si="33"/>
        <v>0</v>
      </c>
    </row>
    <row r="67" spans="2:16">
      <c r="B67" s="19" t="s">
        <v>3</v>
      </c>
      <c r="C67" s="19"/>
      <c r="D67" s="21"/>
      <c r="E67" s="21">
        <f>SUM(E59:E66)</f>
        <v>1745290.0713820953</v>
      </c>
      <c r="F67" s="21">
        <f t="shared" ref="F67:I67" si="34">SUM(F59:F66)</f>
        <v>1745290.0713820953</v>
      </c>
      <c r="G67" s="21">
        <f t="shared" si="34"/>
        <v>1745290.0713820953</v>
      </c>
      <c r="H67" s="21">
        <f t="shared" si="34"/>
        <v>1745290.0713820953</v>
      </c>
      <c r="I67" s="21">
        <f t="shared" si="34"/>
        <v>1745290.0713820953</v>
      </c>
      <c r="K67" s="180"/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7" t="s">
        <v>105</v>
      </c>
      <c r="C70" s="77"/>
      <c r="D70" s="130"/>
      <c r="E70" s="78"/>
      <c r="F70" s="78"/>
      <c r="G70" s="78"/>
      <c r="H70" s="78"/>
      <c r="I70" s="78"/>
    </row>
    <row r="71" spans="2:16">
      <c r="B71" s="44" t="s">
        <v>68</v>
      </c>
      <c r="C71" s="179"/>
      <c r="D71" s="179"/>
      <c r="E71" s="181">
        <v>82481.924608708461</v>
      </c>
      <c r="F71" s="181">
        <v>83657.135684144887</v>
      </c>
      <c r="G71" s="181">
        <v>86794.081764776958</v>
      </c>
      <c r="H71" s="181">
        <v>88260.549911601614</v>
      </c>
      <c r="I71" s="181">
        <v>90280.954836958786</v>
      </c>
      <c r="J71" s="125"/>
      <c r="K71" s="125"/>
      <c r="L71" s="110"/>
      <c r="M71" s="110"/>
      <c r="N71" s="110"/>
    </row>
    <row r="72" spans="2:16">
      <c r="B72" s="44" t="s">
        <v>41</v>
      </c>
      <c r="C72" s="179"/>
      <c r="D72" s="179"/>
      <c r="E72" s="181">
        <f>E71*45%</f>
        <v>37116.866073918805</v>
      </c>
      <c r="F72" s="181">
        <f t="shared" ref="F72:I72" si="35">F71*45%</f>
        <v>37645.711057865199</v>
      </c>
      <c r="G72" s="181">
        <f t="shared" si="35"/>
        <v>39057.336794149633</v>
      </c>
      <c r="H72" s="181">
        <f t="shared" si="35"/>
        <v>39717.247460220729</v>
      </c>
      <c r="I72" s="181">
        <f t="shared" si="35"/>
        <v>40626.429676631458</v>
      </c>
      <c r="K72" s="182"/>
      <c r="L72" s="182"/>
      <c r="M72" s="182"/>
      <c r="N72" s="182"/>
    </row>
    <row r="73" spans="2:16">
      <c r="B73" s="44" t="s">
        <v>8</v>
      </c>
      <c r="C73" s="179"/>
      <c r="D73" s="179"/>
      <c r="E73" s="183">
        <v>60600.713989697564</v>
      </c>
      <c r="F73" s="183">
        <v>58744.751696953943</v>
      </c>
      <c r="G73" s="183">
        <v>61436.805579201573</v>
      </c>
      <c r="H73" s="183">
        <v>63700.590079629052</v>
      </c>
      <c r="I73" s="183">
        <v>67204.635687852351</v>
      </c>
    </row>
    <row r="74" spans="2:16">
      <c r="B74" s="44" t="s">
        <v>107</v>
      </c>
      <c r="C74" s="179"/>
      <c r="D74" s="179"/>
      <c r="E74" s="181">
        <f>E71*9%</f>
        <v>7423.3732147837609</v>
      </c>
      <c r="F74" s="181">
        <f t="shared" ref="F74:I74" si="36">F71*9%</f>
        <v>7529.1422115730393</v>
      </c>
      <c r="G74" s="181">
        <f t="shared" si="36"/>
        <v>7811.4673588299256</v>
      </c>
      <c r="H74" s="181">
        <f t="shared" si="36"/>
        <v>7943.4494920441448</v>
      </c>
      <c r="I74" s="181">
        <f t="shared" si="36"/>
        <v>8125.2859353262902</v>
      </c>
      <c r="K74" s="182"/>
      <c r="L74" s="182"/>
      <c r="M74" s="182"/>
      <c r="N74" s="182"/>
    </row>
    <row r="75" spans="2:16">
      <c r="B75" s="2" t="s">
        <v>39</v>
      </c>
      <c r="C75" s="179"/>
      <c r="D75" s="179"/>
      <c r="E75" s="181">
        <v>908.69716098541187</v>
      </c>
      <c r="F75" s="181">
        <v>1928.2156352842926</v>
      </c>
      <c r="G75" s="181">
        <v>3594.5201443531087</v>
      </c>
      <c r="H75" s="181">
        <v>4869.3488147555281</v>
      </c>
      <c r="I75" s="181">
        <v>6145.9162339518698</v>
      </c>
    </row>
    <row r="76" spans="2:16">
      <c r="B76" s="32" t="s">
        <v>40</v>
      </c>
      <c r="C76" s="184"/>
      <c r="D76" s="184"/>
      <c r="E76" s="185">
        <v>41528.279422479703</v>
      </c>
      <c r="F76" s="185">
        <v>67203.094902023964</v>
      </c>
      <c r="G76" s="185">
        <v>47430.177672389422</v>
      </c>
      <c r="H76" s="185">
        <v>29222.712499577181</v>
      </c>
      <c r="I76" s="185">
        <v>16175.409883374561</v>
      </c>
      <c r="K76" s="182"/>
      <c r="L76" s="182"/>
      <c r="M76" s="182"/>
      <c r="N76" s="182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2"/>
      <c r="L78" s="182"/>
      <c r="M78" s="182"/>
      <c r="N78" s="182"/>
    </row>
    <row r="79" spans="2:16">
      <c r="B79" s="140" t="s">
        <v>28</v>
      </c>
      <c r="C79" s="142" t="s">
        <v>69</v>
      </c>
      <c r="D79" s="142"/>
      <c r="E79" s="78"/>
      <c r="F79" s="78"/>
      <c r="G79" s="78"/>
      <c r="H79" s="78"/>
      <c r="I79" s="78"/>
    </row>
    <row r="80" spans="2:16">
      <c r="B80" s="208" t="s">
        <v>244</v>
      </c>
      <c r="C80" s="209" t="s">
        <v>6</v>
      </c>
      <c r="D80" s="186">
        <v>830192871.82480931</v>
      </c>
      <c r="E80" s="186">
        <v>796344397.15500748</v>
      </c>
      <c r="F80" s="186">
        <v>816843244.44685483</v>
      </c>
      <c r="G80" s="186">
        <v>837924196.22455716</v>
      </c>
      <c r="H80" s="186">
        <v>853857291.19384253</v>
      </c>
      <c r="I80" s="186">
        <v>848271452.54835963</v>
      </c>
    </row>
    <row r="81" spans="2:9">
      <c r="B81" s="208" t="s">
        <v>245</v>
      </c>
      <c r="C81" s="209" t="s">
        <v>6</v>
      </c>
      <c r="D81" s="186">
        <v>105174141.15772822</v>
      </c>
      <c r="E81" s="186">
        <v>102918280.59975216</v>
      </c>
      <c r="F81" s="186">
        <v>103150672.29569083</v>
      </c>
      <c r="G81" s="186">
        <v>103793921.82591532</v>
      </c>
      <c r="H81" s="186">
        <v>106631799.39951396</v>
      </c>
      <c r="I81" s="186">
        <v>107478291.59874508</v>
      </c>
    </row>
    <row r="82" spans="2:9">
      <c r="B82" s="208" t="s">
        <v>246</v>
      </c>
      <c r="C82" s="209" t="s">
        <v>6</v>
      </c>
      <c r="D82" s="186">
        <v>3434222.0379175628</v>
      </c>
      <c r="E82" s="186">
        <v>9779018.3817442358</v>
      </c>
      <c r="F82" s="186">
        <v>7278376.1839372199</v>
      </c>
      <c r="G82" s="186">
        <v>4282897.6782077737</v>
      </c>
      <c r="H82" s="186">
        <v>4370243.3665794926</v>
      </c>
      <c r="I82" s="186">
        <v>4159037.6721069189</v>
      </c>
    </row>
    <row r="83" spans="2:9">
      <c r="B83" s="208" t="s">
        <v>247</v>
      </c>
      <c r="C83" s="209" t="s">
        <v>6</v>
      </c>
      <c r="D83" s="186">
        <v>308414.32383880002</v>
      </c>
      <c r="E83" s="186">
        <v>598168.4631497243</v>
      </c>
      <c r="F83" s="186">
        <v>479911.37062082626</v>
      </c>
      <c r="G83" s="186">
        <v>326566.56580598786</v>
      </c>
      <c r="H83" s="186">
        <v>330101.95823908533</v>
      </c>
      <c r="I83" s="186">
        <v>351287.08659839537</v>
      </c>
    </row>
    <row r="84" spans="2:9">
      <c r="B84" s="208" t="s">
        <v>248</v>
      </c>
      <c r="C84" s="209" t="s">
        <v>6</v>
      </c>
      <c r="D84" s="186">
        <v>69722025.556685403</v>
      </c>
      <c r="E84" s="186">
        <v>60710671.242388397</v>
      </c>
      <c r="F84" s="186">
        <v>62031268.402272001</v>
      </c>
      <c r="G84" s="186">
        <v>64214069.753675908</v>
      </c>
      <c r="H84" s="186">
        <v>65181220.77675698</v>
      </c>
      <c r="I84" s="186">
        <v>62719475.655005381</v>
      </c>
    </row>
    <row r="85" spans="2:9">
      <c r="B85" s="208" t="s">
        <v>249</v>
      </c>
      <c r="C85" s="209" t="s">
        <v>6</v>
      </c>
      <c r="D85" s="186">
        <v>23595257.819577601</v>
      </c>
      <c r="E85" s="186">
        <v>20153760.022968188</v>
      </c>
      <c r="F85" s="186">
        <v>21104690.569412865</v>
      </c>
      <c r="G85" s="186">
        <v>22270665.491544582</v>
      </c>
      <c r="H85" s="186">
        <v>22880314.57030753</v>
      </c>
      <c r="I85" s="186">
        <v>22488702.906150356</v>
      </c>
    </row>
    <row r="86" spans="2:9">
      <c r="B86" s="208" t="s">
        <v>250</v>
      </c>
      <c r="C86" s="209" t="s">
        <v>6</v>
      </c>
      <c r="D86" s="186">
        <v>117390912.71797881</v>
      </c>
      <c r="E86" s="186">
        <v>115057785.52052635</v>
      </c>
      <c r="F86" s="186">
        <v>112817956.64693388</v>
      </c>
      <c r="G86" s="186">
        <v>112870767.02380785</v>
      </c>
      <c r="H86" s="186">
        <v>113215670.13427211</v>
      </c>
      <c r="I86" s="186">
        <v>97301609.835214615</v>
      </c>
    </row>
    <row r="87" spans="2:9">
      <c r="B87" s="208" t="s">
        <v>251</v>
      </c>
      <c r="C87" s="209" t="s">
        <v>6</v>
      </c>
      <c r="D87" s="186">
        <v>30309568.856155198</v>
      </c>
      <c r="E87" s="186">
        <v>31229034.462212034</v>
      </c>
      <c r="F87" s="186">
        <v>29808615.736064993</v>
      </c>
      <c r="G87" s="186">
        <v>29123295.754795402</v>
      </c>
      <c r="H87" s="186">
        <v>30173344.261470523</v>
      </c>
      <c r="I87" s="186">
        <v>29397923.94585254</v>
      </c>
    </row>
    <row r="88" spans="2:9">
      <c r="B88" s="208" t="s">
        <v>252</v>
      </c>
      <c r="C88" s="209" t="s">
        <v>6</v>
      </c>
      <c r="D88" s="186">
        <v>20037657.940865003</v>
      </c>
      <c r="E88" s="186">
        <v>25016538.487801079</v>
      </c>
      <c r="F88" s="186">
        <v>22272717.328201722</v>
      </c>
      <c r="G88" s="186">
        <v>19909930.707670532</v>
      </c>
      <c r="H88" s="186">
        <v>19246331.235837448</v>
      </c>
      <c r="I88" s="186"/>
    </row>
    <row r="89" spans="2:9">
      <c r="B89" s="208" t="s">
        <v>253</v>
      </c>
      <c r="C89" s="209" t="s">
        <v>6</v>
      </c>
      <c r="D89" s="186">
        <v>7359412.653972799</v>
      </c>
      <c r="E89" s="186">
        <v>8044541.2684356263</v>
      </c>
      <c r="F89" s="186">
        <v>7671612.21176631</v>
      </c>
      <c r="G89" s="186">
        <v>7350471.8260590127</v>
      </c>
      <c r="H89" s="186">
        <v>7176762.3174721245</v>
      </c>
      <c r="I89" s="186"/>
    </row>
    <row r="90" spans="2:9">
      <c r="B90" s="208" t="s">
        <v>254</v>
      </c>
      <c r="C90" s="209" t="s">
        <v>6</v>
      </c>
      <c r="D90" s="186">
        <v>39323470.9755404</v>
      </c>
      <c r="E90" s="186">
        <v>36791089.7219451</v>
      </c>
      <c r="F90" s="186">
        <v>34551430.843353778</v>
      </c>
      <c r="G90" s="186">
        <v>33890069.863411687</v>
      </c>
      <c r="H90" s="186">
        <v>31802481.572760597</v>
      </c>
      <c r="I90" s="186">
        <v>50045800.11975988</v>
      </c>
    </row>
    <row r="91" spans="2:9">
      <c r="B91" s="208" t="s">
        <v>255</v>
      </c>
      <c r="C91" s="209" t="s">
        <v>6</v>
      </c>
      <c r="D91" s="186">
        <v>2601665.5886228001</v>
      </c>
      <c r="E91" s="186">
        <v>2619672.5537694194</v>
      </c>
      <c r="F91" s="186">
        <v>2356017.402376994</v>
      </c>
      <c r="G91" s="186">
        <v>2219211.1923869113</v>
      </c>
      <c r="H91" s="186">
        <v>2202095.0102876872</v>
      </c>
      <c r="I91" s="186">
        <v>9263135.8289495241</v>
      </c>
    </row>
    <row r="92" spans="2:9">
      <c r="B92" s="208" t="s">
        <v>276</v>
      </c>
      <c r="C92" s="209" t="s">
        <v>6</v>
      </c>
      <c r="D92" s="186"/>
      <c r="E92" s="186">
        <v>0</v>
      </c>
      <c r="F92" s="186">
        <v>27500</v>
      </c>
      <c r="G92" s="186">
        <v>27500</v>
      </c>
      <c r="H92" s="186">
        <v>14863.138507993855</v>
      </c>
      <c r="I92" s="186">
        <v>49160.9218844563</v>
      </c>
    </row>
    <row r="93" spans="2:9">
      <c r="B93" s="208" t="s">
        <v>277</v>
      </c>
      <c r="C93" s="209" t="s">
        <v>6</v>
      </c>
      <c r="D93" s="186"/>
      <c r="E93" s="186">
        <v>0</v>
      </c>
      <c r="F93" s="186">
        <v>5500</v>
      </c>
      <c r="G93" s="186">
        <v>5500</v>
      </c>
      <c r="H93" s="186">
        <v>0</v>
      </c>
      <c r="I93" s="186">
        <v>11446.587208253419</v>
      </c>
    </row>
    <row r="94" spans="2:9">
      <c r="B94" s="208" t="s">
        <v>256</v>
      </c>
      <c r="C94" s="209" t="s">
        <v>23</v>
      </c>
      <c r="D94" s="186">
        <v>323085509.71278644</v>
      </c>
      <c r="E94" s="186">
        <v>329883672.95941943</v>
      </c>
      <c r="F94" s="186">
        <v>204987603.1812824</v>
      </c>
      <c r="G94" s="186">
        <v>220224546.95765957</v>
      </c>
      <c r="H94" s="186">
        <v>233254649.14212352</v>
      </c>
      <c r="I94" s="186">
        <v>234414508.13361585</v>
      </c>
    </row>
    <row r="95" spans="2:9">
      <c r="B95" s="208" t="s">
        <v>257</v>
      </c>
      <c r="C95" s="209" t="s">
        <v>23</v>
      </c>
      <c r="D95" s="186">
        <v>129277107.22995239</v>
      </c>
      <c r="E95" s="186">
        <v>135374985.33899197</v>
      </c>
      <c r="F95" s="186">
        <v>75430097.002991974</v>
      </c>
      <c r="G95" s="186">
        <v>73848559.175984561</v>
      </c>
      <c r="H95" s="186">
        <v>77076676.161172211</v>
      </c>
      <c r="I95" s="186">
        <v>81668548.051084116</v>
      </c>
    </row>
    <row r="96" spans="2:9">
      <c r="B96" s="208" t="s">
        <v>258</v>
      </c>
      <c r="C96" s="209" t="s">
        <v>23</v>
      </c>
      <c r="D96" s="186">
        <v>535777186.29156691</v>
      </c>
      <c r="E96" s="186">
        <v>523864435.27259135</v>
      </c>
      <c r="F96" s="186">
        <v>129196375.6472595</v>
      </c>
      <c r="G96" s="186">
        <v>146239354.13810459</v>
      </c>
      <c r="H96" s="186">
        <v>149609445.14423168</v>
      </c>
      <c r="I96" s="186">
        <v>115269327.63670515</v>
      </c>
    </row>
    <row r="97" spans="2:11">
      <c r="B97" s="208" t="s">
        <v>259</v>
      </c>
      <c r="C97" s="209" t="s">
        <v>23</v>
      </c>
      <c r="D97" s="186">
        <v>165923444.41695097</v>
      </c>
      <c r="E97" s="186">
        <v>156171396.91177034</v>
      </c>
      <c r="F97" s="186">
        <v>19573801.950534925</v>
      </c>
      <c r="G97" s="186">
        <v>26581802.413311534</v>
      </c>
      <c r="H97" s="186">
        <v>27905204.292746425</v>
      </c>
      <c r="I97" s="186">
        <v>26567001.214540895</v>
      </c>
    </row>
    <row r="98" spans="2:11">
      <c r="B98" s="208" t="s">
        <v>260</v>
      </c>
      <c r="C98" s="209" t="s">
        <v>23</v>
      </c>
      <c r="D98" s="186">
        <v>195249875.92709059</v>
      </c>
      <c r="E98" s="186">
        <v>190517613.99985844</v>
      </c>
      <c r="F98" s="186">
        <v>58328771.418025255</v>
      </c>
      <c r="G98" s="186">
        <v>69457858.000729144</v>
      </c>
      <c r="H98" s="186">
        <v>71890997.866758615</v>
      </c>
      <c r="I98" s="186">
        <v>70650126.354101688</v>
      </c>
    </row>
    <row r="99" spans="2:11">
      <c r="B99" s="208" t="s">
        <v>261</v>
      </c>
      <c r="C99" s="209" t="s">
        <v>23</v>
      </c>
      <c r="D99" s="186">
        <v>295709271.04684323</v>
      </c>
      <c r="E99" s="186">
        <v>289440846.85946912</v>
      </c>
      <c r="F99" s="186">
        <v>38746481.672279745</v>
      </c>
      <c r="G99" s="186">
        <v>44260563.202394933</v>
      </c>
      <c r="H99" s="186">
        <v>45663969.627309762</v>
      </c>
      <c r="I99" s="186">
        <v>42377931.060461022</v>
      </c>
    </row>
    <row r="100" spans="2:11">
      <c r="B100" s="208" t="s">
        <v>278</v>
      </c>
      <c r="C100" s="209" t="s">
        <v>23</v>
      </c>
      <c r="D100" s="186">
        <v>1823497.8591984003</v>
      </c>
      <c r="E100" s="186">
        <v>5076872.7434585216</v>
      </c>
      <c r="F100" s="186">
        <v>3451429.9930893509</v>
      </c>
      <c r="G100" s="186">
        <v>406416.35882669798</v>
      </c>
      <c r="H100" s="186">
        <v>867674.47999636806</v>
      </c>
      <c r="I100" s="186">
        <v>467029.14228117687</v>
      </c>
    </row>
    <row r="101" spans="2:11">
      <c r="B101" s="208" t="s">
        <v>279</v>
      </c>
      <c r="C101" s="209" t="s">
        <v>23</v>
      </c>
      <c r="D101" s="186">
        <v>1996993.7198478</v>
      </c>
      <c r="E101" s="186">
        <v>8167969.0866186172</v>
      </c>
      <c r="F101" s="186">
        <v>6098548.4878862454</v>
      </c>
      <c r="G101" s="186">
        <v>77858.535381460766</v>
      </c>
      <c r="H101" s="186">
        <v>823060.44264515326</v>
      </c>
      <c r="I101" s="186">
        <v>138036.50654446433</v>
      </c>
    </row>
    <row r="102" spans="2:11">
      <c r="B102" s="208" t="s">
        <v>262</v>
      </c>
      <c r="C102" s="209" t="s">
        <v>23</v>
      </c>
      <c r="D102" s="186">
        <v>124850027.48341797</v>
      </c>
      <c r="E102" s="186">
        <v>123661810.36780506</v>
      </c>
      <c r="F102" s="186">
        <v>47865108.459232956</v>
      </c>
      <c r="G102" s="186">
        <v>46297615.48950056</v>
      </c>
      <c r="H102" s="186">
        <v>48454520.254520789</v>
      </c>
      <c r="I102" s="186">
        <v>47659726.929672614</v>
      </c>
    </row>
    <row r="103" spans="2:11">
      <c r="B103" s="208" t="s">
        <v>263</v>
      </c>
      <c r="C103" s="209" t="s">
        <v>23</v>
      </c>
      <c r="D103" s="186">
        <v>31921824.431880396</v>
      </c>
      <c r="E103" s="186">
        <v>30638275.55436762</v>
      </c>
      <c r="F103" s="186">
        <v>7473436.9310802678</v>
      </c>
      <c r="G103" s="186">
        <v>6471014.6761065731</v>
      </c>
      <c r="H103" s="186">
        <v>7142145.9897216596</v>
      </c>
      <c r="I103" s="186">
        <v>6092843.5881951526</v>
      </c>
    </row>
    <row r="104" spans="2:11">
      <c r="B104" s="208" t="s">
        <v>265</v>
      </c>
      <c r="C104" s="209" t="s">
        <v>23</v>
      </c>
      <c r="D104" s="186">
        <v>17860033.523465399</v>
      </c>
      <c r="E104" s="186">
        <v>16097509.0014477</v>
      </c>
      <c r="F104" s="186">
        <v>2412528.0607776954</v>
      </c>
      <c r="G104" s="186">
        <v>286452.67553762981</v>
      </c>
      <c r="H104" s="186">
        <v>243695.18596801988</v>
      </c>
      <c r="I104" s="186">
        <v>61402.694248358777</v>
      </c>
    </row>
    <row r="105" spans="2:11">
      <c r="B105" s="208" t="s">
        <v>280</v>
      </c>
      <c r="C105" s="209" t="s">
        <v>23</v>
      </c>
      <c r="D105" s="186"/>
      <c r="E105" s="186">
        <v>0</v>
      </c>
      <c r="F105" s="186">
        <v>44038820.922569022</v>
      </c>
      <c r="G105" s="186">
        <v>100000</v>
      </c>
      <c r="H105" s="186">
        <v>717136.61553414329</v>
      </c>
      <c r="I105" s="186">
        <v>5507232.35853214</v>
      </c>
      <c r="K105" s="278"/>
    </row>
    <row r="106" spans="2:11">
      <c r="B106" s="208" t="s">
        <v>281</v>
      </c>
      <c r="C106" s="209" t="s">
        <v>23</v>
      </c>
      <c r="D106" s="186"/>
      <c r="E106" s="186">
        <v>0</v>
      </c>
      <c r="F106" s="186">
        <v>0</v>
      </c>
      <c r="G106" s="186">
        <v>16000</v>
      </c>
      <c r="H106" s="186">
        <v>534045.01309481997</v>
      </c>
      <c r="I106" s="186">
        <v>12837801.451158172</v>
      </c>
    </row>
    <row r="107" spans="2:11">
      <c r="B107" s="208" t="s">
        <v>286</v>
      </c>
      <c r="C107" s="209" t="s">
        <v>23</v>
      </c>
      <c r="D107" s="186"/>
      <c r="E107" s="186">
        <v>0</v>
      </c>
      <c r="F107" s="186">
        <v>681958862.01467001</v>
      </c>
      <c r="G107" s="186">
        <v>622827426.73999774</v>
      </c>
      <c r="H107" s="186">
        <v>629031841.54992306</v>
      </c>
      <c r="I107" s="186">
        <v>590662332.64939284</v>
      </c>
    </row>
    <row r="108" spans="2:11">
      <c r="B108" s="208" t="s">
        <v>287</v>
      </c>
      <c r="C108" s="209" t="s">
        <v>23</v>
      </c>
      <c r="D108" s="186"/>
      <c r="E108" s="186">
        <v>0</v>
      </c>
      <c r="F108" s="186">
        <v>462782737.9382</v>
      </c>
      <c r="G108" s="186">
        <v>421484928.3949849</v>
      </c>
      <c r="H108" s="186">
        <v>428621221.43977141</v>
      </c>
      <c r="I108" s="186">
        <v>393494687.36439043</v>
      </c>
    </row>
    <row r="109" spans="2:11">
      <c r="B109" s="208" t="s">
        <v>288</v>
      </c>
      <c r="C109" s="209" t="s">
        <v>23</v>
      </c>
      <c r="D109" s="186"/>
      <c r="E109" s="186"/>
      <c r="F109" s="186">
        <v>0</v>
      </c>
      <c r="G109" s="186">
        <v>803564.18801135838</v>
      </c>
      <c r="H109" s="186">
        <v>582917.04220709228</v>
      </c>
      <c r="I109" s="186">
        <v>4512659.7324101469</v>
      </c>
    </row>
    <row r="110" spans="2:11">
      <c r="B110" s="208" t="s">
        <v>289</v>
      </c>
      <c r="C110" s="209" t="s">
        <v>23</v>
      </c>
      <c r="D110" s="186"/>
      <c r="E110" s="186"/>
      <c r="F110" s="186">
        <v>0</v>
      </c>
      <c r="G110" s="186">
        <v>853941.65365597745</v>
      </c>
      <c r="H110" s="186">
        <v>1135151.5755510177</v>
      </c>
      <c r="I110" s="186">
        <v>9526117.0163383409</v>
      </c>
    </row>
    <row r="111" spans="2:11">
      <c r="B111" s="208" t="s">
        <v>264</v>
      </c>
      <c r="C111" s="209" t="s">
        <v>23</v>
      </c>
      <c r="D111" s="186">
        <v>34923242.687638603</v>
      </c>
      <c r="E111" s="186">
        <v>39507105.897935271</v>
      </c>
      <c r="F111" s="186">
        <v>37531750.603038505</v>
      </c>
      <c r="G111" s="186">
        <v>39033726.798693001</v>
      </c>
      <c r="H111" s="186">
        <v>26157974.338518087</v>
      </c>
      <c r="I111" s="186">
        <v>17713570.172682729</v>
      </c>
    </row>
    <row r="112" spans="2:11">
      <c r="B112" s="208" t="s">
        <v>266</v>
      </c>
      <c r="C112" s="209" t="s">
        <v>22</v>
      </c>
      <c r="D112" s="186">
        <v>160302886.3976512</v>
      </c>
      <c r="E112" s="186">
        <v>84107799.941458017</v>
      </c>
      <c r="F112" s="186">
        <v>0</v>
      </c>
      <c r="G112" s="186">
        <v>0</v>
      </c>
      <c r="H112" s="186">
        <v>0</v>
      </c>
      <c r="I112" s="186">
        <f t="shared" ref="I112:I128" si="37">$H112</f>
        <v>0</v>
      </c>
    </row>
    <row r="113" spans="2:9">
      <c r="B113" s="208" t="s">
        <v>267</v>
      </c>
      <c r="C113" s="209" t="s">
        <v>22</v>
      </c>
      <c r="D113" s="186">
        <v>1741352250.3092389</v>
      </c>
      <c r="E113" s="186">
        <v>872768816.80303192</v>
      </c>
      <c r="F113" s="186">
        <v>0</v>
      </c>
      <c r="G113" s="186">
        <v>0</v>
      </c>
      <c r="H113" s="186">
        <v>0</v>
      </c>
      <c r="I113" s="186">
        <f t="shared" si="37"/>
        <v>0</v>
      </c>
    </row>
    <row r="114" spans="2:9">
      <c r="B114" s="208" t="s">
        <v>268</v>
      </c>
      <c r="C114" s="209" t="s">
        <v>22</v>
      </c>
      <c r="D114" s="186">
        <v>4330826.665267</v>
      </c>
      <c r="E114" s="186">
        <v>2550710.6802469995</v>
      </c>
      <c r="F114" s="186">
        <v>0</v>
      </c>
      <c r="G114" s="186">
        <v>0</v>
      </c>
      <c r="H114" s="186">
        <v>0</v>
      </c>
      <c r="I114" s="186">
        <f t="shared" si="37"/>
        <v>0</v>
      </c>
    </row>
    <row r="115" spans="2:9">
      <c r="B115" s="208" t="s">
        <v>269</v>
      </c>
      <c r="C115" s="209" t="s">
        <v>22</v>
      </c>
      <c r="D115" s="186">
        <v>-4905720.6226087995</v>
      </c>
      <c r="E115" s="186">
        <v>278951.74349999998</v>
      </c>
      <c r="F115" s="186">
        <v>0</v>
      </c>
      <c r="G115" s="186">
        <v>0</v>
      </c>
      <c r="H115" s="186">
        <v>0</v>
      </c>
      <c r="I115" s="186">
        <f t="shared" si="37"/>
        <v>0</v>
      </c>
    </row>
    <row r="116" spans="2:9">
      <c r="B116" s="208" t="s">
        <v>270</v>
      </c>
      <c r="C116" s="209" t="s">
        <v>22</v>
      </c>
      <c r="D116" s="186">
        <v>106287506.130505</v>
      </c>
      <c r="E116" s="186">
        <v>60923436.068206996</v>
      </c>
      <c r="F116" s="186">
        <v>0</v>
      </c>
      <c r="G116" s="186">
        <v>0</v>
      </c>
      <c r="H116" s="186">
        <v>0</v>
      </c>
      <c r="I116" s="186">
        <f t="shared" si="37"/>
        <v>0</v>
      </c>
    </row>
    <row r="117" spans="2:9">
      <c r="B117" s="208" t="s">
        <v>271</v>
      </c>
      <c r="C117" s="209" t="s">
        <v>22</v>
      </c>
      <c r="D117" s="186">
        <v>116264771.48515339</v>
      </c>
      <c r="E117" s="186">
        <v>59693331.858680002</v>
      </c>
      <c r="F117" s="186">
        <v>0</v>
      </c>
      <c r="G117" s="186">
        <v>0</v>
      </c>
      <c r="H117" s="186">
        <v>0</v>
      </c>
      <c r="I117" s="186">
        <f t="shared" si="37"/>
        <v>0</v>
      </c>
    </row>
    <row r="118" spans="2:9">
      <c r="B118" s="208" t="s">
        <v>282</v>
      </c>
      <c r="C118" s="209" t="s">
        <v>22</v>
      </c>
      <c r="D118" s="186"/>
      <c r="E118" s="186">
        <v>94689397.936688378</v>
      </c>
      <c r="F118" s="186">
        <v>192365534.82694715</v>
      </c>
      <c r="G118" s="186">
        <v>201612929.25032902</v>
      </c>
      <c r="H118" s="186">
        <v>184175788.7712332</v>
      </c>
      <c r="I118" s="186">
        <v>223996915.31135193</v>
      </c>
    </row>
    <row r="119" spans="2:9">
      <c r="B119" s="208" t="s">
        <v>283</v>
      </c>
      <c r="C119" s="209" t="s">
        <v>22</v>
      </c>
      <c r="D119" s="186"/>
      <c r="E119" s="186">
        <v>977285919.01564312</v>
      </c>
      <c r="F119" s="186">
        <v>1972478673.9023273</v>
      </c>
      <c r="G119" s="186">
        <v>1974034882.2770934</v>
      </c>
      <c r="H119" s="186">
        <v>1930880273.1251705</v>
      </c>
      <c r="I119" s="186">
        <v>2011710918.7175615</v>
      </c>
    </row>
    <row r="120" spans="2:9">
      <c r="B120" s="208" t="s">
        <v>272</v>
      </c>
      <c r="C120" s="209" t="s">
        <v>4</v>
      </c>
      <c r="D120" s="186">
        <v>602136879.75428629</v>
      </c>
      <c r="E120" s="186">
        <v>309329839.13125396</v>
      </c>
      <c r="F120" s="186">
        <v>0</v>
      </c>
      <c r="G120" s="186">
        <v>0</v>
      </c>
      <c r="H120" s="186">
        <v>0</v>
      </c>
      <c r="I120" s="186">
        <f t="shared" si="37"/>
        <v>0</v>
      </c>
    </row>
    <row r="121" spans="2:9">
      <c r="B121" s="208" t="s">
        <v>273</v>
      </c>
      <c r="C121" s="209" t="s">
        <v>4</v>
      </c>
      <c r="D121" s="186">
        <v>0</v>
      </c>
      <c r="E121" s="186">
        <v>0</v>
      </c>
      <c r="F121" s="186">
        <v>0</v>
      </c>
      <c r="G121" s="186">
        <v>0</v>
      </c>
      <c r="H121" s="186">
        <v>0</v>
      </c>
      <c r="I121" s="186">
        <f t="shared" si="37"/>
        <v>0</v>
      </c>
    </row>
    <row r="122" spans="2:9">
      <c r="B122" s="208" t="s">
        <v>274</v>
      </c>
      <c r="C122" s="209" t="s">
        <v>4</v>
      </c>
      <c r="D122" s="186">
        <v>0</v>
      </c>
      <c r="E122" s="186">
        <v>0</v>
      </c>
      <c r="F122" s="186">
        <v>0</v>
      </c>
      <c r="G122" s="186">
        <v>0</v>
      </c>
      <c r="H122" s="186">
        <v>0</v>
      </c>
      <c r="I122" s="186">
        <f t="shared" si="37"/>
        <v>0</v>
      </c>
    </row>
    <row r="123" spans="2:9">
      <c r="B123" s="208" t="s">
        <v>275</v>
      </c>
      <c r="C123" s="209" t="s">
        <v>4</v>
      </c>
      <c r="D123" s="186">
        <v>8161299.4205940012</v>
      </c>
      <c r="E123" s="186">
        <v>4037728.4035</v>
      </c>
      <c r="F123" s="186">
        <v>0</v>
      </c>
      <c r="G123" s="186">
        <v>0</v>
      </c>
      <c r="H123" s="186">
        <v>0</v>
      </c>
      <c r="I123" s="186">
        <f t="shared" si="37"/>
        <v>0</v>
      </c>
    </row>
    <row r="124" spans="2:9">
      <c r="B124" s="208" t="s">
        <v>4</v>
      </c>
      <c r="C124" s="209" t="s">
        <v>4</v>
      </c>
      <c r="D124" s="186"/>
      <c r="E124" s="186">
        <v>311111234.69522262</v>
      </c>
      <c r="F124" s="186">
        <v>645842124.23329401</v>
      </c>
      <c r="G124" s="186">
        <v>664238720.97318816</v>
      </c>
      <c r="H124" s="186">
        <v>665609671.49739432</v>
      </c>
      <c r="I124" s="186">
        <v>542468877.59381747</v>
      </c>
    </row>
    <row r="125" spans="2:9">
      <c r="B125" s="208" t="s">
        <v>284</v>
      </c>
      <c r="C125" s="209" t="s">
        <v>4</v>
      </c>
      <c r="D125" s="186"/>
      <c r="E125" s="186">
        <v>0</v>
      </c>
      <c r="F125" s="186">
        <v>0</v>
      </c>
      <c r="G125" s="186">
        <v>0</v>
      </c>
      <c r="H125" s="186">
        <v>0</v>
      </c>
      <c r="I125" s="186">
        <f t="shared" si="37"/>
        <v>0</v>
      </c>
    </row>
    <row r="126" spans="2:9">
      <c r="B126" s="208" t="s">
        <v>285</v>
      </c>
      <c r="C126" s="209" t="s">
        <v>11</v>
      </c>
      <c r="D126" s="186">
        <v>102394726.89788002</v>
      </c>
      <c r="E126" s="186">
        <v>56301984.414234005</v>
      </c>
      <c r="F126" s="186">
        <v>0</v>
      </c>
      <c r="G126" s="186">
        <v>0</v>
      </c>
      <c r="H126" s="186">
        <v>0</v>
      </c>
      <c r="I126" s="186">
        <f t="shared" si="37"/>
        <v>0</v>
      </c>
    </row>
    <row r="127" spans="2:9">
      <c r="B127" s="208" t="s">
        <v>11</v>
      </c>
      <c r="C127" s="209" t="s">
        <v>11</v>
      </c>
      <c r="D127" s="186"/>
      <c r="E127" s="186">
        <v>52181638.987092622</v>
      </c>
      <c r="F127" s="186">
        <v>108483623.40132663</v>
      </c>
      <c r="G127" s="186">
        <v>103563387.485</v>
      </c>
      <c r="H127" s="186">
        <v>100707760.42193034</v>
      </c>
      <c r="I127" s="186">
        <v>90038434.558952779</v>
      </c>
    </row>
    <row r="128" spans="2:9">
      <c r="B128" s="54" t="s">
        <v>3</v>
      </c>
      <c r="C128" s="54"/>
      <c r="D128" s="187">
        <f t="shared" ref="D128:H128" si="38">SUM(D80:D127)</f>
        <v>5944173062.2222977</v>
      </c>
      <c r="E128" s="187">
        <f t="shared" si="38"/>
        <v>5942926241.5521927</v>
      </c>
      <c r="F128" s="187">
        <f t="shared" si="38"/>
        <v>5959445824.0842981</v>
      </c>
      <c r="G128" s="187">
        <f t="shared" si="38"/>
        <v>5900930613.2923288</v>
      </c>
      <c r="H128" s="187">
        <f t="shared" si="38"/>
        <v>5888168338.9133711</v>
      </c>
      <c r="I128" s="187">
        <f t="shared" si="37"/>
        <v>5888168338.9133711</v>
      </c>
    </row>
    <row r="129" spans="2:9" s="145" customFormat="1">
      <c r="D129" s="146"/>
      <c r="F129" s="188"/>
      <c r="G129" s="182"/>
      <c r="H129" s="182"/>
      <c r="I129" s="182"/>
    </row>
    <row r="130" spans="2:9" s="145" customFormat="1">
      <c r="D130" s="189"/>
      <c r="E130" s="189"/>
      <c r="F130" s="189"/>
      <c r="G130" s="189"/>
      <c r="H130" s="189"/>
      <c r="I130" s="189"/>
    </row>
    <row r="131" spans="2:9" s="145" customFormat="1">
      <c r="D131" s="146"/>
      <c r="F131" s="188"/>
      <c r="G131" s="182"/>
      <c r="H131" s="182"/>
      <c r="I131" s="182"/>
    </row>
    <row r="132" spans="2:9">
      <c r="B132" s="163" t="s">
        <v>45</v>
      </c>
      <c r="C132" s="142" t="s">
        <v>69</v>
      </c>
      <c r="D132" s="163"/>
      <c r="E132" s="78"/>
      <c r="F132" s="78"/>
      <c r="G132" s="78"/>
      <c r="H132" s="78"/>
      <c r="I132" s="78"/>
    </row>
    <row r="133" spans="2:9">
      <c r="B133" s="2" t="str">
        <f>B80</f>
        <v>Residential Single Rate</v>
      </c>
      <c r="C133" s="71" t="str">
        <f>C80</f>
        <v>Residential</v>
      </c>
      <c r="D133" s="186">
        <v>198643.75</v>
      </c>
      <c r="E133" s="186">
        <v>199767.41666666666</v>
      </c>
      <c r="F133" s="186">
        <v>203103.28638840039</v>
      </c>
      <c r="G133" s="186">
        <v>203567.54384608413</v>
      </c>
      <c r="H133" s="186">
        <v>205044.5</v>
      </c>
      <c r="I133" s="186">
        <v>206178.44076359438</v>
      </c>
    </row>
    <row r="134" spans="2:9">
      <c r="B134" s="2" t="str">
        <f t="shared" ref="B134:C134" si="39">B81</f>
        <v>Residential Single Rate - Bulk</v>
      </c>
      <c r="C134" s="71" t="str">
        <f t="shared" si="39"/>
        <v>Residential</v>
      </c>
      <c r="D134" s="186">
        <v>30651.916666666668</v>
      </c>
      <c r="E134" s="186">
        <v>30748.916666666668</v>
      </c>
      <c r="F134" s="186">
        <v>30973.485625911526</v>
      </c>
      <c r="G134" s="186">
        <v>30796.16529635977</v>
      </c>
      <c r="H134" s="186">
        <v>31480.916666666668</v>
      </c>
      <c r="I134" s="186">
        <v>31089.947611169671</v>
      </c>
    </row>
    <row r="135" spans="2:9">
      <c r="B135" s="2" t="str">
        <f t="shared" ref="B135:C135" si="40">B82</f>
        <v>Residential - flexible pricing</v>
      </c>
      <c r="C135" s="71" t="str">
        <f t="shared" si="40"/>
        <v>Residential</v>
      </c>
      <c r="D135" s="186">
        <v>625.75</v>
      </c>
      <c r="E135" s="186">
        <v>669.75</v>
      </c>
      <c r="F135" s="186">
        <v>686.15047014732033</v>
      </c>
      <c r="G135" s="186">
        <v>692.19902131802507</v>
      </c>
      <c r="H135" s="186">
        <v>693.41666666666663</v>
      </c>
      <c r="I135" s="186">
        <v>697.78377437315021</v>
      </c>
    </row>
    <row r="136" spans="2:9">
      <c r="B136" s="2" t="str">
        <f t="shared" ref="B136:C136" si="41">B83</f>
        <v>Residential - flexible pricing bulk</v>
      </c>
      <c r="C136" s="71" t="str">
        <f t="shared" si="41"/>
        <v>Residential</v>
      </c>
      <c r="D136" s="186">
        <v>85</v>
      </c>
      <c r="E136" s="186">
        <v>86.333333333333329</v>
      </c>
      <c r="F136" s="186">
        <v>86.713471080163117</v>
      </c>
      <c r="G136" s="186">
        <v>86</v>
      </c>
      <c r="H136" s="186">
        <v>90</v>
      </c>
      <c r="I136" s="186">
        <v>92.829526834867764</v>
      </c>
    </row>
    <row r="137" spans="2:9">
      <c r="B137" s="2" t="str">
        <f t="shared" ref="B137:C137" si="42">B84</f>
        <v>Residential Two Rate 5d</v>
      </c>
      <c r="C137" s="71" t="str">
        <f t="shared" si="42"/>
        <v>Residential</v>
      </c>
      <c r="D137" s="186">
        <v>11068.583333333334</v>
      </c>
      <c r="E137" s="186">
        <v>11057.166666666666</v>
      </c>
      <c r="F137" s="186">
        <v>11014.749131530216</v>
      </c>
      <c r="G137" s="186">
        <v>10844.918915256892</v>
      </c>
      <c r="H137" s="186">
        <v>10820.083333333334</v>
      </c>
      <c r="I137" s="186">
        <v>10806.12165035933</v>
      </c>
    </row>
    <row r="138" spans="2:9">
      <c r="B138" s="2" t="str">
        <f t="shared" ref="B138:C138" si="43">B85</f>
        <v>Residential Two Rate 5d - Bulk</v>
      </c>
      <c r="C138" s="71" t="str">
        <f t="shared" si="43"/>
        <v>Residential</v>
      </c>
      <c r="D138" s="186">
        <v>4382.916666666667</v>
      </c>
      <c r="E138" s="186">
        <v>4385.416666666667</v>
      </c>
      <c r="F138" s="186">
        <v>4381.6195226463469</v>
      </c>
      <c r="G138" s="186">
        <v>4325.4798963063058</v>
      </c>
      <c r="H138" s="186">
        <v>4352.5</v>
      </c>
      <c r="I138" s="186">
        <v>4316.8242068076952</v>
      </c>
    </row>
    <row r="139" spans="2:9">
      <c r="B139" s="2" t="str">
        <f t="shared" ref="B139:C139" si="44">B86</f>
        <v>Residential Interval</v>
      </c>
      <c r="C139" s="71" t="str">
        <f t="shared" si="44"/>
        <v>Residential</v>
      </c>
      <c r="D139" s="186">
        <v>17380.5</v>
      </c>
      <c r="E139" s="186">
        <v>17341.75</v>
      </c>
      <c r="F139" s="186">
        <v>17389.147828919202</v>
      </c>
      <c r="G139" s="186">
        <v>17220.894511590293</v>
      </c>
      <c r="H139" s="186">
        <v>17057.166666666668</v>
      </c>
      <c r="I139" s="186">
        <v>17021.34204511912</v>
      </c>
    </row>
    <row r="140" spans="2:9">
      <c r="B140" s="2" t="str">
        <f t="shared" ref="B140:C140" si="45">B87</f>
        <v>Residential Interval - Bulk</v>
      </c>
      <c r="C140" s="71" t="str">
        <f t="shared" si="45"/>
        <v>Residential</v>
      </c>
      <c r="D140" s="186">
        <v>9012.25</v>
      </c>
      <c r="E140" s="186">
        <v>9025.1666666666661</v>
      </c>
      <c r="F140" s="186">
        <v>8919.7013287955069</v>
      </c>
      <c r="G140" s="186">
        <v>8720.0761855865894</v>
      </c>
      <c r="H140" s="186">
        <v>8658</v>
      </c>
      <c r="I140" s="186">
        <v>8705.3498093096259</v>
      </c>
    </row>
    <row r="141" spans="2:9">
      <c r="B141" s="2" t="str">
        <f t="shared" ref="B141:C141" si="46">B88</f>
        <v>Residential Two Rate 5d - Controlled Load</v>
      </c>
      <c r="C141" s="71" t="str">
        <f t="shared" si="46"/>
        <v>Residential</v>
      </c>
      <c r="D141" s="186">
        <v>9590.5833333333339</v>
      </c>
      <c r="E141" s="186">
        <v>9680.25</v>
      </c>
      <c r="F141" s="186">
        <v>9702.4868219820364</v>
      </c>
      <c r="G141" s="186">
        <v>9721.6356157284772</v>
      </c>
      <c r="H141" s="186">
        <v>9732.6666666666661</v>
      </c>
      <c r="I141" s="186">
        <v>0</v>
      </c>
    </row>
    <row r="142" spans="2:9">
      <c r="B142" s="2" t="str">
        <f t="shared" ref="B142:C142" si="47">B89</f>
        <v>Residential Two Rate 5d - Bulk - Controlled Load</v>
      </c>
      <c r="C142" s="71" t="str">
        <f t="shared" si="47"/>
        <v>Residential</v>
      </c>
      <c r="D142" s="186">
        <v>3682.1666666666665</v>
      </c>
      <c r="E142" s="186">
        <v>3687.5833333333335</v>
      </c>
      <c r="F142" s="186">
        <v>3672.0139367766869</v>
      </c>
      <c r="G142" s="186">
        <v>3658.6066628568519</v>
      </c>
      <c r="H142" s="186">
        <v>3683.8333333333335</v>
      </c>
      <c r="I142" s="186">
        <v>0</v>
      </c>
    </row>
    <row r="143" spans="2:9">
      <c r="B143" s="2" t="str">
        <f t="shared" ref="B143:C143" si="48">B90</f>
        <v>Dedicated Circuit</v>
      </c>
      <c r="C143" s="71" t="str">
        <f t="shared" si="48"/>
        <v>Residential</v>
      </c>
      <c r="D143" s="186">
        <v>24190.5</v>
      </c>
      <c r="E143" s="186">
        <v>24014.833333333332</v>
      </c>
      <c r="F143" s="186">
        <v>23277.215443521112</v>
      </c>
      <c r="G143" s="186">
        <v>22642.030575507612</v>
      </c>
      <c r="H143" s="186">
        <v>22825.5</v>
      </c>
      <c r="I143" s="186">
        <v>32498.745053272465</v>
      </c>
    </row>
    <row r="144" spans="2:9">
      <c r="B144" s="2" t="str">
        <f t="shared" ref="B144:C144" si="49">B91</f>
        <v>Dedicated Circuit - Bulk</v>
      </c>
      <c r="C144" s="71" t="str">
        <f t="shared" si="49"/>
        <v>Residential</v>
      </c>
      <c r="D144" s="186">
        <v>1167.6666666666667</v>
      </c>
      <c r="E144" s="186">
        <v>1171.8333333333333</v>
      </c>
      <c r="F144" s="186">
        <v>1123.2853452453983</v>
      </c>
      <c r="G144" s="186">
        <v>1081.4792179376586</v>
      </c>
      <c r="H144" s="186">
        <v>1105.5833333333333</v>
      </c>
      <c r="I144" s="186">
        <v>5581.4193302891908</v>
      </c>
    </row>
    <row r="145" spans="2:9">
      <c r="B145" s="2" t="str">
        <f t="shared" ref="B145:C145" si="50">B92</f>
        <v>Residential Demand</v>
      </c>
      <c r="C145" s="71" t="str">
        <f t="shared" si="50"/>
        <v>Residential</v>
      </c>
      <c r="D145" s="186"/>
      <c r="E145" s="186">
        <v>0</v>
      </c>
      <c r="F145" s="186">
        <v>5</v>
      </c>
      <c r="G145" s="186">
        <v>5</v>
      </c>
      <c r="H145" s="186">
        <v>4</v>
      </c>
      <c r="I145" s="186">
        <v>8.4225614876243853</v>
      </c>
    </row>
    <row r="146" spans="2:9">
      <c r="B146" s="2" t="str">
        <f t="shared" ref="B146:C146" si="51">B93</f>
        <v>Residential Bulk Demand</v>
      </c>
      <c r="C146" s="71" t="str">
        <f t="shared" si="51"/>
        <v>Residential</v>
      </c>
      <c r="D146" s="186"/>
      <c r="E146" s="186">
        <v>0</v>
      </c>
      <c r="F146" s="186">
        <v>1</v>
      </c>
      <c r="G146" s="186">
        <v>1</v>
      </c>
      <c r="H146" s="186">
        <v>0</v>
      </c>
      <c r="I146" s="186">
        <v>1.9569063180827886</v>
      </c>
    </row>
    <row r="147" spans="2:9">
      <c r="B147" s="2" t="str">
        <f t="shared" ref="B147:C147" si="52">B94</f>
        <v>Non-Residential Single Rate</v>
      </c>
      <c r="C147" s="71" t="str">
        <f t="shared" si="52"/>
        <v>Small Commercial</v>
      </c>
      <c r="D147" s="186">
        <v>19695.25</v>
      </c>
      <c r="E147" s="186">
        <v>19872.083333333332</v>
      </c>
      <c r="F147" s="186">
        <v>18642.443749999995</v>
      </c>
      <c r="G147" s="186">
        <v>18214.931992410631</v>
      </c>
      <c r="H147" s="186">
        <v>20319.916666666668</v>
      </c>
      <c r="I147" s="186">
        <v>19278.928459938834</v>
      </c>
    </row>
    <row r="148" spans="2:9">
      <c r="B148" s="2" t="str">
        <f t="shared" ref="B148:C148" si="53">B95</f>
        <v>Non-Residential Single Rate - Bulk</v>
      </c>
      <c r="C148" s="71" t="str">
        <f t="shared" si="53"/>
        <v>Small Commercial</v>
      </c>
      <c r="D148" s="186">
        <v>5873.5</v>
      </c>
      <c r="E148" s="186">
        <v>5952.833333333333</v>
      </c>
      <c r="F148" s="186">
        <v>5552.5974999999989</v>
      </c>
      <c r="G148" s="186">
        <v>5599.0051578270723</v>
      </c>
      <c r="H148" s="186">
        <v>5859.166666666667</v>
      </c>
      <c r="I148" s="186">
        <v>5769.6090324287434</v>
      </c>
    </row>
    <row r="149" spans="2:9">
      <c r="B149" s="2" t="str">
        <f t="shared" ref="B149:C149" si="54">B96</f>
        <v>Non-Residential Two Rate 5d</v>
      </c>
      <c r="C149" s="71" t="str">
        <f t="shared" si="54"/>
        <v>Small Commercial</v>
      </c>
      <c r="D149" s="186">
        <v>11612.583333333334</v>
      </c>
      <c r="E149" s="186">
        <v>11515.833333333334</v>
      </c>
      <c r="F149" s="186">
        <v>8807.8333333333339</v>
      </c>
      <c r="G149" s="186">
        <v>6325.9121198712201</v>
      </c>
      <c r="H149" s="186">
        <v>8457.4166666666661</v>
      </c>
      <c r="I149" s="186">
        <v>6175.6551246567678</v>
      </c>
    </row>
    <row r="150" spans="2:9">
      <c r="B150" s="2" t="str">
        <f t="shared" ref="B150:C150" si="55">B97</f>
        <v>Non-Residential Two Rate 5d - Bulk</v>
      </c>
      <c r="C150" s="71" t="str">
        <f t="shared" si="55"/>
        <v>Small Commercial</v>
      </c>
      <c r="D150" s="186">
        <v>1950.9166666666667</v>
      </c>
      <c r="E150" s="186">
        <v>1890.5833333333333</v>
      </c>
      <c r="F150" s="186">
        <v>1236.5833333333333</v>
      </c>
      <c r="G150" s="186">
        <v>1106.5355969893287</v>
      </c>
      <c r="H150" s="186">
        <v>1060</v>
      </c>
      <c r="I150" s="186">
        <v>999.43191263014216</v>
      </c>
    </row>
    <row r="151" spans="2:9">
      <c r="B151" s="2" t="str">
        <f t="shared" ref="B151:C151" si="56">B98</f>
        <v>Non-Residential Interval</v>
      </c>
      <c r="C151" s="71" t="str">
        <f t="shared" si="56"/>
        <v>Small Commercial</v>
      </c>
      <c r="D151" s="186">
        <v>5092.75</v>
      </c>
      <c r="E151" s="186">
        <v>5035.833333333333</v>
      </c>
      <c r="F151" s="186">
        <v>4039.833333333333</v>
      </c>
      <c r="G151" s="186">
        <v>4011.7924540561471</v>
      </c>
      <c r="H151" s="186">
        <v>3960.0833333333335</v>
      </c>
      <c r="I151" s="186">
        <v>3789.6292029166912</v>
      </c>
    </row>
    <row r="152" spans="2:9">
      <c r="B152" s="2" t="str">
        <f t="shared" ref="B152:C152" si="57">B99</f>
        <v>Non-Residential Interval - Bulk</v>
      </c>
      <c r="C152" s="71" t="str">
        <f t="shared" si="57"/>
        <v>Small Commercial</v>
      </c>
      <c r="D152" s="186">
        <v>3112.1666666666665</v>
      </c>
      <c r="E152" s="186">
        <v>3081.0833333333335</v>
      </c>
      <c r="F152" s="186">
        <v>2063.0833333333335</v>
      </c>
      <c r="G152" s="186">
        <v>1947.1728239646436</v>
      </c>
      <c r="H152" s="186">
        <v>1945.0833333333333</v>
      </c>
      <c r="I152" s="186">
        <v>1768.9772717301021</v>
      </c>
    </row>
    <row r="153" spans="2:9">
      <c r="B153" s="2" t="str">
        <f t="shared" ref="B153:C153" si="58">B100</f>
        <v>Non-Residential Flexible Pricing</v>
      </c>
      <c r="C153" s="71" t="str">
        <f t="shared" si="58"/>
        <v>Small Commercial</v>
      </c>
      <c r="D153" s="186">
        <v>34.833333333333336</v>
      </c>
      <c r="E153" s="186">
        <v>37.083333333333336</v>
      </c>
      <c r="F153" s="186">
        <v>23.083333333333336</v>
      </c>
      <c r="G153" s="186">
        <v>21.102227884604787</v>
      </c>
      <c r="H153" s="186">
        <v>22</v>
      </c>
      <c r="I153" s="186">
        <v>20.735050198175649</v>
      </c>
    </row>
    <row r="154" spans="2:9">
      <c r="B154" s="2" t="str">
        <f t="shared" ref="B154:C154" si="59">B101</f>
        <v>Non-Residential - Flexible Pricing Bulk</v>
      </c>
      <c r="C154" s="71" t="str">
        <f t="shared" si="59"/>
        <v>Small Commercial</v>
      </c>
      <c r="D154" s="186">
        <v>22</v>
      </c>
      <c r="E154" s="186">
        <v>21.75</v>
      </c>
      <c r="F154" s="186">
        <v>6.75</v>
      </c>
      <c r="G154" s="186">
        <v>5</v>
      </c>
      <c r="H154" s="186">
        <v>7</v>
      </c>
      <c r="I154" s="186">
        <v>0.91833100642885634</v>
      </c>
    </row>
    <row r="155" spans="2:9">
      <c r="B155" s="2" t="str">
        <f t="shared" ref="B155:C155" si="60">B102</f>
        <v>Non-Residential Two Rate 7d</v>
      </c>
      <c r="C155" s="71" t="str">
        <f t="shared" si="60"/>
        <v>Small Commercial</v>
      </c>
      <c r="D155" s="186">
        <v>3106.4166666666665</v>
      </c>
      <c r="E155" s="186">
        <v>3073.1666666666665</v>
      </c>
      <c r="F155" s="186">
        <v>2567.1666666666665</v>
      </c>
      <c r="G155" s="186">
        <v>2322.444207091999</v>
      </c>
      <c r="H155" s="186">
        <v>2325</v>
      </c>
      <c r="I155" s="186">
        <v>2306.9483847452143</v>
      </c>
    </row>
    <row r="156" spans="2:9">
      <c r="B156" s="2" t="str">
        <f t="shared" ref="B156:C156" si="61">B103</f>
        <v>Non-Residential Two Rate 7d - Bulk</v>
      </c>
      <c r="C156" s="71" t="str">
        <f t="shared" si="61"/>
        <v>Small Commercial</v>
      </c>
      <c r="D156" s="186">
        <v>447.25</v>
      </c>
      <c r="E156" s="186">
        <v>426.41666666666669</v>
      </c>
      <c r="F156" s="186">
        <v>294.41666666666669</v>
      </c>
      <c r="G156" s="186">
        <v>251.52691546810573</v>
      </c>
      <c r="H156" s="186">
        <v>253.08333333333334</v>
      </c>
      <c r="I156" s="186">
        <v>223.54159787790852</v>
      </c>
    </row>
    <row r="157" spans="2:9">
      <c r="B157" s="2" t="str">
        <f t="shared" ref="B157:C157" si="62">B104</f>
        <v>Large Two Rate 7d</v>
      </c>
      <c r="C157" s="71" t="str">
        <f t="shared" si="62"/>
        <v>Small Commercial</v>
      </c>
      <c r="D157" s="186">
        <v>41.75</v>
      </c>
      <c r="E157" s="186">
        <v>40</v>
      </c>
      <c r="F157" s="186">
        <v>2</v>
      </c>
      <c r="G157" s="186">
        <v>4</v>
      </c>
      <c r="H157" s="186">
        <v>4</v>
      </c>
      <c r="I157" s="186">
        <v>1</v>
      </c>
    </row>
    <row r="158" spans="2:9">
      <c r="B158" s="2" t="str">
        <f t="shared" ref="B158:C158" si="63">B105</f>
        <v>Non-Residential Demand Tariff</v>
      </c>
      <c r="C158" s="71" t="str">
        <f t="shared" si="63"/>
        <v>Small Commercial</v>
      </c>
      <c r="D158" s="186"/>
      <c r="E158" s="186">
        <v>0</v>
      </c>
      <c r="F158" s="186">
        <v>943</v>
      </c>
      <c r="G158" s="186">
        <v>5</v>
      </c>
      <c r="H158" s="186">
        <v>8</v>
      </c>
      <c r="I158" s="186">
        <v>66.714761999582805</v>
      </c>
    </row>
    <row r="159" spans="2:9">
      <c r="B159" s="2" t="str">
        <f t="shared" ref="B159:C159" si="64">B106</f>
        <v>Non-Residential Bulk Demand Tariff</v>
      </c>
      <c r="C159" s="71" t="str">
        <f t="shared" si="64"/>
        <v>Small Commercial</v>
      </c>
      <c r="D159" s="186"/>
      <c r="E159" s="186">
        <v>0</v>
      </c>
      <c r="F159" s="186">
        <v>0</v>
      </c>
      <c r="G159" s="186">
        <v>1</v>
      </c>
      <c r="H159" s="186">
        <v>4</v>
      </c>
      <c r="I159" s="186">
        <v>148.11154188428057</v>
      </c>
    </row>
    <row r="160" spans="2:9">
      <c r="B160" s="2" t="str">
        <f t="shared" ref="B160:C160" si="65">B107</f>
        <v>Medium business demand</v>
      </c>
      <c r="C160" s="71" t="str">
        <f t="shared" si="65"/>
        <v>Small Commercial</v>
      </c>
      <c r="D160" s="186"/>
      <c r="E160" s="186">
        <v>0</v>
      </c>
      <c r="F160" s="186">
        <v>4648</v>
      </c>
      <c r="G160" s="186">
        <v>4454.7584285325547</v>
      </c>
      <c r="H160" s="186">
        <v>4548</v>
      </c>
      <c r="I160" s="186">
        <v>4403.4018551523304</v>
      </c>
    </row>
    <row r="161" spans="2:9">
      <c r="B161" s="2" t="str">
        <f t="shared" ref="B161:C161" si="66">B108</f>
        <v>Medium business demand bulk</v>
      </c>
      <c r="C161" s="71" t="str">
        <f t="shared" si="66"/>
        <v>Small Commercial</v>
      </c>
      <c r="D161" s="186"/>
      <c r="E161" s="186">
        <v>0</v>
      </c>
      <c r="F161" s="186">
        <v>2249</v>
      </c>
      <c r="G161" s="186">
        <v>2142.0682091572939</v>
      </c>
      <c r="H161" s="186">
        <v>2221.9166666666665</v>
      </c>
      <c r="I161" s="186">
        <v>2080.7408836331665</v>
      </c>
    </row>
    <row r="162" spans="2:9">
      <c r="B162" s="2" t="str">
        <f t="shared" ref="B162:C162" si="67">B109</f>
        <v>Medium business opt-out</v>
      </c>
      <c r="C162" s="71" t="str">
        <f t="shared" si="67"/>
        <v>Small Commercial</v>
      </c>
      <c r="D162" s="186"/>
      <c r="E162" s="186"/>
      <c r="F162" s="186">
        <v>0</v>
      </c>
      <c r="G162" s="186">
        <v>9</v>
      </c>
      <c r="H162" s="186">
        <v>7</v>
      </c>
      <c r="I162" s="186">
        <v>41.341540163281572</v>
      </c>
    </row>
    <row r="163" spans="2:9">
      <c r="B163" s="2" t="str">
        <f t="shared" ref="B163:C163" si="68">B110</f>
        <v>Medium business bulk opt-out</v>
      </c>
      <c r="C163" s="71" t="str">
        <f t="shared" si="68"/>
        <v>Small Commercial</v>
      </c>
      <c r="D163" s="186"/>
      <c r="E163" s="186"/>
      <c r="F163" s="186">
        <v>0</v>
      </c>
      <c r="G163" s="186">
        <v>9</v>
      </c>
      <c r="H163" s="186">
        <v>9</v>
      </c>
      <c r="I163" s="186">
        <v>81.750047252346079</v>
      </c>
    </row>
    <row r="164" spans="2:9">
      <c r="B164" s="2" t="str">
        <f t="shared" ref="B164:C164" si="69">B111</f>
        <v>Unmetered Supplies / Public Lighting</v>
      </c>
      <c r="C164" s="71" t="str">
        <f t="shared" si="69"/>
        <v>Small Commercial</v>
      </c>
      <c r="D164" s="186">
        <v>1146.8333333333333</v>
      </c>
      <c r="E164" s="186">
        <v>1140.5</v>
      </c>
      <c r="F164" s="186">
        <v>1140.5</v>
      </c>
      <c r="G164" s="186">
        <v>4063</v>
      </c>
      <c r="H164" s="186">
        <v>4425.5</v>
      </c>
      <c r="I164" s="186">
        <v>4483.011669203448</v>
      </c>
    </row>
    <row r="165" spans="2:9">
      <c r="B165" s="2" t="str">
        <f t="shared" ref="B165:C165" si="70">B112</f>
        <v>Large Low Voltage Demand</v>
      </c>
      <c r="C165" s="71" t="str">
        <f t="shared" si="70"/>
        <v>Large Low voltage</v>
      </c>
      <c r="D165" s="186">
        <v>242.16666666666666</v>
      </c>
      <c r="E165" s="186">
        <v>248.41666666666666</v>
      </c>
      <c r="F165" s="186">
        <v>0</v>
      </c>
      <c r="G165" s="186">
        <v>0</v>
      </c>
      <c r="H165" s="186">
        <v>0</v>
      </c>
      <c r="I165" s="186"/>
    </row>
    <row r="166" spans="2:9">
      <c r="B166" s="2" t="str">
        <f t="shared" ref="B166:C166" si="71">B113</f>
        <v>Large Low Voltage Demand - Bulk</v>
      </c>
      <c r="C166" s="71" t="str">
        <f t="shared" si="71"/>
        <v>Large Low voltage</v>
      </c>
      <c r="D166" s="186">
        <v>1291.8333333333333</v>
      </c>
      <c r="E166" s="186">
        <v>1293.1666666666667</v>
      </c>
      <c r="F166" s="186">
        <v>0</v>
      </c>
      <c r="G166" s="186">
        <v>0</v>
      </c>
      <c r="H166" s="186">
        <v>0</v>
      </c>
      <c r="I166" s="186"/>
    </row>
    <row r="167" spans="2:9">
      <c r="B167" s="2" t="str">
        <f t="shared" ref="B167:C167" si="72">B114</f>
        <v>Large Low Voltage Demand R</v>
      </c>
      <c r="C167" s="71" t="str">
        <f t="shared" si="72"/>
        <v>Large Low voltage</v>
      </c>
      <c r="D167" s="186">
        <v>7.25</v>
      </c>
      <c r="E167" s="186">
        <v>10.416666666666666</v>
      </c>
      <c r="F167" s="186">
        <v>0</v>
      </c>
      <c r="G167" s="186">
        <v>0</v>
      </c>
      <c r="H167" s="186">
        <v>0</v>
      </c>
      <c r="I167" s="186"/>
    </row>
    <row r="168" spans="2:9">
      <c r="B168" s="2" t="str">
        <f t="shared" ref="B168:C168" si="73">B115</f>
        <v>Large Low Voltage Demand G</v>
      </c>
      <c r="C168" s="71" t="str">
        <f t="shared" si="73"/>
        <v>Large Low voltage</v>
      </c>
      <c r="D168" s="186">
        <v>2.0833333333333335</v>
      </c>
      <c r="E168" s="186">
        <v>1</v>
      </c>
      <c r="F168" s="186">
        <v>0</v>
      </c>
      <c r="G168" s="186">
        <v>0</v>
      </c>
      <c r="H168" s="186">
        <v>0</v>
      </c>
      <c r="I168" s="186"/>
    </row>
    <row r="169" spans="2:9">
      <c r="B169" s="2" t="str">
        <f t="shared" ref="B169:C169" si="74">B116</f>
        <v>Large Low Voltage Demand - Bulk R</v>
      </c>
      <c r="C169" s="71" t="str">
        <f t="shared" si="74"/>
        <v>Large Low voltage</v>
      </c>
      <c r="D169" s="186">
        <v>127.16666666666667</v>
      </c>
      <c r="E169" s="186">
        <v>169.66666666666666</v>
      </c>
      <c r="F169" s="186">
        <v>0</v>
      </c>
      <c r="G169" s="186">
        <v>0</v>
      </c>
      <c r="H169" s="186">
        <v>0</v>
      </c>
      <c r="I169" s="186"/>
    </row>
    <row r="170" spans="2:9">
      <c r="B170" s="2" t="str">
        <f t="shared" ref="B170:C170" si="75">B117</f>
        <v>Large Low Voltage Demand - Bulk G</v>
      </c>
      <c r="C170" s="71" t="str">
        <f t="shared" si="75"/>
        <v>Large Low voltage</v>
      </c>
      <c r="D170" s="186">
        <v>79.916666666666671</v>
      </c>
      <c r="E170" s="186">
        <v>67.666666666666671</v>
      </c>
      <c r="F170" s="186">
        <v>0</v>
      </c>
      <c r="G170" s="186">
        <v>0</v>
      </c>
      <c r="H170" s="186">
        <v>0</v>
      </c>
      <c r="I170" s="186"/>
    </row>
    <row r="171" spans="2:9">
      <c r="B171" s="2" t="str">
        <f t="shared" ref="B171:C171" si="76">B118</f>
        <v>Large low Voltage</v>
      </c>
      <c r="C171" s="71" t="str">
        <f t="shared" si="76"/>
        <v>Large Low voltage</v>
      </c>
      <c r="D171" s="186"/>
      <c r="E171" s="186">
        <v>259.83333333333331</v>
      </c>
      <c r="F171" s="186">
        <v>298.7522312755965</v>
      </c>
      <c r="G171" s="186">
        <v>330.02895782458518</v>
      </c>
      <c r="H171" s="186">
        <v>334.33333333333331</v>
      </c>
      <c r="I171" s="186">
        <v>400.17646833010758</v>
      </c>
    </row>
    <row r="172" spans="2:9">
      <c r="B172" s="2" t="str">
        <f t="shared" ref="B172:C172" si="77">B119</f>
        <v>Large low Voltage Bulk</v>
      </c>
      <c r="C172" s="71" t="str">
        <f t="shared" si="77"/>
        <v>Large Low voltage</v>
      </c>
      <c r="D172" s="186"/>
      <c r="E172" s="186">
        <v>1530.5000000000002</v>
      </c>
      <c r="F172" s="186">
        <v>1604.8126060804286</v>
      </c>
      <c r="G172" s="186">
        <v>1655.625823869291</v>
      </c>
      <c r="H172" s="186">
        <v>1731.1666666666667</v>
      </c>
      <c r="I172" s="186">
        <v>1842.9367112714808</v>
      </c>
    </row>
    <row r="173" spans="2:9">
      <c r="B173" s="2" t="str">
        <f t="shared" ref="B173:C173" si="78">B120</f>
        <v>High Voltage Demand</v>
      </c>
      <c r="C173" s="71" t="str">
        <f t="shared" si="78"/>
        <v>High Voltage</v>
      </c>
      <c r="D173" s="186">
        <v>80.083333333333329</v>
      </c>
      <c r="E173" s="186">
        <v>81.75</v>
      </c>
      <c r="F173" s="186">
        <v>0</v>
      </c>
      <c r="G173" s="186">
        <v>0</v>
      </c>
      <c r="H173" s="186">
        <v>0</v>
      </c>
      <c r="I173" s="186">
        <v>0</v>
      </c>
    </row>
    <row r="174" spans="2:9">
      <c r="B174" s="2" t="str">
        <f t="shared" ref="B174:C174" si="79">B121</f>
        <v>High Voltage Demand D1</v>
      </c>
      <c r="C174" s="71" t="str">
        <f t="shared" si="79"/>
        <v>High Voltage</v>
      </c>
      <c r="D174" s="186">
        <v>0</v>
      </c>
      <c r="E174" s="186">
        <v>0</v>
      </c>
      <c r="F174" s="186">
        <v>0</v>
      </c>
      <c r="G174" s="186">
        <v>0</v>
      </c>
      <c r="H174" s="186">
        <v>0</v>
      </c>
      <c r="I174" s="186">
        <v>0</v>
      </c>
    </row>
    <row r="175" spans="2:9">
      <c r="B175" s="2" t="str">
        <f t="shared" ref="B175:C175" si="80">B122</f>
        <v>High Voltage Demand R</v>
      </c>
      <c r="C175" s="71" t="str">
        <f t="shared" si="80"/>
        <v>High Voltage</v>
      </c>
      <c r="D175" s="186">
        <v>0.16666666666666666</v>
      </c>
      <c r="E175" s="186">
        <v>0</v>
      </c>
      <c r="F175" s="186">
        <v>0</v>
      </c>
      <c r="G175" s="186">
        <v>0</v>
      </c>
      <c r="H175" s="186">
        <v>0</v>
      </c>
      <c r="I175" s="186">
        <v>0</v>
      </c>
    </row>
    <row r="176" spans="2:9">
      <c r="B176" s="2" t="str">
        <f t="shared" ref="B176:C176" si="81">B123</f>
        <v>High Voltage Demand G</v>
      </c>
      <c r="C176" s="71" t="str">
        <f t="shared" si="81"/>
        <v>High Voltage</v>
      </c>
      <c r="D176" s="186">
        <v>1</v>
      </c>
      <c r="E176" s="186">
        <v>1.1666666666666667</v>
      </c>
      <c r="F176" s="186">
        <v>0</v>
      </c>
      <c r="G176" s="186">
        <v>0</v>
      </c>
      <c r="H176" s="186">
        <v>0</v>
      </c>
      <c r="I176" s="186">
        <v>0</v>
      </c>
    </row>
    <row r="177" spans="2:9">
      <c r="B177" s="2" t="str">
        <f t="shared" ref="B177:C177" si="82">B124</f>
        <v>High Voltage</v>
      </c>
      <c r="C177" s="71" t="str">
        <f t="shared" si="82"/>
        <v>High Voltage</v>
      </c>
      <c r="D177" s="186"/>
      <c r="E177" s="186">
        <v>82.916666666666671</v>
      </c>
      <c r="F177" s="186">
        <v>87.634181008555416</v>
      </c>
      <c r="G177" s="186">
        <v>90.982553708010002</v>
      </c>
      <c r="H177" s="186">
        <v>88</v>
      </c>
      <c r="I177" s="186">
        <v>93.927461142717462</v>
      </c>
    </row>
    <row r="178" spans="2:9">
      <c r="B178" s="2" t="str">
        <f t="shared" ref="B178:C178" si="83">B125</f>
        <v>High Voltage Bulk</v>
      </c>
      <c r="C178" s="71" t="str">
        <f t="shared" si="83"/>
        <v>High Voltage</v>
      </c>
      <c r="D178" s="186"/>
      <c r="E178" s="186">
        <v>0</v>
      </c>
      <c r="F178" s="186">
        <v>0</v>
      </c>
      <c r="G178" s="186">
        <v>0</v>
      </c>
      <c r="H178" s="186">
        <v>0</v>
      </c>
      <c r="I178" s="186">
        <v>0</v>
      </c>
    </row>
    <row r="179" spans="2:9">
      <c r="B179" s="2" t="str">
        <f t="shared" ref="B179:C179" si="84">B126</f>
        <v xml:space="preserve">Subtransmission </v>
      </c>
      <c r="C179" s="71" t="str">
        <f t="shared" si="84"/>
        <v>Subtransmission</v>
      </c>
      <c r="D179" s="186">
        <v>7</v>
      </c>
      <c r="E179" s="186">
        <v>7</v>
      </c>
      <c r="F179" s="186">
        <v>0</v>
      </c>
      <c r="G179" s="186">
        <v>0</v>
      </c>
      <c r="H179" s="186">
        <v>0</v>
      </c>
      <c r="I179" s="186">
        <v>0</v>
      </c>
    </row>
    <row r="180" spans="2:9">
      <c r="B180" s="2" t="str">
        <f t="shared" ref="B180:C180" si="85">B127</f>
        <v>Subtransmission</v>
      </c>
      <c r="C180" s="71" t="str">
        <f t="shared" si="85"/>
        <v>Subtransmission</v>
      </c>
      <c r="D180" s="186"/>
      <c r="E180" s="186">
        <v>7</v>
      </c>
      <c r="F180" s="186">
        <v>7</v>
      </c>
      <c r="G180" s="186">
        <v>6</v>
      </c>
      <c r="H180" s="186">
        <v>6</v>
      </c>
      <c r="I180" s="186">
        <v>5.9999568574023607</v>
      </c>
    </row>
    <row r="181" spans="2:9">
      <c r="B181" s="54" t="s">
        <v>3</v>
      </c>
      <c r="C181" s="217"/>
      <c r="D181" s="190">
        <f>SUM(D133:D140,D147:D180)-SUM(D171:D172,D177:D178,D180)</f>
        <v>325825.58333333331</v>
      </c>
      <c r="E181" s="190">
        <f t="shared" ref="E181" si="86">SUM(E133:E140,E147:E180)-SUM(E171:E172,E177:E178,E180)</f>
        <v>327049.33333333337</v>
      </c>
      <c r="F181" s="190">
        <f>SUM(F133:F140,F145:F180)</f>
        <v>330775.34403579519</v>
      </c>
      <c r="G181" s="190">
        <f t="shared" ref="G181:I181" si="87">SUM(G133:G140,G145:G180)</f>
        <v>328835.1651411574</v>
      </c>
      <c r="H181" s="190">
        <f t="shared" si="87"/>
        <v>335796.25</v>
      </c>
      <c r="I181" s="190">
        <f t="shared" si="87"/>
        <v>332902.5061203927</v>
      </c>
    </row>
    <row r="182" spans="2:9">
      <c r="C182" s="6"/>
      <c r="E182" s="1"/>
      <c r="F182" s="182"/>
      <c r="G182" s="182"/>
      <c r="H182" s="182"/>
      <c r="I182" s="182"/>
    </row>
    <row r="183" spans="2:9" s="145" customFormat="1">
      <c r="C183" s="218"/>
      <c r="D183" s="189"/>
      <c r="E183" s="189"/>
      <c r="F183" s="189"/>
      <c r="G183" s="189"/>
      <c r="H183" s="189"/>
      <c r="I183" s="189"/>
    </row>
    <row r="184" spans="2:9">
      <c r="C184" s="6"/>
      <c r="E184" s="1"/>
    </row>
    <row r="185" spans="2:9">
      <c r="B185" s="163" t="s">
        <v>90</v>
      </c>
      <c r="C185" s="142" t="s">
        <v>69</v>
      </c>
      <c r="D185" s="163"/>
      <c r="E185" s="78"/>
      <c r="F185" s="78"/>
      <c r="G185" s="78"/>
      <c r="H185" s="78"/>
      <c r="I185" s="78"/>
    </row>
    <row r="186" spans="2:9">
      <c r="B186" s="2" t="str">
        <f>B80</f>
        <v>Residential Single Rate</v>
      </c>
      <c r="C186" s="71" t="str">
        <f>C80</f>
        <v>Residential</v>
      </c>
      <c r="D186" s="186">
        <v>53130091.221797541</v>
      </c>
      <c r="E186" s="186">
        <v>58579226.616648033</v>
      </c>
      <c r="F186" s="186">
        <v>54838568.587569356</v>
      </c>
      <c r="G186" s="186">
        <v>55931546.672869235</v>
      </c>
      <c r="H186" s="186">
        <v>58756069.144349366</v>
      </c>
      <c r="I186" s="186">
        <v>61152253.047411092</v>
      </c>
    </row>
    <row r="187" spans="2:9">
      <c r="B187" s="2" t="str">
        <f t="shared" ref="B187:C187" si="88">B81</f>
        <v>Residential Single Rate - Bulk</v>
      </c>
      <c r="C187" s="71" t="str">
        <f t="shared" si="88"/>
        <v>Residential</v>
      </c>
      <c r="D187" s="186">
        <v>4743252.9775701649</v>
      </c>
      <c r="E187" s="186">
        <v>5894754.0137175508</v>
      </c>
      <c r="F187" s="186">
        <v>5603202.8009463334</v>
      </c>
      <c r="G187" s="186">
        <v>6409572.3093506377</v>
      </c>
      <c r="H187" s="186">
        <v>7101097.591746497</v>
      </c>
      <c r="I187" s="186">
        <v>7467633.2702084128</v>
      </c>
    </row>
    <row r="188" spans="2:9">
      <c r="B188" s="2" t="str">
        <f t="shared" ref="B188:C188" si="89">B82</f>
        <v>Residential - flexible pricing</v>
      </c>
      <c r="C188" s="71" t="str">
        <f t="shared" si="89"/>
        <v>Residential</v>
      </c>
      <c r="D188" s="186">
        <v>279101.89993558498</v>
      </c>
      <c r="E188" s="186">
        <v>579471.87004358356</v>
      </c>
      <c r="F188" s="186">
        <v>469674.32044591225</v>
      </c>
      <c r="G188" s="186">
        <v>348326.70124356955</v>
      </c>
      <c r="H188" s="186">
        <v>349097.5598077788</v>
      </c>
      <c r="I188" s="186">
        <v>328578.42269173072</v>
      </c>
    </row>
    <row r="189" spans="2:9">
      <c r="B189" s="2" t="str">
        <f t="shared" ref="B189:C189" si="90">B83</f>
        <v>Residential - flexible pricing bulk</v>
      </c>
      <c r="C189" s="71" t="str">
        <f t="shared" si="90"/>
        <v>Residential</v>
      </c>
      <c r="D189" s="186">
        <v>25259.524643514553</v>
      </c>
      <c r="E189" s="186">
        <v>34609.737563311086</v>
      </c>
      <c r="F189" s="186">
        <v>29516.152425134962</v>
      </c>
      <c r="G189" s="186">
        <v>23635.147087414964</v>
      </c>
      <c r="H189" s="186">
        <v>25799.442512894548</v>
      </c>
      <c r="I189" s="186">
        <v>29508.871695758608</v>
      </c>
    </row>
    <row r="190" spans="2:9">
      <c r="B190" s="2" t="str">
        <f t="shared" ref="B190:C190" si="91">B84</f>
        <v>Residential Two Rate 5d</v>
      </c>
      <c r="C190" s="71" t="str">
        <f t="shared" si="91"/>
        <v>Residential</v>
      </c>
      <c r="D190" s="186">
        <v>5114687.0402849456</v>
      </c>
      <c r="E190" s="186">
        <v>4473034.4977364317</v>
      </c>
      <c r="F190" s="186">
        <v>4348485.0260034977</v>
      </c>
      <c r="G190" s="186">
        <v>4942143.4423054196</v>
      </c>
      <c r="H190" s="186">
        <v>5074774.6566617787</v>
      </c>
      <c r="I190" s="186">
        <v>4890466.0095360214</v>
      </c>
    </row>
    <row r="191" spans="2:9">
      <c r="B191" s="2" t="str">
        <f t="shared" ref="B191:C191" si="92">B85</f>
        <v>Residential Two Rate 5d - Bulk</v>
      </c>
      <c r="C191" s="71" t="str">
        <f t="shared" si="92"/>
        <v>Residential</v>
      </c>
      <c r="D191" s="186">
        <v>1920392.8756771095</v>
      </c>
      <c r="E191" s="186">
        <v>1283792.5949410563</v>
      </c>
      <c r="F191" s="186">
        <v>1272195.3092827415</v>
      </c>
      <c r="G191" s="186">
        <v>1525748.5147682917</v>
      </c>
      <c r="H191" s="186">
        <v>1651030.7042416253</v>
      </c>
      <c r="I191" s="186">
        <v>1669610.3351000303</v>
      </c>
    </row>
    <row r="192" spans="2:9">
      <c r="B192" s="2" t="str">
        <f t="shared" ref="B192:C192" si="93">B86</f>
        <v>Residential Interval</v>
      </c>
      <c r="C192" s="71" t="str">
        <f t="shared" si="93"/>
        <v>Residential</v>
      </c>
      <c r="D192" s="186">
        <v>8457757.552143909</v>
      </c>
      <c r="E192" s="186">
        <v>7876690.3565614577</v>
      </c>
      <c r="F192" s="186">
        <v>7540248.7485514935</v>
      </c>
      <c r="G192" s="186">
        <v>8511940.4220834468</v>
      </c>
      <c r="H192" s="186">
        <v>8646053.845334854</v>
      </c>
      <c r="I192" s="186">
        <v>7600082.4939891789</v>
      </c>
    </row>
    <row r="193" spans="2:9">
      <c r="B193" s="2" t="str">
        <f t="shared" ref="B193:C193" si="94">B87</f>
        <v>Residential Interval - Bulk</v>
      </c>
      <c r="C193" s="71" t="str">
        <f t="shared" si="94"/>
        <v>Residential</v>
      </c>
      <c r="D193" s="186">
        <v>2824248.4192327051</v>
      </c>
      <c r="E193" s="186">
        <v>1990839.8196275765</v>
      </c>
      <c r="F193" s="186">
        <v>1927286.4783080784</v>
      </c>
      <c r="G193" s="186">
        <v>2184291.063730651</v>
      </c>
      <c r="H193" s="186">
        <v>2386110.8516748021</v>
      </c>
      <c r="I193" s="186">
        <v>2437130.2333570491</v>
      </c>
    </row>
    <row r="194" spans="2:9">
      <c r="B194" s="2" t="str">
        <f t="shared" ref="B194:C194" si="95">B88</f>
        <v>Residential Two Rate 5d - Controlled Load</v>
      </c>
      <c r="C194" s="71" t="str">
        <f t="shared" si="95"/>
        <v>Residential</v>
      </c>
      <c r="D194" s="186">
        <v>433762.38113159186</v>
      </c>
      <c r="E194" s="186">
        <v>410596.44620027911</v>
      </c>
      <c r="F194" s="186">
        <v>345227.11858712672</v>
      </c>
      <c r="G194" s="186">
        <v>354396.76659653545</v>
      </c>
      <c r="H194" s="186">
        <v>338735.42975073913</v>
      </c>
      <c r="I194" s="186">
        <v>0</v>
      </c>
    </row>
    <row r="195" spans="2:9">
      <c r="B195" s="2" t="str">
        <f t="shared" ref="B195:C195" si="96">B89</f>
        <v>Residential Two Rate 5d - Bulk - Controlled Load</v>
      </c>
      <c r="C195" s="71" t="str">
        <f t="shared" si="96"/>
        <v>Residential</v>
      </c>
      <c r="D195" s="186">
        <v>105287.47089957875</v>
      </c>
      <c r="E195" s="186">
        <v>95070.388710372237</v>
      </c>
      <c r="F195" s="186">
        <v>85154.895550606045</v>
      </c>
      <c r="G195" s="186">
        <v>101436.51119961437</v>
      </c>
      <c r="H195" s="186">
        <v>103345.37737159859</v>
      </c>
      <c r="I195" s="186">
        <v>0</v>
      </c>
    </row>
    <row r="196" spans="2:9">
      <c r="B196" s="2" t="str">
        <f t="shared" ref="B196:C196" si="97">B90</f>
        <v>Dedicated Circuit</v>
      </c>
      <c r="C196" s="71" t="str">
        <f t="shared" si="97"/>
        <v>Residential</v>
      </c>
      <c r="D196" s="186">
        <v>716544.17829744099</v>
      </c>
      <c r="E196" s="186">
        <v>603852.15560628497</v>
      </c>
      <c r="F196" s="186">
        <v>535547.17807198351</v>
      </c>
      <c r="G196" s="186">
        <v>603243.24356872798</v>
      </c>
      <c r="H196" s="186">
        <v>559723.67568058649</v>
      </c>
      <c r="I196" s="186">
        <v>850778.60203591804</v>
      </c>
    </row>
    <row r="197" spans="2:9">
      <c r="B197" s="2" t="str">
        <f t="shared" ref="B197:C197" si="98">B91</f>
        <v>Dedicated Circuit - Bulk</v>
      </c>
      <c r="C197" s="71" t="str">
        <f t="shared" si="98"/>
        <v>Residential</v>
      </c>
      <c r="D197" s="186">
        <v>41533.9061051014</v>
      </c>
      <c r="E197" s="186">
        <v>30959.290240447001</v>
      </c>
      <c r="F197" s="186">
        <v>26151.793166384636</v>
      </c>
      <c r="G197" s="186">
        <v>30625.114454939376</v>
      </c>
      <c r="H197" s="186">
        <v>31710.168148142693</v>
      </c>
      <c r="I197" s="186">
        <v>127831.27443950342</v>
      </c>
    </row>
    <row r="198" spans="2:9">
      <c r="B198" s="2" t="str">
        <f t="shared" ref="B198:C198" si="99">B92</f>
        <v>Residential Demand</v>
      </c>
      <c r="C198" s="71" t="str">
        <f t="shared" si="99"/>
        <v>Residential</v>
      </c>
      <c r="D198" s="186"/>
      <c r="E198" s="186">
        <v>0</v>
      </c>
      <c r="F198" s="186">
        <v>1725.1095890410959</v>
      </c>
      <c r="G198" s="186">
        <v>1926.4121004566211</v>
      </c>
      <c r="H198" s="186">
        <v>1436.0276795476891</v>
      </c>
      <c r="I198" s="186">
        <v>3300.6518100553549</v>
      </c>
    </row>
    <row r="199" spans="2:9">
      <c r="B199" s="2" t="str">
        <f t="shared" ref="B199:C199" si="100">B93</f>
        <v>Residential Bulk Demand</v>
      </c>
      <c r="C199" s="71" t="str">
        <f t="shared" si="100"/>
        <v>Residential</v>
      </c>
      <c r="D199" s="186"/>
      <c r="E199" s="186">
        <v>0</v>
      </c>
      <c r="F199" s="186">
        <v>250.2214611872146</v>
      </c>
      <c r="G199" s="186">
        <v>277.70890410958901</v>
      </c>
      <c r="H199" s="186">
        <v>0</v>
      </c>
      <c r="I199" s="186">
        <v>634.08427208422813</v>
      </c>
    </row>
    <row r="200" spans="2:9">
      <c r="B200" s="2" t="str">
        <f t="shared" ref="B200:C200" si="101">B94</f>
        <v>Non-Residential Single Rate</v>
      </c>
      <c r="C200" s="71" t="str">
        <f t="shared" si="101"/>
        <v>Small Commercial</v>
      </c>
      <c r="D200" s="186">
        <v>29831239.586150773</v>
      </c>
      <c r="E200" s="186">
        <v>21935467.602363519</v>
      </c>
      <c r="F200" s="186">
        <v>13863761.539652403</v>
      </c>
      <c r="G200" s="186">
        <v>15964750.229837947</v>
      </c>
      <c r="H200" s="186">
        <v>16949964.588870563</v>
      </c>
      <c r="I200" s="186">
        <v>17993391.270888183</v>
      </c>
    </row>
    <row r="201" spans="2:9">
      <c r="B201" s="2" t="str">
        <f t="shared" ref="B201:C201" si="102">B95</f>
        <v>Non-Residential Single Rate - Bulk</v>
      </c>
      <c r="C201" s="71" t="str">
        <f t="shared" si="102"/>
        <v>Small Commercial</v>
      </c>
      <c r="D201" s="186">
        <v>9522290.5590502862</v>
      </c>
      <c r="E201" s="186">
        <v>6739203.7225118373</v>
      </c>
      <c r="F201" s="186">
        <v>3841918.7838259619</v>
      </c>
      <c r="G201" s="186">
        <v>4126448.7904940676</v>
      </c>
      <c r="H201" s="186">
        <v>4550794.4595340686</v>
      </c>
      <c r="I201" s="186">
        <v>5643579.5225412613</v>
      </c>
    </row>
    <row r="202" spans="2:9">
      <c r="B202" s="2" t="str">
        <f t="shared" ref="B202:C202" si="103">B96</f>
        <v>Non-Residential Two Rate 5d</v>
      </c>
      <c r="C202" s="71" t="str">
        <f t="shared" si="103"/>
        <v>Small Commercial</v>
      </c>
      <c r="D202" s="186">
        <v>32532657.676664524</v>
      </c>
      <c r="E202" s="186">
        <v>29807346.340736415</v>
      </c>
      <c r="F202" s="186">
        <v>8651733.1970322169</v>
      </c>
      <c r="G202" s="186">
        <v>10463089.915947795</v>
      </c>
      <c r="H202" s="186">
        <v>11006493.620499646</v>
      </c>
      <c r="I202" s="186">
        <v>9332708.0191082302</v>
      </c>
    </row>
    <row r="203" spans="2:9">
      <c r="B203" s="2" t="str">
        <f t="shared" ref="B203:C203" si="104">B97</f>
        <v>Non-Residential Two Rate 5d - Bulk</v>
      </c>
      <c r="C203" s="71" t="str">
        <f t="shared" si="104"/>
        <v>Small Commercial</v>
      </c>
      <c r="D203" s="186">
        <v>5009509.7532207072</v>
      </c>
      <c r="E203" s="186">
        <v>6481901.1731568491</v>
      </c>
      <c r="F203" s="186">
        <v>1008015.3857843673</v>
      </c>
      <c r="G203" s="186">
        <v>1427395.7322810008</v>
      </c>
      <c r="H203" s="186">
        <v>1592704.3194473744</v>
      </c>
      <c r="I203" s="186">
        <v>1778479.2995829708</v>
      </c>
    </row>
    <row r="204" spans="2:9">
      <c r="B204" s="2" t="str">
        <f t="shared" ref="B204:C204" si="105">B98</f>
        <v>Non-Residential Interval</v>
      </c>
      <c r="C204" s="71" t="str">
        <f t="shared" si="105"/>
        <v>Small Commercial</v>
      </c>
      <c r="D204" s="186">
        <v>12368434.512787163</v>
      </c>
      <c r="E204" s="186">
        <v>11247406.253059281</v>
      </c>
      <c r="F204" s="186">
        <v>4057317.8711036942</v>
      </c>
      <c r="G204" s="186">
        <v>5220364.6496879105</v>
      </c>
      <c r="H204" s="186">
        <v>5325110.4400917143</v>
      </c>
      <c r="I204" s="186">
        <v>5772002.3490365911</v>
      </c>
    </row>
    <row r="205" spans="2:9">
      <c r="B205" s="2" t="str">
        <f t="shared" ref="B205:C205" si="106">B99</f>
        <v>Non-Residential Interval - Bulk</v>
      </c>
      <c r="C205" s="71" t="str">
        <f t="shared" si="106"/>
        <v>Small Commercial</v>
      </c>
      <c r="D205" s="186">
        <v>8889328.7876084428</v>
      </c>
      <c r="E205" s="186">
        <v>12046888.20863416</v>
      </c>
      <c r="F205" s="186">
        <v>1963110.6780865695</v>
      </c>
      <c r="G205" s="186">
        <v>2430345.674652752</v>
      </c>
      <c r="H205" s="186">
        <v>2694940.4079601732</v>
      </c>
      <c r="I205" s="186">
        <v>2947530.9386193212</v>
      </c>
    </row>
    <row r="206" spans="2:9">
      <c r="B206" s="2" t="str">
        <f t="shared" ref="B206:C206" si="107">B100</f>
        <v>Non-Residential Flexible Pricing</v>
      </c>
      <c r="C206" s="71" t="str">
        <f t="shared" si="107"/>
        <v>Small Commercial</v>
      </c>
      <c r="D206" s="186">
        <v>57617.956366119768</v>
      </c>
      <c r="E206" s="186">
        <v>332602.99204523425</v>
      </c>
      <c r="F206" s="186">
        <v>220672.0843934766</v>
      </c>
      <c r="G206" s="186">
        <v>34487.435600213263</v>
      </c>
      <c r="H206" s="186">
        <v>66896.342096412336</v>
      </c>
      <c r="I206" s="186">
        <v>41908.540614801183</v>
      </c>
    </row>
    <row r="207" spans="2:9">
      <c r="B207" s="2" t="str">
        <f t="shared" ref="B207:C207" si="108">B101</f>
        <v>Non-Residential - Flexible Pricing Bulk</v>
      </c>
      <c r="C207" s="71" t="str">
        <f t="shared" si="108"/>
        <v>Small Commercial</v>
      </c>
      <c r="D207" s="186">
        <v>34583.48070859642</v>
      </c>
      <c r="E207" s="186">
        <v>469061.28805205825</v>
      </c>
      <c r="F207" s="186">
        <v>341914.58442024369</v>
      </c>
      <c r="G207" s="186">
        <v>5756.2213209475503</v>
      </c>
      <c r="H207" s="186">
        <v>53351.559733011149</v>
      </c>
      <c r="I207" s="186">
        <v>10077.577402292378</v>
      </c>
    </row>
    <row r="208" spans="2:9">
      <c r="B208" s="2" t="str">
        <f t="shared" ref="B208:C208" si="109">B102</f>
        <v>Non-Residential Two Rate 7d</v>
      </c>
      <c r="C208" s="71" t="str">
        <f t="shared" si="109"/>
        <v>Small Commercial</v>
      </c>
      <c r="D208" s="186">
        <v>9963687.642545417</v>
      </c>
      <c r="E208" s="186">
        <v>6999208.6509376224</v>
      </c>
      <c r="F208" s="186">
        <v>3090438.6884550564</v>
      </c>
      <c r="G208" s="186">
        <v>3224973.1122523844</v>
      </c>
      <c r="H208" s="186">
        <v>3328959.7831898932</v>
      </c>
      <c r="I208" s="186">
        <v>3616113.7753879544</v>
      </c>
    </row>
    <row r="209" spans="2:9">
      <c r="B209" s="2" t="str">
        <f t="shared" ref="B209:C209" si="110">B103</f>
        <v>Non-Residential Two Rate 7d - Bulk</v>
      </c>
      <c r="C209" s="71" t="str">
        <f t="shared" si="110"/>
        <v>Small Commercial</v>
      </c>
      <c r="D209" s="186">
        <v>1950928.650859287</v>
      </c>
      <c r="E209" s="186">
        <v>1427461.5341984159</v>
      </c>
      <c r="F209" s="186">
        <v>393850.59237582178</v>
      </c>
      <c r="G209" s="186">
        <v>373950.12006584863</v>
      </c>
      <c r="H209" s="186">
        <v>425360.55489744811</v>
      </c>
      <c r="I209" s="186">
        <v>416316.8676602646</v>
      </c>
    </row>
    <row r="210" spans="2:9">
      <c r="B210" s="2" t="str">
        <f t="shared" ref="B210:C210" si="111">B104</f>
        <v>Large Two Rate 7d</v>
      </c>
      <c r="C210" s="71" t="str">
        <f t="shared" si="111"/>
        <v>Small Commercial</v>
      </c>
      <c r="D210" s="186">
        <v>509555.88986372261</v>
      </c>
      <c r="E210" s="186">
        <v>1076755.1725691357</v>
      </c>
      <c r="F210" s="186">
        <v>115478.79080520278</v>
      </c>
      <c r="G210" s="186">
        <v>22523.985404080617</v>
      </c>
      <c r="H210" s="186">
        <v>17641.220030468361</v>
      </c>
      <c r="I210" s="186">
        <v>5017.3632060090131</v>
      </c>
    </row>
    <row r="211" spans="2:9">
      <c r="B211" s="2" t="str">
        <f t="shared" ref="B211:C211" si="112">B105</f>
        <v>Non-Residential Demand Tariff</v>
      </c>
      <c r="C211" s="71" t="str">
        <f t="shared" si="112"/>
        <v>Small Commercial</v>
      </c>
      <c r="D211" s="186"/>
      <c r="E211" s="186">
        <v>0</v>
      </c>
      <c r="F211" s="186">
        <v>2360451.7659034613</v>
      </c>
      <c r="G211" s="186">
        <v>6232.5407697325509</v>
      </c>
      <c r="H211" s="186">
        <v>39874.982115395047</v>
      </c>
      <c r="I211" s="186">
        <v>235982.895340613</v>
      </c>
    </row>
    <row r="212" spans="2:9">
      <c r="B212" s="2" t="str">
        <f t="shared" ref="B212:C212" si="113">B106</f>
        <v>Non-Residential Bulk Demand Tariff</v>
      </c>
      <c r="C212" s="71" t="str">
        <f t="shared" si="113"/>
        <v>Small Commercial</v>
      </c>
      <c r="D212" s="186"/>
      <c r="E212" s="186">
        <v>0</v>
      </c>
      <c r="F212" s="186">
        <v>0</v>
      </c>
      <c r="G212" s="186">
        <v>865.57873450750174</v>
      </c>
      <c r="H212" s="186">
        <v>22669.846439225548</v>
      </c>
      <c r="I212" s="186">
        <v>499459.47228792653</v>
      </c>
    </row>
    <row r="213" spans="2:9">
      <c r="B213" s="2" t="str">
        <f t="shared" ref="B213:C213" si="114">B107</f>
        <v>Medium business demand</v>
      </c>
      <c r="C213" s="71" t="str">
        <f t="shared" si="114"/>
        <v>Small Commercial</v>
      </c>
      <c r="D213" s="186"/>
      <c r="E213" s="186">
        <v>0</v>
      </c>
      <c r="F213" s="186">
        <v>39853091.968672536</v>
      </c>
      <c r="G213" s="186">
        <v>36062594.697719522</v>
      </c>
      <c r="H213" s="186">
        <v>36210576.200768083</v>
      </c>
      <c r="I213" s="186">
        <v>34353999.289658092</v>
      </c>
    </row>
    <row r="214" spans="2:9">
      <c r="B214" s="2" t="str">
        <f t="shared" ref="B214:C214" si="115">B108</f>
        <v>Medium business demand bulk</v>
      </c>
      <c r="C214" s="71" t="str">
        <f t="shared" si="115"/>
        <v>Small Commercial</v>
      </c>
      <c r="D214" s="186"/>
      <c r="E214" s="186">
        <v>0</v>
      </c>
      <c r="F214" s="186">
        <v>19885646.963255338</v>
      </c>
      <c r="G214" s="186">
        <v>18174062.829940308</v>
      </c>
      <c r="H214" s="186">
        <v>19628478.542624746</v>
      </c>
      <c r="I214" s="186">
        <v>18930507.181390766</v>
      </c>
    </row>
    <row r="215" spans="2:9">
      <c r="B215" s="2" t="str">
        <f t="shared" ref="B215:C215" si="116">B109</f>
        <v>Medium business opt-out</v>
      </c>
      <c r="C215" s="71" t="str">
        <f t="shared" si="116"/>
        <v>Small Commercial</v>
      </c>
      <c r="D215" s="186"/>
      <c r="E215" s="186"/>
      <c r="F215" s="186">
        <v>0</v>
      </c>
      <c r="G215" s="186">
        <v>59116.433874175855</v>
      </c>
      <c r="H215" s="186">
        <v>41173.70848737943</v>
      </c>
      <c r="I215" s="186">
        <v>307877.19508812478</v>
      </c>
    </row>
    <row r="216" spans="2:9">
      <c r="B216" s="2" t="str">
        <f t="shared" ref="B216:C216" si="117">B110</f>
        <v>Medium business bulk opt-out</v>
      </c>
      <c r="C216" s="71" t="str">
        <f t="shared" si="117"/>
        <v>Small Commercial</v>
      </c>
      <c r="D216" s="186"/>
      <c r="E216" s="186"/>
      <c r="F216" s="186">
        <v>0</v>
      </c>
      <c r="G216" s="186">
        <v>49146.197921159124</v>
      </c>
      <c r="H216" s="186">
        <v>63868.752606006623</v>
      </c>
      <c r="I216" s="186">
        <v>533390.1556172315</v>
      </c>
    </row>
    <row r="217" spans="2:9">
      <c r="B217" s="2" t="str">
        <f t="shared" ref="B217:C217" si="118">B111</f>
        <v>Unmetered Supplies / Public Lighting</v>
      </c>
      <c r="C217" s="71" t="str">
        <f t="shared" si="118"/>
        <v>Small Commercial</v>
      </c>
      <c r="D217" s="186">
        <v>1142720.3337647882</v>
      </c>
      <c r="E217" s="186">
        <v>1608530.6831060979</v>
      </c>
      <c r="F217" s="186">
        <v>1591484.2953275798</v>
      </c>
      <c r="G217" s="186">
        <v>1828479.3459256126</v>
      </c>
      <c r="H217" s="186">
        <v>1425089.5201384975</v>
      </c>
      <c r="I217" s="186">
        <v>1206308.0254503451</v>
      </c>
    </row>
    <row r="218" spans="2:9">
      <c r="B218" s="2" t="str">
        <f t="shared" ref="B218:C218" si="119">B112</f>
        <v>Large Low Voltage Demand</v>
      </c>
      <c r="C218" s="71" t="str">
        <f t="shared" si="119"/>
        <v>Large Low voltage</v>
      </c>
      <c r="D218" s="186">
        <v>9755278.1295078285</v>
      </c>
      <c r="E218" s="186">
        <v>3868295.117408989</v>
      </c>
      <c r="F218" s="186">
        <v>0</v>
      </c>
      <c r="G218" s="186">
        <v>0</v>
      </c>
      <c r="H218" s="186">
        <v>0</v>
      </c>
      <c r="I218" s="186">
        <f t="shared" ref="I218:I232" si="120">H218</f>
        <v>0</v>
      </c>
    </row>
    <row r="219" spans="2:9">
      <c r="B219" s="2" t="str">
        <f t="shared" ref="B219:C219" si="121">B113</f>
        <v>Large Low Voltage Demand - Bulk</v>
      </c>
      <c r="C219" s="71" t="str">
        <f t="shared" si="121"/>
        <v>Large Low voltage</v>
      </c>
      <c r="D219" s="186">
        <v>63386234.311594725</v>
      </c>
      <c r="E219" s="186">
        <v>35904890.745151296</v>
      </c>
      <c r="F219" s="186">
        <v>0</v>
      </c>
      <c r="G219" s="186">
        <v>0</v>
      </c>
      <c r="H219" s="186">
        <v>0</v>
      </c>
      <c r="I219" s="186">
        <f t="shared" si="120"/>
        <v>0</v>
      </c>
    </row>
    <row r="220" spans="2:9">
      <c r="B220" s="2" t="str">
        <f t="shared" ref="B220:C220" si="122">B114</f>
        <v>Large Low Voltage Demand R</v>
      </c>
      <c r="C220" s="71" t="str">
        <f t="shared" si="122"/>
        <v>Large Low voltage</v>
      </c>
      <c r="D220" s="186">
        <v>305225.0171477666</v>
      </c>
      <c r="E220" s="186">
        <v>141209.70007681477</v>
      </c>
      <c r="F220" s="186">
        <v>0</v>
      </c>
      <c r="G220" s="186">
        <v>0</v>
      </c>
      <c r="H220" s="186">
        <v>0</v>
      </c>
      <c r="I220" s="186">
        <f t="shared" si="120"/>
        <v>0</v>
      </c>
    </row>
    <row r="221" spans="2:9">
      <c r="B221" s="2" t="str">
        <f t="shared" ref="B221:C221" si="123">B115</f>
        <v>Large Low Voltage Demand G</v>
      </c>
      <c r="C221" s="71" t="str">
        <f t="shared" si="123"/>
        <v>Large Low voltage</v>
      </c>
      <c r="D221" s="186">
        <v>-155241.96015198954</v>
      </c>
      <c r="E221" s="186">
        <v>-43895.50673039398</v>
      </c>
      <c r="F221" s="186">
        <v>0</v>
      </c>
      <c r="G221" s="186">
        <v>0</v>
      </c>
      <c r="H221" s="186">
        <v>0</v>
      </c>
      <c r="I221" s="186">
        <f t="shared" si="120"/>
        <v>0</v>
      </c>
    </row>
    <row r="222" spans="2:9">
      <c r="B222" s="2" t="str">
        <f t="shared" ref="B222:C222" si="124">B116</f>
        <v>Large Low Voltage Demand - Bulk R</v>
      </c>
      <c r="C222" s="71" t="str">
        <f t="shared" si="124"/>
        <v>Large Low voltage</v>
      </c>
      <c r="D222" s="186">
        <v>4015788.2557386532</v>
      </c>
      <c r="E222" s="186">
        <v>2176276.3505454035</v>
      </c>
      <c r="F222" s="186">
        <v>0</v>
      </c>
      <c r="G222" s="186">
        <v>0</v>
      </c>
      <c r="H222" s="186">
        <v>0</v>
      </c>
      <c r="I222" s="186">
        <f t="shared" si="120"/>
        <v>0</v>
      </c>
    </row>
    <row r="223" spans="2:9">
      <c r="B223" s="2" t="str">
        <f t="shared" ref="B223:C223" si="125">B117</f>
        <v>Large Low Voltage Demand - Bulk G</v>
      </c>
      <c r="C223" s="71" t="str">
        <f t="shared" si="125"/>
        <v>Large Low voltage</v>
      </c>
      <c r="D223" s="186">
        <v>6122985.3943613265</v>
      </c>
      <c r="E223" s="186">
        <v>2345924.8082132661</v>
      </c>
      <c r="F223" s="186">
        <v>0</v>
      </c>
      <c r="G223" s="186">
        <v>0</v>
      </c>
      <c r="H223" s="186">
        <v>0</v>
      </c>
      <c r="I223" s="186">
        <f t="shared" si="120"/>
        <v>0</v>
      </c>
    </row>
    <row r="224" spans="2:9">
      <c r="B224" s="2" t="str">
        <f t="shared" ref="B224:C224" si="126">B118</f>
        <v>Large low Voltage</v>
      </c>
      <c r="C224" s="71" t="str">
        <f t="shared" si="126"/>
        <v>Large Low voltage</v>
      </c>
      <c r="D224" s="186"/>
      <c r="E224" s="186">
        <v>4157593.2231657244</v>
      </c>
      <c r="F224" s="186">
        <v>9328846.3260075189</v>
      </c>
      <c r="G224" s="186">
        <v>10616251.655359469</v>
      </c>
      <c r="H224" s="186">
        <v>9923991.552553989</v>
      </c>
      <c r="I224" s="186">
        <v>12540019.111207459</v>
      </c>
    </row>
    <row r="225" spans="2:9">
      <c r="B225" s="2" t="str">
        <f t="shared" ref="B225:C225" si="127">B119</f>
        <v>Large low Voltage Bulk</v>
      </c>
      <c r="C225" s="71" t="str">
        <f t="shared" si="127"/>
        <v>Large Low voltage</v>
      </c>
      <c r="D225" s="186"/>
      <c r="E225" s="186">
        <v>37253245.914265528</v>
      </c>
      <c r="F225" s="186">
        <v>79810384.036118001</v>
      </c>
      <c r="G225" s="186">
        <v>85820173.558046892</v>
      </c>
      <c r="H225" s="186">
        <v>86003882.355536729</v>
      </c>
      <c r="I225" s="186">
        <v>94696038.364713773</v>
      </c>
    </row>
    <row r="226" spans="2:9">
      <c r="B226" s="2" t="str">
        <f t="shared" ref="B226:C226" si="128">B120</f>
        <v>High Voltage Demand</v>
      </c>
      <c r="C226" s="71" t="str">
        <f t="shared" si="128"/>
        <v>High Voltage</v>
      </c>
      <c r="D226" s="186">
        <v>13587224.293723498</v>
      </c>
      <c r="E226" s="186">
        <v>6413514.8475670312</v>
      </c>
      <c r="F226" s="186">
        <v>0</v>
      </c>
      <c r="G226" s="186">
        <v>0</v>
      </c>
      <c r="H226" s="186">
        <v>0</v>
      </c>
      <c r="I226" s="186">
        <f t="shared" si="120"/>
        <v>0</v>
      </c>
    </row>
    <row r="227" spans="2:9">
      <c r="B227" s="2" t="str">
        <f t="shared" ref="B227:C227" si="129">B121</f>
        <v>High Voltage Demand D1</v>
      </c>
      <c r="C227" s="71" t="str">
        <f t="shared" si="129"/>
        <v>High Voltage</v>
      </c>
      <c r="D227" s="186">
        <v>0</v>
      </c>
      <c r="E227" s="186">
        <v>0</v>
      </c>
      <c r="F227" s="186">
        <v>0</v>
      </c>
      <c r="G227" s="186">
        <v>0</v>
      </c>
      <c r="H227" s="186">
        <v>0</v>
      </c>
      <c r="I227" s="186">
        <f t="shared" si="120"/>
        <v>0</v>
      </c>
    </row>
    <row r="228" spans="2:9">
      <c r="B228" s="2" t="str">
        <f t="shared" ref="B228:C228" si="130">B122</f>
        <v>High Voltage Demand R</v>
      </c>
      <c r="C228" s="71" t="str">
        <f t="shared" si="130"/>
        <v>High Voltage</v>
      </c>
      <c r="D228" s="186">
        <v>0</v>
      </c>
      <c r="E228" s="186">
        <v>0</v>
      </c>
      <c r="F228" s="186">
        <v>0</v>
      </c>
      <c r="G228" s="186">
        <v>0</v>
      </c>
      <c r="H228" s="186">
        <v>0</v>
      </c>
      <c r="I228" s="186">
        <f t="shared" si="120"/>
        <v>0</v>
      </c>
    </row>
    <row r="229" spans="2:9">
      <c r="B229" s="2" t="str">
        <f t="shared" ref="B229:C229" si="131">B123</f>
        <v>High Voltage Demand G</v>
      </c>
      <c r="C229" s="71" t="str">
        <f t="shared" si="131"/>
        <v>High Voltage</v>
      </c>
      <c r="D229" s="186">
        <v>256721.93822778613</v>
      </c>
      <c r="E229" s="186">
        <v>105296.0571061598</v>
      </c>
      <c r="F229" s="186">
        <v>0</v>
      </c>
      <c r="G229" s="186">
        <v>0</v>
      </c>
      <c r="H229" s="186">
        <v>0</v>
      </c>
      <c r="I229" s="186">
        <f t="shared" si="120"/>
        <v>0</v>
      </c>
    </row>
    <row r="230" spans="2:9">
      <c r="B230" s="2" t="str">
        <f t="shared" ref="B230:C230" si="132">B124</f>
        <v>High Voltage</v>
      </c>
      <c r="C230" s="71" t="str">
        <f t="shared" si="132"/>
        <v>High Voltage</v>
      </c>
      <c r="D230" s="186"/>
      <c r="E230" s="186">
        <v>6716945.8048447389</v>
      </c>
      <c r="F230" s="186">
        <v>14064853.992133087</v>
      </c>
      <c r="G230" s="186">
        <v>15502091.410123836</v>
      </c>
      <c r="H230" s="186">
        <v>15853622.287910599</v>
      </c>
      <c r="I230" s="186">
        <v>15945848.020650897</v>
      </c>
    </row>
    <row r="231" spans="2:9">
      <c r="B231" s="2" t="str">
        <f t="shared" ref="B231:C231" si="133">B125</f>
        <v>High Voltage Bulk</v>
      </c>
      <c r="C231" s="71" t="str">
        <f t="shared" si="133"/>
        <v>High Voltage</v>
      </c>
      <c r="D231" s="186"/>
      <c r="E231" s="186">
        <v>0</v>
      </c>
      <c r="F231" s="186">
        <v>0</v>
      </c>
      <c r="G231" s="186">
        <v>0</v>
      </c>
      <c r="H231" s="186">
        <v>0</v>
      </c>
      <c r="I231" s="186">
        <f t="shared" si="120"/>
        <v>0</v>
      </c>
    </row>
    <row r="232" spans="2:9">
      <c r="B232" s="2" t="str">
        <f t="shared" ref="B232:C232" si="134">B126</f>
        <v xml:space="preserve">Subtransmission </v>
      </c>
      <c r="C232" s="71" t="str">
        <f t="shared" si="134"/>
        <v>Subtransmission</v>
      </c>
      <c r="D232" s="186">
        <v>851928.42540208704</v>
      </c>
      <c r="E232" s="186">
        <v>350136.37559818034</v>
      </c>
      <c r="F232" s="186">
        <v>0</v>
      </c>
      <c r="G232" s="186">
        <v>0</v>
      </c>
      <c r="H232" s="186">
        <v>0</v>
      </c>
      <c r="I232" s="186">
        <f t="shared" si="120"/>
        <v>0</v>
      </c>
    </row>
    <row r="233" spans="2:9">
      <c r="B233" s="2" t="str">
        <f t="shared" ref="B233:C233" si="135">B127</f>
        <v>Subtransmission</v>
      </c>
      <c r="C233" s="71" t="str">
        <f t="shared" si="135"/>
        <v>Subtransmission</v>
      </c>
      <c r="D233" s="186"/>
      <c r="E233" s="186">
        <v>685917.44941022783</v>
      </c>
      <c r="F233" s="186">
        <v>1060044.9698628127</v>
      </c>
      <c r="G233" s="186">
        <v>976176.81745959993</v>
      </c>
      <c r="H233" s="186">
        <v>995877.09178948996</v>
      </c>
      <c r="I233" s="186">
        <v>1019981.0976362232</v>
      </c>
    </row>
    <row r="234" spans="2:9">
      <c r="B234" s="54" t="s">
        <v>3</v>
      </c>
      <c r="C234" s="115"/>
      <c r="D234" s="187">
        <f t="shared" ref="D234:I234" si="136">SUM(D186:D233)</f>
        <v>287730618.08286077</v>
      </c>
      <c r="E234" s="187">
        <f t="shared" si="136"/>
        <v>282100082.29558986</v>
      </c>
      <c r="F234" s="187">
        <f t="shared" si="136"/>
        <v>282526250.25317425</v>
      </c>
      <c r="G234" s="187">
        <f t="shared" si="136"/>
        <v>293358386.96368277</v>
      </c>
      <c r="H234" s="187">
        <f t="shared" si="136"/>
        <v>301246306.61228108</v>
      </c>
      <c r="I234" s="187">
        <f t="shared" si="136"/>
        <v>314384343.62963617</v>
      </c>
    </row>
    <row r="235" spans="2:9">
      <c r="D235" s="1"/>
      <c r="E235" s="1"/>
      <c r="F235" s="182"/>
      <c r="G235" s="182"/>
      <c r="H235" s="182"/>
      <c r="I235" s="143"/>
    </row>
    <row r="236" spans="2:9">
      <c r="B236" s="125"/>
      <c r="D236" s="148"/>
      <c r="E236" s="148"/>
      <c r="F236" s="148"/>
      <c r="G236" s="148"/>
      <c r="H236" s="148"/>
      <c r="I236" s="148"/>
    </row>
    <row r="237" spans="2:9">
      <c r="E237" s="1"/>
      <c r="F237" s="192"/>
      <c r="G237" s="192"/>
      <c r="H237" s="192"/>
      <c r="I237" s="192"/>
    </row>
    <row r="238" spans="2:9">
      <c r="E238" s="1"/>
      <c r="I238" s="137"/>
    </row>
    <row r="239" spans="2:9">
      <c r="E239" s="1"/>
      <c r="I239" s="137"/>
    </row>
    <row r="240" spans="2:9">
      <c r="E240" s="1"/>
      <c r="I240" s="137"/>
    </row>
    <row r="241" spans="5:9">
      <c r="E241" s="1"/>
      <c r="I241" s="137"/>
    </row>
    <row r="242" spans="5:9">
      <c r="E242" s="1"/>
      <c r="I242" s="137"/>
    </row>
    <row r="243" spans="5:9">
      <c r="E243" s="1"/>
      <c r="I243" s="17"/>
    </row>
    <row r="244" spans="5:9">
      <c r="E244" s="1"/>
      <c r="I244" s="17"/>
    </row>
    <row r="245" spans="5:9">
      <c r="E245" s="1"/>
      <c r="I245" s="17"/>
    </row>
    <row r="246" spans="5:9">
      <c r="E246" s="1"/>
      <c r="I246" s="17"/>
    </row>
    <row r="247" spans="5:9">
      <c r="E247" s="1"/>
      <c r="I247" s="17"/>
    </row>
    <row r="248" spans="5:9">
      <c r="E248" s="1"/>
      <c r="I248" s="17"/>
    </row>
    <row r="249" spans="5:9">
      <c r="E249" s="1"/>
      <c r="I249" s="17"/>
    </row>
    <row r="250" spans="5:9">
      <c r="E250" s="1"/>
      <c r="I250" s="17"/>
    </row>
    <row r="251" spans="5:9">
      <c r="E251" s="1"/>
      <c r="I251" s="17"/>
    </row>
    <row r="252" spans="5:9">
      <c r="E252" s="1"/>
      <c r="I252" s="17"/>
    </row>
    <row r="253" spans="5:9">
      <c r="E253" s="1"/>
      <c r="I253" s="17"/>
    </row>
    <row r="254" spans="5:9">
      <c r="E254" s="1"/>
      <c r="I254" s="17"/>
    </row>
    <row r="255" spans="5:9">
      <c r="E255" s="1"/>
      <c r="I255" s="17"/>
    </row>
    <row r="256" spans="5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E259" s="1"/>
      <c r="I259" s="17"/>
    </row>
    <row r="260" spans="5:9">
      <c r="E260" s="1"/>
      <c r="I260" s="17"/>
    </row>
    <row r="261" spans="5:9">
      <c r="E261" s="1"/>
      <c r="I261" s="17"/>
    </row>
    <row r="262" spans="5:9">
      <c r="E262" s="1"/>
      <c r="I262" s="17"/>
    </row>
    <row r="263" spans="5:9">
      <c r="E263" s="1"/>
      <c r="I263" s="17"/>
    </row>
    <row r="264" spans="5:9">
      <c r="E264" s="1"/>
      <c r="I264" s="17"/>
    </row>
    <row r="265" spans="5:9">
      <c r="E265" s="1"/>
      <c r="I265" s="17"/>
    </row>
    <row r="266" spans="5:9">
      <c r="E266" s="1"/>
      <c r="I266" s="17"/>
    </row>
    <row r="267" spans="5:9">
      <c r="E267" s="1"/>
      <c r="I267" s="17"/>
    </row>
    <row r="268" spans="5:9">
      <c r="E268" s="1"/>
      <c r="I268" s="17"/>
    </row>
    <row r="269" spans="5:9">
      <c r="E269" s="1"/>
      <c r="I269" s="17"/>
    </row>
    <row r="270" spans="5:9">
      <c r="E270" s="1"/>
      <c r="I270" s="17"/>
    </row>
    <row r="271" spans="5:9">
      <c r="E271" s="1"/>
      <c r="I271" s="17"/>
    </row>
    <row r="272" spans="5:9">
      <c r="E272" s="1"/>
      <c r="I272" s="17"/>
    </row>
    <row r="273" spans="5:9">
      <c r="E273" s="1"/>
      <c r="I273" s="17"/>
    </row>
    <row r="274" spans="5:9">
      <c r="I274" s="17"/>
    </row>
    <row r="275" spans="5:9">
      <c r="I275" s="17"/>
    </row>
    <row r="276" spans="5:9">
      <c r="I276" s="17"/>
    </row>
    <row r="277" spans="5:9">
      <c r="I277" s="17"/>
    </row>
    <row r="278" spans="5:9">
      <c r="I278" s="17"/>
    </row>
    <row r="279" spans="5:9">
      <c r="I279" s="17"/>
    </row>
    <row r="280" spans="5:9">
      <c r="I280" s="17"/>
    </row>
    <row r="281" spans="5:9">
      <c r="I281" s="17"/>
    </row>
    <row r="282" spans="5:9">
      <c r="I282" s="17"/>
    </row>
    <row r="283" spans="5:9">
      <c r="I283" s="17"/>
    </row>
    <row r="284" spans="5:9">
      <c r="I284" s="17"/>
    </row>
    <row r="285" spans="5:9">
      <c r="I285" s="17"/>
    </row>
  </sheetData>
  <phoneticPr fontId="2" type="noConversion"/>
  <dataValidations count="2">
    <dataValidation type="list" allowBlank="1" showInputMessage="1" showErrorMessage="1" sqref="C7">
      <formula1>"OG,VPN"</formula1>
    </dataValidation>
    <dataValidation type="list" allowBlank="1" showInputMessage="1" showErrorMessage="1" sqref="C6">
      <formula1>"2016,2017,2018,2019,2020"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48"/>
  <sheetViews>
    <sheetView showGridLines="0" workbookViewId="0">
      <selection activeCell="N6" sqref="N6"/>
    </sheetView>
  </sheetViews>
  <sheetFormatPr defaultColWidth="8.7109375" defaultRowHeight="12.75"/>
  <cols>
    <col min="1" max="1" width="8.7109375" style="231"/>
    <col min="2" max="2" width="18.5703125" style="231" bestFit="1" customWidth="1"/>
    <col min="3" max="3" width="13.85546875" style="231" bestFit="1" customWidth="1"/>
    <col min="4" max="4" width="21.42578125" style="231" bestFit="1" customWidth="1"/>
    <col min="5" max="5" width="11.85546875" style="231" bestFit="1" customWidth="1"/>
    <col min="6" max="14" width="9.7109375" style="231" bestFit="1" customWidth="1"/>
    <col min="15" max="16384" width="8.7109375" style="231"/>
  </cols>
  <sheetData>
    <row r="1" spans="1:15" s="227" customFormat="1" ht="21">
      <c r="A1" s="224" t="s">
        <v>122</v>
      </c>
      <c r="B1" s="225"/>
      <c r="C1" s="226"/>
      <c r="D1" s="226"/>
      <c r="E1" s="226"/>
      <c r="F1" s="226"/>
      <c r="G1" s="226"/>
      <c r="H1" s="226"/>
      <c r="I1" s="225"/>
      <c r="J1" s="225"/>
      <c r="K1" s="225"/>
      <c r="L1" s="225"/>
      <c r="M1" s="225"/>
      <c r="N1" s="225"/>
    </row>
    <row r="2" spans="1:15" s="227" customFormat="1" ht="15.75">
      <c r="A2" s="228" t="s">
        <v>132</v>
      </c>
      <c r="B2" s="229"/>
      <c r="C2" s="230"/>
      <c r="D2" s="230"/>
      <c r="E2" s="230"/>
      <c r="F2" s="230"/>
      <c r="G2" s="230"/>
      <c r="H2" s="230"/>
      <c r="I2" s="229"/>
      <c r="J2" s="229"/>
      <c r="K2" s="229"/>
      <c r="L2" s="229"/>
      <c r="M2" s="229"/>
      <c r="N2" s="229"/>
    </row>
    <row r="5" spans="1:15">
      <c r="B5" s="232" t="s">
        <v>133</v>
      </c>
      <c r="C5" s="232" t="s">
        <v>134</v>
      </c>
      <c r="D5" s="232" t="s">
        <v>135</v>
      </c>
      <c r="E5" s="232">
        <v>2016</v>
      </c>
      <c r="F5" s="232">
        <f>E5+1</f>
        <v>2017</v>
      </c>
      <c r="G5" s="232">
        <f>F5+1</f>
        <v>2018</v>
      </c>
      <c r="H5" s="232">
        <f t="shared" ref="H5:N5" si="0">G5+1</f>
        <v>2019</v>
      </c>
      <c r="I5" s="232">
        <f t="shared" si="0"/>
        <v>2020</v>
      </c>
      <c r="J5" s="232">
        <f t="shared" si="0"/>
        <v>2021</v>
      </c>
      <c r="K5" s="232">
        <f t="shared" si="0"/>
        <v>2022</v>
      </c>
      <c r="L5" s="232">
        <f t="shared" si="0"/>
        <v>2023</v>
      </c>
      <c r="M5" s="232">
        <f t="shared" si="0"/>
        <v>2024</v>
      </c>
      <c r="N5" s="232">
        <f t="shared" si="0"/>
        <v>2025</v>
      </c>
    </row>
    <row r="6" spans="1:15" ht="15" customHeight="1">
      <c r="B6" s="231" t="s">
        <v>203</v>
      </c>
      <c r="C6" s="240" t="s">
        <v>205</v>
      </c>
      <c r="D6" s="240" t="s">
        <v>136</v>
      </c>
      <c r="E6" s="264">
        <v>59.456001304353158</v>
      </c>
      <c r="F6" s="264">
        <v>62.557683595132644</v>
      </c>
      <c r="G6" s="264">
        <v>64.463528401285743</v>
      </c>
      <c r="H6" s="264">
        <v>66.098854039134451</v>
      </c>
      <c r="I6" s="264">
        <v>67.35891990634623</v>
      </c>
      <c r="J6" s="264">
        <v>69.048142926388863</v>
      </c>
      <c r="K6" s="264">
        <v>70.499201524094019</v>
      </c>
      <c r="L6" s="264">
        <v>72.837117425961281</v>
      </c>
      <c r="M6" s="264">
        <v>75.481986612824215</v>
      </c>
      <c r="N6" s="264">
        <v>78.222024549736332</v>
      </c>
      <c r="O6" s="233"/>
    </row>
    <row r="7" spans="1:15" ht="15" customHeight="1">
      <c r="B7" s="231" t="s">
        <v>203</v>
      </c>
      <c r="C7" s="240" t="s">
        <v>206</v>
      </c>
      <c r="D7" s="240" t="s">
        <v>136</v>
      </c>
      <c r="E7" s="264">
        <v>32.436855502953279</v>
      </c>
      <c r="F7" s="264">
        <v>33.362432662670038</v>
      </c>
      <c r="G7" s="264">
        <v>34.196186038798366</v>
      </c>
      <c r="H7" s="264">
        <v>35.212692926715455</v>
      </c>
      <c r="I7" s="264">
        <v>35.897189644774897</v>
      </c>
      <c r="J7" s="264">
        <v>36.563634818916718</v>
      </c>
      <c r="K7" s="264">
        <v>37.437909645689722</v>
      </c>
      <c r="L7" s="264">
        <v>38.707394734846311</v>
      </c>
      <c r="M7" s="264">
        <v>39.702847883033705</v>
      </c>
      <c r="N7" s="264">
        <v>40.724171812506349</v>
      </c>
      <c r="O7" s="233"/>
    </row>
    <row r="8" spans="1:15" ht="15" customHeight="1">
      <c r="B8" s="231" t="s">
        <v>203</v>
      </c>
      <c r="C8" s="240" t="s">
        <v>207</v>
      </c>
      <c r="D8" s="240" t="s">
        <v>136</v>
      </c>
      <c r="E8" s="264">
        <v>32.477575146759747</v>
      </c>
      <c r="F8" s="264">
        <v>32.937659710443405</v>
      </c>
      <c r="G8" s="264">
        <v>33.063205622488468</v>
      </c>
      <c r="H8" s="264">
        <v>33.355174815215904</v>
      </c>
      <c r="I8" s="264">
        <v>33.284038881399979</v>
      </c>
      <c r="J8" s="264">
        <v>33.181849727327091</v>
      </c>
      <c r="K8" s="264">
        <v>33.268171404782386</v>
      </c>
      <c r="L8" s="264">
        <v>33.707689036149894</v>
      </c>
      <c r="M8" s="264">
        <v>33.859209684994568</v>
      </c>
      <c r="N8" s="264">
        <v>34.011390928711464</v>
      </c>
      <c r="O8" s="233"/>
    </row>
    <row r="9" spans="1:15" ht="15" customHeight="1">
      <c r="B9" s="231" t="s">
        <v>203</v>
      </c>
      <c r="C9" s="240" t="s">
        <v>208</v>
      </c>
      <c r="D9" s="240" t="s">
        <v>137</v>
      </c>
      <c r="E9" s="264">
        <v>52.6698029971135</v>
      </c>
      <c r="F9" s="264">
        <v>54.064123625017942</v>
      </c>
      <c r="G9" s="264">
        <v>54.978337270064543</v>
      </c>
      <c r="H9" s="264">
        <v>55.533333740719634</v>
      </c>
      <c r="I9" s="264">
        <v>56.634820068504453</v>
      </c>
      <c r="J9" s="264">
        <v>57.162241926271925</v>
      </c>
      <c r="K9" s="264">
        <v>57.972688978239262</v>
      </c>
      <c r="L9" s="264">
        <v>59.227356865303769</v>
      </c>
      <c r="M9" s="264">
        <v>60.170358933844433</v>
      </c>
      <c r="N9" s="264">
        <v>61.128397230876118</v>
      </c>
      <c r="O9" s="234"/>
    </row>
    <row r="10" spans="1:15" ht="15" customHeight="1">
      <c r="B10" s="231" t="s">
        <v>203</v>
      </c>
      <c r="C10" s="240" t="s">
        <v>209</v>
      </c>
      <c r="D10" s="240" t="s">
        <v>137</v>
      </c>
      <c r="E10" s="264">
        <v>14.706675836476514</v>
      </c>
      <c r="F10" s="264">
        <v>14.673389926652394</v>
      </c>
      <c r="G10" s="264">
        <v>14.532187863327374</v>
      </c>
      <c r="H10" s="264">
        <v>14.345676974523919</v>
      </c>
      <c r="I10" s="264">
        <v>14.15870555745698</v>
      </c>
      <c r="J10" s="264">
        <v>13.863414515304015</v>
      </c>
      <c r="K10" s="264">
        <v>13.641543919719796</v>
      </c>
      <c r="L10" s="264">
        <v>13.441701422783632</v>
      </c>
      <c r="M10" s="264">
        <v>13.209533359303899</v>
      </c>
      <c r="N10" s="264">
        <v>12.981375354372899</v>
      </c>
      <c r="O10" s="234"/>
    </row>
    <row r="11" spans="1:15" ht="15" customHeight="1">
      <c r="B11" s="231" t="s">
        <v>203</v>
      </c>
      <c r="C11" s="240" t="s">
        <v>210</v>
      </c>
      <c r="D11" s="240" t="s">
        <v>136</v>
      </c>
      <c r="E11" s="264">
        <v>47.9340868449246</v>
      </c>
      <c r="F11" s="264">
        <v>50.605746225786064</v>
      </c>
      <c r="G11" s="264">
        <v>52.545356252460785</v>
      </c>
      <c r="H11" s="264">
        <v>53.703968192376742</v>
      </c>
      <c r="I11" s="264">
        <v>54.301180485235491</v>
      </c>
      <c r="J11" s="264">
        <v>55.032574807563421</v>
      </c>
      <c r="K11" s="264">
        <v>55.963653737888286</v>
      </c>
      <c r="L11" s="264">
        <v>57.258520040746795</v>
      </c>
      <c r="M11" s="264">
        <v>58.514582742017403</v>
      </c>
      <c r="N11" s="264">
        <v>59.80234508077703</v>
      </c>
      <c r="O11" s="234"/>
    </row>
    <row r="12" spans="1:15" ht="15" customHeight="1">
      <c r="B12" s="231" t="s">
        <v>203</v>
      </c>
      <c r="C12" s="240" t="s">
        <v>211</v>
      </c>
      <c r="D12" s="240" t="s">
        <v>136</v>
      </c>
      <c r="E12" s="264">
        <v>20.470177288254842</v>
      </c>
      <c r="F12" s="264">
        <v>20.883658481081628</v>
      </c>
      <c r="G12" s="264">
        <v>21.306462468325908</v>
      </c>
      <c r="H12" s="264">
        <v>21.738763215124827</v>
      </c>
      <c r="I12" s="264">
        <v>22.180738464444904</v>
      </c>
      <c r="J12" s="264">
        <v>22.632569820126175</v>
      </c>
      <c r="K12" s="264">
        <v>23.094442830851371</v>
      </c>
      <c r="L12" s="264">
        <v>23.56654707510646</v>
      </c>
      <c r="M12" s="264">
        <v>24.049076247198528</v>
      </c>
      <c r="N12" s="264">
        <v>24.542228244396838</v>
      </c>
      <c r="O12" s="234"/>
    </row>
    <row r="13" spans="1:15" ht="15" customHeight="1">
      <c r="B13" s="231" t="s">
        <v>203</v>
      </c>
      <c r="C13" s="240" t="s">
        <v>212</v>
      </c>
      <c r="D13" s="240" t="s">
        <v>136</v>
      </c>
      <c r="E13" s="264">
        <v>15.44979448798267</v>
      </c>
      <c r="F13" s="264">
        <v>15.970787402951952</v>
      </c>
      <c r="G13" s="264">
        <v>16.35350274386456</v>
      </c>
      <c r="H13" s="264">
        <v>16.745389268919464</v>
      </c>
      <c r="I13" s="264">
        <v>17.055203293146576</v>
      </c>
      <c r="J13" s="264">
        <v>17.351207355907835</v>
      </c>
      <c r="K13" s="264">
        <v>17.685399702655829</v>
      </c>
      <c r="L13" s="264">
        <v>17.994391056402716</v>
      </c>
      <c r="M13" s="264">
        <v>18.388462530957522</v>
      </c>
      <c r="N13" s="264">
        <v>18.791164046205065</v>
      </c>
      <c r="O13" s="234"/>
    </row>
    <row r="14" spans="1:15" ht="15" customHeight="1">
      <c r="B14" s="231" t="s">
        <v>203</v>
      </c>
      <c r="C14" s="240" t="s">
        <v>213</v>
      </c>
      <c r="D14" s="240" t="s">
        <v>136</v>
      </c>
      <c r="E14" s="264">
        <v>54.875371024517868</v>
      </c>
      <c r="F14" s="264">
        <v>54.95529229686413</v>
      </c>
      <c r="G14" s="264">
        <v>54.315082409889037</v>
      </c>
      <c r="H14" s="264">
        <v>53.928332145025294</v>
      </c>
      <c r="I14" s="264">
        <v>53.010293722751086</v>
      </c>
      <c r="J14" s="264">
        <v>52.062682199028607</v>
      </c>
      <c r="K14" s="264">
        <v>51.398665647825588</v>
      </c>
      <c r="L14" s="264">
        <v>51.235839916571528</v>
      </c>
      <c r="M14" s="264">
        <v>50.669988824718942</v>
      </c>
      <c r="N14" s="264">
        <v>50.110276722423443</v>
      </c>
      <c r="O14" s="234"/>
    </row>
    <row r="15" spans="1:15" ht="15" customHeight="1">
      <c r="B15" s="231" t="s">
        <v>203</v>
      </c>
      <c r="C15" s="240" t="s">
        <v>214</v>
      </c>
      <c r="D15" s="240" t="s">
        <v>136</v>
      </c>
      <c r="E15" s="264">
        <v>28.676252388933982</v>
      </c>
      <c r="F15" s="264">
        <v>29.290929270374004</v>
      </c>
      <c r="G15" s="264">
        <v>28.947990706041313</v>
      </c>
      <c r="H15" s="264">
        <v>28.741124964734126</v>
      </c>
      <c r="I15" s="264">
        <v>28.251031168727245</v>
      </c>
      <c r="J15" s="264">
        <v>27.746610976078774</v>
      </c>
      <c r="K15" s="264">
        <v>27.394078886012277</v>
      </c>
      <c r="L15" s="264">
        <v>27.307754207544185</v>
      </c>
      <c r="M15" s="264">
        <v>27.008139687306983</v>
      </c>
      <c r="N15" s="264">
        <v>26.712372184374452</v>
      </c>
      <c r="O15" s="234"/>
    </row>
    <row r="16" spans="1:15" ht="15" customHeight="1">
      <c r="B16" s="231" t="s">
        <v>203</v>
      </c>
      <c r="C16" s="240" t="s">
        <v>215</v>
      </c>
      <c r="D16" s="240" t="s">
        <v>137</v>
      </c>
      <c r="E16" s="264">
        <v>29.207161384718329</v>
      </c>
      <c r="F16" s="264">
        <v>29.981223973398041</v>
      </c>
      <c r="G16" s="264">
        <v>30.774858095092402</v>
      </c>
      <c r="H16" s="264">
        <v>31.588526819429255</v>
      </c>
      <c r="I16" s="264">
        <v>32.422705131531345</v>
      </c>
      <c r="J16" s="264">
        <v>33.277880205246007</v>
      </c>
      <c r="K16" s="264">
        <v>34.154551683681333</v>
      </c>
      <c r="L16" s="264">
        <v>35.05323196722189</v>
      </c>
      <c r="M16" s="264">
        <v>35.974446509199559</v>
      </c>
      <c r="N16" s="264">
        <v>36.91873411939774</v>
      </c>
      <c r="O16" s="234"/>
    </row>
    <row r="17" spans="2:15" ht="15" customHeight="1">
      <c r="B17" s="231" t="s">
        <v>203</v>
      </c>
      <c r="C17" s="240" t="s">
        <v>216</v>
      </c>
      <c r="D17" s="240" t="s">
        <v>136</v>
      </c>
      <c r="E17" s="264">
        <v>10.322323534546186</v>
      </c>
      <c r="F17" s="264">
        <v>10.349965114475918</v>
      </c>
      <c r="G17" s="264">
        <v>10.27989827182537</v>
      </c>
      <c r="H17" s="264">
        <v>10.162520037837938</v>
      </c>
      <c r="I17" s="264">
        <v>9.9881020664776017</v>
      </c>
      <c r="J17" s="264">
        <v>9.8713670768087773</v>
      </c>
      <c r="K17" s="264">
        <v>9.7194772516025072</v>
      </c>
      <c r="L17" s="264">
        <v>9.6774181477626016</v>
      </c>
      <c r="M17" s="264">
        <v>9.6633404709420692</v>
      </c>
      <c r="N17" s="264">
        <v>9.6492832728258371</v>
      </c>
      <c r="O17" s="234"/>
    </row>
    <row r="18" spans="2:15" ht="15" customHeight="1">
      <c r="B18" s="231" t="s">
        <v>203</v>
      </c>
      <c r="C18" s="240" t="s">
        <v>217</v>
      </c>
      <c r="D18" s="240" t="s">
        <v>137</v>
      </c>
      <c r="E18" s="264">
        <v>16.341548427288636</v>
      </c>
      <c r="F18" s="264">
        <v>16.650840149027793</v>
      </c>
      <c r="G18" s="264">
        <v>16.840838228806518</v>
      </c>
      <c r="H18" s="264">
        <v>16.977774291115963</v>
      </c>
      <c r="I18" s="264">
        <v>17.112374102543519</v>
      </c>
      <c r="J18" s="264">
        <v>17.11133650533662</v>
      </c>
      <c r="K18" s="264">
        <v>17.195082204353287</v>
      </c>
      <c r="L18" s="264">
        <v>17.303022903854792</v>
      </c>
      <c r="M18" s="264">
        <v>17.365297256272637</v>
      </c>
      <c r="N18" s="264">
        <v>17.427795736866845</v>
      </c>
      <c r="O18" s="234"/>
    </row>
    <row r="19" spans="2:15" ht="15" customHeight="1">
      <c r="B19" s="231" t="s">
        <v>203</v>
      </c>
      <c r="C19" s="240" t="s">
        <v>218</v>
      </c>
      <c r="D19" s="240" t="s">
        <v>136</v>
      </c>
      <c r="E19" s="264">
        <v>31.544111715280799</v>
      </c>
      <c r="F19" s="264">
        <v>34.09896441538568</v>
      </c>
      <c r="G19" s="264">
        <v>33.885588531531376</v>
      </c>
      <c r="H19" s="264">
        <v>33.502974463439813</v>
      </c>
      <c r="I19" s="264">
        <v>32.916444124939098</v>
      </c>
      <c r="J19" s="264">
        <v>32.535346226434555</v>
      </c>
      <c r="K19" s="264">
        <v>32.028544141729334</v>
      </c>
      <c r="L19" s="264">
        <v>31.912999929993894</v>
      </c>
      <c r="M19" s="264">
        <v>31.897117673084651</v>
      </c>
      <c r="N19" s="264">
        <v>31.881243511824053</v>
      </c>
      <c r="O19" s="234"/>
    </row>
    <row r="20" spans="2:15" ht="15" customHeight="1">
      <c r="B20" s="231" t="s">
        <v>203</v>
      </c>
      <c r="C20" s="240" t="s">
        <v>219</v>
      </c>
      <c r="D20" s="240" t="s">
        <v>137</v>
      </c>
      <c r="E20" s="264">
        <v>55.861193227629279</v>
      </c>
      <c r="F20" s="264">
        <v>55.756634923078245</v>
      </c>
      <c r="G20" s="264">
        <v>55.503855264061912</v>
      </c>
      <c r="H20" s="264">
        <v>54.924475446730028</v>
      </c>
      <c r="I20" s="264">
        <v>55.164063820955342</v>
      </c>
      <c r="J20" s="264">
        <v>53.368417599693103</v>
      </c>
      <c r="K20" s="264">
        <v>52.814171377066074</v>
      </c>
      <c r="L20" s="264">
        <v>52.339609541903549</v>
      </c>
      <c r="M20" s="264">
        <v>53.296455822053261</v>
      </c>
      <c r="N20" s="264">
        <v>54.26952164046827</v>
      </c>
      <c r="O20" s="234"/>
    </row>
    <row r="21" spans="2:15" ht="15" customHeight="1">
      <c r="B21" s="231" t="s">
        <v>203</v>
      </c>
      <c r="C21" s="240" t="s">
        <v>220</v>
      </c>
      <c r="D21" s="240" t="s">
        <v>136</v>
      </c>
      <c r="E21" s="264">
        <v>16.336333177247244</v>
      </c>
      <c r="F21" s="264">
        <v>16.506469975653012</v>
      </c>
      <c r="G21" s="264">
        <v>16.594888379277545</v>
      </c>
      <c r="H21" s="264">
        <v>16.683780404100979</v>
      </c>
      <c r="I21" s="264">
        <v>16.773148587118229</v>
      </c>
      <c r="J21" s="264">
        <v>16.862995478913845</v>
      </c>
      <c r="K21" s="264">
        <v>16.953323643734823</v>
      </c>
      <c r="L21" s="264">
        <v>17.044135659563771</v>
      </c>
      <c r="M21" s="264">
        <v>17.135434118192507</v>
      </c>
      <c r="N21" s="264">
        <v>17.227221625296004</v>
      </c>
      <c r="O21" s="234"/>
    </row>
    <row r="22" spans="2:15" ht="15" customHeight="1">
      <c r="B22" s="231" t="s">
        <v>203</v>
      </c>
      <c r="C22" s="240" t="s">
        <v>221</v>
      </c>
      <c r="D22" s="240" t="s">
        <v>136</v>
      </c>
      <c r="E22" s="264">
        <v>107.4668113266145</v>
      </c>
      <c r="F22" s="264">
        <v>119.34482256599466</v>
      </c>
      <c r="G22" s="264">
        <v>126.43864642817617</v>
      </c>
      <c r="H22" s="264">
        <v>131.39529267014552</v>
      </c>
      <c r="I22" s="264">
        <v>135.00362857032857</v>
      </c>
      <c r="J22" s="264">
        <v>139.04647937372252</v>
      </c>
      <c r="K22" s="264">
        <v>143.71587934579588</v>
      </c>
      <c r="L22" s="264">
        <v>149.4812987033466</v>
      </c>
      <c r="M22" s="264">
        <v>155.27472084960755</v>
      </c>
      <c r="N22" s="264">
        <v>161.29130302373281</v>
      </c>
      <c r="O22" s="234"/>
    </row>
    <row r="23" spans="2:15" ht="15" customHeight="1">
      <c r="B23" s="231" t="s">
        <v>203</v>
      </c>
      <c r="C23" s="240" t="s">
        <v>222</v>
      </c>
      <c r="D23" s="240" t="s">
        <v>136</v>
      </c>
      <c r="E23" s="264">
        <v>43.420191604636635</v>
      </c>
      <c r="F23" s="264">
        <v>44.132986656248718</v>
      </c>
      <c r="G23" s="264">
        <v>44.798618815054297</v>
      </c>
      <c r="H23" s="264">
        <v>44.931490620704359</v>
      </c>
      <c r="I23" s="264">
        <v>45.255115434347594</v>
      </c>
      <c r="J23" s="264">
        <v>45.45295810499875</v>
      </c>
      <c r="K23" s="264">
        <v>45.766089127497068</v>
      </c>
      <c r="L23" s="264">
        <v>46.458757639034296</v>
      </c>
      <c r="M23" s="264">
        <v>47.145420165517613</v>
      </c>
      <c r="N23" s="264">
        <v>47.844186550669811</v>
      </c>
      <c r="O23" s="234"/>
    </row>
    <row r="24" spans="2:15" ht="15" customHeight="1">
      <c r="B24" s="231" t="s">
        <v>203</v>
      </c>
      <c r="C24" s="240" t="s">
        <v>223</v>
      </c>
      <c r="D24" s="240" t="s">
        <v>136</v>
      </c>
      <c r="E24" s="264">
        <v>90.103004358699266</v>
      </c>
      <c r="F24" s="264">
        <v>94.934836727177412</v>
      </c>
      <c r="G24" s="264">
        <v>97.849962744654036</v>
      </c>
      <c r="H24" s="264">
        <v>100.03780717564779</v>
      </c>
      <c r="I24" s="264">
        <v>101.20127540069952</v>
      </c>
      <c r="J24" s="264">
        <v>102.61407671530147</v>
      </c>
      <c r="K24" s="264">
        <v>104.3979855047253</v>
      </c>
      <c r="L24" s="264">
        <v>106.85767189845191</v>
      </c>
      <c r="M24" s="264">
        <v>109.25237396585115</v>
      </c>
      <c r="N24" s="264">
        <v>111.71206716108152</v>
      </c>
      <c r="O24" s="234"/>
    </row>
    <row r="25" spans="2:15" ht="15" customHeight="1">
      <c r="B25" s="231" t="s">
        <v>203</v>
      </c>
      <c r="C25" s="240" t="s">
        <v>224</v>
      </c>
      <c r="D25" s="240" t="s">
        <v>136</v>
      </c>
      <c r="E25" s="264">
        <v>28.640444651735514</v>
      </c>
      <c r="F25" s="264">
        <v>29.671406506151488</v>
      </c>
      <c r="G25" s="264">
        <v>30.551823017806921</v>
      </c>
      <c r="H25" s="264">
        <v>31.457448150660483</v>
      </c>
      <c r="I25" s="264">
        <v>32.388979467008959</v>
      </c>
      <c r="J25" s="264">
        <v>33.347134616865127</v>
      </c>
      <c r="K25" s="264">
        <v>34.332651888019015</v>
      </c>
      <c r="L25" s="264">
        <v>35.346290772181774</v>
      </c>
      <c r="M25" s="264">
        <v>36.388832547649216</v>
      </c>
      <c r="N25" s="264">
        <v>37.461080878934368</v>
      </c>
      <c r="O25" s="234"/>
    </row>
    <row r="26" spans="2:15" ht="15" customHeight="1">
      <c r="B26" s="231" t="s">
        <v>203</v>
      </c>
      <c r="C26" s="240" t="s">
        <v>225</v>
      </c>
      <c r="D26" s="240" t="s">
        <v>136</v>
      </c>
      <c r="E26" s="264">
        <v>37.398210495616624</v>
      </c>
      <c r="F26" s="264">
        <v>38.251647651266978</v>
      </c>
      <c r="G26" s="264">
        <v>38.285102434644031</v>
      </c>
      <c r="H26" s="264">
        <v>37.834709967311028</v>
      </c>
      <c r="I26" s="264">
        <v>37.166263422922029</v>
      </c>
      <c r="J26" s="264">
        <v>36.719449786582913</v>
      </c>
      <c r="K26" s="264">
        <v>36.138789592891214</v>
      </c>
      <c r="L26" s="264">
        <v>35.978148675944837</v>
      </c>
      <c r="M26" s="264">
        <v>35.924394826874007</v>
      </c>
      <c r="N26" s="264">
        <v>35.870726512006058</v>
      </c>
      <c r="O26" s="234"/>
    </row>
    <row r="27" spans="2:15" ht="15" customHeight="1">
      <c r="B27" s="231" t="s">
        <v>203</v>
      </c>
      <c r="C27" s="240" t="s">
        <v>226</v>
      </c>
      <c r="D27" s="240" t="s">
        <v>136</v>
      </c>
      <c r="E27" s="264">
        <v>148.70134708194672</v>
      </c>
      <c r="F27" s="264">
        <v>153.3157526348177</v>
      </c>
      <c r="G27" s="264">
        <v>155.7636140980419</v>
      </c>
      <c r="H27" s="264">
        <v>157.99921811981159</v>
      </c>
      <c r="I27" s="264">
        <v>159.86224560577716</v>
      </c>
      <c r="J27" s="264">
        <v>159.66004124023331</v>
      </c>
      <c r="K27" s="264">
        <v>162.79386611053755</v>
      </c>
      <c r="L27" s="264">
        <v>166.42375920898101</v>
      </c>
      <c r="M27" s="264">
        <v>168.95154893185693</v>
      </c>
      <c r="N27" s="264">
        <v>171.51715576697632</v>
      </c>
      <c r="O27" s="234"/>
    </row>
    <row r="28" spans="2:15" ht="15" customHeight="1">
      <c r="B28" s="231" t="s">
        <v>203</v>
      </c>
      <c r="C28" s="240" t="s">
        <v>227</v>
      </c>
      <c r="D28" s="240" t="s">
        <v>136</v>
      </c>
      <c r="E28" s="264">
        <v>35.298869901693671</v>
      </c>
      <c r="F28" s="264">
        <v>36.561893736416671</v>
      </c>
      <c r="G28" s="264">
        <v>37.747611257350748</v>
      </c>
      <c r="H28" s="264">
        <v>38.631590292796389</v>
      </c>
      <c r="I28" s="264">
        <v>39.099773325305236</v>
      </c>
      <c r="J28" s="264">
        <v>39.666612821253239</v>
      </c>
      <c r="K28" s="264">
        <v>40.379857058188392</v>
      </c>
      <c r="L28" s="264">
        <v>41.359030566533377</v>
      </c>
      <c r="M28" s="264">
        <v>42.307940317275417</v>
      </c>
      <c r="N28" s="264">
        <v>43.278446183408015</v>
      </c>
      <c r="O28" s="234"/>
    </row>
    <row r="29" spans="2:15" ht="15" customHeight="1">
      <c r="B29" s="231" t="s">
        <v>203</v>
      </c>
      <c r="C29" s="240" t="s">
        <v>228</v>
      </c>
      <c r="D29" s="240" t="s">
        <v>136</v>
      </c>
      <c r="E29" s="264">
        <v>60.272664163641188</v>
      </c>
      <c r="F29" s="264">
        <v>61.368121470687591</v>
      </c>
      <c r="G29" s="264">
        <v>61.66028884474612</v>
      </c>
      <c r="H29" s="264">
        <v>62.242105467999032</v>
      </c>
      <c r="I29" s="264">
        <v>62.193890852729282</v>
      </c>
      <c r="J29" s="264">
        <v>62.091392056052129</v>
      </c>
      <c r="K29" s="264">
        <v>62.317158681185617</v>
      </c>
      <c r="L29" s="264">
        <v>63.159779541039534</v>
      </c>
      <c r="M29" s="264">
        <v>63.501134729111449</v>
      </c>
      <c r="N29" s="264">
        <v>63.844384413520586</v>
      </c>
      <c r="O29" s="234"/>
    </row>
    <row r="30" spans="2:15" ht="15" customHeight="1">
      <c r="B30" s="231" t="s">
        <v>203</v>
      </c>
      <c r="C30" s="240" t="s">
        <v>229</v>
      </c>
      <c r="D30" s="240" t="s">
        <v>136</v>
      </c>
      <c r="E30" s="264">
        <v>16.282279657421576</v>
      </c>
      <c r="F30" s="264">
        <v>16.920893412890877</v>
      </c>
      <c r="G30" s="264">
        <v>17.247716411403712</v>
      </c>
      <c r="H30" s="264">
        <v>17.49784290387182</v>
      </c>
      <c r="I30" s="264">
        <v>17.646460935282079</v>
      </c>
      <c r="J30" s="264">
        <v>17.898440644929529</v>
      </c>
      <c r="K30" s="264">
        <v>18.0846506374711</v>
      </c>
      <c r="L30" s="264">
        <v>18.485045523680459</v>
      </c>
      <c r="M30" s="264">
        <v>18.952201772915021</v>
      </c>
      <c r="N30" s="264">
        <v>19.432831073195324</v>
      </c>
      <c r="O30" s="234"/>
    </row>
    <row r="31" spans="2:15" ht="15" customHeight="1">
      <c r="B31" s="231" t="s">
        <v>203</v>
      </c>
      <c r="C31" s="240" t="s">
        <v>230</v>
      </c>
      <c r="D31" s="240" t="s">
        <v>137</v>
      </c>
      <c r="E31" s="264">
        <v>5.8638959627172005</v>
      </c>
      <c r="F31" s="264">
        <v>0</v>
      </c>
      <c r="G31" s="264">
        <v>0</v>
      </c>
      <c r="H31" s="264">
        <v>0</v>
      </c>
      <c r="I31" s="264">
        <v>0</v>
      </c>
      <c r="J31" s="264">
        <v>0</v>
      </c>
      <c r="K31" s="264">
        <v>0</v>
      </c>
      <c r="L31" s="264">
        <v>0</v>
      </c>
      <c r="M31" s="264">
        <v>0</v>
      </c>
      <c r="N31" s="264">
        <v>0</v>
      </c>
      <c r="O31" s="234"/>
    </row>
    <row r="32" spans="2:15" ht="15" customHeight="1">
      <c r="B32" s="231" t="s">
        <v>203</v>
      </c>
      <c r="C32" s="240" t="s">
        <v>231</v>
      </c>
      <c r="D32" s="240" t="s">
        <v>136</v>
      </c>
      <c r="E32" s="264">
        <v>37.421096250149816</v>
      </c>
      <c r="F32" s="264">
        <v>37.753565108139689</v>
      </c>
      <c r="G32" s="264">
        <v>38.306182946198348</v>
      </c>
      <c r="H32" s="264">
        <v>38.416553945218354</v>
      </c>
      <c r="I32" s="264">
        <v>38.685455124964029</v>
      </c>
      <c r="J32" s="264">
        <v>38.849898206199335</v>
      </c>
      <c r="K32" s="264">
        <v>39.110250090892087</v>
      </c>
      <c r="L32" s="264">
        <v>39.68651992038167</v>
      </c>
      <c r="M32" s="264">
        <v>40.258253821290602</v>
      </c>
      <c r="N32" s="264">
        <v>40.840514671943509</v>
      </c>
      <c r="O32" s="234"/>
    </row>
    <row r="33" spans="2:15" ht="15" customHeight="1">
      <c r="B33" s="231" t="s">
        <v>203</v>
      </c>
      <c r="C33" s="240" t="s">
        <v>232</v>
      </c>
      <c r="D33" s="240" t="s">
        <v>136</v>
      </c>
      <c r="E33" s="264">
        <v>25.123191983659229</v>
      </c>
      <c r="F33" s="264">
        <v>26.156024093577443</v>
      </c>
      <c r="G33" s="264">
        <v>26.319413491307166</v>
      </c>
      <c r="H33" s="264">
        <v>26.195420772225834</v>
      </c>
      <c r="I33" s="264">
        <v>25.921632759184014</v>
      </c>
      <c r="J33" s="264">
        <v>25.321912883405631</v>
      </c>
      <c r="K33" s="264">
        <v>25.162866767320505</v>
      </c>
      <c r="L33" s="264">
        <v>25.1309324403875</v>
      </c>
      <c r="M33" s="264">
        <v>25.046245324579228</v>
      </c>
      <c r="N33" s="264">
        <v>24.961861107708707</v>
      </c>
      <c r="O33" s="234"/>
    </row>
    <row r="34" spans="2:15" ht="15" customHeight="1">
      <c r="B34" s="231" t="s">
        <v>203</v>
      </c>
      <c r="C34" s="240" t="s">
        <v>233</v>
      </c>
      <c r="D34" s="240" t="s">
        <v>136</v>
      </c>
      <c r="E34" s="264">
        <v>41.157418203095943</v>
      </c>
      <c r="F34" s="264">
        <v>42.148208965552193</v>
      </c>
      <c r="G34" s="264">
        <v>43.085035551335572</v>
      </c>
      <c r="H34" s="264">
        <v>43.759484352180131</v>
      </c>
      <c r="I34" s="264">
        <v>44.652254230494741</v>
      </c>
      <c r="J34" s="264">
        <v>45.726050966203687</v>
      </c>
      <c r="K34" s="264">
        <v>46.833500059389152</v>
      </c>
      <c r="L34" s="264">
        <v>47.959016717694915</v>
      </c>
      <c r="M34" s="264">
        <v>49.111198350070858</v>
      </c>
      <c r="N34" s="264">
        <v>50.290662374934897</v>
      </c>
      <c r="O34" s="234"/>
    </row>
    <row r="35" spans="2:15" ht="15" customHeight="1">
      <c r="B35" s="231" t="s">
        <v>203</v>
      </c>
      <c r="C35" s="240" t="s">
        <v>234</v>
      </c>
      <c r="D35" s="240" t="s">
        <v>136</v>
      </c>
      <c r="E35" s="264">
        <v>9.6455274979776124</v>
      </c>
      <c r="F35" s="264">
        <v>10.347426090121429</v>
      </c>
      <c r="G35" s="264">
        <v>10.366334771742931</v>
      </c>
      <c r="H35" s="264">
        <v>10.319586225437323</v>
      </c>
      <c r="I35" s="264">
        <v>10.216287984899402</v>
      </c>
      <c r="J35" s="264">
        <v>9.9896522330286235</v>
      </c>
      <c r="K35" s="264">
        <v>9.9294602180850475</v>
      </c>
      <c r="L35" s="264">
        <v>9.917369864380909</v>
      </c>
      <c r="M35" s="264">
        <v>9.8852997291570137</v>
      </c>
      <c r="N35" s="264">
        <v>9.8533333002168746</v>
      </c>
      <c r="O35" s="234"/>
    </row>
    <row r="36" spans="2:15" ht="15" customHeight="1">
      <c r="B36" s="231" t="s">
        <v>203</v>
      </c>
      <c r="C36" s="240" t="s">
        <v>235</v>
      </c>
      <c r="D36" s="240" t="s">
        <v>136</v>
      </c>
      <c r="E36" s="264">
        <v>53.247526916398677</v>
      </c>
      <c r="F36" s="264">
        <v>56.125539593927186</v>
      </c>
      <c r="G36" s="264">
        <v>58.498407078233775</v>
      </c>
      <c r="H36" s="264">
        <v>60.686238314715872</v>
      </c>
      <c r="I36" s="264">
        <v>62.590058136407542</v>
      </c>
      <c r="J36" s="264">
        <v>64.913236802166324</v>
      </c>
      <c r="K36" s="264">
        <v>67.070640054208354</v>
      </c>
      <c r="L36" s="264">
        <v>70.078150247693799</v>
      </c>
      <c r="M36" s="264">
        <v>73.431767962933534</v>
      </c>
      <c r="N36" s="264">
        <v>76.94587438599757</v>
      </c>
      <c r="O36" s="234"/>
    </row>
    <row r="37" spans="2:15" ht="15" customHeight="1">
      <c r="B37" s="231" t="s">
        <v>203</v>
      </c>
      <c r="C37" s="240" t="s">
        <v>236</v>
      </c>
      <c r="D37" s="240" t="s">
        <v>136</v>
      </c>
      <c r="E37" s="264">
        <v>69.110646450599248</v>
      </c>
      <c r="F37" s="264">
        <v>71.392414621996679</v>
      </c>
      <c r="G37" s="264">
        <v>72.008079878635527</v>
      </c>
      <c r="H37" s="264">
        <v>72.515579726331239</v>
      </c>
      <c r="I37" s="264">
        <v>72.845251799828873</v>
      </c>
      <c r="J37" s="264">
        <v>72.24694607018165</v>
      </c>
      <c r="K37" s="264">
        <v>73.128823372684806</v>
      </c>
      <c r="L37" s="264">
        <v>74.212353329552158</v>
      </c>
      <c r="M37" s="264">
        <v>74.796571576875621</v>
      </c>
      <c r="N37" s="264">
        <v>75.38530127321701</v>
      </c>
      <c r="O37" s="234"/>
    </row>
    <row r="38" spans="2:15" ht="15" customHeight="1">
      <c r="B38" s="231" t="s">
        <v>203</v>
      </c>
      <c r="C38" s="240" t="s">
        <v>237</v>
      </c>
      <c r="D38" s="240" t="s">
        <v>136</v>
      </c>
      <c r="E38" s="264">
        <v>53.878506931827893</v>
      </c>
      <c r="F38" s="264">
        <v>54.683121652380358</v>
      </c>
      <c r="G38" s="264">
        <v>54.634291835347909</v>
      </c>
      <c r="H38" s="264">
        <v>54.312061335413944</v>
      </c>
      <c r="I38" s="264">
        <v>53.65595605990692</v>
      </c>
      <c r="J38" s="264">
        <v>53.323986957954702</v>
      </c>
      <c r="K38" s="264">
        <v>52.781799162391387</v>
      </c>
      <c r="L38" s="264">
        <v>52.87348767695125</v>
      </c>
      <c r="M38" s="264">
        <v>53.128912462281427</v>
      </c>
      <c r="N38" s="264">
        <v>53.385582467109785</v>
      </c>
      <c r="O38" s="234"/>
    </row>
    <row r="39" spans="2:15" ht="15" customHeight="1">
      <c r="B39" s="231" t="s">
        <v>203</v>
      </c>
      <c r="C39" s="240" t="s">
        <v>238</v>
      </c>
      <c r="D39" s="240" t="s">
        <v>137</v>
      </c>
      <c r="E39" s="264">
        <v>61.411331077762362</v>
      </c>
      <c r="F39" s="264">
        <v>62.751995776108487</v>
      </c>
      <c r="G39" s="264">
        <v>63.502081860753727</v>
      </c>
      <c r="H39" s="264">
        <v>63.814844288809624</v>
      </c>
      <c r="I39" s="264">
        <v>64.769343369238513</v>
      </c>
      <c r="J39" s="264">
        <v>65.03590571082556</v>
      </c>
      <c r="K39" s="264">
        <v>65.629226018059896</v>
      </c>
      <c r="L39" s="264">
        <v>66.731819773806706</v>
      </c>
      <c r="M39" s="264">
        <v>67.459656701038412</v>
      </c>
      <c r="N39" s="264">
        <v>68.195156786195156</v>
      </c>
      <c r="O39" s="234"/>
    </row>
    <row r="40" spans="2:15" ht="15" customHeight="1">
      <c r="B40" s="231" t="s">
        <v>203</v>
      </c>
      <c r="C40" s="240" t="s">
        <v>239</v>
      </c>
      <c r="D40" s="240" t="s">
        <v>136</v>
      </c>
      <c r="E40" s="264">
        <v>5.6969340175630858</v>
      </c>
      <c r="F40" s="264">
        <v>5.7082833050693962</v>
      </c>
      <c r="G40" s="264">
        <v>5.753333585199206</v>
      </c>
      <c r="H40" s="264">
        <v>5.7289081359700091</v>
      </c>
      <c r="I40" s="264">
        <v>5.7287905881107184</v>
      </c>
      <c r="J40" s="264">
        <v>5.7124558851918685</v>
      </c>
      <c r="K40" s="264">
        <v>5.710454512843631</v>
      </c>
      <c r="L40" s="264">
        <v>5.7551362576088865</v>
      </c>
      <c r="M40" s="264">
        <v>5.7978874146801234</v>
      </c>
      <c r="N40" s="264">
        <v>5.8409561422395493</v>
      </c>
      <c r="O40" s="234"/>
    </row>
    <row r="41" spans="2:15" ht="15" customHeight="1">
      <c r="B41" s="231" t="s">
        <v>203</v>
      </c>
      <c r="C41" s="240" t="s">
        <v>240</v>
      </c>
      <c r="D41" s="240" t="s">
        <v>136</v>
      </c>
      <c r="E41" s="264">
        <v>50.922466694657906</v>
      </c>
      <c r="F41" s="264">
        <v>53.228971344167704</v>
      </c>
      <c r="G41" s="264">
        <v>54.412820692013433</v>
      </c>
      <c r="H41" s="264">
        <v>55.132923180514126</v>
      </c>
      <c r="I41" s="264">
        <v>55.239772248264579</v>
      </c>
      <c r="J41" s="264">
        <v>55.478235259252813</v>
      </c>
      <c r="K41" s="264">
        <v>55.911096528485842</v>
      </c>
      <c r="L41" s="264">
        <v>56.69804506216844</v>
      </c>
      <c r="M41" s="264">
        <v>57.422235470289216</v>
      </c>
      <c r="N41" s="264">
        <v>58.15567609624744</v>
      </c>
      <c r="O41" s="234"/>
    </row>
    <row r="42" spans="2:15" ht="15" customHeight="1">
      <c r="B42" s="231" t="s">
        <v>203</v>
      </c>
      <c r="C42" s="240" t="s">
        <v>241</v>
      </c>
      <c r="D42" s="240" t="s">
        <v>136</v>
      </c>
      <c r="E42" s="264">
        <v>61.59363731045309</v>
      </c>
      <c r="F42" s="264">
        <v>63.82346305950994</v>
      </c>
      <c r="G42" s="264">
        <v>64.31739723104306</v>
      </c>
      <c r="H42" s="264">
        <v>65.781804537975191</v>
      </c>
      <c r="I42" s="264">
        <v>66.557087169588968</v>
      </c>
      <c r="J42" s="264">
        <v>67.495462800572284</v>
      </c>
      <c r="K42" s="264">
        <v>68.675793791747495</v>
      </c>
      <c r="L42" s="264">
        <v>70.295500987814151</v>
      </c>
      <c r="M42" s="264">
        <v>71.864419555902913</v>
      </c>
      <c r="N42" s="264">
        <v>73.468354667564228</v>
      </c>
      <c r="O42" s="234"/>
    </row>
    <row r="43" spans="2:15" ht="15" customHeight="1">
      <c r="B43" s="231" t="s">
        <v>203</v>
      </c>
      <c r="C43" s="240" t="s">
        <v>242</v>
      </c>
      <c r="D43" s="240" t="s">
        <v>137</v>
      </c>
      <c r="E43" s="264">
        <v>24.758217650106047</v>
      </c>
      <c r="F43" s="264">
        <v>24.656314843631005</v>
      </c>
      <c r="G43" s="264">
        <v>24.439586029042566</v>
      </c>
      <c r="H43" s="264">
        <v>24.07720520853907</v>
      </c>
      <c r="I43" s="264">
        <v>23.70775663783974</v>
      </c>
      <c r="J43" s="264">
        <v>23.267611427027568</v>
      </c>
      <c r="K43" s="264">
        <v>22.817256177353009</v>
      </c>
      <c r="L43" s="264">
        <v>22.427629168539681</v>
      </c>
      <c r="M43" s="264">
        <v>22.485442420586271</v>
      </c>
      <c r="N43" s="264">
        <v>22.543404701854232</v>
      </c>
      <c r="O43" s="234"/>
    </row>
    <row r="44" spans="2:15" ht="15" customHeight="1">
      <c r="B44" s="231" t="s">
        <v>203</v>
      </c>
      <c r="C44" s="240" t="s">
        <v>243</v>
      </c>
      <c r="D44" s="240" t="s">
        <v>136</v>
      </c>
      <c r="E44" s="264">
        <v>76.802344462114092</v>
      </c>
      <c r="F44" s="264">
        <v>82.829303704704017</v>
      </c>
      <c r="G44" s="264">
        <v>85.834795244635558</v>
      </c>
      <c r="H44" s="264">
        <v>87.326814041732064</v>
      </c>
      <c r="I44" s="264">
        <v>88.035007098681106</v>
      </c>
      <c r="J44" s="264">
        <v>89.243370599420558</v>
      </c>
      <c r="K44" s="264">
        <v>90.129674202403294</v>
      </c>
      <c r="L44" s="264">
        <v>92.047210371895545</v>
      </c>
      <c r="M44" s="264">
        <v>94.276757366241782</v>
      </c>
      <c r="N44" s="264">
        <v>96.560307950484045</v>
      </c>
      <c r="O44" s="234"/>
    </row>
    <row r="45" spans="2:15">
      <c r="C45" s="235"/>
      <c r="D45" s="235"/>
      <c r="E45" s="236">
        <f t="shared" ref="E45:N45" si="1">SUM(E6:E44)</f>
        <v>1662.9818289400678</v>
      </c>
      <c r="F45" s="236">
        <f t="shared" si="1"/>
        <v>1718.7527952685305</v>
      </c>
      <c r="G45" s="236">
        <f t="shared" si="1"/>
        <v>1750.4029107945082</v>
      </c>
      <c r="H45" s="236">
        <f t="shared" si="1"/>
        <v>1773.3382911791546</v>
      </c>
      <c r="I45" s="236">
        <f t="shared" si="1"/>
        <v>1788.9312452481627</v>
      </c>
      <c r="J45" s="236">
        <f t="shared" si="1"/>
        <v>1800.7735833267161</v>
      </c>
      <c r="K45" s="236">
        <f t="shared" si="1"/>
        <v>1822.0386754821016</v>
      </c>
      <c r="L45" s="236">
        <f t="shared" si="1"/>
        <v>1855.9776842797867</v>
      </c>
      <c r="M45" s="236">
        <f t="shared" si="1"/>
        <v>1889.0494946185304</v>
      </c>
      <c r="N45" s="236">
        <f t="shared" si="1"/>
        <v>1923.0787135502967</v>
      </c>
    </row>
    <row r="48" spans="2:15">
      <c r="E48" s="2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62"/>
  <sheetViews>
    <sheetView showGridLines="0" zoomScaleNormal="100" workbookViewId="0">
      <selection activeCell="E13" sqref="E13"/>
    </sheetView>
  </sheetViews>
  <sheetFormatPr defaultColWidth="8.7109375" defaultRowHeight="12.75"/>
  <cols>
    <col min="1" max="1" width="8.7109375" style="237"/>
    <col min="2" max="2" width="21" style="237" customWidth="1"/>
    <col min="3" max="3" width="18.85546875" style="237" bestFit="1" customWidth="1"/>
    <col min="4" max="4" width="45.42578125" style="237" customWidth="1"/>
    <col min="5" max="14" width="11.28515625" style="237" customWidth="1"/>
    <col min="15" max="15" width="12" style="237" customWidth="1"/>
    <col min="16" max="16384" width="8.7109375" style="237"/>
  </cols>
  <sheetData>
    <row r="1" spans="1:15" s="227" customFormat="1" ht="21">
      <c r="A1" s="224" t="s">
        <v>122</v>
      </c>
      <c r="B1" s="225"/>
      <c r="C1" s="226"/>
      <c r="D1" s="226"/>
      <c r="E1" s="226"/>
      <c r="F1" s="226"/>
      <c r="G1" s="226"/>
      <c r="H1" s="226"/>
      <c r="I1" s="225"/>
      <c r="J1" s="225"/>
      <c r="K1" s="225"/>
      <c r="L1" s="225"/>
      <c r="M1" s="225"/>
      <c r="N1" s="225"/>
      <c r="O1" s="225"/>
    </row>
    <row r="2" spans="1:15" s="227" customFormat="1" ht="15.75">
      <c r="A2" s="228" t="s">
        <v>204</v>
      </c>
      <c r="B2" s="229"/>
      <c r="C2" s="230"/>
      <c r="D2" s="230"/>
      <c r="E2" s="230"/>
      <c r="F2" s="230"/>
      <c r="G2" s="230"/>
      <c r="H2" s="230"/>
      <c r="I2" s="229"/>
      <c r="J2" s="229"/>
      <c r="K2" s="229"/>
      <c r="L2" s="229"/>
      <c r="M2" s="229"/>
      <c r="N2" s="229"/>
      <c r="O2" s="229"/>
    </row>
    <row r="4" spans="1:15">
      <c r="M4" s="238"/>
    </row>
    <row r="5" spans="1:15">
      <c r="B5" s="239" t="s">
        <v>133</v>
      </c>
      <c r="C5" s="239" t="s">
        <v>138</v>
      </c>
      <c r="D5" s="232" t="s">
        <v>139</v>
      </c>
      <c r="E5" s="232">
        <v>2016</v>
      </c>
      <c r="F5" s="232">
        <f>E5+1</f>
        <v>2017</v>
      </c>
      <c r="G5" s="232">
        <f>F5+1</f>
        <v>2018</v>
      </c>
      <c r="H5" s="232">
        <f t="shared" ref="H5:N5" si="0">G5+1</f>
        <v>2019</v>
      </c>
      <c r="I5" s="232">
        <f t="shared" si="0"/>
        <v>2020</v>
      </c>
      <c r="J5" s="232">
        <f t="shared" si="0"/>
        <v>2021</v>
      </c>
      <c r="K5" s="232">
        <f t="shared" si="0"/>
        <v>2022</v>
      </c>
      <c r="L5" s="232">
        <f t="shared" si="0"/>
        <v>2023</v>
      </c>
      <c r="M5" s="232">
        <f t="shared" si="0"/>
        <v>2024</v>
      </c>
      <c r="N5" s="232">
        <f t="shared" si="0"/>
        <v>2025</v>
      </c>
      <c r="O5" s="232" t="s">
        <v>140</v>
      </c>
    </row>
    <row r="6" spans="1:15">
      <c r="B6" s="235" t="s">
        <v>203</v>
      </c>
      <c r="C6" s="235" t="s">
        <v>4</v>
      </c>
      <c r="D6" s="240" t="s">
        <v>153</v>
      </c>
      <c r="E6" s="265">
        <v>0.10357864404865794</v>
      </c>
      <c r="F6" s="265">
        <v>0.9322077964379214</v>
      </c>
      <c r="G6" s="265">
        <v>0</v>
      </c>
      <c r="H6" s="265">
        <v>0</v>
      </c>
      <c r="I6" s="265">
        <v>0</v>
      </c>
      <c r="J6" s="265">
        <v>0</v>
      </c>
      <c r="K6" s="265">
        <v>0</v>
      </c>
      <c r="L6" s="265">
        <v>0</v>
      </c>
      <c r="M6" s="265">
        <v>0</v>
      </c>
      <c r="N6" s="265">
        <v>0</v>
      </c>
      <c r="O6" s="265">
        <v>0</v>
      </c>
    </row>
    <row r="7" spans="1:15">
      <c r="B7" s="235" t="s">
        <v>203</v>
      </c>
      <c r="C7" s="235" t="s">
        <v>141</v>
      </c>
      <c r="D7" s="240" t="s">
        <v>154</v>
      </c>
      <c r="E7" s="265">
        <v>0</v>
      </c>
      <c r="F7" s="265">
        <v>0</v>
      </c>
      <c r="G7" s="265">
        <v>0</v>
      </c>
      <c r="H7" s="265">
        <v>0</v>
      </c>
      <c r="I7" s="265">
        <v>0</v>
      </c>
      <c r="J7" s="265">
        <v>0</v>
      </c>
      <c r="K7" s="265">
        <v>0</v>
      </c>
      <c r="L7" s="265">
        <v>0</v>
      </c>
      <c r="M7" s="265">
        <v>0</v>
      </c>
      <c r="N7" s="265">
        <v>0</v>
      </c>
      <c r="O7" s="265">
        <v>0</v>
      </c>
    </row>
    <row r="8" spans="1:15">
      <c r="B8" s="235" t="s">
        <v>203</v>
      </c>
      <c r="C8" s="235" t="s">
        <v>141</v>
      </c>
      <c r="D8" s="240" t="s">
        <v>155</v>
      </c>
      <c r="E8" s="265">
        <v>0</v>
      </c>
      <c r="F8" s="265">
        <v>0</v>
      </c>
      <c r="G8" s="265">
        <v>0</v>
      </c>
      <c r="H8" s="265">
        <v>0</v>
      </c>
      <c r="I8" s="265">
        <v>0</v>
      </c>
      <c r="J8" s="265">
        <v>0</v>
      </c>
      <c r="K8" s="265">
        <v>0</v>
      </c>
      <c r="L8" s="265">
        <v>0</v>
      </c>
      <c r="M8" s="265">
        <v>0</v>
      </c>
      <c r="N8" s="265">
        <v>0</v>
      </c>
      <c r="O8" s="265">
        <v>0</v>
      </c>
    </row>
    <row r="9" spans="1:15">
      <c r="B9" s="235" t="s">
        <v>203</v>
      </c>
      <c r="C9" s="235" t="s">
        <v>141</v>
      </c>
      <c r="D9" s="240" t="s">
        <v>156</v>
      </c>
      <c r="E9" s="265">
        <v>3.7139175289575288</v>
      </c>
      <c r="F9" s="265">
        <v>3.1780471042471046</v>
      </c>
      <c r="G9" s="265">
        <v>0</v>
      </c>
      <c r="H9" s="265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</row>
    <row r="10" spans="1:15">
      <c r="B10" s="235" t="s">
        <v>203</v>
      </c>
      <c r="C10" s="235" t="s">
        <v>141</v>
      </c>
      <c r="D10" s="240" t="s">
        <v>157</v>
      </c>
      <c r="E10" s="265">
        <v>0</v>
      </c>
      <c r="F10" s="265">
        <v>0.31073593214597378</v>
      </c>
      <c r="G10" s="265">
        <v>0.31073593214597378</v>
      </c>
      <c r="H10" s="265">
        <v>0</v>
      </c>
      <c r="I10" s="265">
        <v>0</v>
      </c>
      <c r="J10" s="265">
        <v>0</v>
      </c>
      <c r="K10" s="265">
        <v>0</v>
      </c>
      <c r="L10" s="265">
        <v>0</v>
      </c>
      <c r="M10" s="265">
        <v>0</v>
      </c>
      <c r="N10" s="265">
        <v>0</v>
      </c>
      <c r="O10" s="265">
        <v>0</v>
      </c>
    </row>
    <row r="11" spans="1:15">
      <c r="B11" s="235" t="s">
        <v>203</v>
      </c>
      <c r="C11" s="235" t="s">
        <v>141</v>
      </c>
      <c r="D11" s="240" t="s">
        <v>158</v>
      </c>
      <c r="E11" s="265">
        <v>0</v>
      </c>
      <c r="F11" s="265">
        <v>0.16572583047785269</v>
      </c>
      <c r="G11" s="265">
        <v>0</v>
      </c>
      <c r="H11" s="265">
        <v>0</v>
      </c>
      <c r="I11" s="265">
        <v>0</v>
      </c>
      <c r="J11" s="265">
        <v>0</v>
      </c>
      <c r="K11" s="265">
        <v>0</v>
      </c>
      <c r="L11" s="265">
        <v>0</v>
      </c>
      <c r="M11" s="265">
        <v>0</v>
      </c>
      <c r="N11" s="265">
        <v>0</v>
      </c>
      <c r="O11" s="265">
        <v>0</v>
      </c>
    </row>
    <row r="12" spans="1:15">
      <c r="B12" s="235" t="s">
        <v>203</v>
      </c>
      <c r="C12" s="235" t="s">
        <v>4</v>
      </c>
      <c r="D12" s="240" t="s">
        <v>159</v>
      </c>
      <c r="E12" s="265">
        <v>3.0977987508208642</v>
      </c>
      <c r="F12" s="265">
        <v>3.0977987508208642</v>
      </c>
      <c r="G12" s="265">
        <v>3.0977987508208642</v>
      </c>
      <c r="H12" s="265">
        <v>3.0977987508208642</v>
      </c>
      <c r="I12" s="265">
        <v>3.0977987508208642</v>
      </c>
      <c r="J12" s="265">
        <v>3.0977987508208642</v>
      </c>
      <c r="K12" s="265">
        <v>3.0977987508208642</v>
      </c>
      <c r="L12" s="265">
        <v>3.0977987508208642</v>
      </c>
      <c r="M12" s="265">
        <v>3.0977987508208642</v>
      </c>
      <c r="N12" s="265">
        <v>3.0977987508208642</v>
      </c>
      <c r="O12" s="265">
        <v>0</v>
      </c>
    </row>
    <row r="13" spans="1:15">
      <c r="B13" s="235" t="s">
        <v>203</v>
      </c>
      <c r="C13" s="235" t="s">
        <v>4</v>
      </c>
      <c r="D13" s="240" t="s">
        <v>160</v>
      </c>
      <c r="E13" s="265">
        <v>3.0977987508208642</v>
      </c>
      <c r="F13" s="265">
        <v>3.0977987508208642</v>
      </c>
      <c r="G13" s="265">
        <v>3.0977987508208642</v>
      </c>
      <c r="H13" s="265">
        <v>3.0977987508208642</v>
      </c>
      <c r="I13" s="265">
        <v>3.0977987508208642</v>
      </c>
      <c r="J13" s="265">
        <v>3.0977987508208642</v>
      </c>
      <c r="K13" s="265">
        <v>3.0977987508208642</v>
      </c>
      <c r="L13" s="265">
        <v>3.0977987508208642</v>
      </c>
      <c r="M13" s="265">
        <v>3.0977987508208642</v>
      </c>
      <c r="N13" s="265">
        <v>3.0977987508208642</v>
      </c>
      <c r="O13" s="265">
        <v>0</v>
      </c>
    </row>
    <row r="14" spans="1:15">
      <c r="B14" s="235" t="s">
        <v>203</v>
      </c>
      <c r="C14" s="235" t="s">
        <v>4</v>
      </c>
      <c r="D14" s="240" t="s">
        <v>161</v>
      </c>
      <c r="E14" s="265">
        <v>0.31073593214597378</v>
      </c>
      <c r="F14" s="265">
        <v>0.31073593214597378</v>
      </c>
      <c r="G14" s="265">
        <v>0.31073593214597378</v>
      </c>
      <c r="H14" s="265">
        <v>0.31073593214597378</v>
      </c>
      <c r="I14" s="265">
        <v>0.31073593214597378</v>
      </c>
      <c r="J14" s="265">
        <v>0.31073593214597378</v>
      </c>
      <c r="K14" s="265">
        <v>0.31073593214597378</v>
      </c>
      <c r="L14" s="265">
        <v>0.31073593214597378</v>
      </c>
      <c r="M14" s="265">
        <v>0.31073593214597378</v>
      </c>
      <c r="N14" s="265">
        <v>0.31073593214597378</v>
      </c>
      <c r="O14" s="265">
        <v>0</v>
      </c>
    </row>
    <row r="15" spans="1:15">
      <c r="B15" s="235" t="s">
        <v>203</v>
      </c>
      <c r="C15" s="235" t="s">
        <v>4</v>
      </c>
      <c r="D15" s="240" t="s">
        <v>162</v>
      </c>
      <c r="E15" s="265">
        <v>5.1789322024328968E-2</v>
      </c>
      <c r="F15" s="265">
        <v>5.1789322024328968E-2</v>
      </c>
      <c r="G15" s="265">
        <v>5.1789322024328968E-2</v>
      </c>
      <c r="H15" s="265">
        <v>5.1789322024328968E-2</v>
      </c>
      <c r="I15" s="265">
        <v>5.1789322024328968E-2</v>
      </c>
      <c r="J15" s="265">
        <v>5.1789322024328968E-2</v>
      </c>
      <c r="K15" s="265">
        <v>5.1789322024328968E-2</v>
      </c>
      <c r="L15" s="265">
        <v>5.1789322024328968E-2</v>
      </c>
      <c r="M15" s="265">
        <v>5.1789322024328968E-2</v>
      </c>
      <c r="N15" s="265">
        <v>5.1789322024328968E-2</v>
      </c>
      <c r="O15" s="265">
        <v>0</v>
      </c>
    </row>
    <row r="16" spans="1:15">
      <c r="B16" s="235" t="s">
        <v>203</v>
      </c>
      <c r="C16" s="235" t="s">
        <v>144</v>
      </c>
      <c r="D16" s="240" t="s">
        <v>163</v>
      </c>
      <c r="E16" s="265">
        <v>1.3361645082276881</v>
      </c>
      <c r="F16" s="265">
        <v>1.3361645082276881</v>
      </c>
      <c r="G16" s="265">
        <v>1.3361645082276881</v>
      </c>
      <c r="H16" s="265">
        <v>1.3361645082276881</v>
      </c>
      <c r="I16" s="265">
        <v>1.3361645082276881</v>
      </c>
      <c r="J16" s="265">
        <v>1.3361645082276881</v>
      </c>
      <c r="K16" s="265">
        <v>1.3361645082276881</v>
      </c>
      <c r="L16" s="265">
        <v>1.3361645082276881</v>
      </c>
      <c r="M16" s="265">
        <v>1.3361645082276881</v>
      </c>
      <c r="N16" s="265">
        <v>1.3361645082276881</v>
      </c>
      <c r="O16" s="265">
        <v>0</v>
      </c>
    </row>
    <row r="17" spans="2:15">
      <c r="B17" s="235" t="s">
        <v>203</v>
      </c>
      <c r="C17" s="235" t="s">
        <v>143</v>
      </c>
      <c r="D17" s="240" t="s">
        <v>164</v>
      </c>
      <c r="E17" s="265">
        <v>1.7711948132320516</v>
      </c>
      <c r="F17" s="265">
        <v>1.7711948132320516</v>
      </c>
      <c r="G17" s="265">
        <v>1.7711948132320516</v>
      </c>
      <c r="H17" s="265">
        <v>1.7711948132320516</v>
      </c>
      <c r="I17" s="265">
        <v>1.7711948132320516</v>
      </c>
      <c r="J17" s="265">
        <v>1.7711948132320516</v>
      </c>
      <c r="K17" s="265">
        <v>1.7711948132320516</v>
      </c>
      <c r="L17" s="265">
        <v>1.7711948132320516</v>
      </c>
      <c r="M17" s="265">
        <v>1.7711948132320516</v>
      </c>
      <c r="N17" s="265">
        <v>1.7711948132320516</v>
      </c>
      <c r="O17" s="265">
        <v>0</v>
      </c>
    </row>
    <row r="18" spans="2:15">
      <c r="B18" s="235" t="s">
        <v>203</v>
      </c>
      <c r="C18" s="235" t="s">
        <v>4</v>
      </c>
      <c r="D18" s="240" t="s">
        <v>165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0</v>
      </c>
      <c r="K18" s="265">
        <v>5.1789322024329003</v>
      </c>
      <c r="L18" s="265">
        <v>5.1789322024329003</v>
      </c>
      <c r="M18" s="265">
        <v>0</v>
      </c>
      <c r="N18" s="265">
        <v>0</v>
      </c>
      <c r="O18" s="265">
        <v>0</v>
      </c>
    </row>
    <row r="19" spans="2:15">
      <c r="B19" s="235" t="s">
        <v>203</v>
      </c>
      <c r="C19" s="235" t="s">
        <v>4</v>
      </c>
      <c r="D19" s="240" t="s">
        <v>166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0.5</v>
      </c>
      <c r="L19" s="265">
        <v>2.0894661012164502</v>
      </c>
      <c r="M19" s="265">
        <v>0</v>
      </c>
      <c r="N19" s="265">
        <v>0</v>
      </c>
      <c r="O19" s="265">
        <v>-2.2363570874142069</v>
      </c>
    </row>
    <row r="20" spans="2:15">
      <c r="B20" s="235" t="s">
        <v>203</v>
      </c>
      <c r="C20" s="235" t="s">
        <v>4</v>
      </c>
      <c r="D20" s="240" t="s">
        <v>167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5">
        <v>0</v>
      </c>
      <c r="L20" s="265">
        <v>2.0715728809731586</v>
      </c>
      <c r="M20" s="265">
        <v>0</v>
      </c>
      <c r="N20" s="265">
        <v>0</v>
      </c>
      <c r="O20" s="265">
        <v>-1.7890856699313642</v>
      </c>
    </row>
    <row r="21" spans="2:15">
      <c r="B21" s="235" t="s">
        <v>203</v>
      </c>
      <c r="C21" s="235" t="s">
        <v>4</v>
      </c>
      <c r="D21" s="240" t="s">
        <v>168</v>
      </c>
      <c r="E21" s="265">
        <v>0</v>
      </c>
      <c r="F21" s="265">
        <v>0</v>
      </c>
      <c r="G21" s="265">
        <v>0</v>
      </c>
      <c r="H21" s="265">
        <v>0</v>
      </c>
      <c r="I21" s="265">
        <v>0</v>
      </c>
      <c r="J21" s="265">
        <v>0</v>
      </c>
      <c r="K21" s="265">
        <v>0</v>
      </c>
      <c r="L21" s="265">
        <v>0.82862915238926349</v>
      </c>
      <c r="M21" s="265">
        <v>0</v>
      </c>
      <c r="N21" s="265">
        <v>0</v>
      </c>
      <c r="O21" s="265">
        <v>0</v>
      </c>
    </row>
    <row r="22" spans="2:15">
      <c r="B22" s="235" t="s">
        <v>203</v>
      </c>
      <c r="C22" s="235" t="s">
        <v>141</v>
      </c>
      <c r="D22" s="240" t="s">
        <v>169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0</v>
      </c>
      <c r="K22" s="265">
        <v>0</v>
      </c>
      <c r="L22" s="265">
        <v>5.6968254226761861</v>
      </c>
      <c r="M22" s="265">
        <v>0</v>
      </c>
      <c r="N22" s="265">
        <v>0</v>
      </c>
      <c r="O22" s="265">
        <v>-1.8601878931187545</v>
      </c>
    </row>
    <row r="23" spans="2:15">
      <c r="B23" s="235" t="s">
        <v>203</v>
      </c>
      <c r="C23" s="235" t="s">
        <v>141</v>
      </c>
      <c r="D23" s="240" t="s">
        <v>170</v>
      </c>
      <c r="E23" s="265">
        <v>0</v>
      </c>
      <c r="F23" s="265">
        <v>0</v>
      </c>
      <c r="G23" s="265">
        <v>0</v>
      </c>
      <c r="H23" s="265">
        <v>0</v>
      </c>
      <c r="I23" s="265">
        <v>0</v>
      </c>
      <c r="J23" s="265">
        <v>9.3220779643791989</v>
      </c>
      <c r="K23" s="265">
        <v>9.3220779643791989</v>
      </c>
      <c r="L23" s="265">
        <v>9.3220779643791989</v>
      </c>
      <c r="M23" s="265">
        <v>0</v>
      </c>
      <c r="N23" s="265">
        <v>0</v>
      </c>
      <c r="O23" s="265">
        <v>0</v>
      </c>
    </row>
    <row r="24" spans="2:15">
      <c r="B24" s="235" t="s">
        <v>203</v>
      </c>
      <c r="C24" s="235" t="s">
        <v>141</v>
      </c>
      <c r="D24" s="240" t="s">
        <v>171</v>
      </c>
      <c r="E24" s="265">
        <v>0</v>
      </c>
      <c r="F24" s="265">
        <v>0</v>
      </c>
      <c r="G24" s="265">
        <v>0</v>
      </c>
      <c r="H24" s="265">
        <v>0</v>
      </c>
      <c r="I24" s="265">
        <v>0</v>
      </c>
      <c r="J24" s="265">
        <v>0</v>
      </c>
      <c r="K24" s="265">
        <v>9.3220779643792131</v>
      </c>
      <c r="L24" s="265">
        <v>0</v>
      </c>
      <c r="M24" s="265">
        <v>0</v>
      </c>
      <c r="N24" s="265">
        <v>0</v>
      </c>
      <c r="O24" s="265">
        <v>-6.8439589055150716</v>
      </c>
    </row>
    <row r="25" spans="2:15">
      <c r="B25" s="235" t="s">
        <v>203</v>
      </c>
      <c r="C25" s="235" t="s">
        <v>141</v>
      </c>
      <c r="D25" s="240" t="s">
        <v>172</v>
      </c>
      <c r="E25" s="265">
        <v>0</v>
      </c>
      <c r="F25" s="265">
        <v>0</v>
      </c>
      <c r="G25" s="265">
        <v>0</v>
      </c>
      <c r="H25" s="265">
        <v>0</v>
      </c>
      <c r="I25" s="265">
        <v>0</v>
      </c>
      <c r="J25" s="265">
        <v>0</v>
      </c>
      <c r="K25" s="265">
        <v>5.4378788125545494</v>
      </c>
      <c r="L25" s="265">
        <v>5.4378788125545494</v>
      </c>
      <c r="M25" s="265">
        <v>5.4378788125545494</v>
      </c>
      <c r="N25" s="265">
        <v>5.4378788125545494</v>
      </c>
      <c r="O25" s="265">
        <v>-9.7559573955608272</v>
      </c>
    </row>
    <row r="26" spans="2:15">
      <c r="B26" s="235" t="s">
        <v>203</v>
      </c>
      <c r="C26" s="235" t="s">
        <v>141</v>
      </c>
      <c r="D26" s="240" t="s">
        <v>173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0</v>
      </c>
      <c r="K26" s="265">
        <v>0</v>
      </c>
      <c r="L26" s="265">
        <v>3.3766637959862487</v>
      </c>
      <c r="M26" s="265">
        <v>0</v>
      </c>
      <c r="N26" s="265">
        <v>0</v>
      </c>
      <c r="O26" s="265">
        <v>-1.5434167434153809</v>
      </c>
    </row>
    <row r="27" spans="2:15">
      <c r="B27" s="235" t="s">
        <v>203</v>
      </c>
      <c r="C27" s="235" t="s">
        <v>141</v>
      </c>
      <c r="D27" s="240" t="s">
        <v>174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</row>
    <row r="28" spans="2:15">
      <c r="B28" s="235" t="s">
        <v>203</v>
      </c>
      <c r="C28" s="235" t="s">
        <v>141</v>
      </c>
      <c r="D28" s="240" t="s">
        <v>175</v>
      </c>
      <c r="E28" s="265">
        <v>0</v>
      </c>
      <c r="F28" s="265">
        <v>0</v>
      </c>
      <c r="G28" s="265">
        <v>0</v>
      </c>
      <c r="H28" s="265">
        <v>0</v>
      </c>
      <c r="I28" s="265">
        <v>0</v>
      </c>
      <c r="J28" s="265">
        <v>0</v>
      </c>
      <c r="K28" s="265">
        <v>0</v>
      </c>
      <c r="L28" s="265">
        <v>0</v>
      </c>
      <c r="M28" s="265">
        <v>0</v>
      </c>
      <c r="N28" s="265">
        <v>0</v>
      </c>
      <c r="O28" s="265">
        <v>0</v>
      </c>
    </row>
    <row r="29" spans="2:15">
      <c r="B29" s="235" t="s">
        <v>203</v>
      </c>
      <c r="C29" s="235" t="s">
        <v>141</v>
      </c>
      <c r="D29" s="240" t="s">
        <v>176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0</v>
      </c>
      <c r="K29" s="265">
        <v>0</v>
      </c>
      <c r="L29" s="265">
        <v>0</v>
      </c>
      <c r="M29" s="265">
        <v>10.539127031950949</v>
      </c>
      <c r="N29" s="265">
        <v>10.539127031950949</v>
      </c>
      <c r="O29" s="265">
        <v>-7.4125193458055012</v>
      </c>
    </row>
    <row r="30" spans="2:15">
      <c r="B30" s="235" t="s">
        <v>203</v>
      </c>
      <c r="C30" s="235" t="s">
        <v>141</v>
      </c>
      <c r="D30" s="240" t="s">
        <v>177</v>
      </c>
      <c r="E30" s="265">
        <v>0</v>
      </c>
      <c r="F30" s="265">
        <v>0</v>
      </c>
      <c r="G30" s="265">
        <v>0</v>
      </c>
      <c r="H30" s="265">
        <v>0</v>
      </c>
      <c r="I30" s="265">
        <v>0</v>
      </c>
      <c r="J30" s="265">
        <v>0</v>
      </c>
      <c r="K30" s="265">
        <v>0</v>
      </c>
      <c r="L30" s="265">
        <v>0</v>
      </c>
      <c r="M30" s="265">
        <v>0</v>
      </c>
      <c r="N30" s="265">
        <v>0</v>
      </c>
      <c r="O30" s="265">
        <v>0</v>
      </c>
    </row>
    <row r="31" spans="2:15">
      <c r="B31" s="235" t="s">
        <v>203</v>
      </c>
      <c r="C31" s="235" t="s">
        <v>141</v>
      </c>
      <c r="D31" s="240" t="s">
        <v>178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65">
        <v>0</v>
      </c>
      <c r="N31" s="265">
        <v>0</v>
      </c>
      <c r="O31" s="265">
        <v>0</v>
      </c>
    </row>
    <row r="32" spans="2:15">
      <c r="B32" s="235" t="s">
        <v>203</v>
      </c>
      <c r="C32" s="235" t="s">
        <v>141</v>
      </c>
      <c r="D32" s="240" t="s">
        <v>179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0</v>
      </c>
      <c r="K32" s="265">
        <v>0</v>
      </c>
      <c r="L32" s="265">
        <v>0</v>
      </c>
      <c r="M32" s="265">
        <v>0</v>
      </c>
      <c r="N32" s="265">
        <v>0</v>
      </c>
      <c r="O32" s="265">
        <v>0</v>
      </c>
    </row>
    <row r="33" spans="2:15">
      <c r="B33" s="235" t="s">
        <v>203</v>
      </c>
      <c r="C33" s="235" t="s">
        <v>4</v>
      </c>
      <c r="D33" s="240" t="s">
        <v>180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3.1073593214597381</v>
      </c>
      <c r="K33" s="265">
        <v>0</v>
      </c>
      <c r="L33" s="265">
        <v>0</v>
      </c>
      <c r="M33" s="265">
        <v>0</v>
      </c>
      <c r="N33" s="265">
        <v>0</v>
      </c>
      <c r="O33" s="265">
        <v>0</v>
      </c>
    </row>
    <row r="34" spans="2:15">
      <c r="B34" s="235" t="s">
        <v>203</v>
      </c>
      <c r="C34" s="235" t="s">
        <v>4</v>
      </c>
      <c r="D34" s="240" t="s">
        <v>181</v>
      </c>
      <c r="E34" s="265">
        <v>0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2.1751515250218167</v>
      </c>
      <c r="L34" s="265">
        <v>0</v>
      </c>
      <c r="M34" s="265">
        <v>0</v>
      </c>
      <c r="N34" s="265">
        <v>0</v>
      </c>
      <c r="O34" s="265">
        <v>0</v>
      </c>
    </row>
    <row r="35" spans="2:15">
      <c r="B35" s="235" t="s">
        <v>203</v>
      </c>
      <c r="C35" s="235" t="s">
        <v>4</v>
      </c>
      <c r="D35" s="240" t="s">
        <v>182</v>
      </c>
      <c r="E35" s="265">
        <v>0</v>
      </c>
      <c r="F35" s="265">
        <v>0</v>
      </c>
      <c r="G35" s="265">
        <v>0</v>
      </c>
      <c r="H35" s="265">
        <v>0</v>
      </c>
      <c r="I35" s="265">
        <v>0</v>
      </c>
      <c r="J35" s="265">
        <v>0</v>
      </c>
      <c r="K35" s="265">
        <v>0</v>
      </c>
      <c r="L35" s="265">
        <v>1.657258304778527</v>
      </c>
      <c r="M35" s="265">
        <v>0</v>
      </c>
      <c r="N35" s="265">
        <v>0</v>
      </c>
      <c r="O35" s="265">
        <v>0</v>
      </c>
    </row>
    <row r="36" spans="2:15">
      <c r="B36" s="235" t="s">
        <v>203</v>
      </c>
      <c r="C36" s="235" t="s">
        <v>4</v>
      </c>
      <c r="D36" s="240" t="s">
        <v>183</v>
      </c>
      <c r="E36" s="265">
        <v>0</v>
      </c>
      <c r="F36" s="26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3.5216738976543698</v>
      </c>
      <c r="M36" s="265">
        <v>0</v>
      </c>
      <c r="N36" s="265">
        <v>0</v>
      </c>
      <c r="O36" s="265">
        <v>0</v>
      </c>
    </row>
    <row r="37" spans="2:15">
      <c r="B37" s="235" t="s">
        <v>203</v>
      </c>
      <c r="C37" s="235" t="s">
        <v>4</v>
      </c>
      <c r="D37" s="240" t="s">
        <v>184</v>
      </c>
      <c r="E37" s="265">
        <v>0</v>
      </c>
      <c r="F37" s="265">
        <v>0</v>
      </c>
      <c r="G37" s="265">
        <v>0</v>
      </c>
      <c r="H37" s="265">
        <v>0</v>
      </c>
      <c r="I37" s="265">
        <v>0</v>
      </c>
      <c r="J37" s="265">
        <v>0</v>
      </c>
      <c r="K37" s="265">
        <v>0</v>
      </c>
      <c r="L37" s="265">
        <v>0</v>
      </c>
      <c r="M37" s="265">
        <v>3.4180952536057116</v>
      </c>
      <c r="N37" s="265">
        <v>0</v>
      </c>
      <c r="O37" s="265">
        <v>0</v>
      </c>
    </row>
    <row r="38" spans="2:15">
      <c r="B38" s="235" t="s">
        <v>203</v>
      </c>
      <c r="C38" s="235" t="s">
        <v>4</v>
      </c>
      <c r="D38" s="240" t="s">
        <v>185</v>
      </c>
      <c r="E38" s="265">
        <v>0</v>
      </c>
      <c r="F38" s="26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3.4180952536057116</v>
      </c>
      <c r="L38" s="265">
        <v>0</v>
      </c>
      <c r="M38" s="265">
        <v>0</v>
      </c>
      <c r="N38" s="265">
        <v>0</v>
      </c>
      <c r="O38" s="265">
        <v>0</v>
      </c>
    </row>
    <row r="39" spans="2:15">
      <c r="B39" s="235" t="s">
        <v>203</v>
      </c>
      <c r="C39" s="235" t="s">
        <v>4</v>
      </c>
      <c r="D39" s="240" t="s">
        <v>186</v>
      </c>
      <c r="E39" s="265">
        <v>0</v>
      </c>
      <c r="F39" s="265">
        <v>0</v>
      </c>
      <c r="G39" s="265">
        <v>0</v>
      </c>
      <c r="H39" s="265">
        <v>0</v>
      </c>
      <c r="I39" s="265">
        <v>0</v>
      </c>
      <c r="J39" s="265">
        <v>0</v>
      </c>
      <c r="K39" s="265">
        <v>0</v>
      </c>
      <c r="L39" s="265">
        <v>3.1073593214597381</v>
      </c>
      <c r="M39" s="265">
        <v>0</v>
      </c>
      <c r="N39" s="265">
        <v>0</v>
      </c>
      <c r="O39" s="265">
        <v>-1.0357864404865793</v>
      </c>
    </row>
    <row r="40" spans="2:15">
      <c r="B40" s="235" t="s">
        <v>203</v>
      </c>
      <c r="C40" s="235" t="s">
        <v>4</v>
      </c>
      <c r="D40" s="240" t="s">
        <v>187</v>
      </c>
      <c r="E40" s="265">
        <v>0</v>
      </c>
      <c r="F40" s="26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2.7966233893137638</v>
      </c>
      <c r="O40" s="265">
        <v>-0.93220779643792118</v>
      </c>
    </row>
    <row r="41" spans="2:15">
      <c r="B41" s="235" t="s">
        <v>203</v>
      </c>
      <c r="C41" s="235" t="s">
        <v>4</v>
      </c>
      <c r="D41" s="240" t="s">
        <v>188</v>
      </c>
      <c r="E41" s="265">
        <v>0</v>
      </c>
      <c r="F41" s="265">
        <v>0</v>
      </c>
      <c r="G41" s="265">
        <v>0</v>
      </c>
      <c r="H41" s="265">
        <v>0</v>
      </c>
      <c r="I41" s="265">
        <v>0</v>
      </c>
      <c r="J41" s="265">
        <v>0</v>
      </c>
      <c r="K41" s="265">
        <v>0</v>
      </c>
      <c r="L41" s="265">
        <v>0</v>
      </c>
      <c r="M41" s="265">
        <v>0</v>
      </c>
      <c r="N41" s="265">
        <v>2.1751515250218167</v>
      </c>
      <c r="O41" s="265">
        <v>-0.72505050834060558</v>
      </c>
    </row>
    <row r="42" spans="2:15">
      <c r="B42" s="235" t="s">
        <v>203</v>
      </c>
      <c r="C42" s="235" t="s">
        <v>4</v>
      </c>
      <c r="D42" s="240" t="s">
        <v>189</v>
      </c>
      <c r="E42" s="265">
        <v>0</v>
      </c>
      <c r="F42" s="265">
        <v>0</v>
      </c>
      <c r="G42" s="265">
        <v>0</v>
      </c>
      <c r="H42" s="265">
        <v>0</v>
      </c>
      <c r="I42" s="265">
        <v>0</v>
      </c>
      <c r="J42" s="265">
        <v>0</v>
      </c>
      <c r="K42" s="265">
        <v>0</v>
      </c>
      <c r="L42" s="265">
        <v>0</v>
      </c>
      <c r="M42" s="265">
        <v>0</v>
      </c>
      <c r="N42" s="265">
        <v>0.62147186429194756</v>
      </c>
      <c r="O42" s="265">
        <v>-0.20715728809731584</v>
      </c>
    </row>
    <row r="43" spans="2:15">
      <c r="B43" s="235" t="s">
        <v>203</v>
      </c>
      <c r="C43" s="235" t="s">
        <v>4</v>
      </c>
      <c r="D43" s="240" t="s">
        <v>190</v>
      </c>
      <c r="E43" s="265">
        <v>0</v>
      </c>
      <c r="F43" s="265">
        <v>0</v>
      </c>
      <c r="G43" s="265">
        <v>0</v>
      </c>
      <c r="H43" s="265">
        <v>0</v>
      </c>
      <c r="I43" s="265">
        <v>0</v>
      </c>
      <c r="J43" s="265">
        <v>0</v>
      </c>
      <c r="K43" s="265">
        <v>0</v>
      </c>
      <c r="L43" s="265">
        <v>0</v>
      </c>
      <c r="M43" s="265">
        <v>0</v>
      </c>
      <c r="N43" s="265">
        <v>0</v>
      </c>
      <c r="O43" s="265">
        <v>0</v>
      </c>
    </row>
    <row r="44" spans="2:15">
      <c r="B44" s="235" t="s">
        <v>203</v>
      </c>
      <c r="C44" s="235" t="s">
        <v>4</v>
      </c>
      <c r="D44" s="240" t="s">
        <v>191</v>
      </c>
      <c r="E44" s="265">
        <v>0</v>
      </c>
      <c r="F44" s="265">
        <v>0</v>
      </c>
      <c r="G44" s="265">
        <v>0</v>
      </c>
      <c r="H44" s="265">
        <v>0</v>
      </c>
      <c r="I44" s="265">
        <v>0</v>
      </c>
      <c r="J44" s="265">
        <v>0</v>
      </c>
      <c r="K44" s="265">
        <v>0</v>
      </c>
      <c r="L44" s="265">
        <v>0</v>
      </c>
      <c r="M44" s="265">
        <v>0</v>
      </c>
      <c r="N44" s="265">
        <v>0</v>
      </c>
      <c r="O44" s="265">
        <v>0</v>
      </c>
    </row>
    <row r="45" spans="2:15">
      <c r="B45" s="235" t="s">
        <v>203</v>
      </c>
      <c r="C45" s="235" t="s">
        <v>4</v>
      </c>
      <c r="D45" s="240" t="s">
        <v>192</v>
      </c>
      <c r="E45" s="265">
        <v>0</v>
      </c>
      <c r="F45" s="265">
        <v>0</v>
      </c>
      <c r="G45" s="265">
        <v>0</v>
      </c>
      <c r="H45" s="265">
        <v>0</v>
      </c>
      <c r="I45" s="265">
        <v>0</v>
      </c>
      <c r="J45" s="265">
        <v>0</v>
      </c>
      <c r="K45" s="265">
        <v>0</v>
      </c>
      <c r="L45" s="265">
        <v>0</v>
      </c>
      <c r="M45" s="265">
        <v>0</v>
      </c>
      <c r="N45" s="265">
        <v>0</v>
      </c>
      <c r="O45" s="265">
        <v>0</v>
      </c>
    </row>
    <row r="46" spans="2:15">
      <c r="B46" s="235" t="s">
        <v>203</v>
      </c>
      <c r="C46" s="235" t="s">
        <v>4</v>
      </c>
      <c r="D46" s="240" t="s">
        <v>193</v>
      </c>
      <c r="E46" s="265">
        <v>0</v>
      </c>
      <c r="F46" s="265">
        <v>0</v>
      </c>
      <c r="G46" s="265">
        <v>0</v>
      </c>
      <c r="H46" s="265">
        <v>0</v>
      </c>
      <c r="I46" s="265">
        <v>0</v>
      </c>
      <c r="J46" s="265">
        <v>0</v>
      </c>
      <c r="K46" s="265">
        <v>0</v>
      </c>
      <c r="L46" s="265">
        <v>0</v>
      </c>
      <c r="M46" s="265">
        <v>0</v>
      </c>
      <c r="N46" s="265">
        <v>0</v>
      </c>
      <c r="O46" s="265">
        <v>0</v>
      </c>
    </row>
    <row r="47" spans="2:15">
      <c r="B47" s="235" t="s">
        <v>203</v>
      </c>
      <c r="C47" s="235" t="s">
        <v>4</v>
      </c>
      <c r="D47" s="240" t="s">
        <v>194</v>
      </c>
      <c r="E47" s="265">
        <v>0</v>
      </c>
      <c r="F47" s="265">
        <v>0</v>
      </c>
      <c r="G47" s="265">
        <v>0</v>
      </c>
      <c r="H47" s="265">
        <v>0</v>
      </c>
      <c r="I47" s="265">
        <v>0</v>
      </c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</row>
    <row r="48" spans="2:15">
      <c r="B48" s="235" t="s">
        <v>203</v>
      </c>
      <c r="C48" s="235" t="s">
        <v>4</v>
      </c>
      <c r="D48" s="240" t="s">
        <v>195</v>
      </c>
      <c r="E48" s="265">
        <v>0</v>
      </c>
      <c r="F48" s="265">
        <v>0</v>
      </c>
      <c r="G48" s="265">
        <v>0</v>
      </c>
      <c r="H48" s="265">
        <v>0</v>
      </c>
      <c r="I48" s="265">
        <v>0</v>
      </c>
      <c r="J48" s="265">
        <v>0</v>
      </c>
      <c r="K48" s="265">
        <v>0</v>
      </c>
      <c r="L48" s="265">
        <v>0</v>
      </c>
      <c r="M48" s="265">
        <v>0</v>
      </c>
      <c r="N48" s="265">
        <v>0</v>
      </c>
      <c r="O48" s="265">
        <v>0</v>
      </c>
    </row>
    <row r="49" spans="2:15">
      <c r="B49" s="235" t="s">
        <v>203</v>
      </c>
      <c r="C49" s="235" t="s">
        <v>4</v>
      </c>
      <c r="D49" s="240" t="s">
        <v>196</v>
      </c>
      <c r="E49" s="265">
        <v>0</v>
      </c>
      <c r="F49" s="265">
        <v>0</v>
      </c>
      <c r="G49" s="265">
        <v>0</v>
      </c>
      <c r="H49" s="265">
        <v>0</v>
      </c>
      <c r="I49" s="265">
        <v>0</v>
      </c>
      <c r="J49" s="265">
        <v>0</v>
      </c>
      <c r="K49" s="265">
        <v>0</v>
      </c>
      <c r="L49" s="265">
        <v>0</v>
      </c>
      <c r="M49" s="265">
        <v>16.727951013858249</v>
      </c>
      <c r="N49" s="265">
        <v>16.727951013858249</v>
      </c>
      <c r="O49" s="265">
        <v>-16.727951013858249</v>
      </c>
    </row>
    <row r="50" spans="2:15">
      <c r="B50" s="235" t="s">
        <v>203</v>
      </c>
      <c r="C50" s="235" t="s">
        <v>4</v>
      </c>
      <c r="D50" s="240" t="s">
        <v>197</v>
      </c>
      <c r="E50" s="265">
        <v>0</v>
      </c>
      <c r="F50" s="265">
        <v>0</v>
      </c>
      <c r="G50" s="265">
        <v>0</v>
      </c>
      <c r="H50" s="265">
        <v>0</v>
      </c>
      <c r="I50" s="265">
        <v>0</v>
      </c>
      <c r="J50" s="265">
        <v>0</v>
      </c>
      <c r="K50" s="265">
        <v>0</v>
      </c>
      <c r="L50" s="265">
        <v>0</v>
      </c>
      <c r="M50" s="265">
        <v>0</v>
      </c>
      <c r="N50" s="265">
        <v>0</v>
      </c>
      <c r="O50" s="265">
        <v>0</v>
      </c>
    </row>
    <row r="51" spans="2:15">
      <c r="B51" s="235" t="s">
        <v>203</v>
      </c>
      <c r="C51" s="235" t="s">
        <v>4</v>
      </c>
      <c r="D51" s="240" t="s">
        <v>198</v>
      </c>
      <c r="E51" s="265">
        <v>0</v>
      </c>
      <c r="F51" s="265">
        <v>0</v>
      </c>
      <c r="G51" s="265">
        <v>0</v>
      </c>
      <c r="H51" s="265">
        <v>0</v>
      </c>
      <c r="I51" s="265">
        <v>0</v>
      </c>
      <c r="J51" s="265">
        <v>0</v>
      </c>
      <c r="K51" s="265">
        <v>0</v>
      </c>
      <c r="L51" s="265">
        <v>0</v>
      </c>
      <c r="M51" s="265">
        <v>0</v>
      </c>
      <c r="N51" s="265">
        <v>0</v>
      </c>
      <c r="O51" s="265">
        <v>0</v>
      </c>
    </row>
    <row r="52" spans="2:15">
      <c r="B52" s="235" t="s">
        <v>203</v>
      </c>
      <c r="C52" s="235" t="s">
        <v>4</v>
      </c>
      <c r="D52" s="240" t="s">
        <v>199</v>
      </c>
      <c r="E52" s="265">
        <v>0</v>
      </c>
      <c r="F52" s="265">
        <v>0</v>
      </c>
      <c r="G52" s="265">
        <v>0</v>
      </c>
      <c r="H52" s="265">
        <v>0</v>
      </c>
      <c r="I52" s="265">
        <v>0</v>
      </c>
      <c r="J52" s="265">
        <v>0</v>
      </c>
      <c r="K52" s="265">
        <v>0</v>
      </c>
      <c r="L52" s="265">
        <v>0</v>
      </c>
      <c r="M52" s="265">
        <v>0</v>
      </c>
      <c r="N52" s="265">
        <v>0</v>
      </c>
      <c r="O52" s="265">
        <v>0</v>
      </c>
    </row>
    <row r="53" spans="2:15">
      <c r="B53" s="235" t="s">
        <v>203</v>
      </c>
      <c r="C53" s="235" t="s">
        <v>4</v>
      </c>
      <c r="D53" s="240" t="s">
        <v>200</v>
      </c>
      <c r="E53" s="265">
        <v>0</v>
      </c>
      <c r="F53" s="265">
        <v>0</v>
      </c>
      <c r="G53" s="265">
        <v>0</v>
      </c>
      <c r="H53" s="265">
        <v>0</v>
      </c>
      <c r="I53" s="265">
        <v>0</v>
      </c>
      <c r="J53" s="265">
        <v>0</v>
      </c>
      <c r="K53" s="265">
        <v>0</v>
      </c>
      <c r="L53" s="265">
        <v>0</v>
      </c>
      <c r="M53" s="265">
        <v>0</v>
      </c>
      <c r="N53" s="265">
        <v>0</v>
      </c>
      <c r="O53" s="265">
        <v>0</v>
      </c>
    </row>
    <row r="54" spans="2:15">
      <c r="B54" s="235" t="s">
        <v>203</v>
      </c>
      <c r="C54" s="235" t="s">
        <v>4</v>
      </c>
      <c r="D54" s="240" t="s">
        <v>201</v>
      </c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65">
        <v>0</v>
      </c>
      <c r="K54" s="265">
        <v>0</v>
      </c>
      <c r="L54" s="265">
        <v>0</v>
      </c>
      <c r="M54" s="265">
        <v>0</v>
      </c>
      <c r="N54" s="265">
        <v>0</v>
      </c>
      <c r="O54" s="265">
        <v>0</v>
      </c>
    </row>
    <row r="55" spans="2:15">
      <c r="B55" s="235" t="s">
        <v>203</v>
      </c>
      <c r="C55" s="235" t="s">
        <v>4</v>
      </c>
      <c r="D55" s="240" t="s">
        <v>202</v>
      </c>
      <c r="E55" s="265">
        <v>0</v>
      </c>
      <c r="F55" s="265">
        <v>0</v>
      </c>
      <c r="G55" s="265">
        <v>0</v>
      </c>
      <c r="H55" s="265">
        <v>0</v>
      </c>
      <c r="I55" s="265">
        <v>0</v>
      </c>
      <c r="J55" s="265">
        <v>0</v>
      </c>
      <c r="K55" s="265">
        <v>0</v>
      </c>
      <c r="L55" s="265">
        <v>0</v>
      </c>
      <c r="M55" s="265">
        <v>0</v>
      </c>
      <c r="N55" s="265">
        <v>0</v>
      </c>
      <c r="O55" s="265">
        <v>0</v>
      </c>
    </row>
    <row r="56" spans="2:15" ht="13.5">
      <c r="E56" s="241">
        <f t="shared" ref="E56:O56" si="1">SUM(E6:E55)</f>
        <v>13.482978250277958</v>
      </c>
      <c r="F56" s="241">
        <f t="shared" si="1"/>
        <v>14.252198740580623</v>
      </c>
      <c r="G56" s="241">
        <f t="shared" si="1"/>
        <v>9.9762180094177459</v>
      </c>
      <c r="H56" s="241">
        <f t="shared" si="1"/>
        <v>9.665482077271772</v>
      </c>
      <c r="I56" s="241">
        <f t="shared" si="1"/>
        <v>9.665482077271772</v>
      </c>
      <c r="J56" s="241">
        <f t="shared" si="1"/>
        <v>22.094919363110712</v>
      </c>
      <c r="K56" s="241">
        <f t="shared" si="1"/>
        <v>45.019695799645163</v>
      </c>
      <c r="L56" s="241">
        <f t="shared" si="1"/>
        <v>51.953819933772365</v>
      </c>
      <c r="M56" s="241">
        <f t="shared" si="1"/>
        <v>45.788534189241233</v>
      </c>
      <c r="N56" s="241">
        <f t="shared" si="1"/>
        <v>47.96368571426305</v>
      </c>
      <c r="O56" s="241">
        <f t="shared" si="1"/>
        <v>-51.069636087981777</v>
      </c>
    </row>
    <row r="57" spans="2:15">
      <c r="O57" s="238"/>
    </row>
    <row r="59" spans="2:15">
      <c r="E59" s="238"/>
      <c r="F59" s="242"/>
    </row>
    <row r="60" spans="2:15">
      <c r="E60" s="238"/>
    </row>
    <row r="61" spans="2:15">
      <c r="E61" s="238"/>
      <c r="F61" s="242"/>
    </row>
    <row r="62" spans="2:15">
      <c r="E62" s="2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8"/>
  </sheetPr>
  <dimension ref="A1:O262"/>
  <sheetViews>
    <sheetView showGridLines="0" zoomScaleNormal="100" workbookViewId="0">
      <selection activeCell="C10" sqref="C10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196" customFormat="1" ht="21">
      <c r="A1" s="193" t="s">
        <v>122</v>
      </c>
      <c r="B1" s="193"/>
      <c r="C1" s="198"/>
      <c r="D1" s="198"/>
      <c r="E1" s="195"/>
      <c r="F1" s="195"/>
      <c r="G1" s="195"/>
      <c r="H1" s="195"/>
      <c r="I1" s="195"/>
      <c r="J1" s="195"/>
      <c r="K1" s="195"/>
      <c r="L1" s="195"/>
      <c r="M1" s="195"/>
    </row>
    <row r="2" spans="1:15" s="204" customFormat="1" ht="15.75">
      <c r="A2" s="206" t="s">
        <v>97</v>
      </c>
      <c r="B2" s="203"/>
      <c r="C2" s="207"/>
      <c r="D2" s="207"/>
      <c r="E2" s="203"/>
      <c r="F2" s="203"/>
      <c r="G2" s="203"/>
      <c r="H2" s="203"/>
      <c r="I2" s="203"/>
      <c r="J2" s="203"/>
      <c r="K2" s="203"/>
      <c r="L2" s="203"/>
      <c r="M2" s="203"/>
    </row>
    <row r="3" spans="1:15" s="17" customFormat="1">
      <c r="B3" s="74"/>
      <c r="C3" s="75"/>
      <c r="D3" s="75"/>
      <c r="E3" s="74"/>
      <c r="F3" s="74"/>
      <c r="G3" s="74"/>
      <c r="H3" s="74"/>
      <c r="I3" s="74"/>
      <c r="J3" s="74"/>
      <c r="K3" s="74"/>
      <c r="L3" s="74"/>
    </row>
    <row r="4" spans="1:15">
      <c r="C4" s="76"/>
    </row>
    <row r="5" spans="1:15">
      <c r="B5" s="77" t="s">
        <v>69</v>
      </c>
      <c r="C5" s="78" t="s">
        <v>52</v>
      </c>
      <c r="D5" s="1"/>
      <c r="F5" s="79"/>
    </row>
    <row r="6" spans="1:15">
      <c r="B6" s="44" t="s">
        <v>47</v>
      </c>
      <c r="C6" s="80">
        <f>CHOOSE(Inputs!$D$6,Inputs!E15,Inputs!F15,Inputs!G15,Inputs!H15,Inputs!I15)</f>
        <v>1382000</v>
      </c>
      <c r="D6" s="1"/>
      <c r="F6" s="81"/>
    </row>
    <row r="7" spans="1:15">
      <c r="B7" s="44" t="s">
        <v>50</v>
      </c>
      <c r="C7" s="80">
        <f>CHOOSE(Inputs!$D$6,Inputs!E16,Inputs!F16,Inputs!G16,Inputs!H16,Inputs!I16)</f>
        <v>973000</v>
      </c>
      <c r="D7" s="1"/>
      <c r="F7" s="81"/>
    </row>
    <row r="8" spans="1:15">
      <c r="B8" s="44" t="s">
        <v>51</v>
      </c>
      <c r="C8" s="80">
        <f>CHOOSE(Inputs!$D$6,Inputs!E17,Inputs!F17,Inputs!G17,Inputs!H17,Inputs!I17)</f>
        <v>590000</v>
      </c>
      <c r="D8" s="1"/>
      <c r="F8" s="81"/>
    </row>
    <row r="9" spans="1:15">
      <c r="B9" s="44" t="s">
        <v>48</v>
      </c>
      <c r="C9" s="80">
        <f>CHOOSE(Inputs!$D$6,Inputs!E18,Inputs!F18,Inputs!G18,Inputs!H18,Inputs!I18)</f>
        <v>307000</v>
      </c>
      <c r="D9" s="1"/>
      <c r="F9" s="81"/>
    </row>
    <row r="10" spans="1:15">
      <c r="B10" s="51" t="s">
        <v>49</v>
      </c>
      <c r="C10" s="82">
        <f>CHOOSE(Inputs!$D$6,Inputs!E19,Inputs!F19,Inputs!G19,Inputs!H19,Inputs!I19)</f>
        <v>158000</v>
      </c>
      <c r="D10" s="1"/>
      <c r="F10" s="81"/>
    </row>
    <row r="11" spans="1:15">
      <c r="D11" s="83"/>
      <c r="I11" s="84"/>
    </row>
    <row r="12" spans="1:15">
      <c r="D12" s="83"/>
      <c r="I12" s="84"/>
    </row>
    <row r="13" spans="1:15">
      <c r="B13" s="85" t="s">
        <v>26</v>
      </c>
      <c r="C13" s="86" t="s">
        <v>34</v>
      </c>
      <c r="D13" s="86" t="s">
        <v>53</v>
      </c>
      <c r="E13" s="86" t="s">
        <v>54</v>
      </c>
      <c r="F13" s="86" t="s">
        <v>54</v>
      </c>
      <c r="H13" s="87"/>
      <c r="J13" s="83"/>
      <c r="O13" s="84"/>
    </row>
    <row r="14" spans="1:15">
      <c r="B14" s="88"/>
      <c r="C14" s="89" t="s">
        <v>33</v>
      </c>
      <c r="D14" s="89" t="s">
        <v>55</v>
      </c>
      <c r="E14" s="89" t="s">
        <v>56</v>
      </c>
      <c r="F14" s="89" t="s">
        <v>57</v>
      </c>
      <c r="H14" s="90"/>
      <c r="J14" s="83"/>
      <c r="O14" s="84"/>
    </row>
    <row r="15" spans="1:15">
      <c r="B15" s="18" t="s">
        <v>6</v>
      </c>
      <c r="C15" s="91">
        <f>C6</f>
        <v>1382000</v>
      </c>
      <c r="D15" s="91">
        <f>SUMIF($C$89:$C$134,$B15,$D$89:$D$134)</f>
        <v>1231537324.7058349</v>
      </c>
      <c r="E15" s="31">
        <f>((D15/1000)/(365.25*24))/D47</f>
        <v>401.40064688433722</v>
      </c>
      <c r="F15" s="31">
        <f>E15/C47</f>
        <v>501.75080860542153</v>
      </c>
      <c r="H15" s="43"/>
      <c r="J15" s="83"/>
      <c r="O15" s="84"/>
    </row>
    <row r="16" spans="1:15">
      <c r="B16" s="18" t="s">
        <v>23</v>
      </c>
      <c r="C16" s="91">
        <f>AVERAGE(C6:C7)</f>
        <v>1177500</v>
      </c>
      <c r="D16" s="91">
        <f t="shared" ref="D16:D19" si="0">SUMIF($C$89:$C$134,$B16,$D$89:$D$134)</f>
        <v>1645582105.3076067</v>
      </c>
      <c r="E16" s="31">
        <f>((D16/1000)/(365.25*24))/D48</f>
        <v>536.35217408415849</v>
      </c>
      <c r="F16" s="31">
        <f>E16/C48</f>
        <v>670.44021760519809</v>
      </c>
      <c r="G16" s="125"/>
      <c r="H16" s="266"/>
      <c r="I16" s="125"/>
      <c r="J16" s="83"/>
      <c r="O16" s="84"/>
    </row>
    <row r="17" spans="2:15">
      <c r="B17" s="18" t="s">
        <v>5</v>
      </c>
      <c r="C17" s="91">
        <f>C8</f>
        <v>590000</v>
      </c>
      <c r="D17" s="91">
        <f t="shared" si="0"/>
        <v>2235707834.0289135</v>
      </c>
      <c r="E17" s="31">
        <f>((D17/1000)/(365.25*24))/D49</f>
        <v>510.08620443278886</v>
      </c>
      <c r="F17" s="31">
        <f>E17/C49</f>
        <v>602.93877592528236</v>
      </c>
      <c r="H17" s="43"/>
      <c r="J17" s="83"/>
      <c r="O17" s="84"/>
    </row>
    <row r="18" spans="2:15">
      <c r="B18" s="18" t="s">
        <v>4</v>
      </c>
      <c r="C18" s="91">
        <f>C9</f>
        <v>307000</v>
      </c>
      <c r="D18" s="91">
        <f t="shared" si="0"/>
        <v>542468877.59381747</v>
      </c>
      <c r="E18" s="31">
        <f>((D18/1000)/(365.25*24))/D50</f>
        <v>103.13880857742366</v>
      </c>
      <c r="F18" s="31">
        <f>E18/C50</f>
        <v>114.59867619713739</v>
      </c>
      <c r="H18" s="43"/>
      <c r="J18" s="83"/>
      <c r="O18" s="84"/>
    </row>
    <row r="19" spans="2:15">
      <c r="B19" s="92" t="s">
        <v>11</v>
      </c>
      <c r="C19" s="93">
        <f>C10</f>
        <v>158000</v>
      </c>
      <c r="D19" s="93">
        <f t="shared" si="0"/>
        <v>90038434.558952779</v>
      </c>
      <c r="E19" s="34">
        <f>((D19/1000)/(365.25*24))/D51</f>
        <v>14.673321364843519</v>
      </c>
      <c r="F19" s="34">
        <f>E19/C51</f>
        <v>15.445601436677389</v>
      </c>
      <c r="H19" s="43"/>
      <c r="J19" s="83"/>
      <c r="O19" s="84"/>
    </row>
    <row r="20" spans="2:15">
      <c r="B20" s="94" t="s">
        <v>3</v>
      </c>
      <c r="C20" s="95"/>
      <c r="D20" s="96">
        <f>SUM(D15:D19)</f>
        <v>5745334576.1951246</v>
      </c>
      <c r="E20" s="96">
        <f>SUM(E15:E19)</f>
        <v>1565.6511553435516</v>
      </c>
      <c r="F20" s="96">
        <f>SUM(F15:F19)</f>
        <v>1905.1740797697169</v>
      </c>
      <c r="J20" s="83"/>
      <c r="O20" s="84"/>
    </row>
    <row r="21" spans="2:15">
      <c r="B21" s="97" t="s">
        <v>101</v>
      </c>
      <c r="C21" s="91"/>
      <c r="D21" s="98">
        <f>D20-D135</f>
        <v>0</v>
      </c>
      <c r="E21" s="31"/>
      <c r="F21" s="31"/>
      <c r="J21" s="83"/>
      <c r="O21" s="84"/>
    </row>
    <row r="22" spans="2:15">
      <c r="B22" s="18"/>
      <c r="C22" s="91"/>
      <c r="D22" s="31"/>
      <c r="E22" s="31"/>
      <c r="F22" s="31"/>
      <c r="J22" s="83"/>
      <c r="O22" s="84"/>
    </row>
    <row r="23" spans="2:15">
      <c r="B23" s="5" t="s">
        <v>38</v>
      </c>
      <c r="C23" s="99"/>
      <c r="D23" s="99"/>
    </row>
    <row r="24" spans="2:15" ht="38.25">
      <c r="B24" s="85" t="s">
        <v>26</v>
      </c>
      <c r="C24" s="86" t="s">
        <v>72</v>
      </c>
      <c r="D24" s="86" t="s">
        <v>46</v>
      </c>
    </row>
    <row r="25" spans="2:15">
      <c r="B25" s="100"/>
      <c r="C25" s="101" t="s">
        <v>31</v>
      </c>
      <c r="D25" s="101" t="s">
        <v>31</v>
      </c>
    </row>
    <row r="26" spans="2:15">
      <c r="B26" s="44" t="s">
        <v>6</v>
      </c>
      <c r="C26" s="102">
        <f>D15/SUM($D$15:$D$19)</f>
        <v>0.21435432669291582</v>
      </c>
      <c r="D26" s="269">
        <f>SUM(E89:E96,E101:E102)/$E$135</f>
        <v>0.83814985745680448</v>
      </c>
      <c r="E26" s="267"/>
      <c r="H26" s="103"/>
    </row>
    <row r="27" spans="2:15">
      <c r="B27" s="44" t="s">
        <v>23</v>
      </c>
      <c r="C27" s="102">
        <f t="shared" ref="C27:C30" si="1">D16/SUM($D$15:$D$19)</f>
        <v>0.2864205876061271</v>
      </c>
      <c r="D27" s="104">
        <f>SUMIF($C$89:$C$134,$B27,$E$89:$E$134)/$E$135</f>
        <v>0.15480932061948999</v>
      </c>
      <c r="E27" s="267"/>
    </row>
    <row r="28" spans="2:15">
      <c r="B28" s="44" t="s">
        <v>5</v>
      </c>
      <c r="C28" s="102">
        <f t="shared" si="1"/>
        <v>0.389134488928149</v>
      </c>
      <c r="D28" s="102">
        <f>(SUMIF($C$89:$C$134,$B28,$E$89:$E$134)-SUM(E$123:E$124))/$E$135</f>
        <v>6.7405406754188065E-3</v>
      </c>
    </row>
    <row r="29" spans="2:15">
      <c r="B29" s="44" t="s">
        <v>4</v>
      </c>
      <c r="C29" s="102">
        <f t="shared" si="1"/>
        <v>9.4419023017641227E-2</v>
      </c>
      <c r="D29" s="102">
        <f>(SUMIF($C$89:$C$134,$B29,$E$89:$E$134)-E$129)/$E$135</f>
        <v>2.8225141652627562E-4</v>
      </c>
    </row>
    <row r="30" spans="2:15">
      <c r="B30" s="51" t="s">
        <v>11</v>
      </c>
      <c r="C30" s="105">
        <f t="shared" si="1"/>
        <v>1.5671573755166954E-2</v>
      </c>
      <c r="D30" s="105">
        <f>(SUMIF($C$89:$C$134,$B30,$E$89:$E$134)-E$131)/$E$135</f>
        <v>-2.6422158476573028E-4</v>
      </c>
    </row>
    <row r="31" spans="2:15">
      <c r="B31" s="106" t="s">
        <v>101</v>
      </c>
      <c r="C31" s="98">
        <f>SUM(C26:C30)-1</f>
        <v>0</v>
      </c>
      <c r="D31" s="98">
        <f>SUM(D26:D30)-1</f>
        <v>-2.8225141652604702E-4</v>
      </c>
    </row>
    <row r="33" spans="2:9">
      <c r="B33" s="1" t="s">
        <v>121</v>
      </c>
      <c r="C33" s="36">
        <f>SUM('SAC - VPN'!E6:E7,'SAC - VPN'!E13)</f>
        <v>2969781.9455007841</v>
      </c>
    </row>
    <row r="35" spans="2:9">
      <c r="B35" s="5" t="s">
        <v>76</v>
      </c>
    </row>
    <row r="36" spans="2:9">
      <c r="B36" s="107" t="s">
        <v>26</v>
      </c>
      <c r="C36" s="108" t="s">
        <v>77</v>
      </c>
      <c r="D36" s="108" t="s">
        <v>77</v>
      </c>
      <c r="E36" s="86" t="s">
        <v>78</v>
      </c>
      <c r="F36" s="86" t="s">
        <v>78</v>
      </c>
    </row>
    <row r="37" spans="2:9">
      <c r="B37" s="100"/>
      <c r="C37" s="88" t="s">
        <v>104</v>
      </c>
      <c r="D37" s="109" t="s">
        <v>31</v>
      </c>
      <c r="E37" s="88" t="s">
        <v>104</v>
      </c>
      <c r="F37" s="109" t="s">
        <v>31</v>
      </c>
    </row>
    <row r="38" spans="2:9">
      <c r="B38" s="44" t="s">
        <v>6</v>
      </c>
      <c r="C38" s="36">
        <f>Selection!F15*Selection!C15/1000</f>
        <v>693419.61749269255</v>
      </c>
      <c r="D38" s="39">
        <f>C38/$C$33</f>
        <v>0.23349176142148159</v>
      </c>
      <c r="E38" s="36">
        <f>($C$33-$C$43)*(C15/$C$15)+C38</f>
        <v>1786982.5128552306</v>
      </c>
      <c r="F38" s="39">
        <f>E38/$C$33</f>
        <v>0.60172179158220918</v>
      </c>
      <c r="H38" s="103"/>
      <c r="I38" s="110"/>
    </row>
    <row r="39" spans="2:9">
      <c r="B39" s="44" t="s">
        <v>23</v>
      </c>
      <c r="C39" s="36">
        <f>Selection!F16*Selection!C16/1000</f>
        <v>789443.35623012076</v>
      </c>
      <c r="D39" s="39">
        <f>C39/$C$33</f>
        <v>0.26582536048686217</v>
      </c>
      <c r="E39" s="36">
        <f>($C$33-$C$43)*(C16/$C$15)+C39</f>
        <v>1721187.4295220082</v>
      </c>
      <c r="F39" s="39">
        <f>E39/$C$33</f>
        <v>0.57956693828299577</v>
      </c>
      <c r="I39" s="110"/>
    </row>
    <row r="40" spans="2:9">
      <c r="B40" s="44" t="s">
        <v>5</v>
      </c>
      <c r="C40" s="36">
        <f>Selection!F17*Selection!C17/1000</f>
        <v>355733.87779591663</v>
      </c>
      <c r="D40" s="39">
        <f>C40/$C$33</f>
        <v>0.11978451089139827</v>
      </c>
      <c r="E40" s="36">
        <f>($C$33-$C$43)*(C17/$C$15)+C40</f>
        <v>822595.0270462042</v>
      </c>
      <c r="F40" s="39">
        <f>E40/$C$33</f>
        <v>0.27698835878924871</v>
      </c>
      <c r="I40" s="110"/>
    </row>
    <row r="41" spans="2:9">
      <c r="B41" s="44" t="s">
        <v>4</v>
      </c>
      <c r="C41" s="36">
        <f>Selection!F18*Selection!C18/1000</f>
        <v>35181.793592521186</v>
      </c>
      <c r="D41" s="39">
        <f>C41/$C$33</f>
        <v>1.1846591513502047E-2</v>
      </c>
      <c r="E41" s="36">
        <f>($C$33-$C$43)*(C18/$C$15)+C41</f>
        <v>278107.84921936574</v>
      </c>
      <c r="F41" s="39">
        <f>E41/$C$33</f>
        <v>9.3645881860349639E-2</v>
      </c>
      <c r="I41" s="110"/>
    </row>
    <row r="42" spans="2:9">
      <c r="B42" s="51" t="s">
        <v>11</v>
      </c>
      <c r="C42" s="111">
        <f>Selection!F19*Selection!C19/1000</f>
        <v>2440.4050269950276</v>
      </c>
      <c r="D42" s="112">
        <f>C42/$C$33</f>
        <v>8.2174552602834634E-4</v>
      </c>
      <c r="E42" s="111">
        <f>($C$33-$C$43)*(C19/$C$15)+C42</f>
        <v>127464.23821605509</v>
      </c>
      <c r="F42" s="112">
        <f>E42/$C$33</f>
        <v>4.2920403098673038E-2</v>
      </c>
      <c r="I42" s="110"/>
    </row>
    <row r="43" spans="2:9">
      <c r="B43" s="113" t="s">
        <v>3</v>
      </c>
      <c r="C43" s="114">
        <f>SUM(C38:C42)</f>
        <v>1876219.050138246</v>
      </c>
      <c r="D43" s="115"/>
      <c r="E43" s="116"/>
      <c r="F43" s="114"/>
    </row>
    <row r="44" spans="2:9">
      <c r="C44" s="110"/>
      <c r="F44" s="110"/>
    </row>
    <row r="45" spans="2:9">
      <c r="B45" s="5" t="s">
        <v>65</v>
      </c>
      <c r="F45" s="117"/>
      <c r="G45" s="117"/>
    </row>
    <row r="46" spans="2:9">
      <c r="B46" s="77" t="s">
        <v>26</v>
      </c>
      <c r="C46" s="118" t="s">
        <v>36</v>
      </c>
      <c r="D46" s="118" t="s">
        <v>37</v>
      </c>
      <c r="F46" s="119"/>
      <c r="G46" s="119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20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1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2">
        <f>CHOOSE(Inputs!$D$6,Inputs!E27,Inputs!F27,Inputs!G27,Inputs!H27,Inputs!I27)</f>
        <v>0.95</v>
      </c>
      <c r="D51" s="122">
        <f>CHOOSE(Inputs!$D$6,Inputs!E35,Inputs!F35,Inputs!G35,Inputs!H35,Inputs!I35)</f>
        <v>0.7</v>
      </c>
      <c r="E51" s="17"/>
      <c r="F51" s="43"/>
      <c r="G51" s="43"/>
    </row>
    <row r="54" spans="2:13" ht="25.5">
      <c r="B54" s="85" t="s">
        <v>21</v>
      </c>
      <c r="C54" s="86" t="s">
        <v>13</v>
      </c>
      <c r="D54" s="86" t="s">
        <v>71</v>
      </c>
    </row>
    <row r="55" spans="2:13" s="58" customFormat="1">
      <c r="B55" s="123"/>
      <c r="C55" s="89" t="s">
        <v>32</v>
      </c>
      <c r="D55" s="89" t="s">
        <v>32</v>
      </c>
      <c r="M55" s="1"/>
    </row>
    <row r="56" spans="2:13">
      <c r="B56" s="2" t="s">
        <v>11</v>
      </c>
      <c r="C56" s="124">
        <f>CHOOSE(Inputs!$D$6,Inputs!E39,Inputs!F39,Inputs!G39,Inputs!H39,Inputs!I39)</f>
        <v>50</v>
      </c>
      <c r="D56" s="124">
        <f>CHOOSE(Inputs!$D$6,Inputs!E49,Inputs!F49,Inputs!G49,Inputs!H49,Inputs!I49)</f>
        <v>37.819405056092606</v>
      </c>
    </row>
    <row r="57" spans="2:13">
      <c r="B57" s="2" t="s">
        <v>14</v>
      </c>
      <c r="C57" s="124">
        <f>CHOOSE(Inputs!$D$6,Inputs!E40,Inputs!F40,Inputs!G40,Inputs!H40,Inputs!I40)</f>
        <v>49</v>
      </c>
      <c r="D57" s="124">
        <f>CHOOSE(Inputs!$D$6,Inputs!E50,Inputs!F50,Inputs!G50,Inputs!H50,Inputs!I50)</f>
        <v>25.305769806159724</v>
      </c>
    </row>
    <row r="58" spans="2:13">
      <c r="B58" s="2" t="s">
        <v>15</v>
      </c>
      <c r="C58" s="124">
        <f>CHOOSE(Inputs!$D$6,Inputs!E41,Inputs!F41,Inputs!G41,Inputs!H41,Inputs!I41)</f>
        <v>15</v>
      </c>
      <c r="D58" s="124">
        <f>CHOOSE(Inputs!$D$6,Inputs!E51,Inputs!F51,Inputs!G51,Inputs!H51,Inputs!I51)</f>
        <v>1.0609571852169655</v>
      </c>
      <c r="E58" s="125"/>
    </row>
    <row r="59" spans="2:13">
      <c r="B59" s="18" t="s">
        <v>16</v>
      </c>
      <c r="C59" s="124">
        <f>CHOOSE(Inputs!$D$6,Inputs!E42,Inputs!F42,Inputs!G42,Inputs!H42,Inputs!I42)</f>
        <v>25</v>
      </c>
      <c r="D59" s="124">
        <f>CHOOSE(Inputs!$D$6,Inputs!E52,Inputs!F52,Inputs!G52,Inputs!H52,Inputs!I52)</f>
        <v>8.2652175220605777</v>
      </c>
    </row>
    <row r="60" spans="2:13">
      <c r="B60" s="2" t="s">
        <v>17</v>
      </c>
      <c r="C60" s="124">
        <f>CHOOSE(Inputs!$D$6,Inputs!E43,Inputs!F43,Inputs!G43,Inputs!H43,Inputs!I43)</f>
        <v>13</v>
      </c>
      <c r="D60" s="124">
        <f>CHOOSE(Inputs!$D$6,Inputs!E53,Inputs!F53,Inputs!G53,Inputs!H53,Inputs!I53)</f>
        <v>8.1910005017619962</v>
      </c>
    </row>
    <row r="61" spans="2:13">
      <c r="B61" s="2" t="s">
        <v>18</v>
      </c>
      <c r="C61" s="124">
        <f>CHOOSE(Inputs!$D$6,Inputs!E44,Inputs!F44,Inputs!G44,Inputs!H44,Inputs!I44)</f>
        <v>6</v>
      </c>
      <c r="D61" s="124">
        <f>CHOOSE(Inputs!$D$6,Inputs!E54,Inputs!F54,Inputs!G54,Inputs!H54,Inputs!I54)</f>
        <v>5.1921124035995563</v>
      </c>
    </row>
    <row r="62" spans="2:13">
      <c r="B62" s="2" t="s">
        <v>19</v>
      </c>
      <c r="C62" s="124">
        <f>CHOOSE(Inputs!$D$6,Inputs!E45,Inputs!F45,Inputs!G45,Inputs!H45,Inputs!I45)</f>
        <v>10</v>
      </c>
      <c r="D62" s="124">
        <f>CHOOSE(Inputs!$D$6,Inputs!E55,Inputs!F55,Inputs!G55,Inputs!H55,Inputs!I55)</f>
        <v>6.6697709794128999</v>
      </c>
    </row>
    <row r="63" spans="2:13">
      <c r="B63" s="32" t="s">
        <v>102</v>
      </c>
      <c r="C63" s="126">
        <f>CHOOSE(Inputs!$D$6,Inputs!E46,Inputs!F46,Inputs!G46,Inputs!H46,Inputs!I46)</f>
        <v>25.606197014581664</v>
      </c>
      <c r="D63" s="126">
        <f>CHOOSE(Inputs!$D$6,Inputs!E56,Inputs!F56,Inputs!G56,Inputs!H56,Inputs!I56)</f>
        <v>0</v>
      </c>
    </row>
    <row r="66" spans="2:5">
      <c r="B66" s="85" t="s">
        <v>21</v>
      </c>
      <c r="C66" s="86" t="s">
        <v>93</v>
      </c>
    </row>
    <row r="67" spans="2:5">
      <c r="B67" s="100"/>
      <c r="C67" s="88" t="s">
        <v>104</v>
      </c>
    </row>
    <row r="68" spans="2:5">
      <c r="B68" s="2" t="s">
        <v>11</v>
      </c>
      <c r="C68" s="16">
        <f>CHOOSE(Inputs!$D$6,Inputs!E59,Inputs!F59,Inputs!G59,Inputs!H59,Inputs!I59)</f>
        <v>422018.53927837283</v>
      </c>
    </row>
    <row r="69" spans="2:5">
      <c r="B69" s="2" t="s">
        <v>14</v>
      </c>
      <c r="C69" s="16">
        <f>CHOOSE(Inputs!$D$6,Inputs!E60,Inputs!F60,Inputs!G60,Inputs!H60,Inputs!I60)</f>
        <v>1245582.4167759414</v>
      </c>
    </row>
    <row r="70" spans="2:5">
      <c r="B70" s="2" t="s">
        <v>15</v>
      </c>
      <c r="C70" s="16">
        <f>CHOOSE(Inputs!$D$6,Inputs!E61,Inputs!F61,Inputs!G61,Inputs!H61,Inputs!I61)</f>
        <v>7549.1381452734995</v>
      </c>
    </row>
    <row r="71" spans="2:5">
      <c r="B71" s="18" t="s">
        <v>16</v>
      </c>
      <c r="C71" s="16">
        <f>CHOOSE(Inputs!$D$6,Inputs!E62,Inputs!F62,Inputs!G62,Inputs!H62,Inputs!I62)</f>
        <v>7665.6831943492298</v>
      </c>
    </row>
    <row r="72" spans="2:5">
      <c r="B72" s="2" t="s">
        <v>17</v>
      </c>
      <c r="C72" s="16">
        <f>CHOOSE(Inputs!$D$6,Inputs!E63,Inputs!F63,Inputs!G63,Inputs!H63,Inputs!I63)</f>
        <v>14550.336068502165</v>
      </c>
    </row>
    <row r="73" spans="2:5">
      <c r="B73" s="2" t="s">
        <v>18</v>
      </c>
      <c r="C73" s="16">
        <f>CHOOSE(Inputs!$D$6,Inputs!E64,Inputs!F64,Inputs!G64,Inputs!H64,Inputs!I64)</f>
        <v>37556.040811173749</v>
      </c>
    </row>
    <row r="74" spans="2:5">
      <c r="B74" s="2" t="s">
        <v>19</v>
      </c>
      <c r="C74" s="16">
        <f>CHOOSE(Inputs!$D$6,Inputs!E65,Inputs!F65,Inputs!G65,Inputs!H65,Inputs!I65)</f>
        <v>10367.91710848225</v>
      </c>
    </row>
    <row r="75" spans="2:5">
      <c r="B75" s="32" t="s">
        <v>102</v>
      </c>
      <c r="C75" s="127">
        <f>CHOOSE(Inputs!$D$6,Inputs!E66,Inputs!F66,Inputs!G66,Inputs!H66,Inputs!I66)</f>
        <v>0</v>
      </c>
    </row>
    <row r="76" spans="2:5">
      <c r="B76" s="128" t="s">
        <v>3</v>
      </c>
      <c r="C76" s="129">
        <f>SUM(C68:C75)</f>
        <v>1745290.0713820953</v>
      </c>
    </row>
    <row r="78" spans="2:5">
      <c r="B78" s="77" t="s">
        <v>67</v>
      </c>
      <c r="C78" s="130" t="s">
        <v>104</v>
      </c>
    </row>
    <row r="79" spans="2:5">
      <c r="B79" s="131" t="s">
        <v>68</v>
      </c>
      <c r="C79" s="132">
        <f>CHOOSE(Inputs!$D$6,Inputs!E71,Inputs!F71,Inputs!G71,Inputs!H71,Inputs!I71)</f>
        <v>90280.954836958786</v>
      </c>
      <c r="E79" s="45"/>
    </row>
    <row r="80" spans="2:5">
      <c r="B80" s="44" t="s">
        <v>41</v>
      </c>
      <c r="C80" s="133">
        <f>CHOOSE(Inputs!$D$6,Inputs!E72,Inputs!F72,Inputs!G72,Inputs!H72,Inputs!I72)</f>
        <v>40626.429676631458</v>
      </c>
      <c r="D80" s="134"/>
      <c r="E80" s="45"/>
    </row>
    <row r="81" spans="2:8">
      <c r="B81" s="44" t="s">
        <v>8</v>
      </c>
      <c r="C81" s="133">
        <f>CHOOSE(Inputs!$D$6,Inputs!E73,Inputs!F73,Inputs!G73,Inputs!H73,Inputs!I73)</f>
        <v>67204.635687852351</v>
      </c>
      <c r="E81" s="45"/>
    </row>
    <row r="82" spans="2:8">
      <c r="B82" s="51" t="s">
        <v>44</v>
      </c>
      <c r="C82" s="135">
        <f>CHOOSE(Inputs!$D$6,Inputs!E74,Inputs!F74,Inputs!G74,Inputs!H74,Inputs!I74)</f>
        <v>8125.2859353262902</v>
      </c>
      <c r="D82" s="136" t="s">
        <v>108</v>
      </c>
    </row>
    <row r="83" spans="2:8">
      <c r="H83" s="137"/>
    </row>
    <row r="84" spans="2:8">
      <c r="B84" s="138"/>
      <c r="C84" s="78" t="s">
        <v>30</v>
      </c>
      <c r="D84" s="139">
        <v>2016</v>
      </c>
      <c r="E84" s="139">
        <f>D84+1</f>
        <v>2017</v>
      </c>
      <c r="F84" s="139">
        <f>E84+1</f>
        <v>2018</v>
      </c>
      <c r="G84" s="139">
        <f>F84+1</f>
        <v>2019</v>
      </c>
      <c r="H84" s="139">
        <f>G84+1</f>
        <v>2020</v>
      </c>
    </row>
    <row r="85" spans="2:8">
      <c r="B85" s="2" t="s">
        <v>39</v>
      </c>
      <c r="C85" s="15" t="s">
        <v>104</v>
      </c>
      <c r="D85" s="132">
        <f>CHOOSE(Inputs!$D$6,Inputs!E75,Inputs!F75,Inputs!G75,Inputs!H75,Inputs!I75)</f>
        <v>6145.9162339518698</v>
      </c>
      <c r="E85" s="132">
        <f>CHOOSE(Inputs!$D$6,Inputs!F75,Inputs!G75,Inputs!H75,Inputs!I75,Inputs!J75)</f>
        <v>0</v>
      </c>
      <c r="F85" s="132">
        <f>CHOOSE(Inputs!$D$6,Inputs!G75,Inputs!H75,Inputs!I75,Inputs!J75,Inputs!K75)</f>
        <v>0</v>
      </c>
      <c r="G85" s="132">
        <f>CHOOSE(Inputs!$D$6,Inputs!H75,Inputs!I75,Inputs!J75,Inputs!K75,Inputs!L75)</f>
        <v>0</v>
      </c>
      <c r="H85" s="132">
        <f>CHOOSE(Inputs!$D$6,Inputs!I75,Inputs!J75,Inputs!K75,Inputs!L75,Inputs!M75)</f>
        <v>0</v>
      </c>
    </row>
    <row r="86" spans="2:8">
      <c r="B86" s="32" t="s">
        <v>40</v>
      </c>
      <c r="C86" s="33" t="s">
        <v>104</v>
      </c>
      <c r="D86" s="135">
        <f>CHOOSE(Inputs!$D$6,Inputs!E76,Inputs!F76,Inputs!G76,Inputs!H76,Inputs!I76)</f>
        <v>16175.409883374561</v>
      </c>
      <c r="E86" s="135">
        <f>CHOOSE(Inputs!$D$6,Inputs!F76,Inputs!G76,Inputs!H76,Inputs!I76,Inputs!J76)</f>
        <v>0</v>
      </c>
      <c r="F86" s="135">
        <f>CHOOSE(Inputs!$D$6,Inputs!G76,Inputs!H76,Inputs!I76,Inputs!J76,Inputs!K76)</f>
        <v>0</v>
      </c>
      <c r="G86" s="135">
        <f>CHOOSE(Inputs!$D$6,Inputs!H76,Inputs!I76,Inputs!J76,Inputs!K76,Inputs!L76)</f>
        <v>0</v>
      </c>
      <c r="H86" s="135">
        <f>CHOOSE(Inputs!$D$6,Inputs!I76,Inputs!J76,Inputs!K76,Inputs!L76,Inputs!M76)</f>
        <v>0</v>
      </c>
    </row>
    <row r="87" spans="2:8">
      <c r="B87" s="2"/>
      <c r="C87" s="15"/>
      <c r="D87" s="48"/>
    </row>
    <row r="88" spans="2:8" ht="25.5">
      <c r="B88" s="140" t="s">
        <v>24</v>
      </c>
      <c r="C88" s="141" t="s">
        <v>25</v>
      </c>
      <c r="D88" s="142" t="s">
        <v>28</v>
      </c>
      <c r="E88" s="142" t="s">
        <v>45</v>
      </c>
      <c r="F88" s="142" t="s">
        <v>90</v>
      </c>
      <c r="H88" s="137"/>
    </row>
    <row r="89" spans="2:8">
      <c r="B89" s="2" t="str">
        <f>Inputs!B80</f>
        <v>Residential Single Rate</v>
      </c>
      <c r="C89" s="2" t="str">
        <f>Inputs!C80</f>
        <v>Residential</v>
      </c>
      <c r="D89" s="143">
        <f>CHOOSE(Inputs!$D$6,Inputs!E80,Inputs!F80,Inputs!G80,Inputs!H80,Inputs!I80)</f>
        <v>848271452.54835963</v>
      </c>
      <c r="E89" s="143">
        <f>CHOOSE(Inputs!$D$6,Inputs!E133,Inputs!F133,Inputs!G133,Inputs!H133,Inputs!I133)</f>
        <v>206178.44076359438</v>
      </c>
      <c r="F89" s="143">
        <f>CHOOSE(Inputs!$D$6,Inputs!E186,Inputs!F186,Inputs!G186,Inputs!H186,Inputs!I186)</f>
        <v>61152253.047411092</v>
      </c>
      <c r="G89" s="110"/>
      <c r="H89" s="137"/>
    </row>
    <row r="90" spans="2:8">
      <c r="B90" s="2" t="str">
        <f>Inputs!B81</f>
        <v>Residential Single Rate - Bulk</v>
      </c>
      <c r="C90" s="2" t="str">
        <f>Inputs!C81</f>
        <v>Residential</v>
      </c>
      <c r="D90" s="143">
        <f>CHOOSE(Inputs!$D$6,Inputs!E81,Inputs!F81,Inputs!G81,Inputs!H81,Inputs!I81)</f>
        <v>107478291.59874508</v>
      </c>
      <c r="E90" s="143">
        <f>CHOOSE(Inputs!$D$6,Inputs!E134,Inputs!F134,Inputs!G134,Inputs!H134,Inputs!I134)</f>
        <v>31089.947611169671</v>
      </c>
      <c r="F90" s="143">
        <f>CHOOSE(Inputs!$D$6,Inputs!E187,Inputs!F187,Inputs!G187,Inputs!H187,Inputs!I187)</f>
        <v>7467633.2702084128</v>
      </c>
      <c r="G90" s="110"/>
      <c r="H90" s="137"/>
    </row>
    <row r="91" spans="2:8">
      <c r="B91" s="2" t="str">
        <f>Inputs!B82</f>
        <v>Residential - flexible pricing</v>
      </c>
      <c r="C91" s="2" t="str">
        <f>Inputs!C82</f>
        <v>Residential</v>
      </c>
      <c r="D91" s="143">
        <f>CHOOSE(Inputs!$D$6,Inputs!E82,Inputs!F82,Inputs!G82,Inputs!H82,Inputs!I82)</f>
        <v>4159037.6721069189</v>
      </c>
      <c r="E91" s="143">
        <f>CHOOSE(Inputs!$D$6,Inputs!E135,Inputs!F135,Inputs!G135,Inputs!H135,Inputs!I135)</f>
        <v>697.78377437315021</v>
      </c>
      <c r="F91" s="143">
        <f>CHOOSE(Inputs!$D$6,Inputs!E188,Inputs!F188,Inputs!G188,Inputs!H188,Inputs!I188)</f>
        <v>328578.42269173072</v>
      </c>
      <c r="G91" s="110"/>
      <c r="H91" s="137"/>
    </row>
    <row r="92" spans="2:8">
      <c r="B92" s="2" t="str">
        <f>Inputs!B83</f>
        <v>Residential - flexible pricing bulk</v>
      </c>
      <c r="C92" s="2" t="str">
        <f>Inputs!C83</f>
        <v>Residential</v>
      </c>
      <c r="D92" s="143">
        <f>CHOOSE(Inputs!$D$6,Inputs!E83,Inputs!F83,Inputs!G83,Inputs!H83,Inputs!I83)</f>
        <v>351287.08659839537</v>
      </c>
      <c r="E92" s="143">
        <f>CHOOSE(Inputs!$D$6,Inputs!E136,Inputs!F136,Inputs!G136,Inputs!H136,Inputs!I136)</f>
        <v>92.829526834867764</v>
      </c>
      <c r="F92" s="143">
        <f>CHOOSE(Inputs!$D$6,Inputs!E189,Inputs!F189,Inputs!G189,Inputs!H189,Inputs!I189)</f>
        <v>29508.871695758608</v>
      </c>
      <c r="G92" s="110"/>
      <c r="H92" s="137"/>
    </row>
    <row r="93" spans="2:8">
      <c r="B93" s="2" t="str">
        <f>Inputs!B84</f>
        <v>Residential Two Rate 5d</v>
      </c>
      <c r="C93" s="2" t="str">
        <f>Inputs!C84</f>
        <v>Residential</v>
      </c>
      <c r="D93" s="143">
        <f>CHOOSE(Inputs!$D$6,Inputs!E84,Inputs!F84,Inputs!G84,Inputs!H84,Inputs!I84)</f>
        <v>62719475.655005381</v>
      </c>
      <c r="E93" s="143">
        <f>CHOOSE(Inputs!$D$6,Inputs!E137,Inputs!F137,Inputs!G137,Inputs!H137,Inputs!I137)</f>
        <v>10806.12165035933</v>
      </c>
      <c r="F93" s="143">
        <f>CHOOSE(Inputs!$D$6,Inputs!E190,Inputs!F190,Inputs!G190,Inputs!H190,Inputs!I190)</f>
        <v>4890466.0095360214</v>
      </c>
      <c r="G93" s="110"/>
      <c r="H93" s="137"/>
    </row>
    <row r="94" spans="2:8">
      <c r="B94" s="2" t="str">
        <f>Inputs!B85</f>
        <v>Residential Two Rate 5d - Bulk</v>
      </c>
      <c r="C94" s="2" t="str">
        <f>Inputs!C85</f>
        <v>Residential</v>
      </c>
      <c r="D94" s="143">
        <f>CHOOSE(Inputs!$D$6,Inputs!E85,Inputs!F85,Inputs!G85,Inputs!H85,Inputs!I85)</f>
        <v>22488702.906150356</v>
      </c>
      <c r="E94" s="143">
        <f>CHOOSE(Inputs!$D$6,Inputs!E138,Inputs!F138,Inputs!G138,Inputs!H138,Inputs!I138)</f>
        <v>4316.8242068076952</v>
      </c>
      <c r="F94" s="143">
        <f>CHOOSE(Inputs!$D$6,Inputs!E191,Inputs!F191,Inputs!G191,Inputs!H191,Inputs!I191)</f>
        <v>1669610.3351000303</v>
      </c>
      <c r="G94" s="110"/>
      <c r="H94" s="137"/>
    </row>
    <row r="95" spans="2:8">
      <c r="B95" s="2" t="str">
        <f>Inputs!B86</f>
        <v>Residential Interval</v>
      </c>
      <c r="C95" s="2" t="str">
        <f>Inputs!C86</f>
        <v>Residential</v>
      </c>
      <c r="D95" s="143">
        <f>CHOOSE(Inputs!$D$6,Inputs!E86,Inputs!F86,Inputs!G86,Inputs!H86,Inputs!I86)</f>
        <v>97301609.835214615</v>
      </c>
      <c r="E95" s="143">
        <f>CHOOSE(Inputs!$D$6,Inputs!E139,Inputs!F139,Inputs!G139,Inputs!H139,Inputs!I139)</f>
        <v>17021.34204511912</v>
      </c>
      <c r="F95" s="143">
        <f>CHOOSE(Inputs!$D$6,Inputs!E192,Inputs!F192,Inputs!G192,Inputs!H192,Inputs!I192)</f>
        <v>7600082.4939891789</v>
      </c>
      <c r="G95" s="110"/>
      <c r="H95" s="137"/>
    </row>
    <row r="96" spans="2:8">
      <c r="B96" s="2" t="str">
        <f>Inputs!B87</f>
        <v>Residential Interval - Bulk</v>
      </c>
      <c r="C96" s="2" t="str">
        <f>Inputs!C87</f>
        <v>Residential</v>
      </c>
      <c r="D96" s="143">
        <f>CHOOSE(Inputs!$D$6,Inputs!E87,Inputs!F87,Inputs!G87,Inputs!H87,Inputs!I87)</f>
        <v>29397923.94585254</v>
      </c>
      <c r="E96" s="143">
        <f>CHOOSE(Inputs!$D$6,Inputs!E140,Inputs!F140,Inputs!G140,Inputs!H140,Inputs!I140)</f>
        <v>8705.3498093096259</v>
      </c>
      <c r="F96" s="143">
        <f>CHOOSE(Inputs!$D$6,Inputs!E193,Inputs!F193,Inputs!G193,Inputs!H193,Inputs!I193)</f>
        <v>2437130.2333570491</v>
      </c>
      <c r="G96" s="110"/>
      <c r="H96" s="137"/>
    </row>
    <row r="97" spans="2:8">
      <c r="B97" s="2" t="str">
        <f>Inputs!B88</f>
        <v>Residential Two Rate 5d - Controlled Load</v>
      </c>
      <c r="C97" s="2" t="str">
        <f>Inputs!C88</f>
        <v>Residential</v>
      </c>
      <c r="D97" s="143">
        <f>CHOOSE(Inputs!$D$6,Inputs!E88,Inputs!F88,Inputs!G88,Inputs!H88,Inputs!I88)</f>
        <v>0</v>
      </c>
      <c r="E97" s="143">
        <f>CHOOSE(Inputs!$D$6,Inputs!E141,Inputs!F141,Inputs!G141,Inputs!H141,Inputs!I141)</f>
        <v>0</v>
      </c>
      <c r="F97" s="143">
        <f>CHOOSE(Inputs!$D$6,Inputs!E194,Inputs!F194,Inputs!G194,Inputs!H194,Inputs!I194)</f>
        <v>0</v>
      </c>
      <c r="G97" s="110"/>
      <c r="H97" s="137"/>
    </row>
    <row r="98" spans="2:8">
      <c r="B98" s="2" t="str">
        <f>Inputs!B89</f>
        <v>Residential Two Rate 5d - Bulk - Controlled Load</v>
      </c>
      <c r="C98" s="2" t="str">
        <f>Inputs!C89</f>
        <v>Residential</v>
      </c>
      <c r="D98" s="143">
        <f>CHOOSE(Inputs!$D$6,Inputs!E89,Inputs!F89,Inputs!G89,Inputs!H89,Inputs!I89)</f>
        <v>0</v>
      </c>
      <c r="E98" s="143">
        <f>CHOOSE(Inputs!$D$6,Inputs!E142,Inputs!F142,Inputs!G142,Inputs!H142,Inputs!I142)</f>
        <v>0</v>
      </c>
      <c r="F98" s="143">
        <f>CHOOSE(Inputs!$D$6,Inputs!E195,Inputs!F195,Inputs!G195,Inputs!H195,Inputs!I195)</f>
        <v>0</v>
      </c>
      <c r="G98" s="110"/>
      <c r="H98" s="137"/>
    </row>
    <row r="99" spans="2:8">
      <c r="B99" s="2" t="str">
        <f>Inputs!B90</f>
        <v>Dedicated Circuit</v>
      </c>
      <c r="C99" s="2" t="str">
        <f>Inputs!C90</f>
        <v>Residential</v>
      </c>
      <c r="D99" s="143">
        <f>CHOOSE(Inputs!$D$6,Inputs!E90,Inputs!F90,Inputs!G90,Inputs!H90,Inputs!I90)</f>
        <v>50045800.11975988</v>
      </c>
      <c r="E99" s="143">
        <f>CHOOSE(Inputs!$D$6,Inputs!E143,Inputs!F143,Inputs!G143,Inputs!H143,Inputs!I143)</f>
        <v>32498.745053272465</v>
      </c>
      <c r="F99" s="143">
        <f>CHOOSE(Inputs!$D$6,Inputs!E196,Inputs!F196,Inputs!G196,Inputs!H196,Inputs!I196)</f>
        <v>850778.60203591804</v>
      </c>
      <c r="G99" s="110"/>
      <c r="H99" s="137"/>
    </row>
    <row r="100" spans="2:8">
      <c r="B100" s="2" t="str">
        <f>Inputs!B91</f>
        <v>Dedicated Circuit - Bulk</v>
      </c>
      <c r="C100" s="2" t="str">
        <f>Inputs!C91</f>
        <v>Residential</v>
      </c>
      <c r="D100" s="143">
        <f>CHOOSE(Inputs!$D$6,Inputs!E91,Inputs!F91,Inputs!G91,Inputs!H91,Inputs!I91)</f>
        <v>9263135.8289495241</v>
      </c>
      <c r="E100" s="143">
        <f>CHOOSE(Inputs!$D$6,Inputs!E144,Inputs!F144,Inputs!G144,Inputs!H144,Inputs!I144)</f>
        <v>5581.4193302891908</v>
      </c>
      <c r="F100" s="143">
        <f>CHOOSE(Inputs!$D$6,Inputs!E197,Inputs!F197,Inputs!G197,Inputs!H197,Inputs!I197)</f>
        <v>127831.27443950342</v>
      </c>
      <c r="G100" s="110"/>
      <c r="H100" s="137"/>
    </row>
    <row r="101" spans="2:8">
      <c r="B101" s="2" t="str">
        <f>Inputs!B92</f>
        <v>Residential Demand</v>
      </c>
      <c r="C101" s="2" t="str">
        <f>Inputs!C92</f>
        <v>Residential</v>
      </c>
      <c r="D101" s="143">
        <f>CHOOSE(Inputs!$D$6,Inputs!E92,Inputs!F92,Inputs!G92,Inputs!H92,Inputs!I92)</f>
        <v>49160.9218844563</v>
      </c>
      <c r="E101" s="143">
        <f>CHOOSE(Inputs!$D$6,Inputs!E145,Inputs!F145,Inputs!G145,Inputs!H145,Inputs!I145)</f>
        <v>8.4225614876243853</v>
      </c>
      <c r="F101" s="143">
        <f>CHOOSE(Inputs!$D$6,Inputs!E198,Inputs!F198,Inputs!G198,Inputs!H198,Inputs!I198)</f>
        <v>3300.6518100553549</v>
      </c>
      <c r="G101" s="110"/>
      <c r="H101" s="137"/>
    </row>
    <row r="102" spans="2:8">
      <c r="B102" s="2" t="str">
        <f>Inputs!B93</f>
        <v>Residential Bulk Demand</v>
      </c>
      <c r="C102" s="2" t="str">
        <f>Inputs!C93</f>
        <v>Residential</v>
      </c>
      <c r="D102" s="143">
        <f>CHOOSE(Inputs!$D$6,Inputs!E93,Inputs!F93,Inputs!G93,Inputs!H93,Inputs!I93)</f>
        <v>11446.587208253419</v>
      </c>
      <c r="E102" s="143">
        <f>CHOOSE(Inputs!$D$6,Inputs!E146,Inputs!F146,Inputs!G146,Inputs!H146,Inputs!I146)</f>
        <v>1.9569063180827886</v>
      </c>
      <c r="F102" s="143">
        <f>CHOOSE(Inputs!$D$6,Inputs!E199,Inputs!F199,Inputs!G199,Inputs!H199,Inputs!I199)</f>
        <v>634.08427208422813</v>
      </c>
      <c r="G102" s="110"/>
      <c r="H102" s="137"/>
    </row>
    <row r="103" spans="2:8">
      <c r="B103" s="2" t="str">
        <f>Inputs!B94</f>
        <v>Non-Residential Single Rate</v>
      </c>
      <c r="C103" s="2" t="str">
        <f>Inputs!C94</f>
        <v>Small Commercial</v>
      </c>
      <c r="D103" s="143">
        <f>CHOOSE(Inputs!$D$6,Inputs!E94,Inputs!F94,Inputs!G94,Inputs!H94,Inputs!I94)</f>
        <v>234414508.13361585</v>
      </c>
      <c r="E103" s="143">
        <f>CHOOSE(Inputs!$D$6,Inputs!E147,Inputs!F147,Inputs!G147,Inputs!H147,Inputs!I147)</f>
        <v>19278.928459938834</v>
      </c>
      <c r="F103" s="143">
        <f>CHOOSE(Inputs!$D$6,Inputs!E200,Inputs!F200,Inputs!G200,Inputs!H200,Inputs!I200)</f>
        <v>17993391.270888183</v>
      </c>
      <c r="G103" s="110"/>
      <c r="H103" s="137"/>
    </row>
    <row r="104" spans="2:8">
      <c r="B104" s="2" t="str">
        <f>Inputs!B95</f>
        <v>Non-Residential Single Rate - Bulk</v>
      </c>
      <c r="C104" s="2" t="str">
        <f>Inputs!C95</f>
        <v>Small Commercial</v>
      </c>
      <c r="D104" s="143">
        <f>CHOOSE(Inputs!$D$6,Inputs!E95,Inputs!F95,Inputs!G95,Inputs!H95,Inputs!I95)</f>
        <v>81668548.051084116</v>
      </c>
      <c r="E104" s="143">
        <f>CHOOSE(Inputs!$D$6,Inputs!E148,Inputs!F148,Inputs!G148,Inputs!H148,Inputs!I148)</f>
        <v>5769.6090324287434</v>
      </c>
      <c r="F104" s="143">
        <f>CHOOSE(Inputs!$D$6,Inputs!E201,Inputs!F201,Inputs!G201,Inputs!H201,Inputs!I201)</f>
        <v>5643579.5225412613</v>
      </c>
      <c r="G104" s="110"/>
      <c r="H104" s="137"/>
    </row>
    <row r="105" spans="2:8">
      <c r="B105" s="2" t="str">
        <f>Inputs!B96</f>
        <v>Non-Residential Two Rate 5d</v>
      </c>
      <c r="C105" s="2" t="str">
        <f>Inputs!C96</f>
        <v>Small Commercial</v>
      </c>
      <c r="D105" s="143">
        <f>CHOOSE(Inputs!$D$6,Inputs!E96,Inputs!F96,Inputs!G96,Inputs!H96,Inputs!I96)</f>
        <v>115269327.63670515</v>
      </c>
      <c r="E105" s="143">
        <f>CHOOSE(Inputs!$D$6,Inputs!E149,Inputs!F149,Inputs!G149,Inputs!H149,Inputs!I149)</f>
        <v>6175.6551246567678</v>
      </c>
      <c r="F105" s="143">
        <f>CHOOSE(Inputs!$D$6,Inputs!E202,Inputs!F202,Inputs!G202,Inputs!H202,Inputs!I202)</f>
        <v>9332708.0191082302</v>
      </c>
      <c r="G105" s="110"/>
      <c r="H105" s="137"/>
    </row>
    <row r="106" spans="2:8">
      <c r="B106" s="2" t="str">
        <f>Inputs!B97</f>
        <v>Non-Residential Two Rate 5d - Bulk</v>
      </c>
      <c r="C106" s="2" t="str">
        <f>Inputs!C97</f>
        <v>Small Commercial</v>
      </c>
      <c r="D106" s="143">
        <f>CHOOSE(Inputs!$D$6,Inputs!E97,Inputs!F97,Inputs!G97,Inputs!H97,Inputs!I97)</f>
        <v>26567001.214540895</v>
      </c>
      <c r="E106" s="143">
        <f>CHOOSE(Inputs!$D$6,Inputs!E150,Inputs!F150,Inputs!G150,Inputs!H150,Inputs!I150)</f>
        <v>999.43191263014216</v>
      </c>
      <c r="F106" s="143">
        <f>CHOOSE(Inputs!$D$6,Inputs!E203,Inputs!F203,Inputs!G203,Inputs!H203,Inputs!I203)</f>
        <v>1778479.2995829708</v>
      </c>
      <c r="G106" s="110"/>
      <c r="H106" s="137"/>
    </row>
    <row r="107" spans="2:8">
      <c r="B107" s="2" t="str">
        <f>Inputs!B98</f>
        <v>Non-Residential Interval</v>
      </c>
      <c r="C107" s="2" t="str">
        <f>Inputs!C98</f>
        <v>Small Commercial</v>
      </c>
      <c r="D107" s="143">
        <f>CHOOSE(Inputs!$D$6,Inputs!E98,Inputs!F98,Inputs!G98,Inputs!H98,Inputs!I98)</f>
        <v>70650126.354101688</v>
      </c>
      <c r="E107" s="143">
        <f>CHOOSE(Inputs!$D$6,Inputs!E151,Inputs!F151,Inputs!G151,Inputs!H151,Inputs!I151)</f>
        <v>3789.6292029166912</v>
      </c>
      <c r="F107" s="143">
        <f>CHOOSE(Inputs!$D$6,Inputs!E204,Inputs!F204,Inputs!G204,Inputs!H204,Inputs!I204)</f>
        <v>5772002.3490365911</v>
      </c>
      <c r="G107" s="110"/>
      <c r="H107" s="137"/>
    </row>
    <row r="108" spans="2:8">
      <c r="B108" s="2" t="str">
        <f>Inputs!B99</f>
        <v>Non-Residential Interval - Bulk</v>
      </c>
      <c r="C108" s="2" t="str">
        <f>Inputs!C99</f>
        <v>Small Commercial</v>
      </c>
      <c r="D108" s="143">
        <f>CHOOSE(Inputs!$D$6,Inputs!E99,Inputs!F99,Inputs!G99,Inputs!H99,Inputs!I99)</f>
        <v>42377931.060461022</v>
      </c>
      <c r="E108" s="143">
        <f>CHOOSE(Inputs!$D$6,Inputs!E152,Inputs!F152,Inputs!G152,Inputs!H152,Inputs!I152)</f>
        <v>1768.9772717301021</v>
      </c>
      <c r="F108" s="143">
        <f>CHOOSE(Inputs!$D$6,Inputs!E205,Inputs!F205,Inputs!G205,Inputs!H205,Inputs!I205)</f>
        <v>2947530.9386193212</v>
      </c>
      <c r="G108" s="110"/>
      <c r="H108" s="137"/>
    </row>
    <row r="109" spans="2:8">
      <c r="B109" s="2" t="str">
        <f>Inputs!B100</f>
        <v>Non-Residential Flexible Pricing</v>
      </c>
      <c r="C109" s="2" t="str">
        <f>Inputs!C100</f>
        <v>Small Commercial</v>
      </c>
      <c r="D109" s="143">
        <f>CHOOSE(Inputs!$D$6,Inputs!E100,Inputs!F100,Inputs!G100,Inputs!H100,Inputs!I100)</f>
        <v>467029.14228117687</v>
      </c>
      <c r="E109" s="143">
        <f>CHOOSE(Inputs!$D$6,Inputs!E153,Inputs!F153,Inputs!G153,Inputs!H153,Inputs!I153)</f>
        <v>20.735050198175649</v>
      </c>
      <c r="F109" s="143">
        <f>CHOOSE(Inputs!$D$6,Inputs!E206,Inputs!F206,Inputs!G206,Inputs!H206,Inputs!I206)</f>
        <v>41908.540614801183</v>
      </c>
      <c r="G109" s="110"/>
      <c r="H109" s="137"/>
    </row>
    <row r="110" spans="2:8">
      <c r="B110" s="2" t="str">
        <f>Inputs!B101</f>
        <v>Non-Residential - Flexible Pricing Bulk</v>
      </c>
      <c r="C110" s="2" t="str">
        <f>Inputs!C101</f>
        <v>Small Commercial</v>
      </c>
      <c r="D110" s="143">
        <f>CHOOSE(Inputs!$D$6,Inputs!E101,Inputs!F101,Inputs!G101,Inputs!H101,Inputs!I101)</f>
        <v>138036.50654446433</v>
      </c>
      <c r="E110" s="143">
        <f>CHOOSE(Inputs!$D$6,Inputs!E154,Inputs!F154,Inputs!G154,Inputs!H154,Inputs!I154)</f>
        <v>0.91833100642885634</v>
      </c>
      <c r="F110" s="143">
        <f>CHOOSE(Inputs!$D$6,Inputs!E207,Inputs!F207,Inputs!G207,Inputs!H207,Inputs!I207)</f>
        <v>10077.577402292378</v>
      </c>
      <c r="G110" s="110"/>
      <c r="H110" s="137"/>
    </row>
    <row r="111" spans="2:8">
      <c r="B111" s="2" t="str">
        <f>Inputs!B102</f>
        <v>Non-Residential Two Rate 7d</v>
      </c>
      <c r="C111" s="2" t="str">
        <f>Inputs!C102</f>
        <v>Small Commercial</v>
      </c>
      <c r="D111" s="143">
        <f>CHOOSE(Inputs!$D$6,Inputs!E102,Inputs!F102,Inputs!G102,Inputs!H102,Inputs!I102)</f>
        <v>47659726.929672614</v>
      </c>
      <c r="E111" s="143">
        <f>CHOOSE(Inputs!$D$6,Inputs!E155,Inputs!F155,Inputs!G155,Inputs!H155,Inputs!I155)</f>
        <v>2306.9483847452143</v>
      </c>
      <c r="F111" s="143">
        <f>CHOOSE(Inputs!$D$6,Inputs!E208,Inputs!F208,Inputs!G208,Inputs!H208,Inputs!I208)</f>
        <v>3616113.7753879544</v>
      </c>
      <c r="G111" s="110"/>
      <c r="H111" s="137"/>
    </row>
    <row r="112" spans="2:8">
      <c r="B112" s="2" t="str">
        <f>Inputs!B103</f>
        <v>Non-Residential Two Rate 7d - Bulk</v>
      </c>
      <c r="C112" s="2" t="str">
        <f>Inputs!C103</f>
        <v>Small Commercial</v>
      </c>
      <c r="D112" s="143">
        <f>CHOOSE(Inputs!$D$6,Inputs!E103,Inputs!F103,Inputs!G103,Inputs!H103,Inputs!I103)</f>
        <v>6092843.5881951526</v>
      </c>
      <c r="E112" s="143">
        <f>CHOOSE(Inputs!$D$6,Inputs!E156,Inputs!F156,Inputs!G156,Inputs!H156,Inputs!I156)</f>
        <v>223.54159787790852</v>
      </c>
      <c r="F112" s="143">
        <f>CHOOSE(Inputs!$D$6,Inputs!E209,Inputs!F209,Inputs!G209,Inputs!H209,Inputs!I209)</f>
        <v>416316.8676602646</v>
      </c>
      <c r="G112" s="110"/>
      <c r="H112" s="137"/>
    </row>
    <row r="113" spans="2:8">
      <c r="B113" s="2" t="str">
        <f>Inputs!B104</f>
        <v>Large Two Rate 7d</v>
      </c>
      <c r="C113" s="2" t="str">
        <f>Inputs!C104</f>
        <v>Small Commercial</v>
      </c>
      <c r="D113" s="143">
        <f>CHOOSE(Inputs!$D$6,Inputs!E104,Inputs!F104,Inputs!G104,Inputs!H104,Inputs!I104)</f>
        <v>61402.694248358777</v>
      </c>
      <c r="E113" s="143">
        <f>CHOOSE(Inputs!$D$6,Inputs!E157,Inputs!F157,Inputs!G157,Inputs!H157,Inputs!I157)</f>
        <v>1</v>
      </c>
      <c r="F113" s="143">
        <f>CHOOSE(Inputs!$D$6,Inputs!E210,Inputs!F210,Inputs!G210,Inputs!H210,Inputs!I210)</f>
        <v>5017.3632060090131</v>
      </c>
      <c r="G113" s="110"/>
      <c r="H113" s="137"/>
    </row>
    <row r="114" spans="2:8">
      <c r="B114" s="2" t="str">
        <f>Inputs!B105</f>
        <v>Non-Residential Demand Tariff</v>
      </c>
      <c r="C114" s="2" t="str">
        <f>Inputs!C105</f>
        <v>Small Commercial</v>
      </c>
      <c r="D114" s="143">
        <f>CHOOSE(Inputs!$D$6,Inputs!E105,Inputs!F105,Inputs!G105,Inputs!H105,Inputs!I105)</f>
        <v>5507232.35853214</v>
      </c>
      <c r="E114" s="143">
        <f>CHOOSE(Inputs!$D$6,Inputs!E158,Inputs!F158,Inputs!G158,Inputs!H158,Inputs!I158)</f>
        <v>66.714761999582805</v>
      </c>
      <c r="F114" s="143">
        <f>CHOOSE(Inputs!$D$6,Inputs!E211,Inputs!F211,Inputs!G211,Inputs!H211,Inputs!I211)</f>
        <v>235982.895340613</v>
      </c>
      <c r="G114" s="110"/>
      <c r="H114" s="137"/>
    </row>
    <row r="115" spans="2:8">
      <c r="B115" s="2" t="str">
        <f>Inputs!B106</f>
        <v>Non-Residential Bulk Demand Tariff</v>
      </c>
      <c r="C115" s="2" t="str">
        <f>Inputs!C106</f>
        <v>Small Commercial</v>
      </c>
      <c r="D115" s="143">
        <f>CHOOSE(Inputs!$D$6,Inputs!E106,Inputs!F106,Inputs!G106,Inputs!H106,Inputs!I106)</f>
        <v>12837801.451158172</v>
      </c>
      <c r="E115" s="143">
        <f>CHOOSE(Inputs!$D$6,Inputs!E159,Inputs!F159,Inputs!G159,Inputs!H159,Inputs!I159)</f>
        <v>148.11154188428057</v>
      </c>
      <c r="F115" s="143">
        <f>CHOOSE(Inputs!$D$6,Inputs!E212,Inputs!F212,Inputs!G212,Inputs!H212,Inputs!I212)</f>
        <v>499459.47228792653</v>
      </c>
      <c r="G115" s="110"/>
      <c r="H115" s="137"/>
    </row>
    <row r="116" spans="2:8">
      <c r="B116" s="2" t="str">
        <f>Inputs!B107</f>
        <v>Medium business demand</v>
      </c>
      <c r="C116" s="2" t="str">
        <f>Inputs!C107</f>
        <v>Small Commercial</v>
      </c>
      <c r="D116" s="143">
        <f>CHOOSE(Inputs!$D$6,Inputs!E107,Inputs!F107,Inputs!G107,Inputs!H107,Inputs!I107)</f>
        <v>590662332.64939284</v>
      </c>
      <c r="E116" s="143">
        <f>CHOOSE(Inputs!$D$6,Inputs!E160,Inputs!F160,Inputs!G160,Inputs!H160,Inputs!I160)</f>
        <v>4403.4018551523304</v>
      </c>
      <c r="F116" s="143">
        <f>CHOOSE(Inputs!$D$6,Inputs!E213,Inputs!F213,Inputs!G213,Inputs!H213,Inputs!I213)</f>
        <v>34353999.289658092</v>
      </c>
      <c r="G116" s="110"/>
      <c r="H116" s="137"/>
    </row>
    <row r="117" spans="2:8">
      <c r="B117" s="2" t="str">
        <f>Inputs!B108</f>
        <v>Medium business demand bulk</v>
      </c>
      <c r="C117" s="2" t="str">
        <f>Inputs!C108</f>
        <v>Small Commercial</v>
      </c>
      <c r="D117" s="143">
        <f>CHOOSE(Inputs!$D$6,Inputs!E108,Inputs!F108,Inputs!G108,Inputs!H108,Inputs!I108)</f>
        <v>393494687.36439043</v>
      </c>
      <c r="E117" s="143">
        <f>CHOOSE(Inputs!$D$6,Inputs!E161,Inputs!F161,Inputs!G161,Inputs!H161,Inputs!I161)</f>
        <v>2080.7408836331665</v>
      </c>
      <c r="F117" s="143">
        <f>CHOOSE(Inputs!$D$6,Inputs!E214,Inputs!F214,Inputs!G214,Inputs!H214,Inputs!I214)</f>
        <v>18930507.181390766</v>
      </c>
      <c r="G117" s="110"/>
      <c r="H117" s="137"/>
    </row>
    <row r="118" spans="2:8">
      <c r="B118" s="2" t="str">
        <f>Inputs!B111</f>
        <v>Unmetered Supplies / Public Lighting</v>
      </c>
      <c r="C118" s="2" t="str">
        <f>Inputs!C111</f>
        <v>Small Commercial</v>
      </c>
      <c r="D118" s="143">
        <f>CHOOSE(Inputs!$D$6,Inputs!E111,Inputs!F111,Inputs!G111,Inputs!H111,Inputs!I111)</f>
        <v>17713570.172682729</v>
      </c>
      <c r="E118" s="143">
        <f>CHOOSE(Inputs!$D$6,Inputs!E164,Inputs!F164,Inputs!G164,Inputs!H164,Inputs!I164)</f>
        <v>4483.011669203448</v>
      </c>
      <c r="F118" s="143">
        <f>CHOOSE(Inputs!$D$6,Inputs!E217,Inputs!F217,Inputs!G217,Inputs!H217,Inputs!I217)</f>
        <v>1206308.0254503451</v>
      </c>
      <c r="G118" s="110"/>
      <c r="H118" s="137"/>
    </row>
    <row r="119" spans="2:8">
      <c r="B119" s="2" t="str">
        <f>Inputs!B112</f>
        <v>Large Low Voltage Demand</v>
      </c>
      <c r="C119" s="2" t="str">
        <f>Inputs!C112</f>
        <v>Large Low voltage</v>
      </c>
      <c r="D119" s="143">
        <f>CHOOSE(Inputs!$D$6,Inputs!E112,Inputs!F112,Inputs!G112,Inputs!H112,Inputs!I112)</f>
        <v>0</v>
      </c>
      <c r="E119" s="143">
        <f>CHOOSE(Inputs!$D$6,Inputs!E165,Inputs!F165,Inputs!G165,Inputs!H165,Inputs!I165)</f>
        <v>0</v>
      </c>
      <c r="F119" s="143">
        <f>CHOOSE(Inputs!$D$6,Inputs!E218,Inputs!F218,Inputs!G218,Inputs!H218,Inputs!I218)</f>
        <v>0</v>
      </c>
      <c r="G119" s="110"/>
      <c r="H119" s="137"/>
    </row>
    <row r="120" spans="2:8">
      <c r="B120" s="2" t="str">
        <f>Inputs!B113</f>
        <v>Large Low Voltage Demand - Bulk</v>
      </c>
      <c r="C120" s="2" t="str">
        <f>Inputs!C113</f>
        <v>Large Low voltage</v>
      </c>
      <c r="D120" s="143">
        <f>CHOOSE(Inputs!$D$6,Inputs!E113,Inputs!F113,Inputs!G113,Inputs!H113,Inputs!I113)</f>
        <v>0</v>
      </c>
      <c r="E120" s="143">
        <f>CHOOSE(Inputs!$D$6,Inputs!E166,Inputs!F166,Inputs!G166,Inputs!H166,Inputs!I166)</f>
        <v>0</v>
      </c>
      <c r="F120" s="143">
        <f>CHOOSE(Inputs!$D$6,Inputs!E219,Inputs!F219,Inputs!G219,Inputs!H219,Inputs!I219)</f>
        <v>0</v>
      </c>
      <c r="G120" s="110"/>
      <c r="H120" s="137"/>
    </row>
    <row r="121" spans="2:8">
      <c r="B121" s="2" t="str">
        <f>Inputs!B114</f>
        <v>Large Low Voltage Demand R</v>
      </c>
      <c r="C121" s="2" t="str">
        <f>Inputs!C114</f>
        <v>Large Low voltage</v>
      </c>
      <c r="D121" s="143">
        <f>CHOOSE(Inputs!$D$6,Inputs!E114,Inputs!F114,Inputs!G114,Inputs!H114,Inputs!I114)</f>
        <v>0</v>
      </c>
      <c r="E121" s="143">
        <f>CHOOSE(Inputs!$D$6,Inputs!E167,Inputs!F167,Inputs!G167,Inputs!H167,Inputs!I167)</f>
        <v>0</v>
      </c>
      <c r="F121" s="143">
        <f>CHOOSE(Inputs!$D$6,Inputs!E220,Inputs!F220,Inputs!G220,Inputs!H220,Inputs!I220)</f>
        <v>0</v>
      </c>
      <c r="G121" s="110"/>
      <c r="H121" s="137"/>
    </row>
    <row r="122" spans="2:8">
      <c r="B122" s="2" t="str">
        <f>Inputs!B115</f>
        <v>Large Low Voltage Demand G</v>
      </c>
      <c r="C122" s="2" t="str">
        <f>Inputs!C115</f>
        <v>Large Low voltage</v>
      </c>
      <c r="D122" s="143">
        <f>CHOOSE(Inputs!$D$6,Inputs!E115,Inputs!F115,Inputs!G115,Inputs!H115,Inputs!I115)</f>
        <v>0</v>
      </c>
      <c r="E122" s="143">
        <f>CHOOSE(Inputs!$D$6,Inputs!E168,Inputs!F168,Inputs!G168,Inputs!H168,Inputs!I168)</f>
        <v>0</v>
      </c>
      <c r="F122" s="143">
        <f>CHOOSE(Inputs!$D$6,Inputs!E221,Inputs!F221,Inputs!G221,Inputs!H221,Inputs!I221)</f>
        <v>0</v>
      </c>
      <c r="G122" s="110"/>
      <c r="H122" s="137"/>
    </row>
    <row r="123" spans="2:8">
      <c r="B123" s="2" t="str">
        <f>Inputs!B116</f>
        <v>Large Low Voltage Demand - Bulk R</v>
      </c>
      <c r="C123" s="2" t="str">
        <f>Inputs!C116</f>
        <v>Large Low voltage</v>
      </c>
      <c r="D123" s="143">
        <f>CHOOSE(Inputs!$D$6,Inputs!E116,Inputs!F116,Inputs!G116,Inputs!H116,Inputs!I116)</f>
        <v>0</v>
      </c>
      <c r="E123" s="143">
        <f>CHOOSE(Inputs!$D$6,Inputs!E169,Inputs!F169,Inputs!G169,Inputs!H169,Inputs!I169)</f>
        <v>0</v>
      </c>
      <c r="F123" s="143">
        <f>CHOOSE(Inputs!$D$6,Inputs!E222,Inputs!F222,Inputs!G222,Inputs!H222,Inputs!I222)</f>
        <v>0</v>
      </c>
      <c r="G123" s="110"/>
      <c r="H123" s="137"/>
    </row>
    <row r="124" spans="2:8">
      <c r="B124" s="2" t="str">
        <f>Inputs!B117</f>
        <v>Large Low Voltage Demand - Bulk G</v>
      </c>
      <c r="C124" s="2" t="str">
        <f>Inputs!C117</f>
        <v>Large Low voltage</v>
      </c>
      <c r="D124" s="143">
        <f>CHOOSE(Inputs!$D$6,Inputs!E117,Inputs!F117,Inputs!G117,Inputs!H117,Inputs!I117)</f>
        <v>0</v>
      </c>
      <c r="E124" s="143">
        <f>CHOOSE(Inputs!$D$6,Inputs!E170,Inputs!F170,Inputs!G170,Inputs!H170,Inputs!I170)</f>
        <v>0</v>
      </c>
      <c r="F124" s="143">
        <f>CHOOSE(Inputs!$D$6,Inputs!E223,Inputs!F223,Inputs!G223,Inputs!H223,Inputs!I223)</f>
        <v>0</v>
      </c>
      <c r="G124" s="110"/>
      <c r="H124" s="137"/>
    </row>
    <row r="125" spans="2:8">
      <c r="B125" s="2" t="str">
        <f>Inputs!B118</f>
        <v>Large low Voltage</v>
      </c>
      <c r="C125" s="2" t="str">
        <f>Inputs!C118</f>
        <v>Large Low voltage</v>
      </c>
      <c r="D125" s="143">
        <f>CHOOSE(Inputs!$D$6,Inputs!E118,Inputs!F118,Inputs!G118,Inputs!H118,Inputs!I118)</f>
        <v>223996915.31135193</v>
      </c>
      <c r="E125" s="143">
        <f>CHOOSE(Inputs!$D$6,Inputs!E171,Inputs!F171,Inputs!G171,Inputs!H171,Inputs!I171)</f>
        <v>400.17646833010758</v>
      </c>
      <c r="F125" s="143">
        <f>CHOOSE(Inputs!$D$6,Inputs!E224,Inputs!F224,Inputs!G224,Inputs!H224,Inputs!I224)</f>
        <v>12540019.111207459</v>
      </c>
      <c r="G125" s="110"/>
      <c r="H125" s="137"/>
    </row>
    <row r="126" spans="2:8">
      <c r="B126" s="2" t="str">
        <f>Inputs!B119</f>
        <v>Large low Voltage Bulk</v>
      </c>
      <c r="C126" s="2" t="str">
        <f>Inputs!C119</f>
        <v>Large Low voltage</v>
      </c>
      <c r="D126" s="143">
        <f>CHOOSE(Inputs!$D$6,Inputs!E119,Inputs!F119,Inputs!G119,Inputs!H119,Inputs!I119)</f>
        <v>2011710918.7175615</v>
      </c>
      <c r="E126" s="143">
        <f>CHOOSE(Inputs!$D$6,Inputs!E172,Inputs!F172,Inputs!G172,Inputs!H172,Inputs!I172)</f>
        <v>1842.9367112714808</v>
      </c>
      <c r="F126" s="143">
        <f>CHOOSE(Inputs!$D$6,Inputs!E225,Inputs!F225,Inputs!G225,Inputs!H225,Inputs!I225)</f>
        <v>94696038.364713773</v>
      </c>
      <c r="G126" s="110"/>
      <c r="H126" s="137"/>
    </row>
    <row r="127" spans="2:8">
      <c r="B127" s="2" t="str">
        <f>Inputs!B120</f>
        <v>High Voltage Demand</v>
      </c>
      <c r="C127" s="2" t="str">
        <f>Inputs!C120</f>
        <v>High Voltage</v>
      </c>
      <c r="D127" s="143">
        <f>CHOOSE(Inputs!$D$6,Inputs!E120,Inputs!F120,Inputs!G120,Inputs!H120,Inputs!I120)</f>
        <v>0</v>
      </c>
      <c r="E127" s="143">
        <f>CHOOSE(Inputs!$D$6,Inputs!E173,Inputs!F173,Inputs!G173,Inputs!H173,Inputs!I173)</f>
        <v>0</v>
      </c>
      <c r="F127" s="143">
        <f>CHOOSE(Inputs!$D$6,Inputs!E226,Inputs!F226,Inputs!G226,Inputs!H226,Inputs!I226)</f>
        <v>0</v>
      </c>
      <c r="G127" s="110"/>
      <c r="H127" s="137"/>
    </row>
    <row r="128" spans="2:8">
      <c r="B128" s="2" t="str">
        <f>Inputs!B121</f>
        <v>High Voltage Demand D1</v>
      </c>
      <c r="C128" s="2" t="str">
        <f>Inputs!C121</f>
        <v>High Voltage</v>
      </c>
      <c r="D128" s="143">
        <f>CHOOSE(Inputs!$D$6,Inputs!E121,Inputs!F121,Inputs!G121,Inputs!H121,Inputs!I121)</f>
        <v>0</v>
      </c>
      <c r="E128" s="143">
        <f>CHOOSE(Inputs!$D$6,Inputs!E174,Inputs!F174,Inputs!G174,Inputs!H174,Inputs!I174)</f>
        <v>0</v>
      </c>
      <c r="F128" s="143">
        <f>CHOOSE(Inputs!$D$6,Inputs!E227,Inputs!F227,Inputs!G227,Inputs!H227,Inputs!I227)</f>
        <v>0</v>
      </c>
      <c r="G128" s="110"/>
      <c r="H128" s="137"/>
    </row>
    <row r="129" spans="2:8">
      <c r="B129" s="2" t="str">
        <f>Inputs!B122</f>
        <v>High Voltage Demand R</v>
      </c>
      <c r="C129" s="2" t="str">
        <f>Inputs!C122</f>
        <v>High Voltage</v>
      </c>
      <c r="D129" s="143">
        <f>CHOOSE(Inputs!$D$6,Inputs!E122,Inputs!F122,Inputs!G122,Inputs!H122,Inputs!I122)</f>
        <v>0</v>
      </c>
      <c r="E129" s="143">
        <f>CHOOSE(Inputs!$D$6,Inputs!E175,Inputs!F175,Inputs!G175,Inputs!H175,Inputs!I175)</f>
        <v>0</v>
      </c>
      <c r="F129" s="143">
        <f>CHOOSE(Inputs!$D$6,Inputs!E228,Inputs!F228,Inputs!G228,Inputs!H228,Inputs!I228)</f>
        <v>0</v>
      </c>
      <c r="G129" s="110"/>
      <c r="H129" s="137"/>
    </row>
    <row r="130" spans="2:8">
      <c r="B130" s="2" t="str">
        <f>Inputs!B123</f>
        <v>High Voltage Demand G</v>
      </c>
      <c r="C130" s="2" t="str">
        <f>Inputs!C123</f>
        <v>High Voltage</v>
      </c>
      <c r="D130" s="143">
        <f>CHOOSE(Inputs!$D$6,Inputs!E123,Inputs!F123,Inputs!G123,Inputs!H123,Inputs!I123)</f>
        <v>0</v>
      </c>
      <c r="E130" s="143">
        <f>CHOOSE(Inputs!$D$6,Inputs!E176,Inputs!F176,Inputs!G176,Inputs!H176,Inputs!I176)</f>
        <v>0</v>
      </c>
      <c r="F130" s="143">
        <f>CHOOSE(Inputs!$D$6,Inputs!E229,Inputs!F229,Inputs!G229,Inputs!H229,Inputs!I229)</f>
        <v>0</v>
      </c>
      <c r="G130" s="110"/>
      <c r="H130" s="137"/>
    </row>
    <row r="131" spans="2:8">
      <c r="B131" s="2" t="str">
        <f>Inputs!B124</f>
        <v>High Voltage</v>
      </c>
      <c r="C131" s="2" t="str">
        <f>Inputs!C124</f>
        <v>High Voltage</v>
      </c>
      <c r="D131" s="143">
        <f>CHOOSE(Inputs!$D$6,Inputs!E124,Inputs!F124,Inputs!G124,Inputs!H124,Inputs!I124)</f>
        <v>542468877.59381747</v>
      </c>
      <c r="E131" s="143">
        <f>CHOOSE(Inputs!$D$6,Inputs!E177,Inputs!F177,Inputs!G177,Inputs!H177,Inputs!I177)</f>
        <v>93.927461142717462</v>
      </c>
      <c r="F131" s="143">
        <f>CHOOSE(Inputs!$D$6,Inputs!E230,Inputs!F230,Inputs!G230,Inputs!H230,Inputs!I230)</f>
        <v>15945848.020650897</v>
      </c>
      <c r="G131" s="110"/>
      <c r="H131" s="137"/>
    </row>
    <row r="132" spans="2:8">
      <c r="B132" s="2" t="str">
        <f>Inputs!B125</f>
        <v>High Voltage Bulk</v>
      </c>
      <c r="C132" s="2" t="str">
        <f>Inputs!C125</f>
        <v>High Voltage</v>
      </c>
      <c r="D132" s="143">
        <f>CHOOSE(Inputs!$D$6,Inputs!E125,Inputs!F125,Inputs!G125,Inputs!H125,Inputs!I125)</f>
        <v>0</v>
      </c>
      <c r="E132" s="143">
        <f>CHOOSE(Inputs!$D$6,Inputs!E178,Inputs!F178,Inputs!G178,Inputs!H178,Inputs!I178)</f>
        <v>0</v>
      </c>
      <c r="F132" s="143">
        <f>CHOOSE(Inputs!$D$6,Inputs!E231,Inputs!F231,Inputs!G231,Inputs!H231,Inputs!I231)</f>
        <v>0</v>
      </c>
      <c r="G132" s="110"/>
      <c r="H132" s="137"/>
    </row>
    <row r="133" spans="2:8">
      <c r="B133" s="2" t="str">
        <f>Inputs!B126</f>
        <v xml:space="preserve">Subtransmission </v>
      </c>
      <c r="C133" s="2" t="str">
        <f>Inputs!C126</f>
        <v>Subtransmission</v>
      </c>
      <c r="D133" s="143">
        <f>CHOOSE(Inputs!$D$6,Inputs!E126,Inputs!F126,Inputs!G126,Inputs!H126,Inputs!I126)</f>
        <v>0</v>
      </c>
      <c r="E133" s="143">
        <f>CHOOSE(Inputs!$D$6,Inputs!E179,Inputs!F179,Inputs!G179,Inputs!H179,Inputs!I179)</f>
        <v>0</v>
      </c>
      <c r="F133" s="143">
        <f>CHOOSE(Inputs!$D$6,Inputs!E232,Inputs!F232,Inputs!G232,Inputs!H232,Inputs!I232)</f>
        <v>0</v>
      </c>
      <c r="G133" s="110"/>
      <c r="H133" s="137"/>
    </row>
    <row r="134" spans="2:8">
      <c r="B134" s="2" t="str">
        <f>Inputs!B127</f>
        <v>Subtransmission</v>
      </c>
      <c r="C134" s="2" t="str">
        <f>Inputs!C127</f>
        <v>Subtransmission</v>
      </c>
      <c r="D134" s="143">
        <f>CHOOSE(Inputs!$D$6,Inputs!E127,Inputs!F127,Inputs!G127,Inputs!H127,Inputs!I127)</f>
        <v>90038434.558952779</v>
      </c>
      <c r="E134" s="143">
        <f>CHOOSE(Inputs!$D$6,Inputs!E180,Inputs!F180,Inputs!G180,Inputs!H180,Inputs!I180)</f>
        <v>5.9999568574023607</v>
      </c>
      <c r="F134" s="143">
        <f>CHOOSE(Inputs!$D$6,Inputs!E233,Inputs!F233,Inputs!G233,Inputs!H233,Inputs!I233)</f>
        <v>1019981.0976362232</v>
      </c>
      <c r="G134" s="110"/>
      <c r="H134" s="137"/>
    </row>
    <row r="135" spans="2:8">
      <c r="B135" s="54" t="s">
        <v>3</v>
      </c>
      <c r="C135" s="115"/>
      <c r="D135" s="144">
        <f>SUM(D89:D134)</f>
        <v>5745334576.1951256</v>
      </c>
      <c r="E135" s="144">
        <f>SUM(E89:E134)-SUM(E97:E100)</f>
        <v>332779.4145329771</v>
      </c>
      <c r="F135" s="144">
        <f>SUM(F89:F134)</f>
        <v>313543076.27893084</v>
      </c>
      <c r="H135" s="137"/>
    </row>
    <row r="136" spans="2:8" s="145" customFormat="1">
      <c r="C136" s="146"/>
      <c r="D136" s="147"/>
      <c r="E136" s="147"/>
      <c r="F136" s="1"/>
      <c r="H136" s="137"/>
    </row>
    <row r="137" spans="2:8">
      <c r="B137" s="125" t="s">
        <v>101</v>
      </c>
      <c r="D137" s="148">
        <f>D135-CHOOSE(Inputs!$D$6,Inputs!E128,Inputs!F128,Inputs!G128,Inputs!H128,Inputs!I128)</f>
        <v>-142833762.71824551</v>
      </c>
      <c r="E137" s="149">
        <f>E135-CHOOSE(Inputs!$D$6,Inputs!E181,Inputs!F181,Inputs!G181,Inputs!H181,Inputs!I181)</f>
        <v>-123.09158741560532</v>
      </c>
      <c r="F137" s="149">
        <f>F135-CHOOSE(Inputs!$D$6,Inputs!E234,Inputs!F234,Inputs!G234,Inputs!H234,Inputs!I234)</f>
        <v>-841267.3507053256</v>
      </c>
      <c r="H137" s="137"/>
    </row>
    <row r="138" spans="2:8">
      <c r="H138" s="137"/>
    </row>
    <row r="139" spans="2:8">
      <c r="H139" s="137"/>
    </row>
    <row r="143" spans="2:8">
      <c r="H143" s="17"/>
    </row>
    <row r="144" spans="2:8">
      <c r="H144" s="17"/>
    </row>
    <row r="145" spans="8:8">
      <c r="H145" s="137"/>
    </row>
    <row r="146" spans="8:8">
      <c r="H146" s="137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37"/>
    </row>
    <row r="156" spans="8:8">
      <c r="H156" s="137"/>
    </row>
    <row r="157" spans="8:8">
      <c r="H157" s="137"/>
    </row>
    <row r="158" spans="8:8">
      <c r="H158" s="137"/>
    </row>
    <row r="159" spans="8:8">
      <c r="H159" s="17"/>
    </row>
    <row r="160" spans="8:8">
      <c r="H160" s="17"/>
    </row>
    <row r="161" spans="8:8">
      <c r="H161" s="137"/>
    </row>
    <row r="162" spans="8:8">
      <c r="H162" s="137"/>
    </row>
    <row r="163" spans="8:8">
      <c r="H163" s="137"/>
    </row>
    <row r="164" spans="8:8">
      <c r="H164" s="137"/>
    </row>
    <row r="165" spans="8:8">
      <c r="H165" s="137"/>
    </row>
    <row r="166" spans="8:8">
      <c r="H166" s="137"/>
    </row>
    <row r="167" spans="8:8">
      <c r="H167" s="137"/>
    </row>
    <row r="168" spans="8:8">
      <c r="H168" s="137"/>
    </row>
    <row r="169" spans="8:8">
      <c r="H169" s="137"/>
    </row>
    <row r="170" spans="8:8">
      <c r="H170" s="13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37"/>
    </row>
    <row r="202" spans="8:8">
      <c r="H202" s="137"/>
    </row>
    <row r="203" spans="8:8">
      <c r="H203" s="137"/>
    </row>
    <row r="204" spans="8:8">
      <c r="H204" s="137"/>
    </row>
    <row r="205" spans="8:8">
      <c r="H205" s="137"/>
    </row>
    <row r="206" spans="8:8">
      <c r="H206" s="137"/>
    </row>
    <row r="207" spans="8:8">
      <c r="H207" s="137"/>
    </row>
    <row r="208" spans="8:8">
      <c r="H208" s="137"/>
    </row>
    <row r="209" spans="8:8">
      <c r="H209" s="17"/>
    </row>
    <row r="210" spans="8:8">
      <c r="H210" s="17"/>
    </row>
    <row r="211" spans="8:8">
      <c r="H211" s="137"/>
    </row>
    <row r="212" spans="8:8">
      <c r="H212" s="137"/>
    </row>
    <row r="213" spans="8:8">
      <c r="H213" s="137"/>
    </row>
    <row r="214" spans="8:8">
      <c r="H214" s="137"/>
    </row>
    <row r="215" spans="8:8">
      <c r="H215" s="137"/>
    </row>
    <row r="216" spans="8:8">
      <c r="H216" s="137"/>
    </row>
    <row r="217" spans="8:8">
      <c r="H217" s="137"/>
    </row>
    <row r="218" spans="8:8">
      <c r="H218" s="137"/>
    </row>
    <row r="219" spans="8:8">
      <c r="H219" s="137"/>
    </row>
    <row r="220" spans="8:8">
      <c r="H220" s="17"/>
    </row>
    <row r="221" spans="8:8">
      <c r="H221" s="1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8"/>
  </sheetPr>
  <dimension ref="A1:M18"/>
  <sheetViews>
    <sheetView showGridLines="0" zoomScaleNormal="100" workbookViewId="0">
      <selection activeCell="D45" sqref="D45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196" customFormat="1" ht="21">
      <c r="A1" s="193" t="s">
        <v>122</v>
      </c>
      <c r="B1" s="195"/>
      <c r="C1" s="198"/>
      <c r="D1" s="198"/>
      <c r="E1" s="198"/>
      <c r="F1" s="198"/>
      <c r="G1" s="198"/>
      <c r="H1" s="198"/>
      <c r="I1" s="195"/>
      <c r="J1" s="195"/>
      <c r="K1" s="195"/>
      <c r="L1" s="195"/>
      <c r="M1" s="195"/>
    </row>
    <row r="2" spans="1:13" s="204" customFormat="1" ht="15.75">
      <c r="A2" s="206" t="s">
        <v>7</v>
      </c>
      <c r="B2" s="203"/>
      <c r="C2" s="207"/>
      <c r="D2" s="207"/>
      <c r="E2" s="207"/>
      <c r="F2" s="207"/>
      <c r="G2" s="207"/>
      <c r="H2" s="207"/>
      <c r="I2" s="203"/>
      <c r="J2" s="203"/>
      <c r="K2" s="203"/>
      <c r="L2" s="203"/>
      <c r="M2" s="203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12" t="s">
        <v>12</v>
      </c>
      <c r="C5" s="213" t="s">
        <v>30</v>
      </c>
      <c r="D5" s="219" t="s">
        <v>6</v>
      </c>
      <c r="E5" s="219" t="s">
        <v>23</v>
      </c>
      <c r="F5" s="219" t="s">
        <v>5</v>
      </c>
      <c r="G5" s="219" t="s">
        <v>4</v>
      </c>
      <c r="H5" s="219" t="s">
        <v>11</v>
      </c>
    </row>
    <row r="6" spans="1:13">
      <c r="A6" s="5"/>
      <c r="B6" s="44" t="s">
        <v>43</v>
      </c>
      <c r="C6" s="47" t="s">
        <v>104</v>
      </c>
      <c r="D6" s="48">
        <f>VLOOKUP(D$5,Selection!$B$26:$D$30,3,FALSE)*$D$18</f>
        <v>6810.2072484895089</v>
      </c>
      <c r="E6" s="48">
        <f>VLOOKUP(E$5,Selection!$B$26:$D$30,3,FALSE)*$D$18</f>
        <v>1257.8699954869603</v>
      </c>
      <c r="F6" s="48">
        <f>VLOOKUP(F$5,Selection!$B$26:$D$30,3,FALSE)*$D$18</f>
        <v>54.768820346475202</v>
      </c>
      <c r="G6" s="48">
        <f>VLOOKUP(G$5,Selection!$B$26:$D$30,3,FALSE)*$D$18</f>
        <v>2.2933734649268698</v>
      </c>
      <c r="H6" s="49">
        <f>VLOOKUP(H$5,Selection!$B$26:$D$30,3,FALSE)*$D$18</f>
        <v>-2.1468759265066115</v>
      </c>
    </row>
    <row r="7" spans="1:13">
      <c r="B7" s="44" t="s">
        <v>42</v>
      </c>
      <c r="C7" s="47" t="s">
        <v>104</v>
      </c>
      <c r="D7" s="48">
        <f>D12*$D$17</f>
        <v>9485.9366254626311</v>
      </c>
      <c r="E7" s="48">
        <f>E12*$D$17</f>
        <v>10799.535314084713</v>
      </c>
      <c r="F7" s="48">
        <f>F12*$D$17</f>
        <v>4866.4170080790873</v>
      </c>
      <c r="G7" s="48">
        <f>G12*$D$17</f>
        <v>481.28471703106993</v>
      </c>
      <c r="H7" s="48">
        <f>H12*$D$17</f>
        <v>33.38458682527714</v>
      </c>
    </row>
    <row r="8" spans="1:13">
      <c r="B8" s="44" t="s">
        <v>0</v>
      </c>
      <c r="C8" s="50" t="s">
        <v>104</v>
      </c>
      <c r="D8" s="48">
        <f>D12*$D$16</f>
        <v>15691.728762445609</v>
      </c>
      <c r="E8" s="48">
        <f>E12*$D$16</f>
        <v>17864.696508111592</v>
      </c>
      <c r="F8" s="48">
        <f>F12*$D$16</f>
        <v>8050.0744155040029</v>
      </c>
      <c r="G8" s="48">
        <f>G12*$D$16</f>
        <v>796.14586680770844</v>
      </c>
      <c r="H8" s="48">
        <f>H12*$D$16</f>
        <v>55.225108704857611</v>
      </c>
    </row>
    <row r="9" spans="1:13">
      <c r="B9" s="51" t="s">
        <v>2</v>
      </c>
      <c r="C9" s="52" t="s">
        <v>104</v>
      </c>
      <c r="D9" s="53">
        <f>D12*$D$15</f>
        <v>15417.688284056436</v>
      </c>
      <c r="E9" s="53">
        <f>E12*$D$15</f>
        <v>17552.707303386309</v>
      </c>
      <c r="F9" s="53">
        <f>F12*$D$15</f>
        <v>7909.4878506143014</v>
      </c>
      <c r="G9" s="53">
        <f>G12*$D$15</f>
        <v>782.24196893192436</v>
      </c>
      <c r="H9" s="53">
        <f>H12*$D$15</f>
        <v>54.26065695848326</v>
      </c>
    </row>
    <row r="10" spans="1:13" s="5" customFormat="1">
      <c r="B10" s="54" t="s">
        <v>1</v>
      </c>
      <c r="C10" s="55" t="s">
        <v>104</v>
      </c>
      <c r="D10" s="56">
        <f>SUM(D6:D9)</f>
        <v>47405.560920454183</v>
      </c>
      <c r="E10" s="56">
        <f>SUM(E6:E9)</f>
        <v>47474.809121069571</v>
      </c>
      <c r="F10" s="56">
        <f>SUM(F6:F9)</f>
        <v>20880.748094543866</v>
      </c>
      <c r="G10" s="56">
        <f>SUM(G6:G9)</f>
        <v>2061.9659262356295</v>
      </c>
      <c r="H10" s="56">
        <f>SUM(H6:H9)</f>
        <v>140.72347656211139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70</v>
      </c>
      <c r="C12" s="50" t="s">
        <v>31</v>
      </c>
      <c r="D12" s="61">
        <f>Selection!D38</f>
        <v>0.23349176142148159</v>
      </c>
      <c r="E12" s="61">
        <f>Selection!D39</f>
        <v>0.26582536048686217</v>
      </c>
      <c r="F12" s="61">
        <f>Selection!D40</f>
        <v>0.11978451089139827</v>
      </c>
      <c r="G12" s="61">
        <f>Selection!D41</f>
        <v>1.1846591513502047E-2</v>
      </c>
      <c r="H12" s="61">
        <f>Selection!D42</f>
        <v>8.2174552602834634E-4</v>
      </c>
    </row>
    <row r="13" spans="1:13">
      <c r="B13" s="62"/>
    </row>
    <row r="14" spans="1:13">
      <c r="B14" s="1" t="s">
        <v>98</v>
      </c>
      <c r="C14" s="63" t="s">
        <v>104</v>
      </c>
      <c r="D14" s="64">
        <f>Selection!$C$33</f>
        <v>2969781.9455007841</v>
      </c>
    </row>
    <row r="15" spans="1:13">
      <c r="B15" s="1" t="s">
        <v>9</v>
      </c>
      <c r="C15" s="63" t="s">
        <v>104</v>
      </c>
      <c r="D15" s="64">
        <f>D14*Inputs!$C$5*0.5</f>
        <v>66030.9733850763</v>
      </c>
    </row>
    <row r="16" spans="1:13">
      <c r="B16" s="1" t="s">
        <v>8</v>
      </c>
      <c r="C16" s="63" t="s">
        <v>104</v>
      </c>
      <c r="D16" s="64">
        <f>Selection!C81</f>
        <v>67204.635687852351</v>
      </c>
    </row>
    <row r="17" spans="2:4">
      <c r="B17" s="1" t="s">
        <v>41</v>
      </c>
      <c r="C17" s="63" t="s">
        <v>104</v>
      </c>
      <c r="D17" s="64">
        <f>Selection!C80</f>
        <v>40626.429676631458</v>
      </c>
    </row>
    <row r="18" spans="2:4">
      <c r="B18" s="1" t="s">
        <v>44</v>
      </c>
      <c r="C18" s="63" t="s">
        <v>104</v>
      </c>
      <c r="D18" s="65">
        <f>Selection!C82</f>
        <v>8125.2859353262902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</sheetPr>
  <dimension ref="A1:M45"/>
  <sheetViews>
    <sheetView showGridLines="0" zoomScaleNormal="100" workbookViewId="0">
      <selection activeCell="D8" sqref="D8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196" customFormat="1" ht="21">
      <c r="A1" s="193" t="s">
        <v>122</v>
      </c>
      <c r="B1" s="195"/>
      <c r="C1" s="198"/>
      <c r="D1" s="198"/>
      <c r="E1" s="198"/>
      <c r="F1" s="198"/>
      <c r="G1" s="198"/>
      <c r="H1" s="198"/>
      <c r="I1" s="195"/>
      <c r="J1" s="195"/>
      <c r="K1" s="195"/>
      <c r="L1" s="195"/>
      <c r="M1" s="195"/>
    </row>
    <row r="2" spans="1:13" s="204" customFormat="1" ht="15.75">
      <c r="A2" s="206" t="s">
        <v>10</v>
      </c>
      <c r="B2" s="203"/>
      <c r="C2" s="207"/>
      <c r="D2" s="207"/>
      <c r="E2" s="207"/>
      <c r="F2" s="207"/>
      <c r="G2" s="207"/>
      <c r="H2" s="207"/>
      <c r="I2" s="203"/>
      <c r="J2" s="203"/>
      <c r="K2" s="203"/>
      <c r="L2" s="203"/>
      <c r="M2" s="203"/>
    </row>
    <row r="5" spans="1:13" s="6" customFormat="1" ht="25.5">
      <c r="B5" s="191" t="s">
        <v>21</v>
      </c>
      <c r="C5" s="142" t="s">
        <v>30</v>
      </c>
      <c r="D5" s="141" t="s">
        <v>93</v>
      </c>
      <c r="E5" s="141" t="s">
        <v>20</v>
      </c>
      <c r="F5" s="141" t="s">
        <v>8</v>
      </c>
      <c r="G5" s="141" t="s">
        <v>9</v>
      </c>
      <c r="H5" s="141" t="s">
        <v>109</v>
      </c>
      <c r="I5" s="14"/>
    </row>
    <row r="6" spans="1:13">
      <c r="B6" s="2" t="s">
        <v>11</v>
      </c>
      <c r="C6" s="15" t="s">
        <v>104</v>
      </c>
      <c r="D6" s="16">
        <f>Selection!C68</f>
        <v>422018.53927837283</v>
      </c>
      <c r="E6" s="16">
        <f>D6/Selection!D56*Selection!C56</f>
        <v>557939.15670070378</v>
      </c>
      <c r="F6" s="16">
        <f>E6/Selection!C56</f>
        <v>11158.783134014076</v>
      </c>
      <c r="G6" s="16">
        <f>E6*Inputs!$C$5*0.5</f>
        <v>12405.37732489436</v>
      </c>
      <c r="H6" s="16">
        <f t="shared" ref="H6:H12" si="0">SUM(F6,G6)</f>
        <v>23564.160458908438</v>
      </c>
      <c r="I6" s="17"/>
    </row>
    <row r="7" spans="1:13">
      <c r="B7" s="2" t="s">
        <v>14</v>
      </c>
      <c r="C7" s="15" t="s">
        <v>104</v>
      </c>
      <c r="D7" s="16">
        <f>Selection!C69</f>
        <v>1245582.4167759414</v>
      </c>
      <c r="E7" s="16">
        <f>D7/Selection!D57*Selection!C57</f>
        <v>2411842.7888000803</v>
      </c>
      <c r="F7" s="16">
        <f>E7/Selection!C57</f>
        <v>49221.281404083275</v>
      </c>
      <c r="G7" s="16">
        <f>E7*Inputs!$C$5*0.5</f>
        <v>53625.596060181939</v>
      </c>
      <c r="H7" s="16">
        <f t="shared" si="0"/>
        <v>102846.87746426521</v>
      </c>
      <c r="I7" s="17"/>
    </row>
    <row r="8" spans="1:13">
      <c r="B8" s="2" t="s">
        <v>15</v>
      </c>
      <c r="C8" s="15" t="s">
        <v>104</v>
      </c>
      <c r="D8" s="16">
        <f>Selection!C70</f>
        <v>7549.1381452734995</v>
      </c>
      <c r="E8" s="16">
        <f>D8/Selection!D58*Selection!C58</f>
        <v>106731.04792249043</v>
      </c>
      <c r="F8" s="16">
        <f>E8/Selection!C58</f>
        <v>7115.4031948326947</v>
      </c>
      <c r="G8" s="16">
        <f>E8*Inputs!$C$5*0.5</f>
        <v>2373.0883661032103</v>
      </c>
      <c r="H8" s="16">
        <f t="shared" si="0"/>
        <v>9488.491560935905</v>
      </c>
      <c r="I8" s="17"/>
    </row>
    <row r="9" spans="1:13">
      <c r="B9" s="18" t="s">
        <v>16</v>
      </c>
      <c r="C9" s="15" t="s">
        <v>104</v>
      </c>
      <c r="D9" s="16">
        <f>Selection!C71</f>
        <v>7665.6831943492298</v>
      </c>
      <c r="E9" s="16">
        <f>D9/Selection!D59*Selection!C59</f>
        <v>23186.574261018723</v>
      </c>
      <c r="F9" s="16">
        <f>E9/Selection!C59</f>
        <v>927.4629704407489</v>
      </c>
      <c r="G9" s="16">
        <f>E9*Inputs!$C$5*0.5</f>
        <v>515.53686298077673</v>
      </c>
      <c r="H9" s="16">
        <f t="shared" si="0"/>
        <v>1442.9998334215256</v>
      </c>
      <c r="I9" s="17"/>
    </row>
    <row r="10" spans="1:13">
      <c r="B10" s="2" t="s">
        <v>17</v>
      </c>
      <c r="C10" s="15" t="s">
        <v>104</v>
      </c>
      <c r="D10" s="16">
        <f>Selection!C72</f>
        <v>14550.336068502165</v>
      </c>
      <c r="E10" s="16">
        <f>D10/Selection!D60*Selection!C60</f>
        <v>23092.950470438678</v>
      </c>
      <c r="F10" s="16">
        <f>E10/Selection!C60</f>
        <v>1776.3808054183598</v>
      </c>
      <c r="G10" s="16">
        <f>E10*Inputs!$C$5*0.5</f>
        <v>513.45520508890138</v>
      </c>
      <c r="H10" s="16">
        <f t="shared" si="0"/>
        <v>2289.8360105072611</v>
      </c>
      <c r="I10" s="17"/>
    </row>
    <row r="11" spans="1:13">
      <c r="B11" s="2" t="s">
        <v>18</v>
      </c>
      <c r="C11" s="15" t="s">
        <v>104</v>
      </c>
      <c r="D11" s="16">
        <f>Selection!C73</f>
        <v>37556.040811173749</v>
      </c>
      <c r="E11" s="16">
        <f>D11/Selection!D61*Selection!C61</f>
        <v>43399.723917922645</v>
      </c>
      <c r="F11" s="16">
        <f>E11/Selection!C61</f>
        <v>7233.2873196537739</v>
      </c>
      <c r="G11" s="16">
        <f>E11*Inputs!$C$5*0.5</f>
        <v>964.96176067255738</v>
      </c>
      <c r="H11" s="16">
        <f t="shared" si="0"/>
        <v>8198.2490803263318</v>
      </c>
      <c r="I11" s="17"/>
    </row>
    <row r="12" spans="1:13">
      <c r="B12" s="2" t="s">
        <v>19</v>
      </c>
      <c r="C12" s="15" t="s">
        <v>104</v>
      </c>
      <c r="D12" s="16">
        <f>Selection!C74</f>
        <v>10367.91710848225</v>
      </c>
      <c r="E12" s="16">
        <f>D12/Selection!D62*Selection!C62</f>
        <v>15544.637350344037</v>
      </c>
      <c r="F12" s="16">
        <f>E12/Selection!C62</f>
        <v>1554.4637350344037</v>
      </c>
      <c r="G12" s="16">
        <f>E12*Inputs!$C$5*0.5</f>
        <v>345.62387205440001</v>
      </c>
      <c r="H12" s="16">
        <f t="shared" si="0"/>
        <v>1900.0876070888037</v>
      </c>
      <c r="I12" s="17"/>
    </row>
    <row r="13" spans="1:13">
      <c r="B13" s="2" t="s">
        <v>102</v>
      </c>
      <c r="C13" s="15" t="s">
        <v>104</v>
      </c>
      <c r="D13" s="179"/>
      <c r="E13" s="179"/>
      <c r="F13" s="179"/>
      <c r="G13" s="179"/>
      <c r="H13" s="179"/>
      <c r="I13" s="17"/>
    </row>
    <row r="14" spans="1:13" s="5" customFormat="1">
      <c r="B14" s="19" t="s">
        <v>3</v>
      </c>
      <c r="C14" s="20" t="s">
        <v>104</v>
      </c>
      <c r="D14" s="21">
        <f>SUM(D6:D13)</f>
        <v>1745290.0713820953</v>
      </c>
      <c r="E14" s="21">
        <f t="shared" ref="E14:H14" si="1">SUM(E6:E13)</f>
        <v>3181736.8794229985</v>
      </c>
      <c r="F14" s="21">
        <f t="shared" si="1"/>
        <v>78987.062563477331</v>
      </c>
      <c r="G14" s="21">
        <f t="shared" si="1"/>
        <v>70743.639451976152</v>
      </c>
      <c r="H14" s="21">
        <f t="shared" si="1"/>
        <v>149730.70201545345</v>
      </c>
      <c r="I14" s="22"/>
    </row>
    <row r="15" spans="1:13" s="5" customFormat="1">
      <c r="B15" s="19" t="s">
        <v>62</v>
      </c>
      <c r="C15" s="20" t="s">
        <v>104</v>
      </c>
      <c r="D15" s="21">
        <f t="shared" ref="D15:H15" si="2">D14-D9</f>
        <v>1737624.3881877461</v>
      </c>
      <c r="E15" s="21">
        <f t="shared" si="2"/>
        <v>3158550.30516198</v>
      </c>
      <c r="F15" s="21">
        <f t="shared" si="2"/>
        <v>78059.599593036575</v>
      </c>
      <c r="G15" s="21">
        <f t="shared" si="2"/>
        <v>70228.102588995374</v>
      </c>
      <c r="H15" s="21">
        <f t="shared" si="2"/>
        <v>148287.70218203194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74</v>
      </c>
      <c r="C17" s="15" t="s">
        <v>104</v>
      </c>
      <c r="D17" s="27"/>
      <c r="E17" s="27"/>
      <c r="F17" s="27"/>
      <c r="G17" s="27"/>
      <c r="H17" s="27">
        <f>SUM(H10:H12)</f>
        <v>12388.172697922397</v>
      </c>
    </row>
    <row r="18" spans="2:13">
      <c r="B18" s="1" t="s">
        <v>73</v>
      </c>
      <c r="C18" s="15" t="s">
        <v>104</v>
      </c>
      <c r="D18" s="27"/>
      <c r="E18" s="27"/>
      <c r="F18" s="27"/>
      <c r="G18" s="27"/>
      <c r="H18" s="27">
        <f>SUM(H8)</f>
        <v>9488.491560935905</v>
      </c>
    </row>
    <row r="19" spans="2:13">
      <c r="B19" s="2" t="s">
        <v>63</v>
      </c>
      <c r="C19" s="15" t="s">
        <v>104</v>
      </c>
      <c r="D19" s="27"/>
      <c r="E19" s="27"/>
      <c r="F19" s="27"/>
      <c r="G19" s="27"/>
      <c r="H19" s="27">
        <f>SUM(H6:H7,H13)</f>
        <v>126411.03792317366</v>
      </c>
    </row>
    <row r="21" spans="2:13">
      <c r="B21" s="5" t="s">
        <v>130</v>
      </c>
      <c r="D21" s="28"/>
      <c r="E21" s="28"/>
    </row>
    <row r="22" spans="2:13" ht="25.5">
      <c r="B22" s="191" t="s">
        <v>26</v>
      </c>
      <c r="C22" s="142" t="s">
        <v>30</v>
      </c>
      <c r="D22" s="141" t="s">
        <v>61</v>
      </c>
      <c r="E22" s="141" t="s">
        <v>15</v>
      </c>
      <c r="F22" s="141" t="s">
        <v>75</v>
      </c>
      <c r="G22" s="141" t="s">
        <v>64</v>
      </c>
    </row>
    <row r="23" spans="2:13">
      <c r="B23" s="29" t="s">
        <v>6</v>
      </c>
      <c r="C23" s="15" t="s">
        <v>104</v>
      </c>
      <c r="D23" s="30">
        <f>Selection!F38*$H$19</f>
        <v>76064.276214898637</v>
      </c>
      <c r="E23" s="30">
        <f>Selection!D26*$H$18</f>
        <v>7952.777849278521</v>
      </c>
      <c r="F23" s="30">
        <f>$H$17</f>
        <v>12388.172697922397</v>
      </c>
      <c r="G23" s="30">
        <f>SUM(D23:F23)</f>
        <v>96405.226762099541</v>
      </c>
    </row>
    <row r="24" spans="2:13">
      <c r="B24" s="2" t="s">
        <v>23</v>
      </c>
      <c r="C24" s="15" t="s">
        <v>104</v>
      </c>
      <c r="D24" s="31">
        <f>Selection!F39*$H$19</f>
        <v>73263.658214309427</v>
      </c>
      <c r="E24" s="31">
        <f>Selection!D27*$H$18</f>
        <v>1468.9069322522516</v>
      </c>
      <c r="F24" s="31">
        <f>$H$17</f>
        <v>12388.172697922397</v>
      </c>
      <c r="G24" s="31">
        <f>SUM(D24:F24)</f>
        <v>87120.737844484072</v>
      </c>
    </row>
    <row r="25" spans="2:13">
      <c r="B25" s="2" t="s">
        <v>5</v>
      </c>
      <c r="C25" s="15" t="s">
        <v>104</v>
      </c>
      <c r="D25" s="31">
        <f>Selection!F40*$H$19</f>
        <v>35014.385927185351</v>
      </c>
      <c r="E25" s="31">
        <f>Selection!D28*$H$18</f>
        <v>63.95756331485655</v>
      </c>
      <c r="F25" s="31">
        <f>$H$17</f>
        <v>12388.172697922397</v>
      </c>
      <c r="G25" s="31">
        <f>SUM(D25:F25)</f>
        <v>47466.516188422604</v>
      </c>
    </row>
    <row r="26" spans="2:13">
      <c r="B26" s="2" t="s">
        <v>4</v>
      </c>
      <c r="C26" s="15" t="s">
        <v>104</v>
      </c>
      <c r="D26" s="31">
        <f>Selection!F41*$H$19</f>
        <v>11837.873123197698</v>
      </c>
      <c r="E26" s="31">
        <f>Selection!D29*$H$18</f>
        <v>2.6781401837717711</v>
      </c>
      <c r="F26" s="31">
        <f>$H$17</f>
        <v>12388.172697922397</v>
      </c>
      <c r="G26" s="31">
        <f>SUM(D26:F26)</f>
        <v>24228.723961303869</v>
      </c>
    </row>
    <row r="27" spans="2:13">
      <c r="B27" s="32" t="s">
        <v>11</v>
      </c>
      <c r="C27" s="33" t="s">
        <v>104</v>
      </c>
      <c r="D27" s="34">
        <f>Selection!F42*$H$6</f>
        <v>1011.3832655781624</v>
      </c>
      <c r="E27" s="35">
        <f>Selection!D30*$H$18</f>
        <v>-2.5070642772667426</v>
      </c>
      <c r="F27" s="35">
        <f>$H$17</f>
        <v>12388.172697922397</v>
      </c>
      <c r="G27" s="35">
        <f>SUM(D27:F27)</f>
        <v>13397.048899223293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131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191" t="s">
        <v>26</v>
      </c>
      <c r="C30" s="142" t="s">
        <v>30</v>
      </c>
      <c r="D30" s="141" t="s">
        <v>79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104</v>
      </c>
      <c r="D31" s="30">
        <f>Selection!$C$79-SUM('Avoided cost'!E6:H7)</f>
        <v>72787.547897566779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104</v>
      </c>
      <c r="D32" s="31">
        <f>Selection!$C$79-SUM('Avoided cost'!D6:D7,'Avoided cost'!F6:H7)</f>
        <v>68548.80933318632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104</v>
      </c>
      <c r="D33" s="40">
        <f>Selection!$C$79-SUM('Avoided cost'!D6:E7,'Avoided cost'!G6:H7)</f>
        <v>61412.589852040212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104</v>
      </c>
      <c r="D34" s="40">
        <f>Selection!$C$79-SUM('Avoided cost'!D6:F7,'Avoided cost'!H6:H7)</f>
        <v>56974.982114110637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104</v>
      </c>
      <c r="D35" s="35">
        <f>Selection!$C$79-SUM('Avoided cost'!D6:G7)</f>
        <v>56522.64173451341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191" t="s">
        <v>26</v>
      </c>
      <c r="C38" s="142" t="s">
        <v>30</v>
      </c>
      <c r="D38" s="141" t="s">
        <v>58</v>
      </c>
      <c r="E38" s="141" t="s">
        <v>59</v>
      </c>
      <c r="F38" s="141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104</v>
      </c>
      <c r="D39" s="30">
        <f>G23</f>
        <v>96405.226762099541</v>
      </c>
      <c r="E39" s="31">
        <f>D31</f>
        <v>72787.547897566779</v>
      </c>
      <c r="F39" s="30">
        <f>D39+E39</f>
        <v>169192.77465966632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104</v>
      </c>
      <c r="D40" s="31">
        <f>G24</f>
        <v>87120.737844484072</v>
      </c>
      <c r="E40" s="31">
        <f>D32</f>
        <v>68548.80933318632</v>
      </c>
      <c r="F40" s="31">
        <f>D40+E40</f>
        <v>155669.54717767041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104</v>
      </c>
      <c r="D41" s="31">
        <f>G25</f>
        <v>47466.516188422604</v>
      </c>
      <c r="E41" s="31">
        <f>D33</f>
        <v>61412.589852040212</v>
      </c>
      <c r="F41" s="31">
        <f>D41+E41</f>
        <v>108879.10604046282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104</v>
      </c>
      <c r="D42" s="31">
        <f>G26</f>
        <v>24228.723961303869</v>
      </c>
      <c r="E42" s="31">
        <f>D34</f>
        <v>56974.982114110637</v>
      </c>
      <c r="F42" s="31">
        <f>D42+E42</f>
        <v>81203.706075414506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104</v>
      </c>
      <c r="D43" s="34">
        <f>G27</f>
        <v>13397.048899223293</v>
      </c>
      <c r="E43" s="34">
        <f>D35</f>
        <v>56522.64173451341</v>
      </c>
      <c r="F43" s="34">
        <f>D43+E43</f>
        <v>69919.690633736696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"/>
  <sheetViews>
    <sheetView showGridLines="0" workbookViewId="0">
      <selection activeCell="H44" sqref="H44"/>
    </sheetView>
  </sheetViews>
  <sheetFormatPr defaultRowHeight="12.75"/>
  <cols>
    <col min="1" max="1" width="9.140625" style="227"/>
    <col min="2" max="2" width="28.42578125" style="227" bestFit="1" customWidth="1"/>
    <col min="3" max="3" width="20.28515625" style="227" bestFit="1" customWidth="1"/>
    <col min="4" max="13" width="14.28515625" style="227" customWidth="1"/>
    <col min="14" max="16384" width="9.140625" style="227"/>
  </cols>
  <sheetData>
    <row r="1" spans="1:13" ht="21">
      <c r="A1" s="224" t="s">
        <v>122</v>
      </c>
      <c r="B1" s="225"/>
      <c r="C1" s="226"/>
      <c r="D1" s="226"/>
      <c r="E1" s="226"/>
      <c r="F1" s="226"/>
      <c r="G1" s="226"/>
      <c r="H1" s="226"/>
      <c r="I1" s="225"/>
      <c r="J1" s="225"/>
      <c r="K1" s="225"/>
      <c r="L1" s="225"/>
      <c r="M1" s="225"/>
    </row>
    <row r="2" spans="1:13" ht="15.75">
      <c r="A2" s="228" t="s">
        <v>145</v>
      </c>
      <c r="B2" s="229"/>
      <c r="C2" s="230"/>
      <c r="D2" s="230"/>
      <c r="E2" s="230"/>
      <c r="F2" s="230"/>
      <c r="G2" s="230"/>
      <c r="H2" s="230"/>
      <c r="I2" s="229"/>
      <c r="J2" s="229"/>
      <c r="K2" s="229"/>
      <c r="L2" s="229"/>
      <c r="M2" s="229"/>
    </row>
    <row r="5" spans="1:13">
      <c r="B5" s="243" t="s">
        <v>12</v>
      </c>
      <c r="C5" s="244"/>
      <c r="D5" s="243">
        <v>2016</v>
      </c>
      <c r="E5" s="243">
        <f>D5+1</f>
        <v>2017</v>
      </c>
      <c r="F5" s="243">
        <f t="shared" ref="F5:M5" si="0">E5+1</f>
        <v>2018</v>
      </c>
      <c r="G5" s="243">
        <f t="shared" si="0"/>
        <v>2019</v>
      </c>
      <c r="H5" s="243">
        <f t="shared" si="0"/>
        <v>2020</v>
      </c>
      <c r="I5" s="243">
        <f t="shared" si="0"/>
        <v>2021</v>
      </c>
      <c r="J5" s="243">
        <f t="shared" si="0"/>
        <v>2022</v>
      </c>
      <c r="K5" s="243">
        <f t="shared" si="0"/>
        <v>2023</v>
      </c>
      <c r="L5" s="243">
        <f t="shared" si="0"/>
        <v>2024</v>
      </c>
      <c r="M5" s="243">
        <f t="shared" si="0"/>
        <v>2025</v>
      </c>
    </row>
    <row r="7" spans="1:13">
      <c r="B7" s="245" t="s">
        <v>146</v>
      </c>
    </row>
    <row r="8" spans="1:13">
      <c r="B8" s="227" t="s">
        <v>141</v>
      </c>
      <c r="D8" s="246">
        <f>SUMIF('LRMC - Augex'!$C$6:$C$55,LRMC!$B8,'LRMC - Augex'!E$6:E$55)*10^6</f>
        <v>3713917.528957529</v>
      </c>
      <c r="E8" s="246">
        <f>SUMIF('LRMC - Augex'!$C$6:$C$55,LRMC!$B8,'LRMC - Augex'!F$6:F$55)*10^6</f>
        <v>3654508.8668709313</v>
      </c>
      <c r="F8" s="246">
        <f>SUMIF('LRMC - Augex'!$C$6:$C$55,LRMC!$B8,'LRMC - Augex'!G$6:G$55)*10^6</f>
        <v>310735.93214597378</v>
      </c>
      <c r="G8" s="246">
        <f>SUMIF('LRMC - Augex'!$C$6:$C$55,LRMC!$B8,'LRMC - Augex'!H$6:H$55)*10^6</f>
        <v>0</v>
      </c>
      <c r="H8" s="246">
        <f>SUMIF('LRMC - Augex'!$C$6:$C$55,LRMC!$B8,'LRMC - Augex'!I$6:I$55)*10^6</f>
        <v>0</v>
      </c>
      <c r="I8" s="246">
        <f>SUMIF('LRMC - Augex'!$C$6:$C$55,LRMC!$B8,'LRMC - Augex'!J$6:J$55)*10^6</f>
        <v>9322077.9643791988</v>
      </c>
      <c r="J8" s="246">
        <f>SUMIF('LRMC - Augex'!$C$6:$C$55,LRMC!$B8,'LRMC - Augex'!K$6:K$55)*10^6</f>
        <v>24082034.741312958</v>
      </c>
      <c r="K8" s="246">
        <f>SUMIF('LRMC - Augex'!$C$6:$C$55,LRMC!$B8,'LRMC - Augex'!L$6:L$55)*10^6</f>
        <v>23833445.995596182</v>
      </c>
      <c r="L8" s="246">
        <f>SUMIF('LRMC - Augex'!$C$6:$C$55,LRMC!$B8,'LRMC - Augex'!M$6:M$55)*10^6</f>
        <v>15977005.844505498</v>
      </c>
      <c r="M8" s="246">
        <f>SUMIF('LRMC - Augex'!$C$6:$C$55,LRMC!$B8,'LRMC - Augex'!N$6:N$55)*10^6+SUMIF('LRMC - Augex'!$C$6:$C$55,LRMC!$B8,'LRMC - Augex'!O$6:O$55)*10^6</f>
        <v>-11439034.438910035</v>
      </c>
    </row>
    <row r="9" spans="1:13">
      <c r="B9" s="227" t="s">
        <v>142</v>
      </c>
      <c r="D9" s="246">
        <f>SUMIF('LRMC - Augex'!$C$6:$C$55,LRMC!$B9,'LRMC - Augex'!E$6:E$55)*10^6</f>
        <v>0</v>
      </c>
      <c r="E9" s="246">
        <f>SUMIF('LRMC - Augex'!$C$6:$C$55,LRMC!$B9,'LRMC - Augex'!F$6:F$55)*10^6</f>
        <v>0</v>
      </c>
      <c r="F9" s="246">
        <f>SUMIF('LRMC - Augex'!$C$6:$C$55,LRMC!$B9,'LRMC - Augex'!G$6:G$55)*10^6</f>
        <v>0</v>
      </c>
      <c r="G9" s="246">
        <f>SUMIF('LRMC - Augex'!$C$6:$C$55,LRMC!$B9,'LRMC - Augex'!H$6:H$55)*10^6</f>
        <v>0</v>
      </c>
      <c r="H9" s="246">
        <f>SUMIF('LRMC - Augex'!$C$6:$C$55,LRMC!$B9,'LRMC - Augex'!I$6:I$55)*10^6</f>
        <v>0</v>
      </c>
      <c r="I9" s="246">
        <f>SUMIF('LRMC - Augex'!$C$6:$C$55,LRMC!$B9,'LRMC - Augex'!J$6:J$55)*10^6</f>
        <v>0</v>
      </c>
      <c r="J9" s="246">
        <f>SUMIF('LRMC - Augex'!$C$6:$C$55,LRMC!$B9,'LRMC - Augex'!K$6:K$55)*10^6</f>
        <v>0</v>
      </c>
      <c r="K9" s="246">
        <f>SUMIF('LRMC - Augex'!$C$6:$C$55,LRMC!$B9,'LRMC - Augex'!L$6:L$55)*10^6</f>
        <v>0</v>
      </c>
      <c r="L9" s="246">
        <f>SUMIF('LRMC - Augex'!$C$6:$C$55,LRMC!$B9,'LRMC - Augex'!M$6:M$55)*10^6</f>
        <v>0</v>
      </c>
      <c r="M9" s="246">
        <f>SUMIF('LRMC - Augex'!$C$6:$C$55,LRMC!$B9,'LRMC - Augex'!N$6:N$55)*10^6+SUMIF('LRMC - Augex'!$C$6:$C$55,LRMC!$B9,'LRMC - Augex'!O$6:O$55)*10^6</f>
        <v>0</v>
      </c>
    </row>
    <row r="10" spans="1:13">
      <c r="B10" s="227" t="s">
        <v>4</v>
      </c>
      <c r="D10" s="246">
        <f>SUMIF('LRMC - Augex'!$C$6:$C$55,LRMC!$B10,'LRMC - Augex'!E$6:E$55)*10^6</f>
        <v>6661701.3998606903</v>
      </c>
      <c r="E10" s="246">
        <f>SUMIF('LRMC - Augex'!$C$6:$C$55,LRMC!$B10,'LRMC - Augex'!F$6:F$55)*10^6</f>
        <v>7490330.5522499532</v>
      </c>
      <c r="F10" s="246">
        <f>SUMIF('LRMC - Augex'!$C$6:$C$55,LRMC!$B10,'LRMC - Augex'!G$6:G$55)*10^6</f>
        <v>6558122.7558120312</v>
      </c>
      <c r="G10" s="246">
        <f>SUMIF('LRMC - Augex'!$C$6:$C$55,LRMC!$B10,'LRMC - Augex'!H$6:H$55)*10^6</f>
        <v>6558122.7558120312</v>
      </c>
      <c r="H10" s="246">
        <f>SUMIF('LRMC - Augex'!$C$6:$C$55,LRMC!$B10,'LRMC - Augex'!I$6:I$55)*10^6</f>
        <v>6558122.7558120312</v>
      </c>
      <c r="I10" s="246">
        <f>SUMIF('LRMC - Augex'!$C$6:$C$55,LRMC!$B10,'LRMC - Augex'!J$6:J$55)*10^6</f>
        <v>9665482.0772717707</v>
      </c>
      <c r="J10" s="246">
        <f>SUMIF('LRMC - Augex'!$C$6:$C$55,LRMC!$B10,'LRMC - Augex'!K$6:K$55)*10^6</f>
        <v>17830301.736872464</v>
      </c>
      <c r="K10" s="246">
        <f>SUMIF('LRMC - Augex'!$C$6:$C$55,LRMC!$B10,'LRMC - Augex'!L$6:L$55)*10^6</f>
        <v>25013014.616716444</v>
      </c>
      <c r="L10" s="246">
        <f>SUMIF('LRMC - Augex'!$C$6:$C$55,LRMC!$B10,'LRMC - Augex'!M$6:M$55)*10^6</f>
        <v>26704169.02327599</v>
      </c>
      <c r="M10" s="246">
        <f>SUMIF('LRMC - Augex'!$C$6:$C$55,LRMC!$B10,'LRMC - Augex'!N$6:N$55)*10^6+SUMIF('LRMC - Augex'!$C$6:$C$55,LRMC!$B10,'LRMC - Augex'!O$6:O$55)*10^6</f>
        <v>5225724.743731562</v>
      </c>
    </row>
    <row r="11" spans="1:13">
      <c r="B11" s="227" t="s">
        <v>143</v>
      </c>
      <c r="D11" s="246">
        <f>SUMIF('LRMC - Augex'!$C$6:$C$55,LRMC!$B11,'LRMC - Augex'!E$6:E$55)*10^6</f>
        <v>1771194.8132320517</v>
      </c>
      <c r="E11" s="246">
        <f>SUMIF('LRMC - Augex'!$C$6:$C$55,LRMC!$B11,'LRMC - Augex'!F$6:F$55)*10^6</f>
        <v>1771194.8132320517</v>
      </c>
      <c r="F11" s="246">
        <f>SUMIF('LRMC - Augex'!$C$6:$C$55,LRMC!$B11,'LRMC - Augex'!G$6:G$55)*10^6</f>
        <v>1771194.8132320517</v>
      </c>
      <c r="G11" s="246">
        <f>SUMIF('LRMC - Augex'!$C$6:$C$55,LRMC!$B11,'LRMC - Augex'!H$6:H$55)*10^6</f>
        <v>1771194.8132320517</v>
      </c>
      <c r="H11" s="246">
        <f>SUMIF('LRMC - Augex'!$C$6:$C$55,LRMC!$B11,'LRMC - Augex'!I$6:I$55)*10^6</f>
        <v>1771194.8132320517</v>
      </c>
      <c r="I11" s="246">
        <f>SUMIF('LRMC - Augex'!$C$6:$C$55,LRMC!$B11,'LRMC - Augex'!J$6:J$55)*10^6</f>
        <v>1771194.8132320517</v>
      </c>
      <c r="J11" s="246">
        <f>SUMIF('LRMC - Augex'!$C$6:$C$55,LRMC!$B11,'LRMC - Augex'!K$6:K$55)*10^6</f>
        <v>1771194.8132320517</v>
      </c>
      <c r="K11" s="246">
        <f>SUMIF('LRMC - Augex'!$C$6:$C$55,LRMC!$B11,'LRMC - Augex'!L$6:L$55)*10^6</f>
        <v>1771194.8132320517</v>
      </c>
      <c r="L11" s="246">
        <f>SUMIF('LRMC - Augex'!$C$6:$C$55,LRMC!$B11,'LRMC - Augex'!M$6:M$55)*10^6</f>
        <v>1771194.8132320517</v>
      </c>
      <c r="M11" s="246">
        <f>SUMIF('LRMC - Augex'!$C$6:$C$55,LRMC!$B11,'LRMC - Augex'!N$6:N$55)*10^6+SUMIF('LRMC - Augex'!$C$6:$C$55,LRMC!$B11,'LRMC - Augex'!O$6:O$55)*10^6</f>
        <v>1771194.8132320517</v>
      </c>
    </row>
    <row r="12" spans="1:13">
      <c r="B12" s="227" t="s">
        <v>144</v>
      </c>
      <c r="D12" s="246">
        <f>SUMIF('LRMC - Augex'!$C$6:$C$55,LRMC!$B12,'LRMC - Augex'!E$6:E$55)*10^6</f>
        <v>1336164.508227688</v>
      </c>
      <c r="E12" s="246">
        <f>SUMIF('LRMC - Augex'!$C$6:$C$55,LRMC!$B12,'LRMC - Augex'!F$6:F$55)*10^6</f>
        <v>1336164.508227688</v>
      </c>
      <c r="F12" s="246">
        <f>SUMIF('LRMC - Augex'!$C$6:$C$55,LRMC!$B12,'LRMC - Augex'!G$6:G$55)*10^6</f>
        <v>1336164.508227688</v>
      </c>
      <c r="G12" s="246">
        <f>SUMIF('LRMC - Augex'!$C$6:$C$55,LRMC!$B12,'LRMC - Augex'!H$6:H$55)*10^6</f>
        <v>1336164.508227688</v>
      </c>
      <c r="H12" s="246">
        <f>SUMIF('LRMC - Augex'!$C$6:$C$55,LRMC!$B12,'LRMC - Augex'!I$6:I$55)*10^6</f>
        <v>1336164.508227688</v>
      </c>
      <c r="I12" s="246">
        <f>SUMIF('LRMC - Augex'!$C$6:$C$55,LRMC!$B12,'LRMC - Augex'!J$6:J$55)*10^6</f>
        <v>1336164.508227688</v>
      </c>
      <c r="J12" s="246">
        <f>SUMIF('LRMC - Augex'!$C$6:$C$55,LRMC!$B12,'LRMC - Augex'!K$6:K$55)*10^6</f>
        <v>1336164.508227688</v>
      </c>
      <c r="K12" s="246">
        <f>SUMIF('LRMC - Augex'!$C$6:$C$55,LRMC!$B12,'LRMC - Augex'!L$6:L$55)*10^6</f>
        <v>1336164.508227688</v>
      </c>
      <c r="L12" s="246">
        <f>SUMIF('LRMC - Augex'!$C$6:$C$55,LRMC!$B12,'LRMC - Augex'!M$6:M$55)*10^6</f>
        <v>1336164.508227688</v>
      </c>
      <c r="M12" s="246">
        <f>SUMIF('LRMC - Augex'!$C$6:$C$55,LRMC!$B12,'LRMC - Augex'!N$6:N$55)*10^6+SUMIF('LRMC - Augex'!$C$6:$C$55,LRMC!$B12,'LRMC - Augex'!O$6:O$55)*10^6</f>
        <v>1336164.508227688</v>
      </c>
    </row>
    <row r="13" spans="1:13">
      <c r="D13" s="247">
        <f>SUM(D8:D12)</f>
        <v>13482978.250277957</v>
      </c>
      <c r="E13" s="247">
        <f t="shared" ref="E13:M13" si="1">SUM(E8:E12)</f>
        <v>14252198.740580624</v>
      </c>
      <c r="F13" s="247">
        <f t="shared" si="1"/>
        <v>9976218.0094177444</v>
      </c>
      <c r="G13" s="247">
        <f t="shared" si="1"/>
        <v>9665482.0772717707</v>
      </c>
      <c r="H13" s="247">
        <f t="shared" si="1"/>
        <v>9665482.0772717707</v>
      </c>
      <c r="I13" s="247">
        <f t="shared" si="1"/>
        <v>22094919.36311071</v>
      </c>
      <c r="J13" s="247">
        <f t="shared" si="1"/>
        <v>45019695.799645163</v>
      </c>
      <c r="K13" s="247">
        <f t="shared" si="1"/>
        <v>51953819.93377237</v>
      </c>
      <c r="L13" s="247">
        <f t="shared" si="1"/>
        <v>45788534.18924123</v>
      </c>
      <c r="M13" s="247">
        <f t="shared" si="1"/>
        <v>-3105950.3737187339</v>
      </c>
    </row>
    <row r="14" spans="1:13">
      <c r="D14" s="246"/>
      <c r="E14" s="246"/>
      <c r="F14" s="246"/>
      <c r="G14" s="246"/>
      <c r="H14" s="246"/>
      <c r="I14" s="246"/>
      <c r="J14" s="246"/>
      <c r="K14" s="246"/>
      <c r="L14" s="246"/>
      <c r="M14" s="246"/>
    </row>
    <row r="15" spans="1:13">
      <c r="D15" s="246"/>
      <c r="E15" s="246"/>
      <c r="F15" s="246"/>
      <c r="G15" s="246"/>
      <c r="H15" s="246"/>
      <c r="I15" s="246"/>
      <c r="J15" s="246"/>
      <c r="K15" s="246"/>
      <c r="L15" s="246"/>
      <c r="M15" s="246"/>
    </row>
    <row r="16" spans="1:13">
      <c r="B16" s="245" t="s">
        <v>147</v>
      </c>
      <c r="C16" s="248">
        <v>5.0000000000000001E-3</v>
      </c>
      <c r="D16" s="246"/>
      <c r="E16" s="246"/>
      <c r="F16" s="246"/>
      <c r="G16" s="246"/>
      <c r="H16" s="246"/>
      <c r="I16" s="246"/>
      <c r="J16" s="246"/>
      <c r="K16" s="246"/>
      <c r="L16" s="246"/>
      <c r="M16" s="246"/>
    </row>
    <row r="17" spans="2:13">
      <c r="B17" s="227" t="s">
        <v>141</v>
      </c>
      <c r="D17" s="246">
        <f>$C$16*SUM($D8:D8)</f>
        <v>18569.587644787647</v>
      </c>
      <c r="E17" s="246">
        <f>$C$16*SUM($D8:E8)</f>
        <v>36842.131979142301</v>
      </c>
      <c r="F17" s="246">
        <f>$C$16*SUM($D8:F8)</f>
        <v>38395.811639872169</v>
      </c>
      <c r="G17" s="246">
        <f>$C$16*SUM($D8:G8)</f>
        <v>38395.811639872169</v>
      </c>
      <c r="H17" s="246">
        <f>$C$16*SUM($D8:H8)</f>
        <v>38395.811639872169</v>
      </c>
      <c r="I17" s="246">
        <f>$C$16*SUM($D8:I8)</f>
        <v>85006.201461768171</v>
      </c>
      <c r="J17" s="246">
        <f>$C$16*SUM($D8:J8)</f>
        <v>205416.37516833298</v>
      </c>
      <c r="K17" s="246">
        <f>$C$16*SUM($D8:K8)</f>
        <v>324583.6051463139</v>
      </c>
      <c r="L17" s="246">
        <f>$C$16*SUM($D8:L8)</f>
        <v>404468.63436884142</v>
      </c>
      <c r="M17" s="246">
        <f>$C$16*SUM($D8:M8)</f>
        <v>347273.46217429126</v>
      </c>
    </row>
    <row r="18" spans="2:13">
      <c r="B18" s="227" t="s">
        <v>142</v>
      </c>
      <c r="D18" s="246">
        <f>$C$16*SUM($D9:D9)</f>
        <v>0</v>
      </c>
      <c r="E18" s="246">
        <f>$C$16*SUM($D9:E9)</f>
        <v>0</v>
      </c>
      <c r="F18" s="246">
        <f>$C$16*SUM($D9:F9)</f>
        <v>0</v>
      </c>
      <c r="G18" s="246">
        <f>$C$16*SUM($D9:G9)</f>
        <v>0</v>
      </c>
      <c r="H18" s="246">
        <f>$C$16*SUM($D9:H9)</f>
        <v>0</v>
      </c>
      <c r="I18" s="246">
        <f>$C$16*SUM($D9:I9)</f>
        <v>0</v>
      </c>
      <c r="J18" s="246">
        <f>$C$16*SUM($D9:J9)</f>
        <v>0</v>
      </c>
      <c r="K18" s="246">
        <f>$C$16*SUM($D9:K9)</f>
        <v>0</v>
      </c>
      <c r="L18" s="246">
        <f>$C$16*SUM($D9:L9)</f>
        <v>0</v>
      </c>
      <c r="M18" s="246">
        <f>$C$16*SUM($D9:M9)</f>
        <v>0</v>
      </c>
    </row>
    <row r="19" spans="2:13">
      <c r="B19" s="227" t="s">
        <v>4</v>
      </c>
      <c r="D19" s="246">
        <f>$C$16*SUM($D10:D10)</f>
        <v>33308.506999303456</v>
      </c>
      <c r="E19" s="246">
        <f>$C$16*SUM($D10:E10)</f>
        <v>70760.15976055323</v>
      </c>
      <c r="F19" s="246">
        <f>$C$16*SUM($D10:F10)</f>
        <v>103550.77353961338</v>
      </c>
      <c r="G19" s="246">
        <f>$C$16*SUM($D10:G10)</f>
        <v>136341.38731867351</v>
      </c>
      <c r="H19" s="246">
        <f>$C$16*SUM($D10:H10)</f>
        <v>169132.00109773368</v>
      </c>
      <c r="I19" s="246">
        <f>$C$16*SUM($D10:I10)</f>
        <v>217459.41148409256</v>
      </c>
      <c r="J19" s="246">
        <f>$C$16*SUM($D10:J10)</f>
        <v>306610.92016845488</v>
      </c>
      <c r="K19" s="246">
        <f>$C$16*SUM($D10:K10)</f>
        <v>431675.99325203709</v>
      </c>
      <c r="L19" s="246">
        <f>$C$16*SUM($D10:L10)</f>
        <v>565196.838368417</v>
      </c>
      <c r="M19" s="246">
        <f>$C$16*SUM($D10:M10)</f>
        <v>591325.46208707488</v>
      </c>
    </row>
    <row r="20" spans="2:13">
      <c r="B20" s="227" t="s">
        <v>143</v>
      </c>
      <c r="D20" s="246">
        <f>$C$16*SUM($D11:D11)</f>
        <v>8855.9740661602591</v>
      </c>
      <c r="E20" s="246">
        <f>$C$16*SUM($D11:E11)</f>
        <v>17711.948132320518</v>
      </c>
      <c r="F20" s="246">
        <f>$C$16*SUM($D11:F11)</f>
        <v>26567.922198480777</v>
      </c>
      <c r="G20" s="246">
        <f>$C$16*SUM($D11:G11)</f>
        <v>35423.896264641036</v>
      </c>
      <c r="H20" s="246">
        <f>$C$16*SUM($D11:H11)</f>
        <v>44279.870330801292</v>
      </c>
      <c r="I20" s="246">
        <f>$C$16*SUM($D11:I11)</f>
        <v>53135.844396961547</v>
      </c>
      <c r="J20" s="246">
        <f>$C$16*SUM($D11:J11)</f>
        <v>61991.818463121803</v>
      </c>
      <c r="K20" s="246">
        <f>$C$16*SUM($D11:K11)</f>
        <v>70847.792529282058</v>
      </c>
      <c r="L20" s="246">
        <f>$C$16*SUM($D11:L11)</f>
        <v>79703.766595442314</v>
      </c>
      <c r="M20" s="246">
        <f>$C$16*SUM($D11:M11)</f>
        <v>88559.740661602584</v>
      </c>
    </row>
    <row r="21" spans="2:13">
      <c r="B21" s="227" t="s">
        <v>144</v>
      </c>
      <c r="D21" s="246">
        <f>$C$16*SUM($D12:D12)</f>
        <v>6680.8225411384401</v>
      </c>
      <c r="E21" s="246">
        <f>$C$16*SUM($D12:E12)</f>
        <v>13361.64508227688</v>
      </c>
      <c r="F21" s="246">
        <f>$C$16*SUM($D12:F12)</f>
        <v>20042.467623415319</v>
      </c>
      <c r="G21" s="246">
        <f>$C$16*SUM($D12:G12)</f>
        <v>26723.29016455376</v>
      </c>
      <c r="H21" s="246">
        <f>$C$16*SUM($D12:H12)</f>
        <v>33404.112705692205</v>
      </c>
      <c r="I21" s="246">
        <f>$C$16*SUM($D12:I12)</f>
        <v>40084.935246830646</v>
      </c>
      <c r="J21" s="246">
        <f>$C$16*SUM($D12:J12)</f>
        <v>46765.757787969087</v>
      </c>
      <c r="K21" s="246">
        <f>$C$16*SUM($D12:K12)</f>
        <v>53446.580329107521</v>
      </c>
      <c r="L21" s="246">
        <f>$C$16*SUM($D12:L12)</f>
        <v>60127.402870245962</v>
      </c>
      <c r="M21" s="246">
        <f>$C$16*SUM($D12:M12)</f>
        <v>66808.225411384396</v>
      </c>
    </row>
    <row r="22" spans="2:13">
      <c r="D22" s="247">
        <f>SUM(D17:D21)</f>
        <v>67414.891251389796</v>
      </c>
      <c r="E22" s="247">
        <f t="shared" ref="E22:M22" si="2">SUM(E17:E21)</f>
        <v>138675.88495429291</v>
      </c>
      <c r="F22" s="247">
        <f t="shared" si="2"/>
        <v>188556.97500138165</v>
      </c>
      <c r="G22" s="247">
        <f t="shared" si="2"/>
        <v>236884.38538774048</v>
      </c>
      <c r="H22" s="247">
        <f t="shared" si="2"/>
        <v>285211.79577409936</v>
      </c>
      <c r="I22" s="247">
        <f t="shared" si="2"/>
        <v>395686.39258965291</v>
      </c>
      <c r="J22" s="247">
        <f t="shared" si="2"/>
        <v>620784.87158787868</v>
      </c>
      <c r="K22" s="247">
        <f t="shared" si="2"/>
        <v>880553.97125674051</v>
      </c>
      <c r="L22" s="247">
        <f t="shared" si="2"/>
        <v>1109496.6422029466</v>
      </c>
      <c r="M22" s="247">
        <f t="shared" si="2"/>
        <v>1093966.8903343531</v>
      </c>
    </row>
    <row r="23" spans="2:13">
      <c r="D23" s="246"/>
      <c r="E23" s="246"/>
      <c r="F23" s="246"/>
      <c r="G23" s="246"/>
      <c r="H23" s="246"/>
      <c r="I23" s="246"/>
      <c r="J23" s="246"/>
      <c r="K23" s="246"/>
      <c r="L23" s="246"/>
      <c r="M23" s="246"/>
    </row>
    <row r="24" spans="2:13">
      <c r="D24" s="246"/>
      <c r="E24" s="246"/>
      <c r="F24" s="246"/>
      <c r="G24" s="246"/>
      <c r="H24" s="246"/>
      <c r="I24" s="246"/>
      <c r="J24" s="246"/>
      <c r="K24" s="246"/>
      <c r="L24" s="246"/>
      <c r="M24" s="246"/>
    </row>
    <row r="25" spans="2:13">
      <c r="B25" s="245" t="s">
        <v>148</v>
      </c>
      <c r="D25" s="247">
        <f>SUM('LRMC - Demand'!E6:E44)</f>
        <v>1662.9818289400678</v>
      </c>
      <c r="E25" s="247">
        <f>SUM('LRMC - Demand'!F6:F44)</f>
        <v>1718.7527952685305</v>
      </c>
      <c r="F25" s="247">
        <f>SUM('LRMC - Demand'!G6:G44)</f>
        <v>1750.4029107945082</v>
      </c>
      <c r="G25" s="247">
        <f>SUM('LRMC - Demand'!H6:H44)</f>
        <v>1773.3382911791546</v>
      </c>
      <c r="H25" s="247">
        <f>SUM('LRMC - Demand'!I6:I44)</f>
        <v>1788.9312452481627</v>
      </c>
      <c r="I25" s="247">
        <f>SUM('LRMC - Demand'!J6:J44)</f>
        <v>1800.7735833267161</v>
      </c>
      <c r="J25" s="247">
        <f>SUM('LRMC - Demand'!K6:K44)</f>
        <v>1822.0386754821016</v>
      </c>
      <c r="K25" s="247">
        <f>SUM('LRMC - Demand'!L6:L44)</f>
        <v>1855.9776842797867</v>
      </c>
      <c r="L25" s="247">
        <f>SUM('LRMC - Demand'!M6:M44)</f>
        <v>1889.0494946185304</v>
      </c>
      <c r="M25" s="247">
        <f>SUM('LRMC - Demand'!N6:N44)</f>
        <v>1923.0787135502967</v>
      </c>
    </row>
    <row r="26" spans="2:13">
      <c r="B26" s="227" t="s">
        <v>141</v>
      </c>
      <c r="D26" s="249"/>
      <c r="E26" s="246">
        <f>(E$25-D$25)*1000</f>
        <v>55770.966328462688</v>
      </c>
      <c r="F26" s="246">
        <f>(F$25-E$25)*1000+E26</f>
        <v>87421.081854440446</v>
      </c>
      <c r="G26" s="246">
        <f t="shared" ref="G26:M26" si="3">(G$25-F$25)*1000+F26</f>
        <v>110356.4622390868</v>
      </c>
      <c r="H26" s="246">
        <f t="shared" si="3"/>
        <v>125949.41630809491</v>
      </c>
      <c r="I26" s="246">
        <f t="shared" si="3"/>
        <v>137791.75438664836</v>
      </c>
      <c r="J26" s="246">
        <f t="shared" si="3"/>
        <v>159056.8465420338</v>
      </c>
      <c r="K26" s="246">
        <f t="shared" si="3"/>
        <v>192995.85533971892</v>
      </c>
      <c r="L26" s="246">
        <f t="shared" si="3"/>
        <v>226067.66567846265</v>
      </c>
      <c r="M26" s="246">
        <f t="shared" si="3"/>
        <v>260096.88461022897</v>
      </c>
    </row>
    <row r="27" spans="2:13">
      <c r="B27" s="227" t="s">
        <v>142</v>
      </c>
      <c r="D27" s="249"/>
      <c r="E27" s="246">
        <f t="shared" ref="E27:E30" si="4">(E$25-D$25)*1000</f>
        <v>55770.966328462688</v>
      </c>
      <c r="F27" s="246">
        <f t="shared" ref="F27:M30" si="5">(F$25-E$25)*1000+E27</f>
        <v>87421.081854440446</v>
      </c>
      <c r="G27" s="246">
        <f t="shared" si="5"/>
        <v>110356.4622390868</v>
      </c>
      <c r="H27" s="246">
        <f t="shared" si="5"/>
        <v>125949.41630809491</v>
      </c>
      <c r="I27" s="246">
        <f t="shared" si="5"/>
        <v>137791.75438664836</v>
      </c>
      <c r="J27" s="246">
        <f t="shared" si="5"/>
        <v>159056.8465420338</v>
      </c>
      <c r="K27" s="246">
        <f t="shared" si="5"/>
        <v>192995.85533971892</v>
      </c>
      <c r="L27" s="246">
        <f t="shared" si="5"/>
        <v>226067.66567846265</v>
      </c>
      <c r="M27" s="246">
        <f t="shared" si="5"/>
        <v>260096.88461022897</v>
      </c>
    </row>
    <row r="28" spans="2:13">
      <c r="B28" s="227" t="s">
        <v>4</v>
      </c>
      <c r="D28" s="249"/>
      <c r="E28" s="246">
        <f t="shared" si="4"/>
        <v>55770.966328462688</v>
      </c>
      <c r="F28" s="246">
        <f t="shared" si="5"/>
        <v>87421.081854440446</v>
      </c>
      <c r="G28" s="246">
        <f t="shared" si="5"/>
        <v>110356.4622390868</v>
      </c>
      <c r="H28" s="246">
        <f t="shared" si="5"/>
        <v>125949.41630809491</v>
      </c>
      <c r="I28" s="246">
        <f t="shared" si="5"/>
        <v>137791.75438664836</v>
      </c>
      <c r="J28" s="246">
        <f t="shared" si="5"/>
        <v>159056.8465420338</v>
      </c>
      <c r="K28" s="246">
        <f t="shared" si="5"/>
        <v>192995.85533971892</v>
      </c>
      <c r="L28" s="246">
        <f t="shared" si="5"/>
        <v>226067.66567846265</v>
      </c>
      <c r="M28" s="246">
        <f t="shared" si="5"/>
        <v>260096.88461022897</v>
      </c>
    </row>
    <row r="29" spans="2:13">
      <c r="B29" s="227" t="s">
        <v>143</v>
      </c>
      <c r="D29" s="249"/>
      <c r="E29" s="246">
        <f t="shared" si="4"/>
        <v>55770.966328462688</v>
      </c>
      <c r="F29" s="246">
        <f t="shared" si="5"/>
        <v>87421.081854440446</v>
      </c>
      <c r="G29" s="246">
        <f t="shared" si="5"/>
        <v>110356.4622390868</v>
      </c>
      <c r="H29" s="246">
        <f t="shared" si="5"/>
        <v>125949.41630809491</v>
      </c>
      <c r="I29" s="246">
        <f t="shared" si="5"/>
        <v>137791.75438664836</v>
      </c>
      <c r="J29" s="246">
        <f t="shared" si="5"/>
        <v>159056.8465420338</v>
      </c>
      <c r="K29" s="246">
        <f t="shared" si="5"/>
        <v>192995.85533971892</v>
      </c>
      <c r="L29" s="246">
        <f t="shared" si="5"/>
        <v>226067.66567846265</v>
      </c>
      <c r="M29" s="246">
        <f t="shared" si="5"/>
        <v>260096.88461022897</v>
      </c>
    </row>
    <row r="30" spans="2:13">
      <c r="B30" s="227" t="s">
        <v>144</v>
      </c>
      <c r="D30" s="249"/>
      <c r="E30" s="246">
        <f t="shared" si="4"/>
        <v>55770.966328462688</v>
      </c>
      <c r="F30" s="246">
        <f t="shared" si="5"/>
        <v>87421.081854440446</v>
      </c>
      <c r="G30" s="246">
        <f t="shared" si="5"/>
        <v>110356.4622390868</v>
      </c>
      <c r="H30" s="246">
        <f t="shared" si="5"/>
        <v>125949.41630809491</v>
      </c>
      <c r="I30" s="246">
        <f t="shared" si="5"/>
        <v>137791.75438664836</v>
      </c>
      <c r="J30" s="246">
        <f t="shared" si="5"/>
        <v>159056.8465420338</v>
      </c>
      <c r="K30" s="246">
        <f t="shared" si="5"/>
        <v>192995.85533971892</v>
      </c>
      <c r="L30" s="246">
        <f t="shared" si="5"/>
        <v>226067.66567846265</v>
      </c>
      <c r="M30" s="246">
        <f t="shared" si="5"/>
        <v>260096.88461022897</v>
      </c>
    </row>
    <row r="33" spans="2:11">
      <c r="B33" s="245" t="s">
        <v>110</v>
      </c>
      <c r="C33" s="250"/>
      <c r="D33" s="251" t="s">
        <v>149</v>
      </c>
    </row>
    <row r="34" spans="2:11">
      <c r="B34" s="227" t="s">
        <v>141</v>
      </c>
      <c r="D34" s="252">
        <f>NPV(5.64378%,E8:M8)/NPV(5.64378%,E26:M26)+NPV(5.64378%,E17:M17)/NPV(5.64378%,E26:M26)</f>
        <v>49.686332806879435</v>
      </c>
    </row>
    <row r="35" spans="2:11">
      <c r="B35" s="227" t="s">
        <v>142</v>
      </c>
      <c r="D35" s="252">
        <f>NPV(5.64378%,E9:M9)/NPV(5.64378%,E27:M27)+NPV(5.64378%,E18:M18)/NPV(5.64378%,E27:M27)</f>
        <v>0</v>
      </c>
    </row>
    <row r="36" spans="2:11">
      <c r="B36" s="227" t="s">
        <v>4</v>
      </c>
      <c r="D36" s="252">
        <f>NPV(5.64378%,E10:M10)/NPV(5.64378%,E28:M28)+NPV(5.64378%,E19:M19)/NPV(5.64378%,E28:M28)</f>
        <v>84.843833143030835</v>
      </c>
    </row>
    <row r="37" spans="2:11">
      <c r="B37" s="227" t="s">
        <v>143</v>
      </c>
      <c r="D37" s="252">
        <f>NPV(5.64378%,E11:M11)/NPV(5.64378%,E29:M29)+NPV(5.64378%,E20:M20)/NPV(5.64378%,E29:M29)</f>
        <v>12.827514510728115</v>
      </c>
    </row>
    <row r="38" spans="2:11">
      <c r="B38" s="227" t="s">
        <v>144</v>
      </c>
      <c r="D38" s="252">
        <f>NPV(5.64378%,E12:M12)/NPV(5.64378%,E30:M30)+NPV(5.64378%,E21:M21)/NPV(5.64378%,E30:M30)</f>
        <v>9.6768969116019097</v>
      </c>
    </row>
    <row r="41" spans="2:11" ht="38.25">
      <c r="B41" s="253" t="s">
        <v>150</v>
      </c>
      <c r="C41" s="253" t="s">
        <v>151</v>
      </c>
      <c r="D41" s="254" t="s">
        <v>152</v>
      </c>
      <c r="E41" s="254" t="s">
        <v>111</v>
      </c>
      <c r="F41" s="254" t="s">
        <v>112</v>
      </c>
      <c r="G41" s="254" t="s">
        <v>114</v>
      </c>
    </row>
    <row r="42" spans="2:11">
      <c r="B42" s="255" t="s">
        <v>6</v>
      </c>
      <c r="C42" s="255" t="s">
        <v>144</v>
      </c>
      <c r="D42" s="256">
        <f>SUM(D34:D38)</f>
        <v>157.03457737224031</v>
      </c>
      <c r="E42" s="257">
        <v>0.6</v>
      </c>
      <c r="F42" s="257">
        <f>D42*E42</f>
        <v>94.220746423344181</v>
      </c>
      <c r="G42" s="258">
        <f>F42*Selection!F15</f>
        <v>47275.335705319318</v>
      </c>
      <c r="H42" s="263"/>
      <c r="I42" s="263"/>
      <c r="J42" s="263"/>
      <c r="K42" s="263"/>
    </row>
    <row r="43" spans="2:11">
      <c r="B43" s="255" t="s">
        <v>23</v>
      </c>
      <c r="C43" s="255" t="s">
        <v>144</v>
      </c>
      <c r="D43" s="256">
        <f>SUM(D34:D38)</f>
        <v>157.03457737224031</v>
      </c>
      <c r="E43" s="257">
        <v>0.7</v>
      </c>
      <c r="F43" s="257">
        <f t="shared" ref="F43:F46" si="6">D43*E43</f>
        <v>109.92420416056821</v>
      </c>
      <c r="G43" s="258">
        <f>F43*Selection!F16</f>
        <v>73697.607357489571</v>
      </c>
      <c r="H43" s="263"/>
      <c r="I43" s="263"/>
      <c r="J43" s="263"/>
      <c r="K43" s="263"/>
    </row>
    <row r="44" spans="2:11">
      <c r="B44" s="255" t="s">
        <v>5</v>
      </c>
      <c r="C44" s="255" t="s">
        <v>143</v>
      </c>
      <c r="D44" s="256">
        <f>SUM(D34:D37)</f>
        <v>147.35768046063839</v>
      </c>
      <c r="E44" s="257">
        <v>0.7</v>
      </c>
      <c r="F44" s="257">
        <f t="shared" si="6"/>
        <v>103.15037632244687</v>
      </c>
      <c r="G44" s="258">
        <f>F44*Selection!F17</f>
        <v>62193.361636088346</v>
      </c>
      <c r="H44" s="263"/>
      <c r="I44" s="263"/>
      <c r="J44" s="263"/>
      <c r="K44" s="263"/>
    </row>
    <row r="45" spans="2:11">
      <c r="B45" s="255" t="s">
        <v>4</v>
      </c>
      <c r="C45" s="255" t="s">
        <v>4</v>
      </c>
      <c r="D45" s="256">
        <f>SUM(D34:D36)</f>
        <v>134.53016594991027</v>
      </c>
      <c r="E45" s="257">
        <v>0.5</v>
      </c>
      <c r="F45" s="257">
        <f t="shared" si="6"/>
        <v>67.265082974955135</v>
      </c>
      <c r="G45" s="258">
        <f>F45*Selection!F18</f>
        <v>7708.4894632204623</v>
      </c>
      <c r="H45" s="263"/>
      <c r="I45" s="263"/>
      <c r="J45" s="263"/>
      <c r="K45" s="263"/>
    </row>
    <row r="46" spans="2:11">
      <c r="B46" s="259" t="s">
        <v>141</v>
      </c>
      <c r="C46" s="259" t="s">
        <v>141</v>
      </c>
      <c r="D46" s="260">
        <f>D34</f>
        <v>49.686332806879435</v>
      </c>
      <c r="E46" s="261">
        <v>0.5</v>
      </c>
      <c r="F46" s="261">
        <f t="shared" si="6"/>
        <v>24.843166403439717</v>
      </c>
      <c r="G46" s="262">
        <f>F46*Selection!F19</f>
        <v>383.71764669258397</v>
      </c>
      <c r="H46" s="263"/>
      <c r="I46" s="263"/>
      <c r="J46" s="263"/>
      <c r="K46" s="26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M31"/>
  <sheetViews>
    <sheetView showGridLines="0" tabSelected="1" topLeftCell="A13" zoomScaleNormal="100" workbookViewId="0">
      <selection activeCell="H29" sqref="H29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196" customFormat="1" ht="21">
      <c r="A1" s="193" t="s">
        <v>122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s="204" customFormat="1" ht="15.75">
      <c r="A2" s="206" t="s">
        <v>29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4" spans="1:13">
      <c r="B4" s="5" t="s">
        <v>94</v>
      </c>
      <c r="C4" s="7">
        <f>Inputs!C6</f>
        <v>2020</v>
      </c>
    </row>
    <row r="6" spans="1:13">
      <c r="B6" s="220" t="s">
        <v>26</v>
      </c>
      <c r="C6" s="221" t="s">
        <v>7</v>
      </c>
      <c r="D6" s="221" t="s">
        <v>96</v>
      </c>
      <c r="E6" s="221" t="s">
        <v>10</v>
      </c>
      <c r="F6" s="221" t="s">
        <v>290</v>
      </c>
    </row>
    <row r="7" spans="1:13">
      <c r="B7" s="222"/>
      <c r="C7" s="223" t="s">
        <v>106</v>
      </c>
      <c r="D7" s="223" t="s">
        <v>106</v>
      </c>
      <c r="E7" s="223" t="s">
        <v>106</v>
      </c>
      <c r="F7" s="223" t="s">
        <v>106</v>
      </c>
    </row>
    <row r="8" spans="1:13">
      <c r="B8" s="66" t="s">
        <v>6</v>
      </c>
      <c r="C8" s="67">
        <f>'Avoided cost'!D10</f>
        <v>47405.560920454183</v>
      </c>
      <c r="D8" s="67">
        <f>(SUMIF(Selection!$C$89:$C$134,Selection!$B26,Selection!$F$89:$F$134)/1000)/(1+Inputs!$C$4)</f>
        <v>84592.652457268676</v>
      </c>
      <c r="E8" s="67">
        <f>CHOOSE(Inputs!$D$7,'SAC - VPN'!F39,#REF!)</f>
        <v>169192.77465966632</v>
      </c>
      <c r="F8" s="258">
        <f>LRMC!G42</f>
        <v>47275.335705319318</v>
      </c>
    </row>
    <row r="9" spans="1:13">
      <c r="B9" s="66" t="s">
        <v>23</v>
      </c>
      <c r="C9" s="67">
        <f>'Avoided cost'!E10</f>
        <v>47474.809121069571</v>
      </c>
      <c r="D9" s="67">
        <f>(SUMIF(Selection!$C$89:$C$134,Selection!$B27,Selection!$F$89:$F$134)/1000)/(1+Inputs!$C$4)</f>
        <v>100449.85214282757</v>
      </c>
      <c r="E9" s="67">
        <f>CHOOSE(Inputs!$D$7,'SAC - VPN'!F40,#REF!)</f>
        <v>155669.54717767041</v>
      </c>
      <c r="F9" s="258">
        <f>LRMC!G43</f>
        <v>73697.607357489571</v>
      </c>
    </row>
    <row r="10" spans="1:13">
      <c r="B10" s="66" t="s">
        <v>5</v>
      </c>
      <c r="C10" s="67">
        <f>'Avoided cost'!F10</f>
        <v>20880.748094543866</v>
      </c>
      <c r="D10" s="67">
        <f>(SUMIF(Selection!$C$89:$C$134,Selection!$B28,Selection!$F$89:$F$134)/1000)/(1+Inputs!$C$4)</f>
        <v>104801.43645355709</v>
      </c>
      <c r="E10" s="67">
        <f>CHOOSE(Inputs!$D$7,'SAC - VPN'!F41,#REF!)</f>
        <v>108879.10604046282</v>
      </c>
      <c r="F10" s="258">
        <f>LRMC!G44</f>
        <v>62193.361636088346</v>
      </c>
    </row>
    <row r="11" spans="1:13">
      <c r="B11" s="66" t="s">
        <v>4</v>
      </c>
      <c r="C11" s="67">
        <f>'Avoided cost'!G10</f>
        <v>2061.9659262356295</v>
      </c>
      <c r="D11" s="67">
        <f>(SUMIF(Selection!$C$89:$C$134,Selection!$B29,Selection!$F$89:$F$134)/1000)/(1+Inputs!$C$4)</f>
        <v>15583.823364725653</v>
      </c>
      <c r="E11" s="67">
        <f>CHOOSE(Inputs!$D$7,'SAC - VPN'!F42,#REF!)</f>
        <v>81203.706075414506</v>
      </c>
      <c r="F11" s="258">
        <f>LRMC!G45</f>
        <v>7708.4894632204623</v>
      </c>
    </row>
    <row r="12" spans="1:13">
      <c r="B12" s="69" t="s">
        <v>11</v>
      </c>
      <c r="C12" s="70">
        <f>'Avoided cost'!H10</f>
        <v>140.72347656211139</v>
      </c>
      <c r="D12" s="70">
        <f>(SUMIF(Selection!$C$89:$C$134,Selection!$B30,Selection!$F$89:$F$134)/1000)/(1+Inputs!$C$4)</f>
        <v>996.8240786151091</v>
      </c>
      <c r="E12" s="70">
        <f>CHOOSE(Inputs!$D$7,'SAC - VPN'!F43,#REF!)</f>
        <v>69919.690633736696</v>
      </c>
      <c r="F12" s="70">
        <f>LRMC!G46</f>
        <v>383.71764669258397</v>
      </c>
    </row>
    <row r="15" spans="1:13">
      <c r="B15" s="220" t="s">
        <v>26</v>
      </c>
      <c r="C15" s="221" t="s">
        <v>7</v>
      </c>
      <c r="D15" s="221" t="s">
        <v>96</v>
      </c>
      <c r="E15" s="221" t="s">
        <v>10</v>
      </c>
      <c r="F15" s="221" t="s">
        <v>290</v>
      </c>
      <c r="G15" s="71"/>
      <c r="H15" s="71"/>
    </row>
    <row r="16" spans="1:13">
      <c r="B16" s="222"/>
      <c r="C16" s="223" t="s">
        <v>95</v>
      </c>
      <c r="D16" s="223" t="s">
        <v>95</v>
      </c>
      <c r="E16" s="223" t="s">
        <v>95</v>
      </c>
      <c r="F16" s="223" t="s">
        <v>95</v>
      </c>
      <c r="G16" s="72"/>
      <c r="H16" s="2"/>
    </row>
    <row r="17" spans="2:8">
      <c r="B17" s="66" t="s">
        <v>6</v>
      </c>
      <c r="C17" s="67">
        <f>C8*(1+Inputs!$C$4)^($C$4-2015)</f>
        <v>53173.752174995563</v>
      </c>
      <c r="D17" s="67">
        <f t="array" ref="D17">SUM(IF(($C$4=Inputs!$D$9:$I$9)*(Summary!$B17=Inputs!$C$186:$C$233),Inputs!$D$186:$I$233,""))/1000</f>
        <v>86557.807296546831</v>
      </c>
      <c r="E17" s="67">
        <f>E8*(1+Inputs!$C$4)^($C$4-2015)</f>
        <v>189779.73248010187</v>
      </c>
      <c r="F17" s="67">
        <f>F8*(1+Inputs!$C$4)^($C$4-2015)</f>
        <v>53027.681478181403</v>
      </c>
      <c r="G17" s="43"/>
      <c r="H17" s="2"/>
    </row>
    <row r="18" spans="2:8">
      <c r="B18" s="66" t="s">
        <v>23</v>
      </c>
      <c r="C18" s="67">
        <f>C9*(1+Inputs!$C$4)^($C$4-2015)</f>
        <v>53251.426325171014</v>
      </c>
      <c r="D18" s="67">
        <f t="array" ref="D18">SUM(IF(($C$4=Inputs!$D$9:$I$9)*(Summary!$B18=Inputs!$C$186:$C$233),Inputs!$D$186:$I$233,""))/1000</f>
        <v>103624.64973888098</v>
      </c>
      <c r="E18" s="67">
        <f>E9*(1+Inputs!$C$4)^($C$4-2015)</f>
        <v>174611.03216790967</v>
      </c>
      <c r="F18" s="67">
        <f>F9*(1+Inputs!$C$4)^($C$4-2015)</f>
        <v>82664.949711130539</v>
      </c>
      <c r="G18" s="43"/>
      <c r="H18" s="2"/>
    </row>
    <row r="19" spans="2:8">
      <c r="B19" s="66" t="s">
        <v>5</v>
      </c>
      <c r="C19" s="67">
        <f>C10*(1+Inputs!$C$4)^($C$4-2015)</f>
        <v>23421.465812225404</v>
      </c>
      <c r="D19" s="67">
        <f t="array" ref="D19">SUM(IF(($C$4=Inputs!$D$9:$I$9)*(Summary!$B19=Inputs!$C$186:$C$233),Inputs!$D$186:$I$233,""))/1000</f>
        <v>107236.05747592123</v>
      </c>
      <c r="E19" s="67">
        <f>E10*(1+Inputs!$C$4)^($C$4-2015)</f>
        <v>122127.24602806292</v>
      </c>
      <c r="F19" s="67">
        <f>F10*(1+Inputs!$C$4)^($C$4-2015)</f>
        <v>69760.895860222518</v>
      </c>
      <c r="G19" s="43"/>
      <c r="H19" s="2"/>
    </row>
    <row r="20" spans="2:8">
      <c r="B20" s="66" t="s">
        <v>4</v>
      </c>
      <c r="C20" s="67">
        <f>C11*(1+Inputs!$C$4)^($C$4-2015)</f>
        <v>2312.8608337514866</v>
      </c>
      <c r="D20" s="67">
        <f t="array" ref="D20">SUM(IF(($C$4=Inputs!$D$9:$I$9)*(Summary!$B20=Inputs!$C$186:$C$233),Inputs!$D$186:$I$233,""))/1000</f>
        <v>15945.848020650898</v>
      </c>
      <c r="E20" s="67">
        <f>E11*(1+Inputs!$C$4)^($C$4-2015)</f>
        <v>91084.371932454364</v>
      </c>
      <c r="F20" s="67">
        <f>F11*(1+Inputs!$C$4)^($C$4-2015)</f>
        <v>8646.4393712931178</v>
      </c>
      <c r="G20" s="43"/>
      <c r="H20" s="2"/>
    </row>
    <row r="21" spans="2:8">
      <c r="B21" s="69" t="s">
        <v>11</v>
      </c>
      <c r="C21" s="70">
        <f>C12*(1+Inputs!$C$4)^($C$4-2015)</f>
        <v>157.84636069328502</v>
      </c>
      <c r="D21" s="70">
        <f t="array" ref="D21">SUM(IF(($C$4=Inputs!$D$9:$I$9)*(Summary!$B21=Inputs!$C$186:$C$233),Inputs!$D$186:$I$233,""))/1000</f>
        <v>1019.9810976362232</v>
      </c>
      <c r="E21" s="70">
        <f>E12*(1+Inputs!$C$4)^($C$4-2015)</f>
        <v>78427.345436313699</v>
      </c>
      <c r="F21" s="70">
        <f>F12*(1+Inputs!$C$4)^($C$4-2015)</f>
        <v>430.40745967843475</v>
      </c>
      <c r="G21" s="43"/>
      <c r="H21" s="2"/>
    </row>
    <row r="23" spans="2:8">
      <c r="D23" s="268"/>
    </row>
    <row r="24" spans="2:8" s="44" customFormat="1">
      <c r="B24" s="73"/>
      <c r="H24" s="44" t="s">
        <v>91</v>
      </c>
    </row>
    <row r="25" spans="2:8" s="44" customFormat="1"/>
    <row r="26" spans="2:8" s="44" customFormat="1">
      <c r="B26" s="73"/>
    </row>
    <row r="27" spans="2:8" s="44" customFormat="1">
      <c r="B27" s="66"/>
    </row>
    <row r="28" spans="2:8" s="44" customFormat="1">
      <c r="B28" s="66"/>
    </row>
    <row r="29" spans="2:8" s="44" customFormat="1">
      <c r="B29" s="66"/>
    </row>
    <row r="30" spans="2:8" s="44" customFormat="1">
      <c r="B30" s="66"/>
    </row>
    <row r="31" spans="2:8" s="44" customFormat="1">
      <c r="B31" s="66"/>
    </row>
  </sheetData>
  <phoneticPr fontId="2" type="noConversion"/>
  <pageMargins left="0.56000000000000005" right="0.39" top="1" bottom="0.6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2017-09-28T01:05:27Z</dcterms:created>
  <dcterms:modified xsi:type="dcterms:W3CDTF">2019-09-26T22:51:03Z</dcterms:modified>
</cp:coreProperties>
</file>