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30" yWindow="1860" windowWidth="23490" windowHeight="10290" tabRatio="807"/>
  </bookViews>
  <sheets>
    <sheet name="Index" sheetId="1" r:id="rId1"/>
    <sheet name="Input|General" sheetId="54" r:id="rId2"/>
    <sheet name="Input|Inflation" sheetId="55" r:id="rId3"/>
    <sheet name="Input|Reported opex" sheetId="3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dollars">'Lookup|Tables'!$G$10</definedName>
    <definedName name="factor">'Lookup|Tables'!$G$17</definedName>
    <definedName name="millions">'Lookup|Tables'!$G$12</definedName>
    <definedName name="Nominal_to_Real">'Input|Rate of change'!$C$23:$C$26</definedName>
    <definedName name="number">'Lookup|Tables'!$G$16</definedName>
    <definedName name="percent">'Lookup|Tables'!$G$14</definedName>
    <definedName name="Real_to_Nominal">'Input|Rate of change'!$C$16:$C$19</definedName>
    <definedName name="thousands">'Lookup|Tables'!$G$11</definedName>
    <definedName name="unit">'Lookup|Tables'!$G$15</definedName>
  </definedNames>
  <calcPr calcId="145621"/>
</workbook>
</file>

<file path=xl/calcChain.xml><?xml version="1.0" encoding="utf-8"?>
<calcChain xmlns="http://schemas.openxmlformats.org/spreadsheetml/2006/main">
  <c r="N29" i="53" l="1"/>
  <c r="O29" i="53"/>
  <c r="P29" i="53"/>
  <c r="Q29" i="53"/>
  <c r="M29" i="53"/>
  <c r="S51" i="55"/>
  <c r="S52" i="55"/>
  <c r="E51" i="55"/>
  <c r="E52" i="55"/>
  <c r="O34" i="2" l="1"/>
  <c r="P34" i="2"/>
  <c r="Q34" i="2"/>
  <c r="R34" i="2"/>
  <c r="N34" i="2"/>
  <c r="L12" i="2"/>
  <c r="L25" i="2" s="1"/>
  <c r="K12" i="2"/>
  <c r="K16" i="2" s="1"/>
  <c r="J12" i="2"/>
  <c r="J23" i="2" s="1"/>
  <c r="E50" i="55"/>
  <c r="M83" i="2"/>
  <c r="W83" i="2"/>
  <c r="C81" i="2"/>
  <c r="C80" i="2"/>
  <c r="C79" i="2"/>
  <c r="C78" i="2"/>
  <c r="C77" i="2"/>
  <c r="C76" i="2"/>
  <c r="T72" i="2"/>
  <c r="S72" i="2"/>
  <c r="R72" i="2"/>
  <c r="Q72" i="2"/>
  <c r="P72" i="2"/>
  <c r="O72" i="2"/>
  <c r="N72" i="2"/>
  <c r="M72" i="2"/>
  <c r="L72" i="2"/>
  <c r="K72" i="2"/>
  <c r="C72" i="2"/>
  <c r="T71" i="2"/>
  <c r="S71" i="2"/>
  <c r="R71" i="2"/>
  <c r="Q71" i="2"/>
  <c r="P71" i="2"/>
  <c r="O71" i="2"/>
  <c r="N71" i="2"/>
  <c r="M71" i="2"/>
  <c r="L71" i="2"/>
  <c r="K71" i="2"/>
  <c r="C71" i="2"/>
  <c r="T70" i="2"/>
  <c r="S70" i="2"/>
  <c r="M70" i="2"/>
  <c r="L70" i="2"/>
  <c r="K70" i="2"/>
  <c r="C70" i="2"/>
  <c r="T69" i="2"/>
  <c r="S69" i="2"/>
  <c r="M69" i="2"/>
  <c r="L69" i="2"/>
  <c r="K69" i="2"/>
  <c r="C69" i="2"/>
  <c r="T68" i="2"/>
  <c r="S68" i="2"/>
  <c r="R68" i="2"/>
  <c r="Q68" i="2"/>
  <c r="P68" i="2"/>
  <c r="O68" i="2"/>
  <c r="N68" i="2"/>
  <c r="M68" i="2"/>
  <c r="L68" i="2"/>
  <c r="K68" i="2"/>
  <c r="C68" i="2"/>
  <c r="T67" i="2"/>
  <c r="S45" i="42"/>
  <c r="S67" i="2"/>
  <c r="R67" i="2"/>
  <c r="Q67" i="2"/>
  <c r="P67" i="2"/>
  <c r="O67" i="2"/>
  <c r="N67" i="2"/>
  <c r="M67" i="2"/>
  <c r="L67" i="2"/>
  <c r="K45" i="42"/>
  <c r="K67" i="2"/>
  <c r="C67" i="2"/>
  <c r="N69" i="2"/>
  <c r="J45" i="42"/>
  <c r="L45" i="42"/>
  <c r="R45" i="42"/>
  <c r="O70" i="2"/>
  <c r="N70" i="2"/>
  <c r="M45" i="42"/>
  <c r="Q70" i="2"/>
  <c r="P70" i="2"/>
  <c r="O69" i="2"/>
  <c r="N45" i="42"/>
  <c r="R70" i="2"/>
  <c r="P69" i="2"/>
  <c r="O45" i="42"/>
  <c r="R69" i="2"/>
  <c r="Q45" i="42"/>
  <c r="Q69" i="2"/>
  <c r="P45" i="42"/>
  <c r="O52" i="2"/>
  <c r="N52" i="2"/>
  <c r="F35" i="38"/>
  <c r="E35" i="38"/>
  <c r="F41" i="38"/>
  <c r="E41" i="38"/>
  <c r="C77" i="42"/>
  <c r="C78" i="42"/>
  <c r="C76" i="42"/>
  <c r="F80" i="42"/>
  <c r="E80" i="42"/>
  <c r="F78" i="42"/>
  <c r="E78" i="42"/>
  <c r="F77" i="42"/>
  <c r="E77" i="42"/>
  <c r="F76" i="42"/>
  <c r="E76" i="42"/>
  <c r="F33" i="42"/>
  <c r="F30" i="42"/>
  <c r="F27" i="42"/>
  <c r="F34" i="42"/>
  <c r="F31" i="42"/>
  <c r="F28" i="42"/>
  <c r="E34" i="42"/>
  <c r="E31" i="42"/>
  <c r="E28" i="42"/>
  <c r="C33" i="42"/>
  <c r="C34" i="42"/>
  <c r="C30" i="42"/>
  <c r="C31" i="42"/>
  <c r="C27" i="42"/>
  <c r="C28" i="42"/>
  <c r="C24" i="42"/>
  <c r="C21" i="42"/>
  <c r="E54" i="38"/>
  <c r="E33" i="42"/>
  <c r="E53" i="38"/>
  <c r="E30" i="42"/>
  <c r="E52" i="38"/>
  <c r="E27" i="42"/>
  <c r="E50" i="38"/>
  <c r="E49" i="55"/>
  <c r="M12" i="2"/>
  <c r="M18" i="2" s="1"/>
  <c r="M25" i="2" s="1"/>
  <c r="F14" i="38"/>
  <c r="F15" i="38"/>
  <c r="F16" i="38"/>
  <c r="F17" i="38"/>
  <c r="F18" i="38"/>
  <c r="F19" i="38"/>
  <c r="F20" i="38"/>
  <c r="F21" i="38"/>
  <c r="F22" i="38"/>
  <c r="F13" i="38"/>
  <c r="S43" i="55"/>
  <c r="S44" i="55"/>
  <c r="S45" i="55"/>
  <c r="S46" i="55"/>
  <c r="S47" i="55"/>
  <c r="S48" i="55"/>
  <c r="S49" i="55"/>
  <c r="S50" i="55"/>
  <c r="K4" i="44"/>
  <c r="K11" i="44" s="1"/>
  <c r="K12" i="44" s="1"/>
  <c r="K4" i="42"/>
  <c r="K74" i="42" s="1"/>
  <c r="K4" i="53"/>
  <c r="K27" i="53" s="1"/>
  <c r="K4" i="38"/>
  <c r="K10" i="38" s="1"/>
  <c r="L4" i="2"/>
  <c r="K49" i="38"/>
  <c r="S41" i="55"/>
  <c r="S39" i="55"/>
  <c r="S40" i="55"/>
  <c r="S42" i="55"/>
  <c r="F87" i="42"/>
  <c r="E87" i="42"/>
  <c r="I21" i="42"/>
  <c r="F24" i="42"/>
  <c r="F25" i="42"/>
  <c r="F22" i="42"/>
  <c r="F17" i="42"/>
  <c r="F15" i="42"/>
  <c r="F21" i="42"/>
  <c r="E25" i="42"/>
  <c r="E22" i="42"/>
  <c r="C25" i="42"/>
  <c r="C22" i="42"/>
  <c r="F38" i="42"/>
  <c r="F36" i="42"/>
  <c r="E51" i="38"/>
  <c r="E24" i="42"/>
  <c r="E21" i="42"/>
  <c r="J4" i="2"/>
  <c r="J14" i="2" s="1"/>
  <c r="M4" i="2"/>
  <c r="M10" i="2" s="1"/>
  <c r="C26" i="2" s="1"/>
  <c r="N4" i="2"/>
  <c r="N87" i="2" s="1"/>
  <c r="O4" i="2"/>
  <c r="C58" i="42"/>
  <c r="C59" i="42"/>
  <c r="C60" i="42"/>
  <c r="C61" i="42"/>
  <c r="C62" i="42"/>
  <c r="C63" i="42"/>
  <c r="C64" i="42"/>
  <c r="C65" i="42"/>
  <c r="C66" i="42"/>
  <c r="C67" i="42"/>
  <c r="C68" i="42"/>
  <c r="L4" i="44"/>
  <c r="L11" i="44" s="1"/>
  <c r="L12" i="44" s="1"/>
  <c r="M4" i="44"/>
  <c r="M11" i="44" s="1"/>
  <c r="N4" i="44"/>
  <c r="N11" i="44" s="1"/>
  <c r="O4" i="44"/>
  <c r="O11" i="44" s="1"/>
  <c r="P4" i="44"/>
  <c r="P11" i="44" s="1"/>
  <c r="Q4" i="44"/>
  <c r="Q11" i="44" s="1"/>
  <c r="R4" i="44"/>
  <c r="S4" i="44"/>
  <c r="O4" i="42"/>
  <c r="L4" i="42"/>
  <c r="L74" i="42" s="1"/>
  <c r="M4" i="42"/>
  <c r="M74" i="42" s="1"/>
  <c r="N4" i="42"/>
  <c r="N74" i="42" s="1"/>
  <c r="F12" i="42"/>
  <c r="E12" i="42"/>
  <c r="P4" i="42"/>
  <c r="Q4" i="42"/>
  <c r="Q55" i="42" s="1"/>
  <c r="R4" i="42"/>
  <c r="R74" i="42" s="1"/>
  <c r="S4" i="42"/>
  <c r="S74" i="42" s="1"/>
  <c r="F14" i="42"/>
  <c r="E14" i="42"/>
  <c r="M24" i="38"/>
  <c r="F16" i="42"/>
  <c r="E16" i="42"/>
  <c r="N24" i="38"/>
  <c r="F12" i="44"/>
  <c r="L17" i="2"/>
  <c r="L24" i="2" s="1"/>
  <c r="S4" i="2"/>
  <c r="R4" i="2"/>
  <c r="Q4" i="2"/>
  <c r="Q41" i="2" s="1"/>
  <c r="P4" i="2"/>
  <c r="P87" i="2" s="1"/>
  <c r="K18" i="2"/>
  <c r="S33" i="55"/>
  <c r="S34" i="55"/>
  <c r="S35" i="55"/>
  <c r="S36" i="55"/>
  <c r="S37" i="55"/>
  <c r="S38" i="55"/>
  <c r="K4" i="2"/>
  <c r="E38" i="42"/>
  <c r="F19" i="42"/>
  <c r="E36" i="42"/>
  <c r="F13" i="42"/>
  <c r="E13" i="42"/>
  <c r="J4" i="42"/>
  <c r="J74" i="42"/>
  <c r="E15" i="42"/>
  <c r="E40" i="38"/>
  <c r="F40" i="38"/>
  <c r="E33" i="38"/>
  <c r="F33" i="38"/>
  <c r="E34" i="38"/>
  <c r="F34" i="38"/>
  <c r="E36" i="38"/>
  <c r="F36" i="38"/>
  <c r="E42" i="38"/>
  <c r="F42" i="38"/>
  <c r="E43" i="38"/>
  <c r="F43" i="38"/>
  <c r="E32" i="38"/>
  <c r="F32" i="38"/>
  <c r="E14" i="38"/>
  <c r="E15" i="38"/>
  <c r="E16" i="38"/>
  <c r="E17" i="38"/>
  <c r="E18" i="38"/>
  <c r="E19" i="38"/>
  <c r="E20" i="38"/>
  <c r="E21" i="38"/>
  <c r="E22" i="38"/>
  <c r="E13" i="38"/>
  <c r="E12" i="44"/>
  <c r="E86" i="42"/>
  <c r="J84" i="42"/>
  <c r="J4" i="44"/>
  <c r="J11" i="44"/>
  <c r="J12" i="44"/>
  <c r="E17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70" i="42"/>
  <c r="E19" i="42"/>
  <c r="F58" i="42"/>
  <c r="F59" i="42"/>
  <c r="F60" i="42"/>
  <c r="F61" i="42"/>
  <c r="F62" i="42"/>
  <c r="F63" i="42"/>
  <c r="F64" i="42"/>
  <c r="F65" i="42"/>
  <c r="F66" i="42"/>
  <c r="F67" i="42"/>
  <c r="F68" i="42"/>
  <c r="F57" i="42"/>
  <c r="F86" i="42"/>
  <c r="F70" i="42"/>
  <c r="K10" i="2"/>
  <c r="K21" i="2"/>
  <c r="T4" i="2"/>
  <c r="S29" i="55"/>
  <c r="S30" i="55"/>
  <c r="S19" i="55"/>
  <c r="S20" i="55"/>
  <c r="S22" i="55"/>
  <c r="S23" i="55"/>
  <c r="S24" i="55"/>
  <c r="S25" i="55"/>
  <c r="S26" i="55"/>
  <c r="S27" i="55"/>
  <c r="S28" i="55"/>
  <c r="S21" i="55"/>
  <c r="S31" i="55"/>
  <c r="S32" i="55"/>
  <c r="S10" i="55"/>
  <c r="S11" i="55"/>
  <c r="S12" i="55"/>
  <c r="S13" i="55"/>
  <c r="S14" i="55"/>
  <c r="S15" i="55"/>
  <c r="S16" i="55"/>
  <c r="S17" i="55"/>
  <c r="S18" i="55"/>
  <c r="S9" i="55"/>
  <c r="S1" i="55" s="1"/>
  <c r="B2" i="55"/>
  <c r="P52" i="2"/>
  <c r="Q52" i="2"/>
  <c r="R52" i="2"/>
  <c r="S9" i="54"/>
  <c r="S12" i="54"/>
  <c r="S1" i="38"/>
  <c r="G11" i="16"/>
  <c r="G14" i="16"/>
  <c r="S1" i="44"/>
  <c r="G15" i="16"/>
  <c r="B1" i="55"/>
  <c r="E12" i="2"/>
  <c r="O4" i="38"/>
  <c r="O29" i="38" s="1"/>
  <c r="O47" i="42"/>
  <c r="O49" i="42"/>
  <c r="J47" i="42"/>
  <c r="J49" i="42"/>
  <c r="K47" i="42"/>
  <c r="K49" i="42"/>
  <c r="L47" i="42"/>
  <c r="L49" i="42"/>
  <c r="M47" i="42"/>
  <c r="M49" i="42"/>
  <c r="N47" i="42"/>
  <c r="N49" i="42"/>
  <c r="P4" i="38"/>
  <c r="P10" i="38" s="1"/>
  <c r="P47" i="42"/>
  <c r="Q4" i="38"/>
  <c r="Q29" i="38" s="1"/>
  <c r="Q47" i="42"/>
  <c r="R4" i="38"/>
  <c r="R29" i="38" s="1"/>
  <c r="R47" i="42"/>
  <c r="S4" i="38"/>
  <c r="S10" i="38" s="1"/>
  <c r="S47" i="42"/>
  <c r="M4" i="38"/>
  <c r="M10" i="38" s="1"/>
  <c r="N4" i="38"/>
  <c r="N29" i="38" s="1"/>
  <c r="J4" i="38"/>
  <c r="J29" i="38"/>
  <c r="C57" i="42"/>
  <c r="P49" i="42"/>
  <c r="Q49" i="42"/>
  <c r="R49" i="42"/>
  <c r="S49" i="42"/>
  <c r="S7" i="54"/>
  <c r="S8" i="54"/>
  <c r="S10" i="54"/>
  <c r="S11" i="54"/>
  <c r="S1" i="53"/>
  <c r="G13" i="16"/>
  <c r="C11" i="16"/>
  <c r="D11" i="16"/>
  <c r="C12" i="16"/>
  <c r="D12" i="16"/>
  <c r="C13" i="16"/>
  <c r="D13" i="16" s="1"/>
  <c r="C14" i="16"/>
  <c r="D14" i="16" s="1"/>
  <c r="C15" i="16"/>
  <c r="D15" i="16" s="1"/>
  <c r="C10" i="16"/>
  <c r="D10" i="16" s="1"/>
  <c r="C44" i="2"/>
  <c r="C45" i="2"/>
  <c r="C46" i="2"/>
  <c r="C47" i="2"/>
  <c r="C48" i="2"/>
  <c r="C49" i="2"/>
  <c r="C50" i="2"/>
  <c r="C43" i="2"/>
  <c r="E50" i="2"/>
  <c r="E49" i="2"/>
  <c r="E48" i="2"/>
  <c r="E47" i="2"/>
  <c r="E46" i="2"/>
  <c r="E45" i="2"/>
  <c r="E44" i="2"/>
  <c r="E43" i="2"/>
  <c r="B2" i="53"/>
  <c r="B1" i="53"/>
  <c r="S4" i="53"/>
  <c r="S27" i="53" s="1"/>
  <c r="R4" i="53"/>
  <c r="R27" i="53" s="1"/>
  <c r="Q4" i="53"/>
  <c r="Q27" i="53" s="1"/>
  <c r="P4" i="53"/>
  <c r="P27" i="53" s="1"/>
  <c r="O4" i="53"/>
  <c r="O27" i="53" s="1"/>
  <c r="N4" i="53"/>
  <c r="N35" i="53" s="1"/>
  <c r="M4" i="53"/>
  <c r="M35" i="53" s="1"/>
  <c r="L4" i="53"/>
  <c r="L35" i="53" s="1"/>
  <c r="J4" i="53"/>
  <c r="J27" i="53"/>
  <c r="E89" i="2"/>
  <c r="L4" i="38"/>
  <c r="L49" i="38" s="1"/>
  <c r="B2" i="2"/>
  <c r="B1" i="2"/>
  <c r="K45" i="38"/>
  <c r="L45" i="38"/>
  <c r="N45" i="38"/>
  <c r="O45" i="38"/>
  <c r="P45" i="38"/>
  <c r="Q45" i="38"/>
  <c r="R45" i="38"/>
  <c r="S45" i="38"/>
  <c r="J45" i="38"/>
  <c r="O24" i="38"/>
  <c r="P24" i="38"/>
  <c r="Q24" i="38"/>
  <c r="R24" i="38"/>
  <c r="S24" i="38"/>
  <c r="C24" i="4"/>
  <c r="B2" i="54"/>
  <c r="B1" i="54"/>
  <c r="E38" i="2"/>
  <c r="J24" i="38"/>
  <c r="L24" i="38"/>
  <c r="K24" i="38"/>
  <c r="E39" i="2"/>
  <c r="B2" i="44"/>
  <c r="B2" i="42"/>
  <c r="C2" i="38"/>
  <c r="B1" i="44"/>
  <c r="B1" i="42"/>
  <c r="E37" i="2"/>
  <c r="E36" i="2"/>
  <c r="E35" i="2"/>
  <c r="E34" i="2"/>
  <c r="E33" i="2"/>
  <c r="E32" i="2"/>
  <c r="C1" i="38"/>
  <c r="B2" i="16"/>
  <c r="B1" i="16"/>
  <c r="C9" i="4"/>
  <c r="B2" i="4"/>
  <c r="B1" i="4"/>
  <c r="Q87" i="2"/>
  <c r="J49" i="38"/>
  <c r="J10" i="53"/>
  <c r="J35" i="53"/>
  <c r="J10" i="42"/>
  <c r="J14" i="42"/>
  <c r="J42" i="42"/>
  <c r="J55" i="42"/>
  <c r="K14" i="2"/>
  <c r="K41" i="2"/>
  <c r="K87" i="2"/>
  <c r="K30" i="2"/>
  <c r="W52" i="2"/>
  <c r="T1" i="2" s="1"/>
  <c r="G12" i="16" s="1"/>
  <c r="S1" i="16" s="1"/>
  <c r="K51" i="42"/>
  <c r="L51" i="42"/>
  <c r="R51" i="42"/>
  <c r="M26" i="2"/>
  <c r="J17" i="2"/>
  <c r="J24" i="2" s="1"/>
  <c r="J18" i="2"/>
  <c r="J25" i="2" s="1"/>
  <c r="S1" i="54"/>
  <c r="G10" i="16"/>
  <c r="J51" i="42"/>
  <c r="J10" i="38"/>
  <c r="J12" i="42"/>
  <c r="M17" i="2"/>
  <c r="M24" i="2" s="1"/>
  <c r="M45" i="38"/>
  <c r="C23" i="2" a="1"/>
  <c r="C24" i="2"/>
  <c r="C16" i="2" a="1"/>
  <c r="J21" i="42"/>
  <c r="J33" i="42"/>
  <c r="J27" i="42"/>
  <c r="J30" i="42"/>
  <c r="J24" i="42"/>
  <c r="J16" i="42"/>
  <c r="J19" i="42"/>
  <c r="S51" i="42"/>
  <c r="C17" i="2"/>
  <c r="N51" i="42"/>
  <c r="M51" i="42"/>
  <c r="P51" i="42"/>
  <c r="O51" i="42"/>
  <c r="Q51" i="42"/>
  <c r="K35" i="53" l="1"/>
  <c r="M55" i="42"/>
  <c r="P74" i="42"/>
  <c r="L16" i="2"/>
  <c r="M16" i="2" s="1"/>
  <c r="K23" i="2"/>
  <c r="K24" i="2"/>
  <c r="K25" i="2"/>
  <c r="L23" i="2"/>
  <c r="J10" i="2"/>
  <c r="C16" i="2" s="1"/>
  <c r="L19" i="2"/>
  <c r="Q10" i="42"/>
  <c r="Q30" i="42" s="1"/>
  <c r="M10" i="42"/>
  <c r="M21" i="42" s="1"/>
  <c r="M14" i="2"/>
  <c r="O41" i="2"/>
  <c r="R55" i="42"/>
  <c r="Q10" i="38"/>
  <c r="P10" i="42"/>
  <c r="P27" i="42" s="1"/>
  <c r="O10" i="42"/>
  <c r="O30" i="42" s="1"/>
  <c r="P29" i="38"/>
  <c r="P84" i="42"/>
  <c r="R30" i="2"/>
  <c r="P41" i="2"/>
  <c r="P55" i="42"/>
  <c r="O42" i="42"/>
  <c r="P10" i="2"/>
  <c r="R10" i="38"/>
  <c r="S29" i="38"/>
  <c r="M29" i="38"/>
  <c r="R87" i="2"/>
  <c r="L29" i="38"/>
  <c r="M49" i="38"/>
  <c r="R10" i="42"/>
  <c r="R16" i="42" s="1"/>
  <c r="M84" i="42"/>
  <c r="O84" i="42"/>
  <c r="R84" i="42"/>
  <c r="R10" i="2"/>
  <c r="P30" i="2"/>
  <c r="R41" i="2"/>
  <c r="S35" i="53"/>
  <c r="M42" i="42"/>
  <c r="P42" i="42"/>
  <c r="R42" i="42"/>
  <c r="O74" i="42"/>
  <c r="S10" i="42"/>
  <c r="S21" i="42" s="1"/>
  <c r="L84" i="42"/>
  <c r="L10" i="42"/>
  <c r="L33" i="42" s="1"/>
  <c r="N30" i="2"/>
  <c r="N41" i="2"/>
  <c r="R35" i="53"/>
  <c r="L42" i="42"/>
  <c r="N84" i="42"/>
  <c r="S84" i="42"/>
  <c r="K29" i="38"/>
  <c r="K84" i="42"/>
  <c r="N10" i="2"/>
  <c r="S55" i="42"/>
  <c r="O35" i="53"/>
  <c r="Q10" i="53"/>
  <c r="L10" i="53"/>
  <c r="R10" i="53"/>
  <c r="O55" i="42"/>
  <c r="L55" i="42"/>
  <c r="S42" i="42"/>
  <c r="K10" i="42"/>
  <c r="P10" i="53"/>
  <c r="N27" i="53"/>
  <c r="V1" i="44"/>
  <c r="V1" i="4"/>
  <c r="W1" i="2"/>
  <c r="V1" i="55"/>
  <c r="V1" i="42"/>
  <c r="V1" i="54"/>
  <c r="V1" i="38"/>
  <c r="V1" i="53"/>
  <c r="S10" i="53"/>
  <c r="O10" i="53"/>
  <c r="Q35" i="53"/>
  <c r="L10" i="38"/>
  <c r="N10" i="53"/>
  <c r="P35" i="53"/>
  <c r="L27" i="53"/>
  <c r="K42" i="42"/>
  <c r="K10" i="53"/>
  <c r="K55" i="42"/>
  <c r="N10" i="38"/>
  <c r="N49" i="38"/>
  <c r="O10" i="38"/>
  <c r="Q10" i="2"/>
  <c r="M21" i="2"/>
  <c r="C19" i="2"/>
  <c r="M27" i="53"/>
  <c r="M10" i="53"/>
  <c r="Q30" i="2"/>
  <c r="S87" i="2"/>
  <c r="S10" i="2"/>
  <c r="Q74" i="42"/>
  <c r="Q42" i="42"/>
  <c r="Q84" i="42"/>
  <c r="N42" i="42"/>
  <c r="N10" i="42"/>
  <c r="N55" i="42"/>
  <c r="O87" i="2"/>
  <c r="O30" i="2"/>
  <c r="O10" i="2"/>
  <c r="M87" i="2"/>
  <c r="M41" i="2"/>
  <c r="M30" i="2"/>
  <c r="L10" i="2"/>
  <c r="L30" i="2"/>
  <c r="L87" i="2"/>
  <c r="L41" i="2"/>
  <c r="L14" i="2"/>
  <c r="M16" i="42" l="1"/>
  <c r="M17" i="42" s="1"/>
  <c r="Q24" i="42"/>
  <c r="M30" i="42"/>
  <c r="O33" i="42"/>
  <c r="M14" i="42"/>
  <c r="M27" i="42"/>
  <c r="O24" i="42"/>
  <c r="Q19" i="42"/>
  <c r="J21" i="2"/>
  <c r="Q33" i="42"/>
  <c r="C23" i="2"/>
  <c r="Q12" i="42"/>
  <c r="O21" i="42"/>
  <c r="R12" i="42"/>
  <c r="O12" i="42"/>
  <c r="M33" i="42"/>
  <c r="P30" i="42"/>
  <c r="L26" i="2"/>
  <c r="K19" i="2"/>
  <c r="M23" i="2"/>
  <c r="R14" i="42"/>
  <c r="R15" i="42" s="1"/>
  <c r="Q14" i="42"/>
  <c r="Q15" i="42" s="1"/>
  <c r="Q21" i="42"/>
  <c r="Q27" i="42"/>
  <c r="O14" i="42"/>
  <c r="Q16" i="42"/>
  <c r="L27" i="42"/>
  <c r="P12" i="42"/>
  <c r="P19" i="42"/>
  <c r="P33" i="42"/>
  <c r="M12" i="42"/>
  <c r="M24" i="42"/>
  <c r="M19" i="42"/>
  <c r="P14" i="42"/>
  <c r="P15" i="42" s="1"/>
  <c r="P21" i="42"/>
  <c r="P24" i="42"/>
  <c r="P16" i="42"/>
  <c r="L12" i="42"/>
  <c r="L21" i="42"/>
  <c r="S12" i="42"/>
  <c r="S16" i="42"/>
  <c r="S17" i="42" s="1"/>
  <c r="R19" i="42"/>
  <c r="R21" i="42"/>
  <c r="L14" i="42"/>
  <c r="L15" i="42" s="1"/>
  <c r="L24" i="42"/>
  <c r="L16" i="42"/>
  <c r="L30" i="42"/>
  <c r="O16" i="42"/>
  <c r="O17" i="42" s="1"/>
  <c r="S19" i="42"/>
  <c r="O27" i="42"/>
  <c r="O19" i="42"/>
  <c r="K19" i="42"/>
  <c r="S14" i="42"/>
  <c r="S15" i="42" s="1"/>
  <c r="K14" i="42"/>
  <c r="K15" i="42" s="1"/>
  <c r="K27" i="42"/>
  <c r="K30" i="42"/>
  <c r="K24" i="42"/>
  <c r="K12" i="42"/>
  <c r="K21" i="42"/>
  <c r="K33" i="42"/>
  <c r="K16" i="42"/>
  <c r="K17" i="42" s="1"/>
  <c r="J15" i="42"/>
  <c r="P17" i="42"/>
  <c r="J17" i="42"/>
  <c r="M15" i="42"/>
  <c r="Q17" i="42"/>
  <c r="O15" i="42"/>
  <c r="L21" i="2"/>
  <c r="C18" i="2"/>
  <c r="N76" i="42" s="1"/>
  <c r="C25" i="2"/>
  <c r="N24" i="42"/>
  <c r="N30" i="42"/>
  <c r="N16" i="42"/>
  <c r="N17" i="42" s="1"/>
  <c r="N27" i="42"/>
  <c r="N21" i="42"/>
  <c r="N12" i="42"/>
  <c r="N14" i="42"/>
  <c r="N15" i="42" s="1"/>
  <c r="N33" i="42"/>
  <c r="N19" i="42"/>
  <c r="R17" i="42"/>
  <c r="P76" i="42" l="1"/>
  <c r="Q76" i="42"/>
  <c r="M76" i="42"/>
  <c r="O76" i="42"/>
  <c r="K26" i="2"/>
  <c r="J19" i="2"/>
  <c r="J26" i="2" s="1"/>
  <c r="L22" i="42"/>
  <c r="P13" i="42"/>
  <c r="P22" i="42"/>
  <c r="L13" i="42"/>
  <c r="L17" i="42"/>
  <c r="Q13" i="42"/>
  <c r="N22" i="42"/>
  <c r="N25" i="42"/>
  <c r="P31" i="42"/>
  <c r="Q34" i="42"/>
  <c r="L28" i="42"/>
  <c r="N34" i="42"/>
  <c r="N28" i="42"/>
  <c r="N31" i="42"/>
  <c r="K31" i="42"/>
  <c r="K28" i="42"/>
  <c r="R13" i="42"/>
  <c r="N13" i="42"/>
  <c r="S13" i="42"/>
  <c r="O13" i="42"/>
  <c r="J13" i="42"/>
  <c r="M13" i="42"/>
  <c r="Q28" i="42"/>
  <c r="K22" i="42"/>
  <c r="K25" i="42"/>
  <c r="R77" i="42"/>
  <c r="K77" i="42"/>
  <c r="K76" i="42"/>
  <c r="M34" i="42"/>
  <c r="M31" i="42"/>
  <c r="M28" i="42"/>
  <c r="J31" i="42"/>
  <c r="J57" i="42"/>
  <c r="N57" i="42"/>
  <c r="P57" i="42"/>
  <c r="K57" i="42"/>
  <c r="P58" i="42"/>
  <c r="N59" i="42"/>
  <c r="L60" i="42"/>
  <c r="J61" i="42"/>
  <c r="R61" i="42"/>
  <c r="P62" i="42"/>
  <c r="N63" i="42"/>
  <c r="L64" i="42"/>
  <c r="J65" i="42"/>
  <c r="R65" i="42"/>
  <c r="P66" i="42"/>
  <c r="N67" i="42"/>
  <c r="L68" i="42"/>
  <c r="K58" i="42"/>
  <c r="S58" i="42"/>
  <c r="Q59" i="42"/>
  <c r="O60" i="42"/>
  <c r="M61" i="42"/>
  <c r="K62" i="42"/>
  <c r="S62" i="42"/>
  <c r="Q63" i="42"/>
  <c r="O64" i="42"/>
  <c r="M65" i="42"/>
  <c r="K66" i="42"/>
  <c r="S66" i="42"/>
  <c r="Q67" i="42"/>
  <c r="O68" i="42"/>
  <c r="P25" i="42"/>
  <c r="S25" i="42"/>
  <c r="Q57" i="42"/>
  <c r="J58" i="42"/>
  <c r="R58" i="42"/>
  <c r="P59" i="42"/>
  <c r="N60" i="42"/>
  <c r="L61" i="42"/>
  <c r="J62" i="42"/>
  <c r="P63" i="42"/>
  <c r="L65" i="42"/>
  <c r="R66" i="42"/>
  <c r="N68" i="42"/>
  <c r="K59" i="42"/>
  <c r="Q60" i="42"/>
  <c r="M62" i="42"/>
  <c r="S63" i="42"/>
  <c r="O65" i="42"/>
  <c r="K67" i="42"/>
  <c r="Q68" i="42"/>
  <c r="L63" i="42"/>
  <c r="R64" i="42"/>
  <c r="N66" i="42"/>
  <c r="J68" i="42"/>
  <c r="Q58" i="42"/>
  <c r="M60" i="42"/>
  <c r="S61" i="42"/>
  <c r="O63" i="42"/>
  <c r="K65" i="42"/>
  <c r="Q66" i="42"/>
  <c r="M68" i="42"/>
  <c r="J22" i="42"/>
  <c r="M78" i="42"/>
  <c r="O78" i="42"/>
  <c r="N78" i="42"/>
  <c r="J77" i="42"/>
  <c r="K78" i="42"/>
  <c r="R76" i="42"/>
  <c r="Q31" i="42"/>
  <c r="P34" i="42"/>
  <c r="O57" i="42"/>
  <c r="L57" i="42"/>
  <c r="J59" i="42"/>
  <c r="P60" i="42"/>
  <c r="L62" i="42"/>
  <c r="R63" i="42"/>
  <c r="N65" i="42"/>
  <c r="J67" i="42"/>
  <c r="P68" i="42"/>
  <c r="M59" i="42"/>
  <c r="S60" i="42"/>
  <c r="O62" i="42"/>
  <c r="K64" i="42"/>
  <c r="Q65" i="42"/>
  <c r="M67" i="42"/>
  <c r="S68" i="42"/>
  <c r="M57" i="42"/>
  <c r="N58" i="42"/>
  <c r="J60" i="42"/>
  <c r="P61" i="42"/>
  <c r="N64" i="42"/>
  <c r="P67" i="42"/>
  <c r="S59" i="42"/>
  <c r="K63" i="42"/>
  <c r="M66" i="42"/>
  <c r="N62" i="42"/>
  <c r="P65" i="42"/>
  <c r="R68" i="42"/>
  <c r="K61" i="42"/>
  <c r="M64" i="42"/>
  <c r="O67" i="42"/>
  <c r="S22" i="42"/>
  <c r="M22" i="42"/>
  <c r="J25" i="42"/>
  <c r="Q78" i="42"/>
  <c r="L78" i="42"/>
  <c r="S76" i="42"/>
  <c r="O25" i="42"/>
  <c r="R57" i="42"/>
  <c r="L58" i="42"/>
  <c r="R59" i="42"/>
  <c r="N61" i="42"/>
  <c r="J63" i="42"/>
  <c r="P64" i="42"/>
  <c r="L66" i="42"/>
  <c r="R67" i="42"/>
  <c r="O58" i="42"/>
  <c r="K60" i="42"/>
  <c r="Q61" i="42"/>
  <c r="M63" i="42"/>
  <c r="S64" i="42"/>
  <c r="O66" i="42"/>
  <c r="K68" i="42"/>
  <c r="R25" i="42"/>
  <c r="S57" i="42"/>
  <c r="L59" i="42"/>
  <c r="R60" i="42"/>
  <c r="R62" i="42"/>
  <c r="J66" i="42"/>
  <c r="M58" i="42"/>
  <c r="O61" i="42"/>
  <c r="Q64" i="42"/>
  <c r="S67" i="42"/>
  <c r="J64" i="42"/>
  <c r="L67" i="42"/>
  <c r="O59" i="42"/>
  <c r="Q62" i="42"/>
  <c r="S65" i="42"/>
  <c r="O22" i="42"/>
  <c r="P78" i="42"/>
  <c r="Q77" i="42"/>
  <c r="N77" i="42"/>
  <c r="O77" i="42"/>
  <c r="P77" i="42"/>
  <c r="M77" i="42"/>
  <c r="M25" i="42"/>
  <c r="P28" i="42"/>
  <c r="L77" i="42"/>
  <c r="R78" i="42"/>
  <c r="S78" i="42"/>
  <c r="L76" i="42"/>
  <c r="O31" i="42"/>
  <c r="J28" i="42"/>
  <c r="O34" i="42"/>
  <c r="K34" i="42"/>
  <c r="Q25" i="42"/>
  <c r="L34" i="42"/>
  <c r="J78" i="42"/>
  <c r="S77" i="42"/>
  <c r="J76" i="42"/>
  <c r="J34" i="42"/>
  <c r="O28" i="42"/>
  <c r="Q22" i="42"/>
  <c r="L31" i="42"/>
  <c r="L25" i="42"/>
  <c r="R22" i="42"/>
  <c r="K13" i="42"/>
  <c r="M80" i="42" l="1"/>
  <c r="P80" i="42"/>
  <c r="N80" i="42"/>
  <c r="N36" i="42"/>
  <c r="N38" i="42" s="1"/>
  <c r="K86" i="42"/>
  <c r="J80" i="42"/>
  <c r="L80" i="42"/>
  <c r="S80" i="42"/>
  <c r="O36" i="42"/>
  <c r="O38" i="42" s="1"/>
  <c r="S70" i="42"/>
  <c r="Q36" i="42"/>
  <c r="Q38" i="42" s="1"/>
  <c r="O80" i="42"/>
  <c r="S36" i="42"/>
  <c r="S38" i="42" s="1"/>
  <c r="L70" i="42"/>
  <c r="R80" i="42"/>
  <c r="J36" i="42"/>
  <c r="J38" i="42" s="1"/>
  <c r="P70" i="42"/>
  <c r="J70" i="42"/>
  <c r="P36" i="42"/>
  <c r="P38" i="42" s="1"/>
  <c r="R36" i="42"/>
  <c r="R38" i="42" s="1"/>
  <c r="R70" i="42"/>
  <c r="M36" i="42"/>
  <c r="M38" i="42" s="1"/>
  <c r="M70" i="42"/>
  <c r="O70" i="42"/>
  <c r="Q70" i="42"/>
  <c r="K70" i="42"/>
  <c r="N70" i="42"/>
  <c r="Q80" i="42"/>
  <c r="K80" i="42"/>
  <c r="K36" i="42"/>
  <c r="K38" i="42" s="1"/>
  <c r="J86" i="42"/>
  <c r="L19" i="42"/>
  <c r="L36" i="42" l="1"/>
  <c r="L38" i="42" s="1"/>
  <c r="L86" i="42"/>
  <c r="M86" i="42" l="1" a="1"/>
  <c r="M86" i="42" s="1"/>
  <c r="P86" i="42" a="1"/>
  <c r="P86" i="42" s="1"/>
  <c r="Q86" i="42" a="1"/>
  <c r="Q86" i="42" s="1"/>
  <c r="O86" i="42" a="1"/>
  <c r="O86" i="42" s="1"/>
  <c r="N86" i="42" a="1"/>
  <c r="N86" i="42" s="1"/>
  <c r="Q12" i="44" l="1"/>
  <c r="Q87" i="42"/>
  <c r="P12" i="44"/>
  <c r="P87" i="42"/>
  <c r="N87" i="42"/>
  <c r="N12" i="44"/>
  <c r="O12" i="44"/>
  <c r="O87" i="42"/>
  <c r="M87" i="42"/>
  <c r="M12" i="44"/>
  <c r="Q13" i="44" l="1"/>
</calcChain>
</file>

<file path=xl/sharedStrings.xml><?xml version="1.0" encoding="utf-8"?>
<sst xmlns="http://schemas.openxmlformats.org/spreadsheetml/2006/main" count="644" uniqueCount="175">
  <si>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</si>
  <si>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</si>
  <si>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</si>
  <si>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</si>
  <si>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</si>
  <si>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</si>
  <si>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</si>
  <si>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</si>
  <si>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</si>
  <si>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</si>
  <si>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</si>
  <si>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</si>
  <si>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</si>
  <si>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</si>
  <si>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</si>
  <si>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</si>
  <si>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</si>
  <si>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</si>
  <si>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</si>
  <si>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</si>
  <si>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</si>
  <si>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</si>
  <si>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</si>
  <si>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</si>
  <si>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</si>
  <si>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</si>
  <si>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</si>
  <si>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</si>
  <si>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</si>
  <si>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</si>
  <si>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</si>
  <si>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</si>
  <si>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</si>
  <si>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</si>
  <si>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</si>
  <si>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</si>
  <si>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</si>
  <si>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</si>
  <si>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</si>
  <si>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</si>
  <si>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</si>
  <si>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2014-15</t>
  </si>
  <si>
    <t>2015-16</t>
  </si>
  <si>
    <t>2016-17</t>
  </si>
  <si>
    <t>2017-18</t>
  </si>
  <si>
    <t>2018-19</t>
  </si>
  <si>
    <t>2019-20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</si>
  <si>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</si>
  <si>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</si>
  <si>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</si>
  <si>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</si>
  <si>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</si>
  <si>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</si>
  <si>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</si>
  <si>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</si>
  <si>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</si>
  <si>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</si>
  <si>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</si>
  <si>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</si>
  <si>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Calculates the opex forecast from RY2014 to RY2020</t>
  </si>
  <si>
    <t>Shows checks on the calculations within the model</t>
  </si>
  <si>
    <t>Lookup | Tables</t>
  </si>
  <si>
    <t>2010-11</t>
  </si>
  <si>
    <t>2011-12</t>
  </si>
  <si>
    <t>2012-13</t>
  </si>
  <si>
    <t>2013-14</t>
  </si>
  <si>
    <t>Output | Models</t>
  </si>
  <si>
    <t>Calc | Opex Forecast</t>
  </si>
  <si>
    <t>Notes</t>
  </si>
  <si>
    <t>Forecast operating expenditure (excl. DRC)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</si>
  <si>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</si>
  <si>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</si>
  <si>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</si>
  <si>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</si>
  <si>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</si>
  <si>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</si>
  <si>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</si>
  <si>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</si>
  <si>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</si>
  <si>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</si>
  <si>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</si>
  <si>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</si>
  <si>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Prior regulatory control period, first year</t>
  </si>
  <si>
    <t>Prior regulatory control period, last year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</si>
  <si>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</si>
  <si>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</si>
  <si>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</si>
  <si>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</si>
  <si>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</si>
  <si>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</si>
  <si>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2009-10</t>
  </si>
  <si>
    <t>2020-21</t>
  </si>
  <si>
    <t>2021-22</t>
  </si>
  <si>
    <t>2022-23</t>
  </si>
  <si>
    <t>2023-24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</si>
  <si>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</si>
  <si>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</si>
  <si>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</si>
  <si>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</si>
  <si>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</si>
  <si>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</si>
  <si>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</si>
  <si>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</si>
  <si>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</si>
  <si>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</si>
  <si>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</si>
  <si>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</si>
  <si>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</si>
  <si>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</si>
  <si>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</si>
  <si>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</si>
  <si>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</si>
  <si>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</si>
  <si>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</si>
  <si>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</si>
  <si>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Total reported opex</t>
  </si>
  <si>
    <t>Total base year opex allowance</t>
  </si>
  <si>
    <t>Total final year opex allowance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</si>
  <si>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</si>
  <si>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</si>
  <si>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</si>
  <si>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</si>
  <si>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</si>
  <si>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</si>
  <si>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old base</t>
  </si>
  <si>
    <t>Index value, new base</t>
  </si>
  <si>
    <t>calculated</t>
  </si>
  <si>
    <t>CPI indexes (real to real)</t>
  </si>
  <si>
    <t>2008-09</t>
  </si>
  <si>
    <t>nominal</t>
  </si>
  <si>
    <t>external</t>
  </si>
  <si>
    <t>Forecast productivity change</t>
  </si>
  <si>
    <t>Forecast rate of change</t>
  </si>
  <si>
    <t>Step changes</t>
  </si>
  <si>
    <t>Calc | Opex forecast</t>
  </si>
  <si>
    <t>Estimated final year opex</t>
  </si>
  <si>
    <t>Efficiency adjustment final year opex</t>
  </si>
  <si>
    <t>2007-08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</si>
  <si>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</si>
  <si>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</si>
  <si>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</si>
  <si>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</si>
  <si>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Remove movement in provisions</t>
  </si>
  <si>
    <t>Remove easement tax</t>
  </si>
  <si>
    <t>Interpolated</t>
  </si>
  <si>
    <t>Synchronous condenser decommissioning</t>
  </si>
  <si>
    <t>SAIP roll out</t>
  </si>
  <si>
    <t>Establishment of IT security team</t>
  </si>
  <si>
    <t>New emergency response arrangements</t>
  </si>
  <si>
    <t>WMTS mobile switchboard</t>
  </si>
  <si>
    <t>MPS decommissioning</t>
  </si>
  <si>
    <t>Remove AIS rebate</t>
  </si>
  <si>
    <t>Remove NCIPAP opex</t>
  </si>
  <si>
    <t>Input | Adjustments</t>
  </si>
  <si>
    <t>Adjustment</t>
  </si>
  <si>
    <t>Adjustment 3</t>
  </si>
  <si>
    <t>Adjustment 4</t>
  </si>
  <si>
    <t>Adjustment 5</t>
  </si>
  <si>
    <t>Adjustment 1</t>
  </si>
  <si>
    <t>Adjustment 2</t>
  </si>
  <si>
    <t>Easement tax</t>
  </si>
  <si>
    <t>AusNet Services Tx</t>
  </si>
  <si>
    <t>Input | Category specifc forecasts</t>
  </si>
  <si>
    <t>Calc | Category specific forecasts</t>
  </si>
  <si>
    <t>Category specific forecasts</t>
  </si>
  <si>
    <t>Expenditure related to category specific forecasts</t>
  </si>
  <si>
    <t>Total category specific forecasts</t>
  </si>
  <si>
    <t>Remove AIS rebates</t>
  </si>
  <si>
    <t>Output measure</t>
  </si>
  <si>
    <t>Group 3 roll in</t>
  </si>
  <si>
    <t>Utilities WPI (CIE)</t>
  </si>
  <si>
    <t xml:space="preserve">Utilities WPI (DAE)  </t>
  </si>
  <si>
    <r>
      <t xml:space="preserve">RBA forecast. February 2017 </t>
    </r>
    <r>
      <rPr>
        <i/>
        <sz val="8"/>
        <color indexed="8"/>
        <rFont val="Arial"/>
        <family val="2"/>
      </rPr>
      <t>Statement on Monetary Policy.</t>
    </r>
    <r>
      <rPr>
        <sz val="8"/>
        <color indexed="8"/>
        <rFont val="Arial"/>
        <family val="2"/>
      </rPr>
      <t xml:space="preserve"> </t>
    </r>
  </si>
  <si>
    <t>Utilities WPI (average)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</si>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</sst>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_-* #,##0.0000_-;\-* #,##0.0000_-;_-* &quot;-&quot;??_-;_-@_-"/>
    <numFmt numFmtId="172" formatCode="_(#,##0.0000_);\(#,##0.0000\);_(&quot;-&quot;_)"/>
    <numFmt numFmtId="173" formatCode="_-* #,##0.00_-;[Red]\(#,##0.00\)_-;_-* &quot;-&quot;??_-;_-@_-"/>
    <numFmt numFmtId="174" formatCode="_(* #,##0_);_(* \(#,##0\);_(* &quot;-&quot;_);_(@_)"/>
    <numFmt numFmtId="175" formatCode="_(* #,##0.00_);_(* \(#,##0.00\);_(* &quot;-&quot;??_);_(@_)"/>
    <numFmt numFmtId="176" formatCode="mm/dd/yy"/>
    <numFmt numFmtId="177" formatCode="_([$€-2]* #,##0.00_);_([$€-2]* \(#,##0.00\);_([$€-2]* &quot;-&quot;??_)"/>
    <numFmt numFmtId="178" formatCode="0_);[Red]\(0\)"/>
    <numFmt numFmtId="179" formatCode="0.0%"/>
    <numFmt numFmtId="180" formatCode="_(* #,##0_);_(* \(#,##0\);_(* &quot;-&quot;?_);_(@_)"/>
    <numFmt numFmtId="181" formatCode="#,##0.0_);\(#,##0.0\)"/>
    <numFmt numFmtId="182" formatCode="#,##0_ ;\-#,##0\ "/>
    <numFmt numFmtId="183" formatCode="#,##0;[Red]\(#,##0.0\)"/>
    <numFmt numFmtId="184" formatCode="#,##0_ ;[Red]\(#,##0\)\ "/>
    <numFmt numFmtId="185" formatCode="#,##0.00;\(#,##0.00\)"/>
    <numFmt numFmtId="186" formatCode="_)d\-mmm\-yy_)"/>
    <numFmt numFmtId="187" formatCode="_(#,##0.0_);\(#,##0.0\);_(&quot;-&quot;_)"/>
    <numFmt numFmtId="188" formatCode="_(###0_);\(###0\);_(###0_)"/>
    <numFmt numFmtId="189" formatCode="#,##0.0000_);[Red]\(#,##0.0000\)"/>
    <numFmt numFmtId="190" formatCode="0.0"/>
    <numFmt numFmtId="191" formatCode=";;_(&quot;-&quot;_)"/>
    <numFmt numFmtId="192" formatCode="_-* #,##0.0_-;\-* #,##0.0_-;_-* &quot;-&quot;??_-;_-@_-"/>
    <numFmt numFmtId="193" formatCode="0.00;\-0.00;_(&quot;-&quot;_)"/>
    <numFmt numFmtId="194" formatCode="[$-C09]mmm\-yyyy;@"/>
    <numFmt numFmtId="195" formatCode="_-* #\ ##0.00_-;\-* #\ ##0.00_-;_-* &quot;-&quot;??_-;_-@_-"/>
    <numFmt numFmtId="196" formatCode="_(#\ ##0.00_);\(#\ ##0.00\);_(&quot;-&quot;_)"/>
    <numFmt numFmtId="197" formatCode="#\ ##0.00_ ;\-#\ ##0.00\ ;&quot;-&quot;"/>
    <numFmt numFmtId="198" formatCode="#\ ##0.00;\-#\ ##0.00;&quot;-&quot;"/>
    <numFmt numFmtId="199" formatCode="&quot;Warning&quot;;&quot;Warning&quot;;&quot;OK&quot;"/>
    <numFmt numFmtId="200" formatCode="###\ ##0.00_ ;\-###\ ##0.00\ ;&quot;-&quot;"/>
    <numFmt numFmtId="201" formatCode="_-* #,##0.000_-;\-* #,##0.000_-;_-* &quot;-&quot;??_-;_-@_-"/>
  </numFmts>
  <fonts count="8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64">
    <xf numFmtId="0" fontId="0" fillId="0" borderId="0"/>
    <xf numFmtId="166" fontId="3" fillId="8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2" fillId="0" borderId="0"/>
    <xf numFmtId="173" fontId="12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0" borderId="0" applyNumberFormat="0" applyFill="0" applyBorder="0" applyAlignment="0"/>
    <xf numFmtId="174" fontId="19" fillId="5" borderId="0" applyNumberFormat="0" applyFont="0" applyBorder="0" applyAlignment="0">
      <alignment horizontal="right"/>
    </xf>
    <xf numFmtId="174" fontId="19" fillId="5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5" borderId="12" applyNumberFormat="0" applyAlignment="0" applyProtection="0"/>
    <xf numFmtId="0" fontId="29" fillId="32" borderId="13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177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6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4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5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6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79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3" borderId="12" applyNumberFormat="0" applyAlignment="0" applyProtection="0"/>
    <xf numFmtId="174" fontId="19" fillId="37" borderId="0" applyFont="0" applyBorder="0" applyAlignment="0">
      <alignment horizontal="right"/>
      <protection locked="0"/>
    </xf>
    <xf numFmtId="174" fontId="19" fillId="37" borderId="0" applyFont="0" applyBorder="0" applyAlignment="0">
      <alignment horizontal="right"/>
      <protection locked="0"/>
    </xf>
    <xf numFmtId="180" fontId="19" fillId="7" borderId="0" applyFont="0" applyBorder="0">
      <alignment horizontal="right"/>
      <protection locked="0"/>
    </xf>
    <xf numFmtId="180" fontId="19" fillId="7" borderId="0" applyFont="0" applyBorder="0">
      <alignment horizontal="right"/>
      <protection locked="0"/>
    </xf>
    <xf numFmtId="174" fontId="19" fillId="11" borderId="0" applyFont="0" applyBorder="0">
      <alignment horizontal="right"/>
      <protection locked="0"/>
    </xf>
    <xf numFmtId="174" fontId="19" fillId="11" borderId="0" applyFont="0" applyBorder="0">
      <alignment horizontal="right"/>
      <protection locked="0"/>
    </xf>
    <xf numFmtId="0" fontId="12" fillId="5" borderId="0"/>
    <xf numFmtId="0" fontId="47" fillId="0" borderId="17" applyNumberFormat="0" applyFill="0" applyAlignment="0" applyProtection="0"/>
    <xf numFmtId="181" fontId="48" fillId="0" borderId="0"/>
    <xf numFmtId="0" fontId="49" fillId="0" borderId="0" applyFill="0" applyBorder="0">
      <alignment horizontal="left" vertical="center"/>
    </xf>
    <xf numFmtId="0" fontId="50" fillId="16" borderId="0" applyNumberFormat="0" applyBorder="0" applyAlignment="0" applyProtection="0"/>
    <xf numFmtId="182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4" borderId="18" applyNumberFormat="0" applyFont="0" applyAlignment="0" applyProtection="0"/>
    <xf numFmtId="0" fontId="53" fillId="15" borderId="19" applyNumberFormat="0" applyAlignment="0" applyProtection="0"/>
    <xf numFmtId="183" fontId="19" fillId="0" borderId="0" applyFill="0" applyBorder="0"/>
    <xf numFmtId="183" fontId="19" fillId="0" borderId="0" applyFill="0" applyBorder="0"/>
    <xf numFmtId="183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4" fontId="55" fillId="0" borderId="20"/>
    <xf numFmtId="0" fontId="56" fillId="0" borderId="21">
      <alignment horizontal="center"/>
    </xf>
    <xf numFmtId="3" fontId="30" fillId="0" borderId="0" applyFont="0" applyFill="0" applyBorder="0" applyAlignment="0" applyProtection="0"/>
    <xf numFmtId="0" fontId="30" fillId="38" borderId="0" applyNumberFormat="0" applyFont="0" applyBorder="0" applyAlignment="0" applyProtection="0"/>
    <xf numFmtId="185" fontId="19" fillId="0" borderId="0"/>
    <xf numFmtId="185" fontId="19" fillId="0" borderId="0"/>
    <xf numFmtId="185" fontId="19" fillId="0" borderId="0"/>
    <xf numFmtId="186" fontId="12" fillId="0" borderId="0" applyFill="0" applyBorder="0">
      <alignment horizontal="right" vertical="center"/>
    </xf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7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10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1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1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2" applyNumberFormat="0" applyFill="0" applyAlignment="0" applyProtection="0"/>
    <xf numFmtId="0" fontId="67" fillId="0" borderId="0" applyNumberFormat="0" applyFill="0" applyBorder="0" applyAlignment="0" applyProtection="0"/>
    <xf numFmtId="189" fontId="19" fillId="0" borderId="7" applyBorder="0" applyProtection="0">
      <alignment horizontal="right"/>
    </xf>
    <xf numFmtId="189" fontId="19" fillId="0" borderId="7" applyBorder="0" applyProtection="0">
      <alignment horizontal="right"/>
    </xf>
    <xf numFmtId="189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3" borderId="0"/>
    <xf numFmtId="199" fontId="74" fillId="0" borderId="25">
      <alignment horizontal="center"/>
    </xf>
    <xf numFmtId="0" fontId="75" fillId="44" borderId="6">
      <alignment horizontal="center" vertical="center"/>
    </xf>
    <xf numFmtId="0" fontId="19" fillId="45" borderId="12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6" borderId="0"/>
    <xf numFmtId="0" fontId="19" fillId="39" borderId="26" applyNumberFormat="0" applyFont="0" applyAlignment="0"/>
    <xf numFmtId="0" fontId="81" fillId="8" borderId="27" applyNumberFormat="0"/>
    <xf numFmtId="0" fontId="82" fillId="47" borderId="0"/>
    <xf numFmtId="0" fontId="83" fillId="47" borderId="0" applyNumberFormat="0"/>
    <xf numFmtId="0" fontId="84" fillId="47" borderId="0"/>
    <xf numFmtId="0" fontId="85" fillId="48" borderId="6" applyNumberFormat="0">
      <alignment horizontal="center" vertical="center"/>
    </xf>
    <xf numFmtId="0" fontId="86" fillId="49" borderId="12" applyNumberFormat="0" applyAlignment="0">
      <alignment horizontal="right"/>
    </xf>
    <xf numFmtId="0" fontId="21" fillId="39" borderId="26" applyNumberFormat="0" applyAlignment="0"/>
    <xf numFmtId="0" fontId="74" fillId="0" borderId="0" applyNumberFormat="0" applyFill="0" applyBorder="0"/>
    <xf numFmtId="0" fontId="87" fillId="50" borderId="26" applyNumberFormat="0">
      <protection locked="0"/>
    </xf>
  </cellStyleXfs>
  <cellXfs count="17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6" borderId="0" xfId="0" applyFont="1" applyFill="1" applyBorder="1"/>
    <xf numFmtId="0" fontId="3" fillId="7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2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9" borderId="0" xfId="0" applyFont="1" applyFill="1" applyBorder="1" applyAlignment="1">
      <alignment horizontal="left" vertical="center"/>
    </xf>
    <xf numFmtId="0" fontId="68" fillId="39" borderId="0" xfId="0" applyFont="1" applyFill="1" applyBorder="1" applyAlignment="1">
      <alignment horizontal="left" indent="9"/>
    </xf>
    <xf numFmtId="0" fontId="69" fillId="39" borderId="0" xfId="0" applyFont="1" applyFill="1" applyBorder="1" applyAlignment="1" applyProtection="1"/>
    <xf numFmtId="0" fontId="0" fillId="39" borderId="0" xfId="0" applyFont="1" applyFill="1" applyBorder="1"/>
    <xf numFmtId="0" fontId="0" fillId="39" borderId="0" xfId="0" applyFont="1" applyFill="1" applyBorder="1" applyAlignment="1">
      <alignment horizontal="right"/>
    </xf>
    <xf numFmtId="43" fontId="20" fillId="39" borderId="0" xfId="0" applyNumberFormat="1" applyFont="1" applyFill="1" applyBorder="1" applyAlignment="1">
      <alignment horizontal="center"/>
    </xf>
    <xf numFmtId="0" fontId="70" fillId="39" borderId="1" xfId="0" applyFont="1" applyFill="1" applyBorder="1" applyAlignment="1">
      <alignment horizontal="left"/>
    </xf>
    <xf numFmtId="0" fontId="0" fillId="39" borderId="1" xfId="0" applyFont="1" applyFill="1" applyBorder="1"/>
    <xf numFmtId="0" fontId="0" fillId="40" borderId="4" xfId="0" applyFill="1" applyBorder="1"/>
    <xf numFmtId="0" fontId="21" fillId="40" borderId="4" xfId="0" applyFont="1" applyFill="1" applyBorder="1" applyAlignment="1">
      <alignment vertical="center"/>
    </xf>
    <xf numFmtId="0" fontId="0" fillId="40" borderId="4" xfId="0" applyFill="1" applyBorder="1" applyAlignment="1">
      <alignment wrapText="1"/>
    </xf>
    <xf numFmtId="44" fontId="21" fillId="40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40" borderId="4" xfId="0" applyFont="1" applyFill="1" applyBorder="1"/>
    <xf numFmtId="165" fontId="3" fillId="42" borderId="3" xfId="0" applyNumberFormat="1" applyFont="1" applyFill="1" applyBorder="1" applyAlignment="1" applyProtection="1">
      <alignment horizontal="center"/>
      <protection locked="0"/>
    </xf>
    <xf numFmtId="0" fontId="70" fillId="39" borderId="0" xfId="0" applyFont="1" applyFill="1" applyBorder="1" applyAlignment="1">
      <alignment horizontal="left"/>
    </xf>
    <xf numFmtId="0" fontId="70" fillId="39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1" borderId="0" xfId="0" applyFont="1" applyFill="1" applyBorder="1" applyAlignment="1">
      <alignment horizontal="center"/>
    </xf>
    <xf numFmtId="2" fontId="3" fillId="42" borderId="3" xfId="0" applyNumberFormat="1" applyFont="1" applyFill="1" applyBorder="1" applyAlignment="1" applyProtection="1">
      <alignment horizontal="center"/>
      <protection locked="0"/>
    </xf>
    <xf numFmtId="10" fontId="3" fillId="42" borderId="3" xfId="2" applyNumberFormat="1" applyFont="1" applyFill="1" applyBorder="1" applyAlignment="1" applyProtection="1">
      <alignment horizontal="center"/>
      <protection locked="0"/>
    </xf>
    <xf numFmtId="49" fontId="3" fillId="42" borderId="3" xfId="0" applyNumberFormat="1" applyFont="1" applyFill="1" applyBorder="1" applyAlignment="1" applyProtection="1">
      <alignment horizontal="left" indent="1"/>
      <protection locked="0"/>
    </xf>
    <xf numFmtId="193" fontId="3" fillId="42" borderId="3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center" wrapText="1"/>
    </xf>
    <xf numFmtId="190" fontId="3" fillId="42" borderId="3" xfId="0" applyNumberFormat="1" applyFont="1" applyFill="1" applyBorder="1" applyAlignment="1" applyProtection="1">
      <alignment horizontal="center"/>
      <protection locked="0"/>
    </xf>
    <xf numFmtId="194" fontId="3" fillId="0" borderId="0" xfId="0" applyNumberFormat="1" applyFont="1" applyAlignment="1" applyProtection="1">
      <alignment horizontal="left"/>
    </xf>
    <xf numFmtId="192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1" borderId="10" xfId="0" applyNumberFormat="1" applyFont="1" applyFill="1" applyBorder="1" applyAlignment="1" applyProtection="1">
      <alignment horizontal="center"/>
      <protection locked="0"/>
    </xf>
    <xf numFmtId="193" fontId="3" fillId="4" borderId="3" xfId="2" applyNumberFormat="1" applyFont="1" applyFill="1" applyBorder="1" applyAlignment="1" applyProtection="1">
      <alignment horizontal="center"/>
      <protection locked="0"/>
    </xf>
    <xf numFmtId="0" fontId="0" fillId="39" borderId="0" xfId="0" applyFont="1" applyFill="1" applyBorder="1" applyProtection="1"/>
    <xf numFmtId="0" fontId="68" fillId="39" borderId="0" xfId="0" applyFont="1" applyFill="1" applyBorder="1" applyAlignment="1" applyProtection="1">
      <alignment horizontal="left" vertical="center"/>
    </xf>
    <xf numFmtId="0" fontId="68" fillId="39" borderId="0" xfId="0" applyFont="1" applyFill="1" applyBorder="1" applyAlignment="1" applyProtection="1">
      <alignment horizontal="left" indent="9"/>
    </xf>
    <xf numFmtId="0" fontId="0" fillId="39" borderId="0" xfId="0" applyFont="1" applyFill="1" applyBorder="1" applyAlignment="1" applyProtection="1">
      <alignment horizontal="right"/>
    </xf>
    <xf numFmtId="0" fontId="3" fillId="41" borderId="0" xfId="0" applyFont="1" applyFill="1" applyBorder="1" applyAlignment="1" applyProtection="1">
      <alignment horizontal="center"/>
    </xf>
    <xf numFmtId="0" fontId="3" fillId="6" borderId="0" xfId="0" applyFont="1" applyFill="1" applyBorder="1" applyProtection="1"/>
    <xf numFmtId="0" fontId="3" fillId="7" borderId="0" xfId="0" applyFont="1" applyFill="1" applyBorder="1" applyProtection="1"/>
    <xf numFmtId="43" fontId="20" fillId="39" borderId="0" xfId="0" applyNumberFormat="1" applyFont="1" applyFill="1" applyBorder="1" applyAlignment="1" applyProtection="1">
      <alignment horizontal="center"/>
    </xf>
    <xf numFmtId="0" fontId="0" fillId="39" borderId="1" xfId="0" applyFont="1" applyFill="1" applyBorder="1" applyProtection="1"/>
    <xf numFmtId="0" fontId="70" fillId="39" borderId="1" xfId="0" applyFont="1" applyFill="1" applyBorder="1" applyAlignment="1" applyProtection="1">
      <alignment horizontal="left"/>
    </xf>
    <xf numFmtId="0" fontId="70" fillId="39" borderId="1" xfId="0" applyFont="1" applyFill="1" applyBorder="1" applyAlignment="1" applyProtection="1">
      <alignment horizontal="left" indent="9"/>
    </xf>
    <xf numFmtId="0" fontId="20" fillId="39" borderId="2" xfId="0" applyNumberFormat="1" applyFont="1" applyFill="1" applyBorder="1" applyProtection="1"/>
    <xf numFmtId="0" fontId="20" fillId="39" borderId="2" xfId="0" applyFont="1" applyFill="1" applyBorder="1" applyProtection="1"/>
    <xf numFmtId="0" fontId="71" fillId="39" borderId="2" xfId="0" applyNumberFormat="1" applyFont="1" applyFill="1" applyBorder="1" applyAlignment="1" applyProtection="1">
      <alignment horizontal="center"/>
    </xf>
    <xf numFmtId="0" fontId="71" fillId="39" borderId="2" xfId="0" applyNumberFormat="1" applyFont="1" applyFill="1" applyBorder="1" applyProtection="1"/>
    <xf numFmtId="0" fontId="71" fillId="40" borderId="4" xfId="0" applyFont="1" applyFill="1" applyBorder="1" applyProtection="1"/>
    <xf numFmtId="0" fontId="71" fillId="40" borderId="4" xfId="0" applyFont="1" applyFill="1" applyBorder="1" applyAlignment="1" applyProtection="1">
      <alignment horizontal="center"/>
    </xf>
    <xf numFmtId="0" fontId="16" fillId="40" borderId="4" xfId="0" applyFont="1" applyFill="1" applyBorder="1" applyAlignment="1" applyProtection="1">
      <alignment horizontal="center" vertical="center"/>
    </xf>
    <xf numFmtId="0" fontId="16" fillId="40" borderId="4" xfId="0" applyFont="1" applyFill="1" applyBorder="1" applyAlignment="1" applyProtection="1">
      <alignment vertical="center"/>
    </xf>
    <xf numFmtId="0" fontId="71" fillId="40" borderId="4" xfId="0" applyFont="1" applyFill="1" applyBorder="1" applyAlignment="1" applyProtection="1">
      <alignment wrapText="1"/>
    </xf>
    <xf numFmtId="44" fontId="16" fillId="40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40" borderId="4" xfId="0" applyFill="1" applyBorder="1" applyProtection="1"/>
    <xf numFmtId="0" fontId="20" fillId="40" borderId="4" xfId="0" applyFont="1" applyFill="1" applyBorder="1" applyProtection="1"/>
    <xf numFmtId="0" fontId="21" fillId="40" borderId="4" xfId="0" applyFont="1" applyFill="1" applyBorder="1" applyAlignment="1" applyProtection="1">
      <alignment vertical="center"/>
    </xf>
    <xf numFmtId="0" fontId="0" fillId="40" borderId="4" xfId="0" applyFill="1" applyBorder="1" applyAlignment="1" applyProtection="1">
      <alignment wrapText="1"/>
    </xf>
    <xf numFmtId="44" fontId="21" fillId="40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5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5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1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2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8" fontId="3" fillId="0" borderId="0" xfId="0" applyNumberFormat="1" applyFont="1" applyAlignment="1" applyProtection="1">
      <alignment horizontal="center"/>
    </xf>
    <xf numFmtId="198" fontId="3" fillId="0" borderId="7" xfId="0" applyNumberFormat="1" applyFont="1" applyBorder="1" applyAlignment="1" applyProtection="1">
      <alignment horizontal="center"/>
    </xf>
    <xf numFmtId="198" fontId="5" fillId="0" borderId="0" xfId="0" applyNumberFormat="1" applyFont="1" applyAlignment="1" applyProtection="1">
      <alignment horizontal="center"/>
    </xf>
    <xf numFmtId="196" fontId="9" fillId="0" borderId="9" xfId="5" applyNumberFormat="1" applyFont="1" applyFill="1" applyBorder="1" applyAlignment="1" applyProtection="1">
      <alignment horizontal="center" vertical="center"/>
    </xf>
    <xf numFmtId="196" fontId="9" fillId="0" borderId="4" xfId="5" applyNumberFormat="1" applyFont="1" applyFill="1" applyBorder="1" applyAlignment="1" applyProtection="1">
      <alignment horizontal="center" vertical="center"/>
    </xf>
    <xf numFmtId="49" fontId="4" fillId="42" borderId="24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9" borderId="2" xfId="0" applyNumberFormat="1" applyFont="1" applyFill="1" applyBorder="1" applyProtection="1"/>
    <xf numFmtId="0" fontId="7" fillId="39" borderId="2" xfId="0" applyFont="1" applyFill="1" applyBorder="1" applyProtection="1"/>
    <xf numFmtId="0" fontId="8" fillId="39" borderId="2" xfId="0" applyNumberFormat="1" applyFont="1" applyFill="1" applyBorder="1" applyAlignment="1" applyProtection="1">
      <alignment horizontal="center"/>
    </xf>
    <xf numFmtId="0" fontId="8" fillId="39" borderId="2" xfId="0" applyNumberFormat="1" applyFont="1" applyFill="1" applyBorder="1" applyProtection="1"/>
    <xf numFmtId="0" fontId="8" fillId="2" borderId="2" xfId="0" applyNumberFormat="1" applyFont="1" applyFill="1" applyBorder="1" applyProtection="1"/>
    <xf numFmtId="0" fontId="7" fillId="2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0" fontId="71" fillId="40" borderId="4" xfId="0" applyFont="1" applyFill="1" applyBorder="1" applyAlignment="1" applyProtection="1">
      <alignment horizontal="center" wrapText="1"/>
    </xf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1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1" fontId="3" fillId="9" borderId="3" xfId="0" applyNumberFormat="1" applyFont="1" applyFill="1" applyBorder="1" applyAlignment="1" applyProtection="1">
      <alignment horizontal="left" indent="1"/>
    </xf>
    <xf numFmtId="0" fontId="72" fillId="40" borderId="4" xfId="0" applyFont="1" applyFill="1" applyBorder="1" applyAlignment="1" applyProtection="1"/>
    <xf numFmtId="193" fontId="3" fillId="9" borderId="3" xfId="2" applyNumberFormat="1" applyFont="1" applyFill="1" applyBorder="1" applyAlignment="1" applyProtection="1">
      <alignment horizontal="center"/>
    </xf>
    <xf numFmtId="0" fontId="71" fillId="39" borderId="2" xfId="0" applyNumberFormat="1" applyFont="1" applyFill="1" applyBorder="1" applyAlignment="1" applyProtection="1">
      <alignment horizontal="center"/>
    </xf>
    <xf numFmtId="195" fontId="5" fillId="0" borderId="23" xfId="0" applyNumberFormat="1" applyFont="1" applyBorder="1" applyAlignment="1" applyProtection="1">
      <alignment horizontal="center"/>
    </xf>
    <xf numFmtId="193" fontId="4" fillId="42" borderId="3" xfId="2" applyNumberFormat="1" applyFont="1" applyFill="1" applyBorder="1" applyAlignment="1" applyProtection="1">
      <alignment horizontal="center"/>
      <protection locked="0"/>
    </xf>
    <xf numFmtId="197" fontId="5" fillId="0" borderId="0" xfId="0" applyNumberFormat="1" applyFont="1" applyBorder="1" applyAlignment="1" applyProtection="1">
      <alignment horizontal="center"/>
    </xf>
    <xf numFmtId="179" fontId="3" fillId="42" borderId="3" xfId="2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192" fontId="3" fillId="0" borderId="0" xfId="0" applyNumberFormat="1" applyFont="1" applyProtection="1">
      <protection locked="0"/>
    </xf>
    <xf numFmtId="1" fontId="3" fillId="42" borderId="3" xfId="2" applyNumberFormat="1" applyFont="1" applyFill="1" applyBorder="1" applyAlignment="1" applyProtection="1">
      <alignment horizontal="center"/>
      <protection locked="0"/>
    </xf>
    <xf numFmtId="10" fontId="3" fillId="0" borderId="0" xfId="2" applyNumberFormat="1" applyFont="1" applyBorder="1" applyAlignment="1" applyProtection="1">
      <alignment horizontal="center"/>
      <protection locked="0"/>
    </xf>
    <xf numFmtId="172" fontId="12" fillId="0" borderId="0" xfId="5" applyNumberFormat="1" applyFont="1" applyFill="1" applyBorder="1" applyAlignment="1" applyProtection="1">
      <alignment horizontal="center" vertical="center"/>
      <protection locked="0"/>
    </xf>
    <xf numFmtId="169" fontId="12" fillId="0" borderId="0" xfId="5" applyNumberFormat="1" applyFont="1" applyFill="1" applyBorder="1" applyAlignment="1" applyProtection="1">
      <alignment horizontal="center" vertical="center"/>
      <protection locked="0"/>
    </xf>
    <xf numFmtId="171" fontId="3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170" fontId="17" fillId="0" borderId="0" xfId="5" applyNumberFormat="1" applyFont="1" applyFill="1" applyBorder="1" applyAlignment="1" applyProtection="1">
      <alignment horizontal="center" vertical="center"/>
      <protection locked="0"/>
    </xf>
    <xf numFmtId="10" fontId="3" fillId="0" borderId="0" xfId="2" applyNumberFormat="1" applyFont="1" applyAlignment="1" applyProtection="1">
      <alignment horizontal="center"/>
      <protection locked="0"/>
    </xf>
    <xf numFmtId="200" fontId="5" fillId="0" borderId="0" xfId="0" applyNumberFormat="1" applyFont="1" applyBorder="1" applyAlignment="1" applyProtection="1">
      <alignment horizontal="center"/>
    </xf>
    <xf numFmtId="201" fontId="3" fillId="0" borderId="0" xfId="0" applyNumberFormat="1" applyFont="1" applyProtection="1"/>
    <xf numFmtId="0" fontId="71" fillId="39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99"/>
      <color rgb="FFDAEEF3"/>
      <color rgb="FFC0C0C0"/>
      <color rgb="FF8DB4E2"/>
      <color rgb="FF00B2E4"/>
      <color rgb="FF0060AF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>
      <selection activeCell="A17" sqref="A17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7"/>
      <c r="B1" s="34" t="s">
        <v>121</v>
      </c>
      <c r="C1" s="34"/>
      <c r="D1" s="37"/>
      <c r="E1" s="37"/>
      <c r="G1" s="2"/>
      <c r="H1" s="3"/>
      <c r="I1" s="4"/>
    </row>
    <row r="2" spans="1:47" s="5" customFormat="1" ht="13.5" customHeight="1" thickBot="1">
      <c r="A2" s="41"/>
      <c r="B2" s="40" t="s">
        <v>47</v>
      </c>
      <c r="C2" s="40"/>
      <c r="D2" s="41"/>
      <c r="E2" s="41"/>
    </row>
    <row r="3" spans="1:47" s="6" customFormat="1" ht="3" customHeight="1"/>
    <row r="4" spans="1:47" customFormat="1" ht="12.75">
      <c r="A4" s="42"/>
      <c r="B4" s="50" t="s">
        <v>80</v>
      </c>
      <c r="C4" s="42"/>
      <c r="D4" s="42"/>
      <c r="E4" s="42"/>
      <c r="F4" s="43"/>
      <c r="G4" s="43"/>
      <c r="H4" s="43"/>
      <c r="I4" s="43"/>
      <c r="J4" s="44"/>
      <c r="K4" s="45"/>
      <c r="L4" s="44"/>
      <c r="M4" s="45"/>
      <c r="N4" s="44"/>
      <c r="O4" s="44"/>
      <c r="P4" s="44"/>
      <c r="Q4" s="44"/>
      <c r="R4" s="44"/>
      <c r="S4" s="44"/>
      <c r="T4" s="44"/>
      <c r="U4" s="44"/>
      <c r="V4" s="45"/>
      <c r="W4" s="45"/>
      <c r="X4" s="46"/>
      <c r="Y4" s="46"/>
      <c r="Z4" s="46"/>
      <c r="AA4" s="46"/>
      <c r="AB4" s="47"/>
      <c r="AC4" s="48"/>
      <c r="AD4" s="4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/>
    <row r="6" spans="1:47">
      <c r="C6" s="9" t="s">
        <v>0</v>
      </c>
      <c r="D6" s="9" t="s">
        <v>1</v>
      </c>
    </row>
    <row r="7" spans="1:47">
      <c r="C7" s="19" t="s">
        <v>78</v>
      </c>
      <c r="D7" s="7" t="s">
        <v>79</v>
      </c>
    </row>
    <row r="8" spans="1:47">
      <c r="C8" s="19" t="s">
        <v>35</v>
      </c>
      <c r="D8" s="7" t="s">
        <v>123</v>
      </c>
    </row>
    <row r="9" spans="1:47">
      <c r="C9" s="19" t="s">
        <v>73</v>
      </c>
      <c r="D9" s="7" t="s">
        <v>74</v>
      </c>
    </row>
    <row r="10" spans="1:47">
      <c r="C10" s="19" t="s">
        <v>72</v>
      </c>
      <c r="D10" s="7" t="s">
        <v>57</v>
      </c>
    </row>
    <row r="11" spans="1:47">
      <c r="C11" s="19" t="s">
        <v>77</v>
      </c>
      <c r="D11" s="7" t="s">
        <v>58</v>
      </c>
    </row>
    <row r="12" spans="1:47">
      <c r="C12" s="19" t="s">
        <v>67</v>
      </c>
      <c r="D12" s="7" t="s">
        <v>59</v>
      </c>
    </row>
    <row r="13" spans="1:47">
      <c r="C13" s="19" t="s">
        <v>66</v>
      </c>
      <c r="D13" s="7" t="s">
        <v>75</v>
      </c>
    </row>
    <row r="14" spans="1:47">
      <c r="C14" s="19" t="s">
        <v>61</v>
      </c>
      <c r="D14" s="7" t="s">
        <v>76</v>
      </c>
    </row>
    <row r="15" spans="1:47">
      <c r="C15" s="19" t="s">
        <v>25</v>
      </c>
      <c r="D15" s="7" t="s">
        <v>60</v>
      </c>
    </row>
    <row r="16" spans="1:47" ht="12.75">
      <c r="C16" s="10"/>
      <c r="D16" s="7"/>
    </row>
    <row r="17" spans="1:47" customFormat="1" ht="12.75">
      <c r="A17" s="42"/>
      <c r="B17" s="50" t="s">
        <v>21</v>
      </c>
      <c r="C17" s="42"/>
      <c r="D17" s="42"/>
      <c r="E17" s="42"/>
      <c r="F17" s="43"/>
      <c r="G17" s="43"/>
      <c r="H17" s="43"/>
      <c r="I17" s="43"/>
      <c r="J17" s="44"/>
      <c r="K17" s="45"/>
      <c r="L17" s="44"/>
      <c r="M17" s="45"/>
      <c r="N17" s="44"/>
      <c r="O17" s="44"/>
      <c r="P17" s="44"/>
      <c r="Q17" s="44"/>
      <c r="R17" s="44"/>
      <c r="S17" s="44"/>
      <c r="T17" s="44"/>
      <c r="U17" s="44"/>
      <c r="V17" s="45"/>
      <c r="W17" s="45"/>
      <c r="X17" s="46"/>
      <c r="Y17" s="46"/>
      <c r="Z17" s="46"/>
      <c r="AA17" s="46"/>
      <c r="AB17" s="47"/>
      <c r="AC17" s="48"/>
      <c r="AD17" s="48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</row>
    <row r="18" spans="1:47" ht="0.75" customHeight="1"/>
    <row r="19" spans="1:47" ht="0.75" customHeight="1"/>
    <row r="20" spans="1:47" hidden="1"/>
    <row r="21" spans="1:47" hidden="1"/>
    <row r="22" spans="1:47" hidden="1"/>
    <row r="23" spans="1:47" hidden="1"/>
    <row r="24" spans="1:47" hidden="1"/>
    <row r="25" spans="1:47" hidden="1"/>
    <row r="26" spans="1:47" hidden="1"/>
    <row r="27" spans="1:47" hidden="1"/>
    <row r="28" spans="1:47" hidden="1"/>
    <row r="29" spans="1:47" hidden="1"/>
    <row r="30" spans="1:47" hidden="1"/>
    <row r="31" spans="1:47" hidden="1"/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 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4"/>
  <sheetViews>
    <sheetView showGridLines="0" workbookViewId="0">
      <selection activeCell="J10" sqref="J10"/>
    </sheetView>
  </sheetViews>
  <sheetFormatPr defaultColWidth="0" defaultRowHeight="11.25" zeroHeight="1"/>
  <cols>
    <col min="1" max="2" width="1.5" style="28" customWidth="1"/>
    <col min="3" max="3" width="42" style="28" customWidth="1"/>
    <col min="4" max="4" width="27.6640625" style="29" customWidth="1"/>
    <col min="5" max="5" width="15.83203125" style="29" customWidth="1"/>
    <col min="6" max="6" width="10.6640625" style="29" customWidth="1"/>
    <col min="7" max="7" width="16.1640625" style="29" bestFit="1" customWidth="1"/>
    <col min="8" max="9" width="3.33203125" style="29" customWidth="1"/>
    <col min="10" max="23" width="10.83203125" style="28" customWidth="1"/>
    <col min="24" max="38" width="10.5" style="28" hidden="1" customWidth="1"/>
    <col min="39" max="16384" width="10.5" style="28" hidden="1"/>
  </cols>
  <sheetData>
    <row r="1" spans="1:47" s="71" customFormat="1" ht="15.75">
      <c r="B1" s="72" t="str">
        <f>Index!$B$1</f>
        <v>AER opex model</v>
      </c>
      <c r="C1" s="72"/>
      <c r="D1" s="72"/>
      <c r="E1" s="72"/>
      <c r="F1" s="73"/>
      <c r="G1" s="73"/>
      <c r="H1" s="73"/>
      <c r="I1" s="73"/>
      <c r="J1" s="36" t="s">
        <v>2</v>
      </c>
      <c r="L1" s="74" t="s">
        <v>3</v>
      </c>
      <c r="M1" s="75" t="s">
        <v>4</v>
      </c>
      <c r="N1" s="76" t="s">
        <v>5</v>
      </c>
      <c r="O1" s="77" t="s">
        <v>6</v>
      </c>
      <c r="R1" s="74" t="s">
        <v>106</v>
      </c>
      <c r="S1" s="78" t="str">
        <f>IF(COUNTA($S$5:$S$13)=COUNTIF($S5:$S14,"OK"),"OK","Check")</f>
        <v>OK</v>
      </c>
      <c r="U1" s="74" t="s">
        <v>24</v>
      </c>
      <c r="V1" s="78" t="str">
        <f>'Check|List'!$S$1</f>
        <v>Ok</v>
      </c>
    </row>
    <row r="2" spans="1:47" s="79" customFormat="1" ht="13.5" thickBot="1">
      <c r="B2" s="80" t="str">
        <f>Index!$C$7</f>
        <v>Input | General</v>
      </c>
      <c r="C2" s="80"/>
      <c r="D2" s="80"/>
      <c r="E2" s="80"/>
      <c r="F2" s="81"/>
      <c r="G2" s="81"/>
      <c r="H2" s="81"/>
      <c r="I2" s="81"/>
    </row>
    <row r="3" spans="1:47" s="26" customFormat="1" ht="3" customHeight="1">
      <c r="D3" s="27"/>
      <c r="E3" s="27"/>
      <c r="F3" s="27"/>
      <c r="G3" s="27"/>
      <c r="H3" s="27"/>
      <c r="I3" s="27"/>
    </row>
    <row r="4" spans="1:47" s="106" customFormat="1" ht="12.75">
      <c r="A4" s="97"/>
      <c r="B4" s="98" t="s">
        <v>119</v>
      </c>
      <c r="C4" s="97"/>
      <c r="D4" s="97"/>
      <c r="E4" s="97"/>
      <c r="F4" s="99"/>
      <c r="G4" s="99"/>
      <c r="H4" s="99"/>
      <c r="I4" s="99"/>
      <c r="J4" s="100"/>
      <c r="K4" s="101"/>
      <c r="L4" s="100"/>
      <c r="M4" s="101"/>
      <c r="N4" s="100"/>
      <c r="O4" s="100"/>
      <c r="P4" s="100"/>
      <c r="Q4" s="100"/>
      <c r="R4" s="100"/>
      <c r="S4" s="100"/>
      <c r="T4" s="100"/>
      <c r="U4" s="100"/>
      <c r="V4" s="101"/>
      <c r="W4" s="101"/>
      <c r="X4" s="102"/>
      <c r="Y4" s="102"/>
      <c r="Z4" s="102"/>
      <c r="AA4" s="102"/>
      <c r="AB4" s="103"/>
      <c r="AC4" s="104"/>
      <c r="AD4" s="104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</row>
    <row r="5" spans="1:47"/>
    <row r="6" spans="1:47">
      <c r="C6" s="30" t="s">
        <v>120</v>
      </c>
      <c r="D6" s="31" t="s">
        <v>7</v>
      </c>
      <c r="E6" s="31"/>
      <c r="F6" s="32"/>
      <c r="G6" s="32" t="s">
        <v>86</v>
      </c>
      <c r="H6" s="32"/>
      <c r="I6" s="28"/>
    </row>
    <row r="7" spans="1:47">
      <c r="C7" s="28" t="s">
        <v>81</v>
      </c>
      <c r="D7" s="29" t="s">
        <v>87</v>
      </c>
      <c r="E7" s="28"/>
      <c r="F7" s="28"/>
      <c r="G7" s="51" t="s">
        <v>161</v>
      </c>
      <c r="H7" s="28"/>
      <c r="I7" s="28"/>
      <c r="S7" s="138" t="str">
        <f>IF(COUNTBLANK($G7),"Check","Ok")</f>
        <v>Ok</v>
      </c>
    </row>
    <row r="8" spans="1:47">
      <c r="C8" s="28" t="s">
        <v>82</v>
      </c>
      <c r="D8" s="29" t="s">
        <v>87</v>
      </c>
      <c r="E8" s="28"/>
      <c r="F8" s="28"/>
      <c r="G8" s="51" t="s">
        <v>41</v>
      </c>
      <c r="H8" s="28"/>
      <c r="I8" s="28"/>
      <c r="S8" s="138" t="str">
        <f t="shared" ref="S8:S12" si="0">IF(COUNTBLANK($G8),"Check","Ok")</f>
        <v>Ok</v>
      </c>
    </row>
    <row r="9" spans="1:47">
      <c r="C9" s="28" t="s">
        <v>95</v>
      </c>
      <c r="D9" s="29" t="s">
        <v>87</v>
      </c>
      <c r="E9" s="28"/>
      <c r="F9" s="28"/>
      <c r="G9" s="51" t="s">
        <v>41</v>
      </c>
      <c r="H9" s="28"/>
      <c r="I9" s="28"/>
      <c r="S9" s="138" t="str">
        <f t="shared" si="0"/>
        <v>Ok</v>
      </c>
    </row>
    <row r="10" spans="1:47">
      <c r="C10" s="28" t="s">
        <v>83</v>
      </c>
      <c r="D10" s="29" t="s">
        <v>87</v>
      </c>
      <c r="E10" s="28"/>
      <c r="F10" s="28"/>
      <c r="G10" s="51" t="s">
        <v>43</v>
      </c>
      <c r="H10" s="28"/>
      <c r="I10" s="28"/>
      <c r="S10" s="138" t="str">
        <f t="shared" si="0"/>
        <v>Ok</v>
      </c>
    </row>
    <row r="11" spans="1:47">
      <c r="C11" s="28" t="s">
        <v>84</v>
      </c>
      <c r="D11" s="29" t="s">
        <v>87</v>
      </c>
      <c r="E11" s="28"/>
      <c r="F11" s="28"/>
      <c r="G11" s="51" t="s">
        <v>44</v>
      </c>
      <c r="H11" s="28"/>
      <c r="I11" s="28"/>
      <c r="S11" s="138" t="str">
        <f t="shared" si="0"/>
        <v>Ok</v>
      </c>
    </row>
    <row r="12" spans="1:47">
      <c r="C12" s="28" t="s">
        <v>85</v>
      </c>
      <c r="D12" s="29" t="s">
        <v>87</v>
      </c>
      <c r="E12" s="28"/>
      <c r="F12" s="28"/>
      <c r="G12" s="51" t="s">
        <v>92</v>
      </c>
      <c r="H12" s="28"/>
      <c r="I12" s="28"/>
      <c r="S12" s="138" t="str">
        <f t="shared" si="0"/>
        <v>Ok</v>
      </c>
    </row>
    <row r="13" spans="1:47">
      <c r="D13" s="28"/>
      <c r="E13" s="28"/>
      <c r="F13" s="28"/>
      <c r="G13" s="28"/>
      <c r="H13" s="28"/>
      <c r="I13" s="28"/>
    </row>
    <row r="14" spans="1:47" s="106" customFormat="1" ht="12.75">
      <c r="A14" s="97"/>
      <c r="B14" s="98" t="s">
        <v>21</v>
      </c>
      <c r="C14" s="97"/>
      <c r="D14" s="97"/>
      <c r="E14" s="97"/>
      <c r="F14" s="99"/>
      <c r="G14" s="99"/>
      <c r="H14" s="99"/>
      <c r="I14" s="99"/>
      <c r="J14" s="100"/>
      <c r="K14" s="101"/>
      <c r="L14" s="100"/>
      <c r="M14" s="101"/>
      <c r="N14" s="100"/>
      <c r="O14" s="100"/>
      <c r="P14" s="100"/>
      <c r="Q14" s="100"/>
      <c r="R14" s="100"/>
      <c r="S14" s="100"/>
      <c r="T14" s="100"/>
      <c r="U14" s="100"/>
      <c r="V14" s="101"/>
      <c r="W14" s="101"/>
      <c r="X14" s="102"/>
      <c r="Y14" s="102"/>
      <c r="Z14" s="102"/>
      <c r="AA14" s="102"/>
      <c r="AB14" s="103"/>
      <c r="AC14" s="104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</row>
    <row r="15" spans="1:47" hidden="1">
      <c r="G15" s="31"/>
      <c r="H15" s="31"/>
    </row>
    <row r="16" spans="1:47" hidden="1">
      <c r="G16" s="31"/>
      <c r="H16" s="31"/>
    </row>
    <row r="17" spans="7:8" hidden="1">
      <c r="G17" s="31"/>
      <c r="H17" s="31"/>
    </row>
    <row r="18" spans="7:8" hidden="1">
      <c r="G18" s="31"/>
      <c r="H18" s="31"/>
    </row>
    <row r="19" spans="7:8" hidden="1">
      <c r="G19" s="31"/>
      <c r="H19" s="31"/>
    </row>
    <row r="20" spans="7:8" hidden="1">
      <c r="G20" s="31"/>
      <c r="H20" s="31"/>
    </row>
    <row r="21" spans="7:8" hidden="1">
      <c r="G21" s="31"/>
      <c r="H21" s="31"/>
    </row>
    <row r="22" spans="7:8" hidden="1">
      <c r="G22" s="31"/>
      <c r="H22" s="31"/>
    </row>
    <row r="23" spans="7:8" hidden="1">
      <c r="G23" s="31"/>
      <c r="H23" s="31"/>
    </row>
    <row r="24" spans="7:8" hidden="1">
      <c r="G24" s="31"/>
      <c r="H24" s="31"/>
    </row>
  </sheetData>
  <conditionalFormatting sqref="W12:W13">
    <cfRule type="cellIs" dxfId="109" priority="13" operator="equal">
      <formula>"Check"</formula>
    </cfRule>
    <cfRule type="cellIs" dxfId="108" priority="14" operator="equal">
      <formula>"Ok"</formula>
    </cfRule>
  </conditionalFormatting>
  <conditionalFormatting sqref="V1">
    <cfRule type="cellIs" dxfId="107" priority="3" operator="equal">
      <formula>"Check"</formula>
    </cfRule>
    <cfRule type="cellIs" dxfId="106" priority="4" operator="equal">
      <formula>"Ok"</formula>
    </cfRule>
  </conditionalFormatting>
  <conditionalFormatting sqref="S7:S12">
    <cfRule type="cellIs" dxfId="105" priority="5" operator="equal">
      <formula>"Check"</formula>
    </cfRule>
    <cfRule type="cellIs" dxfId="104" priority="6" operator="equal">
      <formula>"Ok"</formula>
    </cfRule>
  </conditionalFormatting>
  <conditionalFormatting sqref="S1">
    <cfRule type="cellIs" dxfId="103" priority="1" operator="equal">
      <formula>"Check"</formula>
    </cfRule>
    <cfRule type="cellIs" dxfId="102" priority="2" operator="equal">
      <formula>"Ok"</formula>
    </cfRule>
  </conditionalFormatting>
  <dataValidations count="3">
    <dataValidation type="list" allowBlank="1" showInputMessage="1" showErrorMessage="1" sqref="F10:F11">
      <formula1>#REF!</formula1>
    </dataValidation>
    <dataValidation type="list" allowBlank="1" showInputMessage="1" showErrorMessage="1" sqref="F12:F13">
      <formula1>"Real 2010,Real 2011,Real 2012,Real 2013,Real 2014,Real 2015,Nominal"</formula1>
    </dataValidation>
    <dataValidation type="list" allowBlank="1" showInputMessage="1" showErrorMessage="1" sqref="I10:I13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'Lookup|Tables'!$G$28:$G$42</xm:f>
          </x14:formula1>
          <xm:sqref>G8:G12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U64"/>
  <sheetViews>
    <sheetView showGridLines="0" topLeftCell="A13" workbookViewId="0">
      <selection activeCell="L47" sqref="L47"/>
    </sheetView>
  </sheetViews>
  <sheetFormatPr defaultColWidth="0" defaultRowHeight="11.25" customHeight="1" zeroHeight="1"/>
  <cols>
    <col min="1" max="2" width="1.5" style="28" customWidth="1"/>
    <col min="3" max="3" width="11.6640625" style="28" bestFit="1" customWidth="1"/>
    <col min="4" max="4" width="21.5" style="29" bestFit="1" customWidth="1"/>
    <col min="5" max="8" width="15" style="29" customWidth="1"/>
    <col min="9" max="9" width="3.33203125" style="29" customWidth="1"/>
    <col min="10" max="23" width="10.83203125" style="28" customWidth="1"/>
    <col min="24" max="38" width="10.5" style="28" hidden="1" customWidth="1"/>
    <col min="39" max="16384" width="10.5" style="28" hidden="1"/>
  </cols>
  <sheetData>
    <row r="1" spans="1:47" s="71" customFormat="1" ht="15.75">
      <c r="B1" s="72" t="str">
        <f>Index!$B$1</f>
        <v>AER opex model</v>
      </c>
      <c r="C1" s="72"/>
      <c r="D1" s="72"/>
      <c r="E1" s="72"/>
      <c r="F1" s="73"/>
      <c r="G1" s="73"/>
      <c r="H1" s="73"/>
      <c r="I1" s="73"/>
      <c r="J1" s="36" t="s">
        <v>2</v>
      </c>
      <c r="L1" s="74" t="s">
        <v>3</v>
      </c>
      <c r="M1" s="75" t="s">
        <v>4</v>
      </c>
      <c r="N1" s="76" t="s">
        <v>5</v>
      </c>
      <c r="O1" s="77" t="s">
        <v>6</v>
      </c>
      <c r="R1" s="74" t="s">
        <v>106</v>
      </c>
      <c r="S1" s="78" t="str">
        <f>IF(COUNTA($S$5:$S$53)=COUNTIF($S5:$S54,"OK"),"OK","Check")</f>
        <v>OK</v>
      </c>
      <c r="U1" s="74" t="s">
        <v>24</v>
      </c>
      <c r="V1" s="78" t="str">
        <f>'Check|List'!$S$1</f>
        <v>Ok</v>
      </c>
    </row>
    <row r="2" spans="1:47" s="79" customFormat="1" ht="13.5" thickBot="1">
      <c r="B2" s="80" t="str">
        <f>Index!$C$7</f>
        <v>Input | General</v>
      </c>
      <c r="C2" s="80"/>
      <c r="D2" s="80"/>
      <c r="E2" s="80"/>
      <c r="F2" s="81"/>
      <c r="G2" s="81"/>
      <c r="H2" s="81"/>
      <c r="I2" s="81"/>
    </row>
    <row r="3" spans="1:47" s="26" customFormat="1" ht="3" customHeight="1">
      <c r="D3" s="27"/>
      <c r="E3" s="27"/>
      <c r="F3" s="27"/>
      <c r="G3" s="27"/>
      <c r="H3" s="27"/>
      <c r="I3" s="27"/>
    </row>
    <row r="4" spans="1:47" s="106" customFormat="1" ht="12.75">
      <c r="A4" s="97"/>
      <c r="B4" s="98" t="s">
        <v>119</v>
      </c>
      <c r="C4" s="97"/>
      <c r="D4" s="97"/>
      <c r="E4" s="97"/>
      <c r="F4" s="99"/>
      <c r="G4" s="99"/>
      <c r="H4" s="99"/>
      <c r="I4" s="99"/>
      <c r="J4" s="100"/>
      <c r="K4" s="101"/>
      <c r="L4" s="100"/>
      <c r="M4" s="101"/>
      <c r="N4" s="100"/>
      <c r="O4" s="100"/>
      <c r="P4" s="100"/>
      <c r="Q4" s="100"/>
      <c r="R4" s="100"/>
      <c r="S4" s="100"/>
      <c r="T4" s="100"/>
      <c r="U4" s="100"/>
      <c r="V4" s="101"/>
      <c r="W4" s="101"/>
      <c r="X4" s="102"/>
      <c r="Y4" s="102"/>
      <c r="Z4" s="102"/>
      <c r="AA4" s="102"/>
      <c r="AB4" s="103"/>
      <c r="AC4" s="104"/>
      <c r="AD4" s="104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</row>
    <row r="5" spans="1:47" ht="11.25" customHeight="1"/>
    <row r="6" spans="1:47" ht="21.75">
      <c r="D6" s="63" t="s">
        <v>124</v>
      </c>
      <c r="E6" s="63" t="s">
        <v>125</v>
      </c>
      <c r="F6" s="63"/>
      <c r="G6" s="63"/>
      <c r="H6" s="28"/>
      <c r="I6" s="28"/>
    </row>
    <row r="7" spans="1:47">
      <c r="C7" s="68" t="s">
        <v>7</v>
      </c>
      <c r="D7" s="67" t="s">
        <v>122</v>
      </c>
      <c r="E7" s="67" t="s">
        <v>122</v>
      </c>
      <c r="F7" s="67"/>
      <c r="G7" s="67"/>
      <c r="H7" s="28"/>
      <c r="I7" s="28"/>
    </row>
    <row r="8" spans="1:47">
      <c r="C8" s="68" t="s">
        <v>8</v>
      </c>
      <c r="D8" s="67" t="s">
        <v>107</v>
      </c>
      <c r="E8" s="67" t="s">
        <v>107</v>
      </c>
      <c r="F8" s="67"/>
      <c r="G8" s="67"/>
      <c r="H8" s="28"/>
      <c r="I8" s="28"/>
    </row>
    <row r="9" spans="1:47">
      <c r="C9" s="65">
        <v>39172</v>
      </c>
      <c r="D9" s="64">
        <v>155.6</v>
      </c>
      <c r="E9" s="28"/>
      <c r="F9" s="28"/>
      <c r="G9" s="166"/>
      <c r="H9" s="28"/>
      <c r="I9" s="28"/>
      <c r="S9" s="138" t="str">
        <f t="shared" ref="S9:S20" si="0">IF(COUNTBLANK($D9),"Check","Ok")</f>
        <v>Ok</v>
      </c>
    </row>
    <row r="10" spans="1:47">
      <c r="C10" s="65">
        <v>39263</v>
      </c>
      <c r="D10" s="64">
        <v>157.5</v>
      </c>
      <c r="E10" s="28"/>
      <c r="F10" s="28"/>
      <c r="G10" s="166"/>
      <c r="H10" s="28"/>
      <c r="I10" s="28"/>
      <c r="S10" s="138" t="str">
        <f t="shared" si="0"/>
        <v>Ok</v>
      </c>
    </row>
    <row r="11" spans="1:47">
      <c r="C11" s="65">
        <v>39355</v>
      </c>
      <c r="D11" s="64">
        <v>158.6</v>
      </c>
      <c r="E11" s="28"/>
      <c r="F11" s="28"/>
      <c r="G11" s="166"/>
      <c r="H11" s="28"/>
      <c r="I11" s="28"/>
      <c r="S11" s="138" t="str">
        <f t="shared" si="0"/>
        <v>Ok</v>
      </c>
    </row>
    <row r="12" spans="1:47">
      <c r="C12" s="65">
        <v>39447</v>
      </c>
      <c r="D12" s="64">
        <v>160.1</v>
      </c>
      <c r="E12" s="28"/>
      <c r="F12" s="66"/>
      <c r="G12" s="166"/>
      <c r="H12" s="28"/>
      <c r="I12" s="28"/>
      <c r="S12" s="138" t="str">
        <f t="shared" si="0"/>
        <v>Ok</v>
      </c>
    </row>
    <row r="13" spans="1:47">
      <c r="C13" s="65">
        <v>39538</v>
      </c>
      <c r="D13" s="64">
        <v>162.19999999999999</v>
      </c>
      <c r="E13" s="28"/>
      <c r="F13" s="66"/>
      <c r="G13" s="166"/>
      <c r="H13" s="28"/>
      <c r="I13" s="28"/>
      <c r="S13" s="138" t="str">
        <f t="shared" si="0"/>
        <v>Ok</v>
      </c>
    </row>
    <row r="14" spans="1:47">
      <c r="C14" s="65">
        <v>39629</v>
      </c>
      <c r="D14" s="64">
        <v>164.6</v>
      </c>
      <c r="E14" s="28"/>
      <c r="F14" s="66"/>
      <c r="G14" s="166"/>
      <c r="H14" s="28"/>
      <c r="I14" s="28"/>
      <c r="S14" s="138" t="str">
        <f t="shared" si="0"/>
        <v>Ok</v>
      </c>
    </row>
    <row r="15" spans="1:47">
      <c r="C15" s="65">
        <v>39721</v>
      </c>
      <c r="D15" s="64">
        <v>166.5</v>
      </c>
      <c r="E15" s="28"/>
      <c r="F15" s="66"/>
      <c r="G15" s="166"/>
      <c r="H15" s="28"/>
      <c r="I15" s="28"/>
      <c r="S15" s="138" t="str">
        <f t="shared" si="0"/>
        <v>Ok</v>
      </c>
    </row>
    <row r="16" spans="1:47">
      <c r="C16" s="65">
        <v>39813</v>
      </c>
      <c r="D16" s="64">
        <v>166</v>
      </c>
      <c r="E16" s="28"/>
      <c r="F16" s="66"/>
      <c r="G16" s="166"/>
      <c r="H16" s="28"/>
      <c r="I16" s="28"/>
      <c r="S16" s="138" t="str">
        <f t="shared" si="0"/>
        <v>Ok</v>
      </c>
    </row>
    <row r="17" spans="3:19">
      <c r="C17" s="65">
        <v>39903</v>
      </c>
      <c r="D17" s="64">
        <v>166.2</v>
      </c>
      <c r="E17" s="28"/>
      <c r="F17" s="66"/>
      <c r="G17" s="166"/>
      <c r="H17" s="28"/>
      <c r="I17" s="28"/>
      <c r="S17" s="138" t="str">
        <f t="shared" si="0"/>
        <v>Ok</v>
      </c>
    </row>
    <row r="18" spans="3:19">
      <c r="C18" s="65">
        <v>39994</v>
      </c>
      <c r="D18" s="64">
        <v>167</v>
      </c>
      <c r="E18" s="28"/>
      <c r="F18" s="66"/>
      <c r="G18" s="166"/>
      <c r="H18" s="28"/>
      <c r="I18" s="28"/>
      <c r="S18" s="138" t="str">
        <f t="shared" si="0"/>
        <v>Ok</v>
      </c>
    </row>
    <row r="19" spans="3:19">
      <c r="C19" s="65">
        <v>40086</v>
      </c>
      <c r="D19" s="64">
        <v>168.6</v>
      </c>
      <c r="E19" s="28"/>
      <c r="F19" s="66"/>
      <c r="G19" s="166"/>
      <c r="H19" s="28"/>
      <c r="I19" s="28"/>
      <c r="S19" s="138" t="str">
        <f t="shared" si="0"/>
        <v>Ok</v>
      </c>
    </row>
    <row r="20" spans="3:19">
      <c r="C20" s="65">
        <v>40178</v>
      </c>
      <c r="D20" s="64">
        <v>169.5</v>
      </c>
      <c r="E20" s="28"/>
      <c r="F20" s="66"/>
      <c r="G20" s="166"/>
      <c r="H20" s="28"/>
      <c r="I20" s="28"/>
      <c r="S20" s="138" t="str">
        <f t="shared" si="0"/>
        <v>Ok</v>
      </c>
    </row>
    <row r="21" spans="3:19">
      <c r="C21" s="65">
        <v>40268</v>
      </c>
      <c r="D21" s="64">
        <v>171</v>
      </c>
      <c r="E21" s="64">
        <v>95.2</v>
      </c>
      <c r="F21" s="66"/>
      <c r="G21" s="167"/>
      <c r="H21" s="28"/>
      <c r="I21" s="28"/>
      <c r="S21" s="138" t="str">
        <f t="shared" ref="S21:S28" si="1">IF(COUNTBLANK($D21:$E21),"Check","Ok")</f>
        <v>Ok</v>
      </c>
    </row>
    <row r="22" spans="3:19">
      <c r="C22" s="65">
        <v>40359</v>
      </c>
      <c r="D22" s="64">
        <v>172.1</v>
      </c>
      <c r="E22" s="64">
        <v>95.8</v>
      </c>
      <c r="F22" s="66"/>
      <c r="G22" s="167"/>
      <c r="H22" s="28"/>
      <c r="I22" s="28"/>
      <c r="S22" s="138" t="str">
        <f t="shared" si="1"/>
        <v>Ok</v>
      </c>
    </row>
    <row r="23" spans="3:19">
      <c r="C23" s="65">
        <v>40451</v>
      </c>
      <c r="D23" s="64">
        <v>173.3</v>
      </c>
      <c r="E23" s="64">
        <v>96.5</v>
      </c>
      <c r="F23" s="66"/>
      <c r="G23" s="167"/>
      <c r="H23" s="28"/>
      <c r="I23" s="28"/>
      <c r="S23" s="138" t="str">
        <f t="shared" si="1"/>
        <v>Ok</v>
      </c>
    </row>
    <row r="24" spans="3:19">
      <c r="C24" s="65">
        <v>40543</v>
      </c>
      <c r="D24" s="64">
        <v>174</v>
      </c>
      <c r="E24" s="64">
        <v>96.9</v>
      </c>
      <c r="F24" s="66"/>
      <c r="G24" s="167"/>
      <c r="H24" s="28"/>
      <c r="I24" s="28"/>
      <c r="S24" s="138" t="str">
        <f t="shared" si="1"/>
        <v>Ok</v>
      </c>
    </row>
    <row r="25" spans="3:19">
      <c r="C25" s="65">
        <v>40633</v>
      </c>
      <c r="D25" s="64">
        <v>176.7</v>
      </c>
      <c r="E25" s="64">
        <v>98.3</v>
      </c>
      <c r="F25" s="66"/>
      <c r="G25" s="167"/>
      <c r="H25" s="28"/>
      <c r="I25" s="28"/>
      <c r="S25" s="138" t="str">
        <f t="shared" si="1"/>
        <v>Ok</v>
      </c>
    </row>
    <row r="26" spans="3:19">
      <c r="C26" s="65">
        <v>40724</v>
      </c>
      <c r="D26" s="64">
        <v>178.3</v>
      </c>
      <c r="E26" s="64">
        <v>99.2</v>
      </c>
      <c r="F26" s="66"/>
      <c r="G26" s="167"/>
      <c r="H26" s="28"/>
      <c r="I26" s="28"/>
      <c r="S26" s="138" t="str">
        <f t="shared" si="1"/>
        <v>Ok</v>
      </c>
    </row>
    <row r="27" spans="3:19">
      <c r="C27" s="65">
        <v>40816</v>
      </c>
      <c r="D27" s="64">
        <v>179.4</v>
      </c>
      <c r="E27" s="64">
        <v>99.8</v>
      </c>
      <c r="F27" s="66"/>
      <c r="G27" s="167"/>
      <c r="H27" s="28"/>
      <c r="I27" s="28"/>
      <c r="S27" s="138" t="str">
        <f t="shared" si="1"/>
        <v>Ok</v>
      </c>
    </row>
    <row r="28" spans="3:19">
      <c r="C28" s="65">
        <v>40908</v>
      </c>
      <c r="D28" s="64">
        <v>179.4</v>
      </c>
      <c r="E28" s="64">
        <v>99.8</v>
      </c>
      <c r="F28" s="66"/>
      <c r="G28" s="167"/>
      <c r="H28" s="28"/>
      <c r="I28" s="28"/>
      <c r="S28" s="138" t="str">
        <f t="shared" si="1"/>
        <v>Ok</v>
      </c>
    </row>
    <row r="29" spans="3:19">
      <c r="C29" s="65">
        <v>40999</v>
      </c>
      <c r="D29" s="64">
        <v>179.5</v>
      </c>
      <c r="E29" s="64">
        <v>99.9</v>
      </c>
      <c r="F29" s="66"/>
      <c r="G29" s="167"/>
      <c r="H29" s="28"/>
      <c r="I29" s="28"/>
      <c r="S29" s="138" t="str">
        <f>IF(COUNTBLANK($E29),"Check","Ok")</f>
        <v>Ok</v>
      </c>
    </row>
    <row r="30" spans="3:19">
      <c r="C30" s="65">
        <v>41090</v>
      </c>
      <c r="D30" s="28"/>
      <c r="E30" s="64">
        <v>100.4</v>
      </c>
      <c r="F30" s="66"/>
      <c r="G30" s="167"/>
      <c r="H30" s="28"/>
      <c r="I30" s="28"/>
      <c r="S30" s="138" t="str">
        <f>IF(COUNTBLANK($E30),"Check","Ok")</f>
        <v>Ok</v>
      </c>
    </row>
    <row r="31" spans="3:19">
      <c r="C31" s="65">
        <v>41182</v>
      </c>
      <c r="D31" s="28"/>
      <c r="E31" s="64">
        <v>101.8</v>
      </c>
      <c r="F31" s="66"/>
      <c r="G31" s="167"/>
      <c r="H31" s="28"/>
      <c r="I31" s="28"/>
      <c r="S31" s="138" t="str">
        <f>IF(COUNTBLANK($E31),"Check","Ok")</f>
        <v>Ok</v>
      </c>
    </row>
    <row r="32" spans="3:19">
      <c r="C32" s="65">
        <v>41274</v>
      </c>
      <c r="D32" s="28"/>
      <c r="E32" s="64">
        <v>102</v>
      </c>
      <c r="F32" s="66"/>
      <c r="G32" s="167"/>
      <c r="H32" s="28"/>
      <c r="I32" s="28"/>
      <c r="S32" s="138" t="str">
        <f>IF(COUNTBLANK($E32),"Check","Ok")</f>
        <v>Ok</v>
      </c>
    </row>
    <row r="33" spans="3:19">
      <c r="C33" s="65">
        <v>41364</v>
      </c>
      <c r="D33" s="28"/>
      <c r="E33" s="64">
        <v>102.4</v>
      </c>
      <c r="F33" s="66"/>
      <c r="G33" s="167"/>
      <c r="H33" s="28"/>
      <c r="I33" s="28"/>
      <c r="S33" s="138" t="str">
        <f t="shared" ref="S33:S52" si="2">IF(COUNTBLANK($E33),"Check","Ok")</f>
        <v>Ok</v>
      </c>
    </row>
    <row r="34" spans="3:19">
      <c r="C34" s="65">
        <v>41455</v>
      </c>
      <c r="D34" s="28"/>
      <c r="E34" s="64">
        <v>102.8</v>
      </c>
      <c r="F34" s="66"/>
      <c r="G34" s="167"/>
      <c r="H34" s="28"/>
      <c r="I34" s="28"/>
      <c r="S34" s="138" t="str">
        <f t="shared" si="2"/>
        <v>Ok</v>
      </c>
    </row>
    <row r="35" spans="3:19">
      <c r="C35" s="65">
        <v>41547</v>
      </c>
      <c r="D35" s="28"/>
      <c r="E35" s="64">
        <v>104</v>
      </c>
      <c r="F35" s="66"/>
      <c r="G35" s="167"/>
      <c r="H35" s="28"/>
      <c r="I35" s="28"/>
      <c r="S35" s="138" t="str">
        <f t="shared" si="2"/>
        <v>Ok</v>
      </c>
    </row>
    <row r="36" spans="3:19">
      <c r="C36" s="65">
        <v>41639</v>
      </c>
      <c r="D36" s="28"/>
      <c r="E36" s="64">
        <v>104.8</v>
      </c>
      <c r="F36" s="66"/>
      <c r="G36" s="167"/>
      <c r="H36" s="28"/>
      <c r="I36" s="28"/>
      <c r="S36" s="138" t="str">
        <f t="shared" si="2"/>
        <v>Ok</v>
      </c>
    </row>
    <row r="37" spans="3:19">
      <c r="C37" s="65">
        <v>41729</v>
      </c>
      <c r="D37" s="28"/>
      <c r="E37" s="64">
        <v>105.4</v>
      </c>
      <c r="F37" s="66"/>
      <c r="G37" s="167"/>
      <c r="H37" s="28"/>
      <c r="I37" s="28"/>
      <c r="S37" s="138" t="str">
        <f t="shared" si="2"/>
        <v>Ok</v>
      </c>
    </row>
    <row r="38" spans="3:19">
      <c r="C38" s="65">
        <v>41820</v>
      </c>
      <c r="D38" s="28"/>
      <c r="E38" s="64">
        <v>105.9</v>
      </c>
      <c r="F38" s="66"/>
      <c r="G38" s="167"/>
      <c r="H38" s="28"/>
      <c r="I38" s="28"/>
      <c r="S38" s="138" t="str">
        <f t="shared" si="2"/>
        <v>Ok</v>
      </c>
    </row>
    <row r="39" spans="3:19">
      <c r="C39" s="65">
        <v>41912</v>
      </c>
      <c r="D39" s="28"/>
      <c r="E39" s="64">
        <v>106.4</v>
      </c>
      <c r="F39" s="66"/>
      <c r="G39" s="167"/>
      <c r="H39" s="28"/>
      <c r="I39" s="28"/>
      <c r="S39" s="138" t="str">
        <f t="shared" si="2"/>
        <v>Ok</v>
      </c>
    </row>
    <row r="40" spans="3:19">
      <c r="C40" s="65">
        <v>42004</v>
      </c>
      <c r="D40" s="28"/>
      <c r="E40" s="64">
        <v>106.6</v>
      </c>
      <c r="F40" s="66"/>
      <c r="G40" s="167"/>
      <c r="H40" s="28"/>
      <c r="I40" s="28"/>
      <c r="S40" s="138" t="str">
        <f t="shared" si="2"/>
        <v>Ok</v>
      </c>
    </row>
    <row r="41" spans="3:19">
      <c r="C41" s="65">
        <v>42094</v>
      </c>
      <c r="D41" s="28"/>
      <c r="E41" s="64">
        <v>106.8</v>
      </c>
      <c r="F41" s="66"/>
      <c r="G41" s="167"/>
      <c r="H41" s="28"/>
      <c r="I41" s="28"/>
      <c r="S41" s="138" t="str">
        <f t="shared" si="2"/>
        <v>Ok</v>
      </c>
    </row>
    <row r="42" spans="3:19">
      <c r="C42" s="65">
        <v>42185</v>
      </c>
      <c r="D42" s="28"/>
      <c r="E42" s="64">
        <v>107.5</v>
      </c>
      <c r="F42" s="66"/>
      <c r="G42" s="167"/>
      <c r="H42" s="28"/>
      <c r="I42" s="28"/>
      <c r="S42" s="138" t="str">
        <f t="shared" si="2"/>
        <v>Ok</v>
      </c>
    </row>
    <row r="43" spans="3:19">
      <c r="C43" s="65">
        <v>42277</v>
      </c>
      <c r="D43" s="28"/>
      <c r="E43" s="64">
        <v>108</v>
      </c>
      <c r="F43" s="66"/>
      <c r="G43" s="167"/>
      <c r="H43" s="28"/>
      <c r="I43" s="28"/>
      <c r="S43" s="138" t="str">
        <f t="shared" si="2"/>
        <v>Ok</v>
      </c>
    </row>
    <row r="44" spans="3:19">
      <c r="C44" s="65">
        <v>42369</v>
      </c>
      <c r="D44" s="28"/>
      <c r="E44" s="64">
        <v>108.4</v>
      </c>
      <c r="F44" s="66"/>
      <c r="G44" s="167"/>
      <c r="H44" s="28"/>
      <c r="I44" s="28"/>
      <c r="S44" s="138" t="str">
        <f t="shared" si="2"/>
        <v>Ok</v>
      </c>
    </row>
    <row r="45" spans="3:19">
      <c r="C45" s="65">
        <v>42460</v>
      </c>
      <c r="D45" s="28"/>
      <c r="E45" s="64">
        <v>108.2</v>
      </c>
      <c r="F45" s="66"/>
      <c r="G45" s="167"/>
      <c r="H45" s="28"/>
      <c r="I45" s="28"/>
      <c r="S45" s="138" t="str">
        <f t="shared" si="2"/>
        <v>Ok</v>
      </c>
    </row>
    <row r="46" spans="3:19">
      <c r="C46" s="65">
        <v>42551</v>
      </c>
      <c r="D46" s="28"/>
      <c r="E46" s="64">
        <v>108.6</v>
      </c>
      <c r="F46" s="66"/>
      <c r="G46" s="167"/>
      <c r="H46" s="28"/>
      <c r="I46" s="28"/>
      <c r="S46" s="138" t="str">
        <f t="shared" si="2"/>
        <v>Ok</v>
      </c>
    </row>
    <row r="47" spans="3:19">
      <c r="C47" s="65">
        <v>42643</v>
      </c>
      <c r="D47" s="28"/>
      <c r="E47" s="64">
        <v>109.4</v>
      </c>
      <c r="F47" s="66"/>
      <c r="G47" s="167"/>
      <c r="H47" s="28"/>
      <c r="I47" s="28"/>
      <c r="S47" s="138" t="str">
        <f t="shared" si="2"/>
        <v>Ok</v>
      </c>
    </row>
    <row r="48" spans="3:19">
      <c r="C48" s="65">
        <v>42735</v>
      </c>
      <c r="D48" s="28"/>
      <c r="E48" s="64">
        <v>110</v>
      </c>
      <c r="F48" s="66"/>
      <c r="G48" s="167"/>
      <c r="H48" s="28"/>
      <c r="I48" s="28"/>
      <c r="S48" s="138" t="str">
        <f t="shared" si="2"/>
        <v>Ok</v>
      </c>
    </row>
    <row r="49" spans="1:47">
      <c r="C49" s="65">
        <v>42825</v>
      </c>
      <c r="D49" s="28"/>
      <c r="E49" s="64">
        <f>AVERAGE(E48,E50)</f>
        <v>110.386</v>
      </c>
      <c r="F49" s="66" t="s">
        <v>98</v>
      </c>
      <c r="G49" s="167" t="s">
        <v>144</v>
      </c>
      <c r="H49" s="28"/>
      <c r="I49" s="28"/>
      <c r="S49" s="138" t="str">
        <f t="shared" si="2"/>
        <v>Ok</v>
      </c>
    </row>
    <row r="50" spans="1:47">
      <c r="C50" s="65">
        <v>42916</v>
      </c>
      <c r="D50" s="28"/>
      <c r="E50" s="64">
        <f>E46*1.02</f>
        <v>110.77199999999999</v>
      </c>
      <c r="F50" s="66" t="s">
        <v>98</v>
      </c>
      <c r="G50" s="167" t="s">
        <v>172</v>
      </c>
      <c r="H50" s="28"/>
      <c r="I50" s="28"/>
      <c r="S50" s="138" t="str">
        <f t="shared" si="2"/>
        <v>Ok</v>
      </c>
    </row>
    <row r="51" spans="1:47">
      <c r="C51" s="65">
        <v>42979</v>
      </c>
      <c r="D51" s="28"/>
      <c r="E51" s="64">
        <f>AVERAGE(E50,E52)</f>
        <v>111.48599999999999</v>
      </c>
      <c r="F51" s="66" t="s">
        <v>98</v>
      </c>
      <c r="G51" s="167" t="s">
        <v>144</v>
      </c>
      <c r="H51" s="28"/>
      <c r="I51" s="28"/>
      <c r="S51" s="138" t="str">
        <f t="shared" si="2"/>
        <v>Ok</v>
      </c>
    </row>
    <row r="52" spans="1:47">
      <c r="C52" s="65">
        <v>43071</v>
      </c>
      <c r="D52" s="28"/>
      <c r="E52" s="64">
        <f>E48*1.02</f>
        <v>112.2</v>
      </c>
      <c r="F52" s="66" t="s">
        <v>98</v>
      </c>
      <c r="G52" s="167" t="s">
        <v>172</v>
      </c>
      <c r="H52" s="28"/>
      <c r="I52" s="28"/>
      <c r="S52" s="138" t="str">
        <f t="shared" si="2"/>
        <v>Ok</v>
      </c>
    </row>
    <row r="53" spans="1:47">
      <c r="E53" s="28"/>
      <c r="F53" s="66"/>
      <c r="G53" s="28"/>
      <c r="H53" s="28"/>
      <c r="I53" s="28"/>
      <c r="S53" s="139"/>
    </row>
    <row r="54" spans="1:47" s="106" customFormat="1" ht="12.75">
      <c r="A54" s="97"/>
      <c r="B54" s="98" t="s">
        <v>21</v>
      </c>
      <c r="C54" s="97"/>
      <c r="D54" s="97"/>
      <c r="E54" s="97"/>
      <c r="F54" s="99"/>
      <c r="G54" s="99"/>
      <c r="H54" s="99"/>
      <c r="I54" s="99"/>
      <c r="J54" s="100"/>
      <c r="K54" s="101"/>
      <c r="L54" s="100"/>
      <c r="M54" s="101"/>
      <c r="N54" s="100"/>
      <c r="O54" s="100"/>
      <c r="P54" s="100"/>
      <c r="Q54" s="100"/>
      <c r="R54" s="100"/>
      <c r="S54" s="100"/>
      <c r="T54" s="100"/>
      <c r="U54" s="100"/>
      <c r="V54" s="101"/>
      <c r="W54" s="101"/>
      <c r="X54" s="102"/>
      <c r="Y54" s="102"/>
      <c r="Z54" s="102"/>
      <c r="AA54" s="102"/>
      <c r="AB54" s="103"/>
      <c r="AC54" s="104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</row>
    <row r="55" spans="1:47" hidden="1">
      <c r="G55" s="31"/>
      <c r="H55" s="31"/>
    </row>
    <row r="56" spans="1:47" hidden="1">
      <c r="G56" s="31"/>
      <c r="H56" s="31"/>
    </row>
    <row r="57" spans="1:47" s="29" customFormat="1" hidden="1">
      <c r="A57" s="28"/>
      <c r="B57" s="28"/>
      <c r="C57" s="28"/>
      <c r="G57" s="31"/>
      <c r="H57" s="31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</row>
    <row r="58" spans="1:47" s="29" customFormat="1" hidden="1">
      <c r="A58" s="28"/>
      <c r="B58" s="28"/>
      <c r="C58" s="28"/>
      <c r="G58" s="31"/>
      <c r="H58" s="31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</row>
    <row r="59" spans="1:47" s="29" customFormat="1" hidden="1">
      <c r="A59" s="28"/>
      <c r="B59" s="28"/>
      <c r="C59" s="28"/>
      <c r="G59" s="31"/>
      <c r="H59" s="31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</row>
    <row r="60" spans="1:47" s="29" customFormat="1" hidden="1">
      <c r="A60" s="28"/>
      <c r="B60" s="28"/>
      <c r="C60" s="28"/>
      <c r="G60" s="31"/>
      <c r="H60" s="31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</row>
    <row r="61" spans="1:47" s="29" customFormat="1" hidden="1">
      <c r="A61" s="28"/>
      <c r="B61" s="28"/>
      <c r="C61" s="28"/>
      <c r="G61" s="31"/>
      <c r="H61" s="31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</row>
    <row r="62" spans="1:47" s="29" customFormat="1" hidden="1">
      <c r="A62" s="28"/>
      <c r="B62" s="28"/>
      <c r="C62" s="28"/>
      <c r="G62" s="31"/>
      <c r="H62" s="31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</row>
    <row r="63" spans="1:47" s="29" customFormat="1" hidden="1">
      <c r="A63" s="28"/>
      <c r="B63" s="28"/>
      <c r="C63" s="28"/>
      <c r="G63" s="31"/>
      <c r="H63" s="31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</row>
    <row r="64" spans="1:47" s="29" customFormat="1" hidden="1">
      <c r="A64" s="28"/>
      <c r="B64" s="28"/>
      <c r="C64" s="28"/>
      <c r="G64" s="31"/>
      <c r="H64" s="31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</row>
  </sheetData>
  <conditionalFormatting sqref="W14:W53 S9:S53">
    <cfRule type="cellIs" dxfId="101" priority="7" operator="equal">
      <formula>"Check"</formula>
    </cfRule>
    <cfRule type="cellIs" dxfId="100" priority="8" operator="equal">
      <formula>"Ok"</formula>
    </cfRule>
  </conditionalFormatting>
  <conditionalFormatting sqref="V1">
    <cfRule type="cellIs" dxfId="99" priority="3" operator="equal">
      <formula>"Check"</formula>
    </cfRule>
    <cfRule type="cellIs" dxfId="98" priority="4" operator="equal">
      <formula>"Ok"</formula>
    </cfRule>
  </conditionalFormatting>
  <conditionalFormatting sqref="S1">
    <cfRule type="cellIs" dxfId="97" priority="1" operator="equal">
      <formula>"Check"</formula>
    </cfRule>
    <cfRule type="cellIs" dxfId="96" priority="2" operator="equal">
      <formula>"Ok"</formula>
    </cfRule>
  </conditionalFormatting>
  <dataValidations count="2">
    <dataValidation type="list" allowBlank="1" showInputMessage="1" showErrorMessage="1" sqref="F53">
      <formula1>"Real 2010,Real 2011,Real 2012,Real 2013,Real 2014,Real 2015,Nominal"</formula1>
    </dataValidation>
    <dataValidation type="list" allowBlank="1" showInputMessage="1" showErrorMessage="1" sqref="I12:I53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99"/>
  </sheetPr>
  <dimension ref="A1:AU238"/>
  <sheetViews>
    <sheetView showGridLines="0" workbookViewId="0">
      <selection activeCell="L15" sqref="L15"/>
    </sheetView>
  </sheetViews>
  <sheetFormatPr defaultColWidth="0" defaultRowHeight="11.25" zeroHeight="1" outlineLevelRow="1"/>
  <cols>
    <col min="1" max="2" width="1.5" style="28" customWidth="1"/>
    <col min="3" max="3" width="65.1640625" style="28" bestFit="1" customWidth="1"/>
    <col min="4" max="4" width="27.6640625" style="29" customWidth="1"/>
    <col min="5" max="5" width="15.83203125" style="29" customWidth="1"/>
    <col min="6" max="6" width="10.6640625" style="29" customWidth="1"/>
    <col min="7" max="9" width="3.33203125" style="29" customWidth="1"/>
    <col min="10" max="23" width="10.83203125" style="28" customWidth="1"/>
    <col min="24" max="38" width="10.5" style="28" hidden="1" customWidth="1"/>
    <col min="39" max="16384" width="10.5" style="28" hidden="1"/>
  </cols>
  <sheetData>
    <row r="1" spans="1:47" s="71" customFormat="1" ht="15.75">
      <c r="B1" s="72"/>
      <c r="C1" s="72" t="str">
        <f>Index!$B$1</f>
        <v>AER opex model</v>
      </c>
      <c r="D1" s="72"/>
      <c r="E1" s="72"/>
      <c r="F1" s="73"/>
      <c r="G1" s="73"/>
      <c r="H1" s="73"/>
      <c r="I1" s="73"/>
      <c r="J1" s="36" t="s">
        <v>2</v>
      </c>
      <c r="L1" s="74" t="s">
        <v>3</v>
      </c>
      <c r="M1" s="75" t="s">
        <v>4</v>
      </c>
      <c r="N1" s="76" t="s">
        <v>5</v>
      </c>
      <c r="O1" s="77" t="s">
        <v>6</v>
      </c>
      <c r="R1" s="74" t="s">
        <v>106</v>
      </c>
      <c r="S1" s="78" t="str">
        <f>IF(COUNTA($W$32:$W$250)=COUNTIF($W$32:$W$250,"OK"),"OK","Check")</f>
        <v>OK</v>
      </c>
      <c r="U1" s="74" t="s">
        <v>24</v>
      </c>
      <c r="V1" s="78" t="str">
        <f>'Check|List'!$S$1</f>
        <v>Ok</v>
      </c>
    </row>
    <row r="2" spans="1:47" s="79" customFormat="1" ht="13.5" thickBot="1">
      <c r="B2" s="80"/>
      <c r="C2" s="80" t="str">
        <f>Index!$C$9</f>
        <v>Input | Reported opex</v>
      </c>
      <c r="D2" s="80"/>
      <c r="E2" s="80"/>
      <c r="F2" s="81"/>
      <c r="G2" s="81"/>
      <c r="H2" s="81"/>
      <c r="I2" s="81"/>
    </row>
    <row r="3" spans="1:47" s="145" customFormat="1">
      <c r="A3" s="140"/>
      <c r="B3" s="140"/>
      <c r="C3" s="141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3"/>
      <c r="X3" s="144"/>
      <c r="Y3" s="144"/>
      <c r="Z3" s="144"/>
    </row>
    <row r="4" spans="1:47" s="96" customFormat="1" ht="10.5">
      <c r="A4" s="86"/>
      <c r="B4" s="86"/>
      <c r="C4" s="86"/>
      <c r="D4" s="87" t="s">
        <v>7</v>
      </c>
      <c r="E4" s="87" t="s">
        <v>8</v>
      </c>
      <c r="F4" s="88" t="s">
        <v>22</v>
      </c>
      <c r="G4" s="89"/>
      <c r="H4" s="89"/>
      <c r="I4" s="89"/>
      <c r="J4" s="152" t="str">
        <f>'Input|General'!$G$8</f>
        <v>2014-15</v>
      </c>
      <c r="K4" s="91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2015-16</v>
      </c>
      <c r="L4" s="152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2016-17</v>
      </c>
      <c r="M4" s="91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2017-18</v>
      </c>
      <c r="N4" s="152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2018-19</v>
      </c>
      <c r="O4" s="152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2019-20</v>
      </c>
      <c r="P4" s="152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2020-21</v>
      </c>
      <c r="Q4" s="152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2021-22</v>
      </c>
      <c r="R4" s="152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/>
      </c>
      <c r="S4" s="15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/>
      </c>
      <c r="T4" s="90"/>
      <c r="U4" s="90"/>
      <c r="V4" s="91"/>
      <c r="W4" s="91"/>
      <c r="X4" s="92"/>
      <c r="Y4" s="92"/>
      <c r="Z4" s="92"/>
      <c r="AA4" s="92"/>
      <c r="AB4" s="93"/>
      <c r="AC4" s="94"/>
      <c r="AD4" s="94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1:47" s="26" customFormat="1" ht="3" customHeight="1">
      <c r="D5" s="27"/>
      <c r="E5" s="27"/>
      <c r="F5" s="27"/>
      <c r="G5" s="27"/>
      <c r="H5" s="27"/>
      <c r="I5" s="27"/>
    </row>
    <row r="6" spans="1:47" s="26" customFormat="1" ht="9" customHeight="1">
      <c r="D6" s="27"/>
      <c r="E6" s="27"/>
      <c r="F6" s="27"/>
      <c r="G6" s="27"/>
      <c r="H6" s="27"/>
      <c r="I6" s="27"/>
    </row>
    <row r="7" spans="1:47" s="26" customFormat="1" ht="3" customHeight="1">
      <c r="D7" s="27"/>
      <c r="E7" s="27"/>
      <c r="F7" s="27"/>
      <c r="G7" s="27"/>
      <c r="H7" s="27"/>
      <c r="I7" s="27"/>
    </row>
    <row r="8" spans="1:47" s="106" customFormat="1" ht="12.75">
      <c r="A8" s="97"/>
      <c r="B8" s="98" t="s">
        <v>51</v>
      </c>
      <c r="C8" s="97"/>
      <c r="D8" s="97"/>
      <c r="E8" s="97"/>
      <c r="F8" s="99"/>
      <c r="G8" s="99"/>
      <c r="H8" s="99"/>
      <c r="I8" s="99"/>
      <c r="J8" s="100"/>
      <c r="K8" s="101"/>
      <c r="L8" s="100"/>
      <c r="M8" s="101"/>
      <c r="N8" s="100"/>
      <c r="O8" s="100"/>
      <c r="P8" s="100"/>
      <c r="Q8" s="100"/>
      <c r="R8" s="100"/>
      <c r="S8" s="100"/>
      <c r="T8" s="100"/>
      <c r="U8" s="100"/>
      <c r="V8" s="101"/>
      <c r="W8" s="101"/>
      <c r="X8" s="102"/>
      <c r="Y8" s="102"/>
      <c r="Z8" s="102"/>
      <c r="AA8" s="102"/>
      <c r="AB8" s="103"/>
      <c r="AC8" s="104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</row>
    <row r="9" spans="1:47" outlineLevel="1">
      <c r="G9" s="31"/>
      <c r="H9" s="31"/>
    </row>
    <row r="10" spans="1:47" outlineLevel="1">
      <c r="C10" s="68" t="s">
        <v>100</v>
      </c>
      <c r="D10" s="31" t="s">
        <v>7</v>
      </c>
      <c r="E10" s="31" t="s">
        <v>8</v>
      </c>
      <c r="F10" s="31" t="s">
        <v>22</v>
      </c>
      <c r="G10" s="31"/>
      <c r="H10" s="31"/>
      <c r="J10" s="109" t="str">
        <f>IF(RIGHT(J$4,2)&lt;=RIGHT('Input|General'!$G$10,2),'Input|Reported opex'!J$4,"")</f>
        <v>2014-15</v>
      </c>
      <c r="K10" s="109" t="str">
        <f ca="1">IF(RIGHT(K$4,2)&lt;=RIGHT('Input|General'!$G$10,2),'Input|Reported opex'!K$4,"")</f>
        <v>2015-16</v>
      </c>
      <c r="L10" s="109" t="str">
        <f ca="1">IF(RIGHT(L$4,2)&lt;=RIGHT('Input|General'!$G$10,2),'Input|Reported opex'!L$4,"")</f>
        <v>2016-17</v>
      </c>
      <c r="M10" s="109" t="str">
        <f ca="1">IF(RIGHT(M$4,2)&lt;=RIGHT('Input|General'!$G$10,2),'Input|Reported opex'!M$4,"")</f>
        <v/>
      </c>
      <c r="N10" s="109" t="str">
        <f ca="1">IF(RIGHT(N$4,2)&lt;=RIGHT('Input|General'!$G$10,2),'Input|Reported opex'!N$4,"")</f>
        <v/>
      </c>
      <c r="O10" s="109" t="str">
        <f ca="1">IF(RIGHT(O$4,2)&lt;=RIGHT('Input|General'!$G$10,2),'Input|Reported opex'!O$4,"")</f>
        <v/>
      </c>
      <c r="P10" s="109" t="str">
        <f ca="1">IF(RIGHT(P$4,2)&lt;=RIGHT('Input|General'!$G$10,2),'Input|Reported opex'!P$4,"")</f>
        <v/>
      </c>
      <c r="Q10" s="109" t="str">
        <f ca="1">IF(RIGHT(Q$4,2)&lt;=RIGHT('Input|General'!$G$10,2),'Input|Reported opex'!Q$4,"")</f>
        <v/>
      </c>
      <c r="R10" s="109" t="str">
        <f ca="1">IF(RIGHT(R$4,2)&lt;=RIGHT('Input|General'!$G$10,2),'Input|Reported opex'!R$4,"")</f>
        <v/>
      </c>
      <c r="S10" s="109" t="str">
        <f ca="1">IF(RIGHT(S$4,2)&lt;=RIGHT('Input|General'!$G$10,2),'Input|Reported opex'!S$4,"")</f>
        <v/>
      </c>
      <c r="T10" s="146" t="s">
        <v>68</v>
      </c>
      <c r="U10" s="147"/>
      <c r="V10" s="147"/>
    </row>
    <row r="11" spans="1:47" outlineLevel="1">
      <c r="C11" s="115"/>
      <c r="G11" s="31"/>
      <c r="H11" s="31"/>
      <c r="J11" s="23"/>
      <c r="K11" s="23"/>
      <c r="L11" s="23"/>
      <c r="M11" s="23"/>
      <c r="N11" s="23"/>
    </row>
    <row r="12" spans="1:47" outlineLevel="1">
      <c r="C12" s="115"/>
      <c r="G12" s="31"/>
      <c r="H12" s="31"/>
      <c r="J12" s="23"/>
      <c r="K12" s="23"/>
      <c r="L12" s="23"/>
      <c r="M12" s="23"/>
      <c r="N12" s="23"/>
    </row>
    <row r="13" spans="1:47" outlineLevel="1">
      <c r="C13" s="61" t="s">
        <v>97</v>
      </c>
      <c r="D13" s="29" t="s">
        <v>88</v>
      </c>
      <c r="E13" s="29" t="str">
        <f>$E$24</f>
        <v>$millions</v>
      </c>
      <c r="F13" s="29" t="str">
        <f>$F$24</f>
        <v>2013-14</v>
      </c>
      <c r="G13" s="31"/>
      <c r="H13" s="31"/>
      <c r="J13" s="59">
        <v>185.13515541257806</v>
      </c>
      <c r="K13" s="59">
        <v>189.80991219149408</v>
      </c>
      <c r="L13" s="59">
        <v>188.00559467591285</v>
      </c>
      <c r="M13" s="166"/>
      <c r="N13" s="166"/>
      <c r="T13" s="166"/>
    </row>
    <row r="14" spans="1:47" outlineLevel="1">
      <c r="C14" s="61" t="s">
        <v>138</v>
      </c>
      <c r="D14" s="29" t="s">
        <v>88</v>
      </c>
      <c r="E14" s="29" t="str">
        <f t="shared" ref="E14:E22" si="0">$E$24</f>
        <v>$millions</v>
      </c>
      <c r="F14" s="29" t="str">
        <f t="shared" ref="F14:F22" si="1">$F$24</f>
        <v>2013-14</v>
      </c>
      <c r="G14" s="31"/>
      <c r="H14" s="31"/>
      <c r="J14" s="59">
        <v>-1.5496105450072941</v>
      </c>
      <c r="K14" s="59">
        <v>-1.5561098586057678</v>
      </c>
      <c r="L14" s="59">
        <v>-1.5775852076399237</v>
      </c>
      <c r="M14" s="166"/>
      <c r="N14" s="166"/>
      <c r="T14" s="166"/>
    </row>
    <row r="15" spans="1:47" outlineLevel="1">
      <c r="C15" s="61" t="s">
        <v>143</v>
      </c>
      <c r="D15" s="29" t="s">
        <v>88</v>
      </c>
      <c r="E15" s="29" t="str">
        <f t="shared" si="0"/>
        <v>$millions</v>
      </c>
      <c r="F15" s="29" t="str">
        <f t="shared" si="1"/>
        <v>2013-14</v>
      </c>
      <c r="G15" s="31"/>
      <c r="H15" s="31"/>
      <c r="J15" s="59">
        <v>-100.91902926829269</v>
      </c>
      <c r="K15" s="59">
        <v>-103.44200499999999</v>
      </c>
      <c r="L15" s="59">
        <v>-100.91902926829269</v>
      </c>
      <c r="M15" s="166"/>
      <c r="N15" s="166"/>
      <c r="T15" s="166"/>
    </row>
    <row r="16" spans="1:47" outlineLevel="1">
      <c r="C16" s="61" t="s">
        <v>167</v>
      </c>
      <c r="D16" s="29" t="s">
        <v>88</v>
      </c>
      <c r="E16" s="29" t="str">
        <f t="shared" si="0"/>
        <v>$millions</v>
      </c>
      <c r="F16" s="29" t="str">
        <f t="shared" si="1"/>
        <v>2013-14</v>
      </c>
      <c r="G16" s="31"/>
      <c r="H16" s="31"/>
      <c r="J16" s="59">
        <v>-2.2812929999999998</v>
      </c>
      <c r="K16" s="59">
        <v>-2.2812929999999998</v>
      </c>
      <c r="L16" s="59">
        <v>-2.2812929999999998</v>
      </c>
      <c r="M16" s="166"/>
      <c r="N16" s="166"/>
      <c r="T16" s="166"/>
    </row>
    <row r="17" spans="1:47" outlineLevel="1">
      <c r="C17" s="61"/>
      <c r="D17" s="29" t="s">
        <v>88</v>
      </c>
      <c r="E17" s="29" t="str">
        <f t="shared" si="0"/>
        <v>$millions</v>
      </c>
      <c r="F17" s="29" t="str">
        <f t="shared" si="1"/>
        <v>2013-14</v>
      </c>
      <c r="G17" s="31"/>
      <c r="H17" s="31"/>
      <c r="J17" s="59"/>
      <c r="K17" s="59"/>
      <c r="L17" s="59"/>
      <c r="M17" s="166"/>
      <c r="N17" s="166"/>
      <c r="T17" s="166"/>
    </row>
    <row r="18" spans="1:47" outlineLevel="1">
      <c r="C18" s="61"/>
      <c r="D18" s="29" t="s">
        <v>88</v>
      </c>
      <c r="E18" s="29" t="str">
        <f t="shared" si="0"/>
        <v>$millions</v>
      </c>
      <c r="F18" s="29" t="str">
        <f t="shared" si="1"/>
        <v>2013-14</v>
      </c>
      <c r="G18" s="31"/>
      <c r="H18" s="31"/>
      <c r="J18" s="59"/>
      <c r="K18" s="59"/>
      <c r="L18" s="59"/>
      <c r="M18" s="166"/>
      <c r="N18" s="166"/>
      <c r="T18" s="166"/>
    </row>
    <row r="19" spans="1:47" outlineLevel="1">
      <c r="C19" s="61"/>
      <c r="D19" s="29" t="s">
        <v>88</v>
      </c>
      <c r="E19" s="29" t="str">
        <f t="shared" si="0"/>
        <v>$millions</v>
      </c>
      <c r="F19" s="29" t="str">
        <f t="shared" si="1"/>
        <v>2013-14</v>
      </c>
      <c r="G19" s="31"/>
      <c r="H19" s="31"/>
      <c r="J19" s="59"/>
      <c r="K19" s="59"/>
      <c r="L19" s="59"/>
      <c r="M19" s="166"/>
      <c r="N19" s="166"/>
      <c r="T19" s="166"/>
    </row>
    <row r="20" spans="1:47" outlineLevel="1">
      <c r="C20" s="61"/>
      <c r="D20" s="29" t="s">
        <v>88</v>
      </c>
      <c r="E20" s="29" t="str">
        <f t="shared" si="0"/>
        <v>$millions</v>
      </c>
      <c r="F20" s="29" t="str">
        <f t="shared" si="1"/>
        <v>2013-14</v>
      </c>
      <c r="G20" s="31"/>
      <c r="H20" s="31"/>
      <c r="J20" s="59"/>
      <c r="K20" s="59"/>
      <c r="L20" s="59"/>
      <c r="M20" s="166"/>
      <c r="N20" s="166"/>
      <c r="T20" s="166"/>
    </row>
    <row r="21" spans="1:47" outlineLevel="1">
      <c r="C21" s="61"/>
      <c r="D21" s="29" t="s">
        <v>88</v>
      </c>
      <c r="E21" s="29" t="str">
        <f t="shared" si="0"/>
        <v>$millions</v>
      </c>
      <c r="F21" s="29" t="str">
        <f t="shared" si="1"/>
        <v>2013-14</v>
      </c>
      <c r="G21" s="31"/>
      <c r="H21" s="31"/>
      <c r="J21" s="59"/>
      <c r="K21" s="59"/>
      <c r="L21" s="59"/>
      <c r="M21" s="166"/>
      <c r="N21" s="166"/>
      <c r="T21" s="166"/>
    </row>
    <row r="22" spans="1:47" outlineLevel="1">
      <c r="C22" s="61"/>
      <c r="D22" s="29" t="s">
        <v>88</v>
      </c>
      <c r="E22" s="29" t="str">
        <f t="shared" si="0"/>
        <v>$millions</v>
      </c>
      <c r="F22" s="29" t="str">
        <f t="shared" si="1"/>
        <v>2013-14</v>
      </c>
      <c r="G22" s="31"/>
      <c r="H22" s="31"/>
      <c r="J22" s="59"/>
      <c r="K22" s="59"/>
      <c r="L22" s="59"/>
      <c r="M22" s="166"/>
      <c r="N22" s="166"/>
      <c r="T22" s="166"/>
    </row>
    <row r="23" spans="1:47" outlineLevel="1">
      <c r="C23" s="115"/>
      <c r="G23" s="31"/>
      <c r="H23" s="31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47" outlineLevel="1">
      <c r="C24" s="148" t="s">
        <v>97</v>
      </c>
      <c r="D24" s="149" t="s">
        <v>30</v>
      </c>
      <c r="E24" s="137" t="s">
        <v>15</v>
      </c>
      <c r="F24" s="137" t="s">
        <v>65</v>
      </c>
      <c r="G24" s="31"/>
      <c r="H24" s="31"/>
      <c r="J24" s="136">
        <f t="shared" ref="J24:S24" si="2">SUM(J13:J22)</f>
        <v>80.38522259927808</v>
      </c>
      <c r="K24" s="136">
        <f t="shared" si="2"/>
        <v>82.530504332888313</v>
      </c>
      <c r="L24" s="136">
        <f t="shared" si="2"/>
        <v>83.227687199980238</v>
      </c>
      <c r="M24" s="136">
        <f t="shared" si="2"/>
        <v>0</v>
      </c>
      <c r="N24" s="136">
        <f t="shared" si="2"/>
        <v>0</v>
      </c>
      <c r="O24" s="136">
        <f t="shared" si="2"/>
        <v>0</v>
      </c>
      <c r="P24" s="136">
        <f t="shared" si="2"/>
        <v>0</v>
      </c>
      <c r="Q24" s="136">
        <f t="shared" si="2"/>
        <v>0</v>
      </c>
      <c r="R24" s="136">
        <f t="shared" si="2"/>
        <v>0</v>
      </c>
      <c r="S24" s="136">
        <f t="shared" si="2"/>
        <v>0</v>
      </c>
    </row>
    <row r="25" spans="1:47">
      <c r="G25" s="31"/>
      <c r="H25" s="31"/>
    </row>
    <row r="26" spans="1:47" s="106" customFormat="1" ht="12.75">
      <c r="A26" s="97"/>
      <c r="B26" s="98" t="s">
        <v>73</v>
      </c>
      <c r="C26" s="97"/>
      <c r="D26" s="97"/>
      <c r="E26" s="97"/>
      <c r="F26" s="99"/>
      <c r="G26" s="99"/>
      <c r="H26" s="99"/>
      <c r="I26" s="99"/>
      <c r="J26" s="100"/>
      <c r="K26" s="101"/>
      <c r="L26" s="100"/>
      <c r="M26" s="101"/>
      <c r="N26" s="100"/>
      <c r="O26" s="100"/>
      <c r="P26" s="100"/>
      <c r="Q26" s="100"/>
      <c r="R26" s="100"/>
      <c r="S26" s="100"/>
      <c r="T26" s="100"/>
      <c r="U26" s="100"/>
      <c r="V26" s="101"/>
      <c r="W26" s="101"/>
      <c r="X26" s="102"/>
      <c r="Y26" s="102"/>
      <c r="Z26" s="102"/>
      <c r="AA26" s="102"/>
      <c r="AB26" s="103"/>
      <c r="AC26" s="104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</row>
    <row r="27" spans="1:47" outlineLevel="1"/>
    <row r="28" spans="1:47" outlineLevel="1">
      <c r="J28" s="51" t="s">
        <v>23</v>
      </c>
      <c r="K28" s="51" t="s">
        <v>98</v>
      </c>
      <c r="L28" s="51" t="s">
        <v>98</v>
      </c>
      <c r="M28" s="166"/>
      <c r="N28" s="166"/>
    </row>
    <row r="29" spans="1:47" outlineLevel="1">
      <c r="C29" s="68" t="s">
        <v>100</v>
      </c>
      <c r="D29" s="31" t="s">
        <v>7</v>
      </c>
      <c r="E29" s="31" t="s">
        <v>8</v>
      </c>
      <c r="F29" s="31" t="s">
        <v>22</v>
      </c>
      <c r="G29" s="31"/>
      <c r="H29" s="31"/>
      <c r="I29" s="31"/>
      <c r="J29" s="109" t="str">
        <f>IF(RIGHT(J4,2)&lt;=RIGHT('Input|General'!$G$10,2),'Input|Reported opex'!J4,"")</f>
        <v>2014-15</v>
      </c>
      <c r="K29" s="109" t="str">
        <f ca="1">IF(RIGHT(K4,2)&lt;=RIGHT('Input|General'!$G$10,2),'Input|Reported opex'!K4,"")</f>
        <v>2015-16</v>
      </c>
      <c r="L29" s="109" t="str">
        <f ca="1">IF(RIGHT(L4,2)&lt;=RIGHT('Input|General'!$G$10,2),'Input|Reported opex'!L4,"")</f>
        <v>2016-17</v>
      </c>
      <c r="M29" s="109" t="str">
        <f ca="1">IF(RIGHT(M4,2)&lt;=RIGHT('Input|General'!$G$10,2),'Input|Reported opex'!M4,"")</f>
        <v/>
      </c>
      <c r="N29" s="109" t="str">
        <f ca="1">IF(RIGHT(N4,2)&lt;=RIGHT('Input|General'!$G$10,2),'Input|Reported opex'!N4,"")</f>
        <v/>
      </c>
      <c r="O29" s="109" t="str">
        <f ca="1">IF(RIGHT(O4,2)&lt;=RIGHT('Input|General'!$G$10,2),'Input|Reported opex'!O4,"")</f>
        <v/>
      </c>
      <c r="P29" s="109" t="str">
        <f ca="1">IF(RIGHT(P4,2)&lt;=RIGHT('Input|General'!$G$10,2),'Input|Reported opex'!P4,"")</f>
        <v/>
      </c>
      <c r="Q29" s="109" t="str">
        <f ca="1">IF(RIGHT(Q4,2)&lt;=RIGHT('Input|General'!$G$10,2),'Input|Reported opex'!Q4,"")</f>
        <v/>
      </c>
      <c r="R29" s="109" t="str">
        <f ca="1">IF(RIGHT(R4,2)&lt;=RIGHT('Input|General'!$G$10,2),'Input|Reported opex'!R4,"")</f>
        <v/>
      </c>
      <c r="S29" s="109" t="str">
        <f ca="1">IF(RIGHT(S4,2)&lt;=RIGHT('Input|General'!$G$10,2),'Input|Reported opex'!S4,"")</f>
        <v/>
      </c>
      <c r="T29" s="146" t="s">
        <v>68</v>
      </c>
      <c r="U29" s="147"/>
      <c r="V29" s="147"/>
    </row>
    <row r="30" spans="1:47" outlineLevel="1">
      <c r="C30" s="115"/>
      <c r="G30" s="31"/>
      <c r="H30" s="31"/>
    </row>
    <row r="31" spans="1:47" outlineLevel="1">
      <c r="C31" s="115"/>
      <c r="G31" s="31"/>
      <c r="H31" s="31"/>
      <c r="T31" s="166"/>
    </row>
    <row r="32" spans="1:47" outlineLevel="1">
      <c r="C32" s="61" t="s">
        <v>97</v>
      </c>
      <c r="D32" s="29" t="s">
        <v>99</v>
      </c>
      <c r="E32" s="29" t="str">
        <f>$E$45</f>
        <v>$millions</v>
      </c>
      <c r="F32" s="29" t="str">
        <f>$F$45</f>
        <v>nominal</v>
      </c>
      <c r="G32" s="31"/>
      <c r="H32" s="31"/>
      <c r="J32" s="59">
        <v>187.44972001966681</v>
      </c>
      <c r="K32" s="59"/>
      <c r="L32" s="59"/>
      <c r="M32" s="166"/>
      <c r="N32" s="166"/>
      <c r="T32" s="166"/>
    </row>
    <row r="33" spans="1:47" outlineLevel="1">
      <c r="C33" s="61" t="s">
        <v>152</v>
      </c>
      <c r="D33" s="29" t="s">
        <v>99</v>
      </c>
      <c r="E33" s="29" t="str">
        <f>$E$45</f>
        <v>$millions</v>
      </c>
      <c r="F33" s="29" t="str">
        <f>$F$45</f>
        <v>nominal</v>
      </c>
      <c r="G33" s="31"/>
      <c r="H33" s="31"/>
      <c r="J33" s="59">
        <v>-0.25119547000000003</v>
      </c>
      <c r="K33" s="59"/>
      <c r="L33" s="59"/>
      <c r="M33" s="166"/>
      <c r="N33" s="166"/>
      <c r="T33" s="166"/>
    </row>
    <row r="34" spans="1:47" outlineLevel="1">
      <c r="C34" s="61"/>
      <c r="D34" s="29" t="s">
        <v>99</v>
      </c>
      <c r="E34" s="29" t="str">
        <f>$E$45</f>
        <v>$millions</v>
      </c>
      <c r="F34" s="29" t="str">
        <f>$F$45</f>
        <v>nominal</v>
      </c>
      <c r="G34" s="31"/>
      <c r="H34" s="31"/>
      <c r="J34" s="59"/>
      <c r="K34" s="59"/>
      <c r="L34" s="59"/>
      <c r="M34" s="166"/>
      <c r="N34" s="166"/>
      <c r="T34" s="166"/>
    </row>
    <row r="35" spans="1:47" outlineLevel="1">
      <c r="C35" s="61"/>
      <c r="D35" s="29" t="s">
        <v>99</v>
      </c>
      <c r="E35" s="29" t="str">
        <f>$E$45</f>
        <v>$millions</v>
      </c>
      <c r="F35" s="29" t="str">
        <f>$F$45</f>
        <v>nominal</v>
      </c>
      <c r="G35" s="31"/>
      <c r="H35" s="31"/>
      <c r="J35" s="59"/>
      <c r="K35" s="59"/>
      <c r="L35" s="59"/>
      <c r="M35" s="166"/>
      <c r="N35" s="166"/>
      <c r="T35" s="166"/>
    </row>
    <row r="36" spans="1:47" outlineLevel="1">
      <c r="C36" s="61" t="s">
        <v>142</v>
      </c>
      <c r="D36" s="29" t="s">
        <v>99</v>
      </c>
      <c r="E36" s="29" t="str">
        <f>$E$45</f>
        <v>$millions</v>
      </c>
      <c r="F36" s="29" t="str">
        <f>$F$45</f>
        <v>nominal</v>
      </c>
      <c r="G36" s="31"/>
      <c r="H36" s="31"/>
      <c r="J36" s="59">
        <v>0.13078950975581141</v>
      </c>
      <c r="K36" s="59"/>
      <c r="L36" s="59"/>
      <c r="M36" s="166"/>
      <c r="N36" s="166"/>
      <c r="T36" s="166"/>
    </row>
    <row r="37" spans="1:47" outlineLevel="1">
      <c r="M37" s="166"/>
      <c r="N37" s="166"/>
      <c r="T37" s="166"/>
    </row>
    <row r="38" spans="1:47" outlineLevel="1">
      <c r="C38" s="68" t="s">
        <v>165</v>
      </c>
      <c r="M38" s="166"/>
      <c r="N38" s="166"/>
      <c r="T38" s="166"/>
    </row>
    <row r="39" spans="1:47" outlineLevel="1">
      <c r="M39" s="166"/>
      <c r="N39" s="166"/>
      <c r="T39" s="166"/>
    </row>
    <row r="40" spans="1:47" outlineLevel="1">
      <c r="C40" s="61" t="s">
        <v>138</v>
      </c>
      <c r="D40" s="29" t="s">
        <v>99</v>
      </c>
      <c r="E40" s="29" t="str">
        <f>$E$45</f>
        <v>$millions</v>
      </c>
      <c r="F40" s="29" t="str">
        <f>$F$45</f>
        <v>nominal</v>
      </c>
      <c r="G40" s="31"/>
      <c r="H40" s="31"/>
      <c r="J40" s="59">
        <v>0</v>
      </c>
      <c r="K40" s="59"/>
      <c r="L40" s="59"/>
      <c r="M40" s="166"/>
      <c r="N40" s="166"/>
      <c r="T40" s="166"/>
    </row>
    <row r="41" spans="1:47" outlineLevel="1">
      <c r="C41" s="61" t="s">
        <v>143</v>
      </c>
      <c r="D41" s="29" t="s">
        <v>99</v>
      </c>
      <c r="E41" s="29" t="str">
        <f>$E$45</f>
        <v>$millions</v>
      </c>
      <c r="F41" s="29" t="str">
        <f>$F$45</f>
        <v>nominal</v>
      </c>
      <c r="G41" s="31"/>
      <c r="H41" s="31"/>
      <c r="J41" s="59">
        <v>-103.44200500000001</v>
      </c>
      <c r="K41" s="59"/>
      <c r="L41" s="59"/>
      <c r="M41" s="166"/>
      <c r="N41" s="166"/>
      <c r="T41" s="166"/>
    </row>
    <row r="42" spans="1:47" outlineLevel="1">
      <c r="C42" s="61" t="s">
        <v>151</v>
      </c>
      <c r="D42" s="29" t="s">
        <v>99</v>
      </c>
      <c r="E42" s="29" t="str">
        <f>$E$45</f>
        <v>$millions</v>
      </c>
      <c r="F42" s="29" t="str">
        <f>$F$45</f>
        <v>nominal</v>
      </c>
      <c r="G42" s="31"/>
      <c r="H42" s="31"/>
      <c r="J42" s="59">
        <v>-2.4027953599999998</v>
      </c>
      <c r="K42" s="59"/>
      <c r="L42" s="59"/>
      <c r="M42" s="166"/>
      <c r="N42" s="166"/>
      <c r="T42" s="166"/>
    </row>
    <row r="43" spans="1:47" outlineLevel="1">
      <c r="C43" s="61"/>
      <c r="D43" s="29" t="s">
        <v>99</v>
      </c>
      <c r="E43" s="29" t="str">
        <f>$E$45</f>
        <v>$millions</v>
      </c>
      <c r="F43" s="29" t="str">
        <f>$F$45</f>
        <v>nominal</v>
      </c>
      <c r="G43" s="31"/>
      <c r="H43" s="31"/>
      <c r="J43" s="59"/>
      <c r="K43" s="59"/>
      <c r="L43" s="59"/>
      <c r="M43" s="166"/>
      <c r="N43" s="166"/>
      <c r="T43" s="166"/>
    </row>
    <row r="44" spans="1:47" outlineLevel="1">
      <c r="C44" s="115"/>
      <c r="G44" s="31"/>
      <c r="H44" s="31"/>
      <c r="N44" s="150"/>
    </row>
    <row r="45" spans="1:47" outlineLevel="1">
      <c r="C45" s="148" t="s">
        <v>97</v>
      </c>
      <c r="D45" s="149" t="s">
        <v>30</v>
      </c>
      <c r="E45" s="137" t="s">
        <v>15</v>
      </c>
      <c r="F45" s="137" t="s">
        <v>129</v>
      </c>
      <c r="G45" s="31"/>
      <c r="H45" s="31"/>
      <c r="J45" s="136">
        <f t="shared" ref="J45:S45" si="3">SUM(J32:J43)</f>
        <v>81.484513699422607</v>
      </c>
      <c r="K45" s="136">
        <f t="shared" si="3"/>
        <v>0</v>
      </c>
      <c r="L45" s="136">
        <f t="shared" si="3"/>
        <v>0</v>
      </c>
      <c r="M45" s="136">
        <f t="shared" si="3"/>
        <v>0</v>
      </c>
      <c r="N45" s="136">
        <f t="shared" si="3"/>
        <v>0</v>
      </c>
      <c r="O45" s="136">
        <f t="shared" si="3"/>
        <v>0</v>
      </c>
      <c r="P45" s="136">
        <f t="shared" si="3"/>
        <v>0</v>
      </c>
      <c r="Q45" s="136">
        <f t="shared" si="3"/>
        <v>0</v>
      </c>
      <c r="R45" s="136">
        <f t="shared" si="3"/>
        <v>0</v>
      </c>
      <c r="S45" s="136">
        <f t="shared" si="3"/>
        <v>0</v>
      </c>
    </row>
    <row r="46" spans="1:47">
      <c r="G46" s="31"/>
      <c r="H46" s="31"/>
    </row>
    <row r="47" spans="1:47" s="106" customFormat="1" ht="12.75">
      <c r="A47" s="97"/>
      <c r="B47" s="98" t="s">
        <v>153</v>
      </c>
      <c r="C47" s="97"/>
      <c r="D47" s="97"/>
      <c r="E47" s="97"/>
      <c r="F47" s="99"/>
      <c r="G47" s="99"/>
      <c r="H47" s="99"/>
      <c r="I47" s="99"/>
      <c r="J47" s="100"/>
      <c r="K47" s="101"/>
      <c r="L47" s="100"/>
      <c r="M47" s="101"/>
      <c r="N47" s="100"/>
      <c r="O47" s="100"/>
      <c r="P47" s="100"/>
      <c r="Q47" s="100"/>
      <c r="R47" s="100"/>
      <c r="S47" s="100"/>
      <c r="T47" s="100"/>
      <c r="U47" s="100"/>
      <c r="V47" s="101"/>
      <c r="W47" s="101"/>
      <c r="X47" s="102"/>
      <c r="Y47" s="102"/>
      <c r="Z47" s="102"/>
      <c r="AA47" s="102"/>
      <c r="AB47" s="103"/>
      <c r="AC47" s="104"/>
      <c r="AD47" s="104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</row>
    <row r="48" spans="1:47" outlineLevel="1"/>
    <row r="49" spans="1:47" outlineLevel="1">
      <c r="C49" s="68" t="s">
        <v>154</v>
      </c>
      <c r="D49" s="31" t="s">
        <v>7</v>
      </c>
      <c r="E49" s="31" t="s">
        <v>8</v>
      </c>
      <c r="F49" s="31" t="s">
        <v>22</v>
      </c>
      <c r="G49" s="31"/>
      <c r="H49" s="31"/>
      <c r="I49" s="31"/>
      <c r="J49" s="109" t="str">
        <f>IF(RIGHT(J$4,2)=RIGHT('Input|General'!$G$10,2),J$4,"")</f>
        <v/>
      </c>
      <c r="K49" s="109" t="str">
        <f ca="1">IF(RIGHT(K$4,2)=RIGHT('Input|General'!$G$10,2),K$4,"")</f>
        <v/>
      </c>
      <c r="L49" s="109" t="str">
        <f ca="1">IF(RIGHT(L$4,2)=RIGHT('Input|General'!$G$10,2),L$4,"")</f>
        <v>2016-17</v>
      </c>
      <c r="M49" s="28" t="str">
        <f ca="1">IF(RIGHT(M4,2)=RIGHT('Input|General'!$G$10,2),'Input|Reported opex'!M4,"")</f>
        <v/>
      </c>
      <c r="N49" s="28" t="str">
        <f ca="1">IF(RIGHT(N$4,2)=RIGHT('Input|General'!$G$10,2),N$4,"")</f>
        <v/>
      </c>
    </row>
    <row r="50" spans="1:47" outlineLevel="1">
      <c r="C50" s="61" t="s">
        <v>158</v>
      </c>
      <c r="D50" s="29" t="s">
        <v>34</v>
      </c>
      <c r="E50" s="29" t="str">
        <f>$E$45</f>
        <v>$millions</v>
      </c>
      <c r="F50" s="29" t="s">
        <v>43</v>
      </c>
      <c r="G50" s="31"/>
      <c r="H50" s="31"/>
      <c r="I50" s="31"/>
      <c r="J50" s="125"/>
      <c r="K50" s="125"/>
      <c r="L50" s="59">
        <v>0</v>
      </c>
      <c r="M50" s="125"/>
      <c r="N50" s="125"/>
      <c r="O50" s="125"/>
      <c r="P50" s="125"/>
      <c r="Q50" s="125"/>
      <c r="R50" s="125"/>
      <c r="S50" s="125"/>
      <c r="T50" s="129"/>
      <c r="U50" s="151"/>
      <c r="V50" s="151"/>
    </row>
    <row r="51" spans="1:47" outlineLevel="1">
      <c r="C51" s="61" t="s">
        <v>159</v>
      </c>
      <c r="D51" s="29" t="s">
        <v>34</v>
      </c>
      <c r="E51" s="29" t="str">
        <f>$E$45</f>
        <v>$millions</v>
      </c>
      <c r="F51" s="29" t="s">
        <v>43</v>
      </c>
      <c r="G51" s="31"/>
      <c r="H51" s="31"/>
      <c r="I51" s="31"/>
      <c r="J51" s="125"/>
      <c r="K51" s="125"/>
      <c r="L51" s="59">
        <v>0</v>
      </c>
      <c r="M51" s="125"/>
      <c r="N51" s="125"/>
      <c r="O51" s="125"/>
      <c r="P51" s="125"/>
      <c r="Q51" s="125"/>
      <c r="R51" s="125"/>
      <c r="S51" s="125"/>
      <c r="T51" s="129"/>
      <c r="U51" s="151"/>
      <c r="V51" s="151"/>
    </row>
    <row r="52" spans="1:47" outlineLevel="1">
      <c r="C52" s="61" t="s">
        <v>155</v>
      </c>
      <c r="D52" s="29" t="s">
        <v>34</v>
      </c>
      <c r="E52" s="29" t="str">
        <f t="shared" ref="E52:E54" si="4">$E$45</f>
        <v>$millions</v>
      </c>
      <c r="F52" s="29" t="s">
        <v>43</v>
      </c>
      <c r="G52" s="31"/>
      <c r="H52" s="31"/>
      <c r="I52" s="31"/>
      <c r="J52" s="125"/>
      <c r="K52" s="125"/>
      <c r="L52" s="59">
        <v>0</v>
      </c>
      <c r="M52" s="125"/>
      <c r="N52" s="125"/>
      <c r="O52" s="125"/>
      <c r="P52" s="125"/>
      <c r="Q52" s="125"/>
      <c r="R52" s="125"/>
      <c r="S52" s="125"/>
      <c r="T52" s="129"/>
      <c r="U52" s="151"/>
      <c r="V52" s="151"/>
    </row>
    <row r="53" spans="1:47" outlineLevel="1">
      <c r="C53" s="61" t="s">
        <v>156</v>
      </c>
      <c r="D53" s="29" t="s">
        <v>34</v>
      </c>
      <c r="E53" s="29" t="str">
        <f t="shared" si="4"/>
        <v>$millions</v>
      </c>
      <c r="F53" s="29" t="s">
        <v>43</v>
      </c>
      <c r="G53" s="31"/>
      <c r="H53" s="31"/>
      <c r="I53" s="31"/>
      <c r="J53" s="125"/>
      <c r="K53" s="125"/>
      <c r="L53" s="59">
        <v>0</v>
      </c>
      <c r="M53" s="125"/>
      <c r="N53" s="125"/>
      <c r="O53" s="125"/>
      <c r="P53" s="125"/>
      <c r="Q53" s="125"/>
      <c r="R53" s="125"/>
      <c r="S53" s="125"/>
      <c r="T53" s="129"/>
      <c r="U53" s="151"/>
      <c r="V53" s="151"/>
    </row>
    <row r="54" spans="1:47" outlineLevel="1">
      <c r="C54" s="61" t="s">
        <v>157</v>
      </c>
      <c r="D54" s="29" t="s">
        <v>34</v>
      </c>
      <c r="E54" s="29" t="str">
        <f t="shared" si="4"/>
        <v>$millions</v>
      </c>
      <c r="F54" s="29" t="s">
        <v>43</v>
      </c>
      <c r="G54" s="31"/>
      <c r="H54" s="31"/>
      <c r="I54" s="31"/>
      <c r="J54" s="125"/>
      <c r="K54" s="125"/>
      <c r="L54" s="59">
        <v>0</v>
      </c>
      <c r="M54" s="125"/>
      <c r="N54" s="125"/>
      <c r="O54" s="125"/>
      <c r="P54" s="125"/>
      <c r="Q54" s="125"/>
      <c r="R54" s="125"/>
      <c r="S54" s="125"/>
      <c r="T54" s="129"/>
      <c r="U54" s="151"/>
      <c r="V54" s="151"/>
    </row>
    <row r="55" spans="1:47" outlineLevel="1">
      <c r="C55" s="61" t="s">
        <v>112</v>
      </c>
      <c r="D55" s="29" t="s">
        <v>34</v>
      </c>
      <c r="E55" s="29" t="s">
        <v>31</v>
      </c>
      <c r="F55" s="31"/>
      <c r="G55" s="31"/>
      <c r="H55" s="31"/>
      <c r="I55" s="31"/>
      <c r="K55" s="125"/>
      <c r="L55" s="165">
        <v>0</v>
      </c>
      <c r="M55" s="125"/>
      <c r="N55" s="125"/>
      <c r="O55" s="125"/>
      <c r="P55" s="125"/>
      <c r="Q55" s="125"/>
      <c r="R55" s="125"/>
      <c r="S55" s="125"/>
      <c r="T55" s="129"/>
      <c r="U55" s="151"/>
      <c r="V55" s="151"/>
    </row>
    <row r="56" spans="1:47">
      <c r="C56" s="115"/>
      <c r="G56" s="31"/>
      <c r="H56" s="31"/>
    </row>
    <row r="57" spans="1:47" s="106" customFormat="1" ht="12.75">
      <c r="A57" s="97"/>
      <c r="B57" s="98" t="s">
        <v>21</v>
      </c>
      <c r="C57" s="97"/>
      <c r="D57" s="97"/>
      <c r="E57" s="97"/>
      <c r="F57" s="99"/>
      <c r="G57" s="99"/>
      <c r="H57" s="99"/>
      <c r="I57" s="99"/>
      <c r="J57" s="100"/>
      <c r="K57" s="101"/>
      <c r="L57" s="100"/>
      <c r="M57" s="101"/>
      <c r="N57" s="100"/>
      <c r="O57" s="100"/>
      <c r="P57" s="100"/>
      <c r="Q57" s="100"/>
      <c r="R57" s="100"/>
      <c r="S57" s="100"/>
      <c r="T57" s="100"/>
      <c r="U57" s="100"/>
      <c r="V57" s="101"/>
      <c r="W57" s="101"/>
      <c r="X57" s="102"/>
      <c r="Y57" s="102"/>
      <c r="Z57" s="102"/>
      <c r="AA57" s="102"/>
      <c r="AB57" s="103"/>
      <c r="AC57" s="104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</row>
    <row r="58" spans="1:47" hidden="1">
      <c r="G58" s="31"/>
      <c r="H58" s="31"/>
    </row>
    <row r="59" spans="1:47" hidden="1">
      <c r="G59" s="31"/>
      <c r="H59" s="31"/>
    </row>
    <row r="60" spans="1:47" hidden="1">
      <c r="G60" s="31"/>
      <c r="H60" s="31"/>
    </row>
    <row r="61" spans="1:47" hidden="1">
      <c r="G61" s="31"/>
      <c r="H61" s="31"/>
    </row>
    <row r="62" spans="1:47" hidden="1">
      <c r="G62" s="31"/>
      <c r="H62" s="31"/>
    </row>
    <row r="63" spans="1:47" hidden="1">
      <c r="G63" s="31"/>
      <c r="H63" s="31"/>
    </row>
    <row r="64" spans="1:47" hidden="1">
      <c r="G64" s="31"/>
      <c r="H64" s="31"/>
    </row>
    <row r="65" spans="7:8" hidden="1">
      <c r="G65" s="31"/>
      <c r="H65" s="31"/>
    </row>
    <row r="66" spans="7:8" hidden="1">
      <c r="G66" s="31"/>
      <c r="H66" s="31"/>
    </row>
    <row r="67" spans="7:8" hidden="1">
      <c r="G67" s="31"/>
      <c r="H67" s="31"/>
    </row>
    <row r="68" spans="7:8" hidden="1"/>
    <row r="69" spans="7:8" hidden="1"/>
    <row r="70" spans="7:8" hidden="1"/>
    <row r="71" spans="7:8" hidden="1"/>
    <row r="72" spans="7:8" hidden="1"/>
    <row r="73" spans="7:8" hidden="1"/>
    <row r="74" spans="7:8" hidden="1"/>
    <row r="75" spans="7:8" hidden="1"/>
    <row r="76" spans="7:8" hidden="1"/>
    <row r="77" spans="7:8" hidden="1"/>
    <row r="78" spans="7:8" hidden="1"/>
    <row r="79" spans="7:8" hidden="1"/>
    <row r="80" spans="7:8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</sheetData>
  <conditionalFormatting sqref="W32:W43">
    <cfRule type="cellIs" dxfId="95" priority="24" operator="equal">
      <formula>"Check"</formula>
    </cfRule>
    <cfRule type="cellIs" dxfId="94" priority="25" operator="equal">
      <formula>"Ok"</formula>
    </cfRule>
  </conditionalFormatting>
  <conditionalFormatting sqref="W45">
    <cfRule type="cellIs" dxfId="93" priority="16" operator="equal">
      <formula>"Check"</formula>
    </cfRule>
    <cfRule type="cellIs" dxfId="92" priority="17" operator="equal">
      <formula>"Ok"</formula>
    </cfRule>
  </conditionalFormatting>
  <conditionalFormatting sqref="W24">
    <cfRule type="cellIs" dxfId="91" priority="7" operator="equal">
      <formula>"Check"</formula>
    </cfRule>
    <cfRule type="cellIs" dxfId="90" priority="8" operator="equal">
      <formula>"Ok"</formula>
    </cfRule>
  </conditionalFormatting>
  <conditionalFormatting sqref="V1">
    <cfRule type="cellIs" dxfId="89" priority="5" operator="equal">
      <formula>"Check"</formula>
    </cfRule>
    <cfRule type="cellIs" dxfId="88" priority="6" operator="equal">
      <formula>"Ok"</formula>
    </cfRule>
  </conditionalFormatting>
  <conditionalFormatting sqref="S1">
    <cfRule type="cellIs" dxfId="87" priority="3" operator="equal">
      <formula>"Check"</formula>
    </cfRule>
    <cfRule type="cellIs" dxfId="86" priority="4" operator="equal">
      <formula>"Ok"</formula>
    </cfRule>
  </conditionalFormatting>
  <conditionalFormatting sqref="J24:S24">
    <cfRule type="cellIs" dxfId="85" priority="2" operator="equal">
      <formula>0</formula>
    </cfRule>
  </conditionalFormatting>
  <conditionalFormatting sqref="J45:S45">
    <cfRule type="cellIs" dxfId="84" priority="1" operator="equal">
      <formula>0</formula>
    </cfRule>
  </conditionalFormatting>
  <dataValidations count="3">
    <dataValidation type="list" allowBlank="1" showInputMessage="1" showErrorMessage="1" sqref="I45">
      <formula1>#REF!</formula1>
    </dataValidation>
    <dataValidation type="list" allowBlank="1" showInputMessage="1" showErrorMessage="1" sqref="F12 I56 F30:F31 F23 F56 F44 I40:I44 I30:I36">
      <formula1>#REF!</formula1>
    </dataValidation>
    <dataValidation type="list" allowBlank="1" showInputMessage="1" showErrorMessage="1" sqref="F45 F40:F43 F32:F37">
      <formula1>$G$25:$G$31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'Lookup|Tables'!$G$19:$G$20</xm:f>
          </x14:formula1>
          <xm:sqref>J28:S28</xm:sqref>
        </x14:dataValidation>
        <x14:dataValidation type="list" allowBlank="1" showInputMessage="1" showErrorMessage="1">
          <x14:formula1>
            <xm:f>'Lookup|Tables'!$G$25:$G$32</xm:f>
          </x14:formula1>
          <xm:sqref>F24</xm:sqref>
        </x14:dataValidation>
        <x14:dataValidation type="list" allowBlank="1" showInputMessage="1" showErrorMessage="1">
          <x14:formula1>
            <xm:f>'Lookup|Tables'!$G$10:$G$12</xm:f>
          </x14:formula1>
          <xm:sqref>E24 E13:E22 E45 E50:E54 E40:E43 E32:E37</xm:sqref>
        </x14:dataValidation>
        <x14:dataValidation type="list" allowBlank="1" showInputMessage="1" showErrorMessage="1">
          <x14:formula1>
            <xm:f>'Lookup|Tables'!$G$25:$G$33</xm:f>
          </x14:formula1>
          <xm:sqref>F13:F22</xm:sqref>
        </x14:dataValidation>
        <x14:dataValidation type="list" allowBlank="1" showInputMessage="1" showErrorMessage="1">
          <x14:formula1>
            <xm:f>'Lookup|Tables'!$G$25:$G$35</xm:f>
          </x14:formula1>
          <xm:sqref>F50:F54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7"/>
  <sheetViews>
    <sheetView showGridLines="0" topLeftCell="A10" workbookViewId="0">
      <selection activeCell="J16" sqref="J16"/>
    </sheetView>
  </sheetViews>
  <sheetFormatPr defaultColWidth="0" defaultRowHeight="11.25" zeroHeight="1" outlineLevelRow="1"/>
  <cols>
    <col min="1" max="2" width="1.5" style="28" customWidth="1"/>
    <col min="3" max="3" width="57.5" style="28" bestFit="1" customWidth="1"/>
    <col min="4" max="4" width="27.6640625" style="29" customWidth="1"/>
    <col min="5" max="5" width="15.83203125" style="29" customWidth="1"/>
    <col min="6" max="6" width="10.6640625" style="29" customWidth="1"/>
    <col min="7" max="9" width="3.33203125" style="29" customWidth="1"/>
    <col min="10" max="10" width="10.83203125" style="29" customWidth="1"/>
    <col min="11" max="23" width="10.83203125" style="28" customWidth="1"/>
    <col min="24" max="16384" width="10.5" style="28" hidden="1"/>
  </cols>
  <sheetData>
    <row r="1" spans="1:50" s="71" customFormat="1" ht="15.75">
      <c r="B1" s="72" t="str">
        <f>Index!$B$1</f>
        <v>AER opex model</v>
      </c>
      <c r="C1" s="72"/>
      <c r="D1" s="72"/>
      <c r="E1" s="72"/>
      <c r="F1" s="73"/>
      <c r="G1" s="73"/>
      <c r="H1" s="73"/>
      <c r="I1" s="73"/>
      <c r="J1" s="73"/>
      <c r="K1" s="36" t="s">
        <v>2</v>
      </c>
      <c r="M1" s="74" t="s">
        <v>3</v>
      </c>
      <c r="N1" s="75" t="s">
        <v>4</v>
      </c>
      <c r="O1" s="76" t="s">
        <v>5</v>
      </c>
      <c r="P1" s="77" t="s">
        <v>6</v>
      </c>
      <c r="S1" s="74" t="s">
        <v>106</v>
      </c>
      <c r="T1" s="78" t="str">
        <f>IF(COUNTIF(W5:W90,"Check")=0,"Ok","Check")</f>
        <v>Ok</v>
      </c>
      <c r="V1" s="74" t="s">
        <v>24</v>
      </c>
      <c r="W1" s="78" t="str">
        <f>'Check|List'!$S$1</f>
        <v>Ok</v>
      </c>
    </row>
    <row r="2" spans="1:50" s="79" customFormat="1" ht="13.5" thickBot="1">
      <c r="B2" s="80" t="str">
        <f>Index!$C$10</f>
        <v>Input | Rate of change</v>
      </c>
      <c r="C2" s="80"/>
      <c r="D2" s="80"/>
      <c r="E2" s="80"/>
      <c r="F2" s="81"/>
      <c r="G2" s="81"/>
      <c r="H2" s="81"/>
      <c r="I2" s="81"/>
      <c r="J2" s="81"/>
    </row>
    <row r="3" spans="1:50" s="82" customFormat="1">
      <c r="C3" s="83"/>
      <c r="D3" s="84"/>
      <c r="E3" s="84"/>
      <c r="F3" s="84"/>
      <c r="G3" s="84"/>
      <c r="H3" s="84"/>
      <c r="I3" s="84"/>
      <c r="J3" s="161"/>
      <c r="K3" s="178"/>
      <c r="L3" s="178"/>
      <c r="M3" s="178"/>
      <c r="N3" s="84"/>
      <c r="O3" s="178"/>
      <c r="P3" s="178"/>
      <c r="Q3" s="178"/>
      <c r="R3" s="178"/>
      <c r="S3" s="178"/>
      <c r="T3" s="178"/>
      <c r="U3" s="85"/>
      <c r="V3" s="85"/>
      <c r="W3" s="85"/>
      <c r="X3" s="85"/>
      <c r="Y3" s="85"/>
      <c r="Z3" s="85"/>
      <c r="AA3" s="85"/>
      <c r="AB3" s="85"/>
      <c r="AC3" s="85"/>
    </row>
    <row r="4" spans="1:50" s="96" customFormat="1" ht="10.5">
      <c r="A4" s="86"/>
      <c r="B4" s="86"/>
      <c r="C4" s="86"/>
      <c r="D4" s="87" t="s">
        <v>7</v>
      </c>
      <c r="E4" s="87" t="s">
        <v>8</v>
      </c>
      <c r="F4" s="88" t="s">
        <v>22</v>
      </c>
      <c r="G4" s="89"/>
      <c r="H4" s="89"/>
      <c r="I4" s="89"/>
      <c r="J4" s="152" t="str">
        <f ca="1">IF(OFFSET('Lookup|Tables'!$G$26:$G$43,MATCH('Input|General'!$G$8,'Lookup|Tables'!$G$26:$G$42,0)-2,0,1,1)&lt;='Input|General'!$G$12,OFFSET('Lookup|Tables'!$G$26:$G$43,MATCH('Input|General'!$G$8,'Lookup|Tables'!$G$26:$G$42,0)-2,0,1,1),"")</f>
        <v>2013-14</v>
      </c>
      <c r="K4" s="152" t="str">
        <f>'Input|General'!$G$8</f>
        <v>2014-15</v>
      </c>
      <c r="L4" s="152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2015-16</v>
      </c>
      <c r="M4" s="152" t="str">
        <f ca="1">IF(OFFSET('Lookup|Tables'!$G$26:$G$43,MATCH('Input|General'!$G$8,'Lookup|Tables'!$G$26:$G$42,0)+1,0,1,1)&lt;='Input|General'!$G$12,OFFSET('Lookup|Tables'!$G$26:$G$43,MATCH('Input|General'!$G$8,'Lookup|Tables'!$G$26:$G$42,0)+1,0,1,1),"")</f>
        <v>2016-17</v>
      </c>
      <c r="N4" s="152" t="str">
        <f ca="1">IF(OFFSET('Lookup|Tables'!$G$26:$G$43,MATCH('Input|General'!$G$8,'Lookup|Tables'!$G$26:$G$42,0)+2,0,1,1)&lt;='Input|General'!$G$12,OFFSET('Lookup|Tables'!$G$26:$G$43,MATCH('Input|General'!$G$8,'Lookup|Tables'!$G$26:$G$42,0)+2,0,1,1),"")</f>
        <v>2017-18</v>
      </c>
      <c r="O4" s="152" t="str">
        <f ca="1">IF(OFFSET('Lookup|Tables'!$G$26:$G$43,MATCH('Input|General'!$G$8,'Lookup|Tables'!$G$26:$G$42,0)+3,0,1,1)&lt;='Input|General'!$G$12,OFFSET('Lookup|Tables'!$G$26:$G$43,MATCH('Input|General'!$G$8,'Lookup|Tables'!$G$26:$G$42,0)+3,0,1,1),"")</f>
        <v>2018-19</v>
      </c>
      <c r="P4" s="152" t="str">
        <f ca="1">IF(OFFSET('Lookup|Tables'!$G$26:$G$43,MATCH('Input|General'!$G$8,'Lookup|Tables'!$G$26:$G$42,0)+4,0,1,1)&lt;='Input|General'!$G$12,OFFSET('Lookup|Tables'!$G$26:$G$43,MATCH('Input|General'!$G$8,'Lookup|Tables'!$G$26:$G$42,0)+4,0,1,1),"")</f>
        <v>2019-20</v>
      </c>
      <c r="Q4" s="152" t="str">
        <f ca="1">IF(OFFSET('Lookup|Tables'!$G$26:$G$43,MATCH('Input|General'!$G$8,'Lookup|Tables'!$G$26:$G$42,0)+5,0,1,1)&lt;='Input|General'!$G$12,OFFSET('Lookup|Tables'!$G$26:$G$43,MATCH('Input|General'!$G$8,'Lookup|Tables'!$G$26:$G$42,0)+5,0,1,1),"")</f>
        <v>2020-21</v>
      </c>
      <c r="R4" s="152" t="str">
        <f ca="1">IF(OFFSET('Lookup|Tables'!$G$26:$G$43,MATCH('Input|General'!$G$8,'Lookup|Tables'!$G$26:$G$42,0)+6,0,1,1)&lt;='Input|General'!$G$12,OFFSET('Lookup|Tables'!$G$26:$G$43,MATCH('Input|General'!$G$8,'Lookup|Tables'!$G$26:$G$42,0)+6,0,1,1),"")</f>
        <v>2021-22</v>
      </c>
      <c r="S4" s="90" t="str">
        <f ca="1">IF(OFFSET('Lookup|Tables'!$G$26:$G$43,MATCH('Input|General'!$G$8,'Lookup|Tables'!$G$26:$G$42,0)+7,0,1,1)&lt;='Input|General'!$G$12,OFFSET('Lookup|Tables'!$G$26:$G$43,MATCH('Input|General'!$G$8,'Lookup|Tables'!$G$26:$G$42,0)+7,0,1,1),"")</f>
        <v/>
      </c>
      <c r="T4" s="90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/>
      </c>
      <c r="U4" s="90"/>
      <c r="V4" s="90"/>
      <c r="W4" s="91"/>
      <c r="X4" s="92"/>
      <c r="Y4" s="92"/>
      <c r="Z4" s="92"/>
      <c r="AA4" s="92"/>
      <c r="AB4" s="92"/>
      <c r="AC4" s="92"/>
      <c r="AD4" s="92"/>
      <c r="AE4" s="93"/>
      <c r="AF4" s="94"/>
      <c r="AG4" s="94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</row>
    <row r="5" spans="1:50" s="26" customFormat="1" ht="3" customHeight="1">
      <c r="D5" s="27"/>
      <c r="E5" s="27"/>
      <c r="F5" s="27"/>
      <c r="G5" s="27"/>
      <c r="H5" s="27"/>
      <c r="I5" s="27"/>
      <c r="J5" s="27"/>
    </row>
    <row r="6" spans="1:50" s="26" customFormat="1" ht="9" customHeight="1">
      <c r="D6" s="27"/>
      <c r="E6" s="27"/>
      <c r="F6" s="27"/>
      <c r="G6" s="27"/>
      <c r="H6" s="27"/>
      <c r="I6" s="27"/>
      <c r="J6" s="27"/>
    </row>
    <row r="7" spans="1:50" s="26" customFormat="1" ht="3" customHeight="1">
      <c r="D7" s="27"/>
      <c r="E7" s="27"/>
      <c r="F7" s="27"/>
      <c r="G7" s="27"/>
      <c r="H7" s="27"/>
      <c r="I7" s="27"/>
      <c r="J7" s="27"/>
    </row>
    <row r="8" spans="1:50" s="106" customFormat="1" ht="12.75">
      <c r="A8" s="97"/>
      <c r="B8" s="98" t="s">
        <v>35</v>
      </c>
      <c r="C8" s="97"/>
      <c r="D8" s="97"/>
      <c r="E8" s="97"/>
      <c r="F8" s="99"/>
      <c r="G8" s="99"/>
      <c r="H8" s="99"/>
      <c r="I8" s="99"/>
      <c r="J8" s="99"/>
      <c r="K8" s="100"/>
      <c r="L8" s="101"/>
      <c r="M8" s="100"/>
      <c r="N8" s="101"/>
      <c r="O8" s="100"/>
      <c r="P8" s="100"/>
      <c r="Q8" s="100"/>
      <c r="R8" s="100"/>
      <c r="S8" s="100"/>
      <c r="T8" s="100"/>
      <c r="U8" s="100"/>
      <c r="V8" s="100"/>
      <c r="W8" s="101"/>
      <c r="X8" s="102"/>
      <c r="Y8" s="102"/>
      <c r="Z8" s="102"/>
      <c r="AA8" s="102"/>
      <c r="AB8" s="102"/>
      <c r="AC8" s="102"/>
      <c r="AD8" s="102"/>
      <c r="AE8" s="103"/>
      <c r="AF8" s="104"/>
      <c r="AG8" s="104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</row>
    <row r="9" spans="1:50" ht="11.25" customHeight="1" outlineLevel="1"/>
    <row r="10" spans="1:50" ht="11.25" customHeight="1" outlineLevel="1">
      <c r="C10" s="68" t="s">
        <v>33</v>
      </c>
      <c r="J10" s="109" t="str">
        <f ca="1">J$4</f>
        <v>2013-14</v>
      </c>
      <c r="K10" s="109" t="str">
        <f>K$4</f>
        <v>2014-15</v>
      </c>
      <c r="L10" s="109" t="str">
        <f t="shared" ref="L10:S10" ca="1" si="0">L$4</f>
        <v>2015-16</v>
      </c>
      <c r="M10" s="109" t="str">
        <f t="shared" ca="1" si="0"/>
        <v>2016-17</v>
      </c>
      <c r="N10" s="109" t="str">
        <f t="shared" ca="1" si="0"/>
        <v>2017-18</v>
      </c>
      <c r="O10" s="109" t="str">
        <f t="shared" ca="1" si="0"/>
        <v>2018-19</v>
      </c>
      <c r="P10" s="109" t="str">
        <f t="shared" ca="1" si="0"/>
        <v>2019-20</v>
      </c>
      <c r="Q10" s="109" t="str">
        <f t="shared" ca="1" si="0"/>
        <v>2020-21</v>
      </c>
      <c r="R10" s="109" t="str">
        <f t="shared" ca="1" si="0"/>
        <v>2021-22</v>
      </c>
      <c r="S10" s="28" t="str">
        <f t="shared" ca="1" si="0"/>
        <v/>
      </c>
      <c r="T10" s="166"/>
      <c r="U10" s="166"/>
      <c r="V10" s="166"/>
    </row>
    <row r="11" spans="1:50" ht="11.25" customHeight="1" outlineLevel="1">
      <c r="C11" s="68"/>
      <c r="J11" s="28"/>
      <c r="N11" s="153"/>
      <c r="O11" s="153"/>
      <c r="P11" s="153"/>
      <c r="Q11" s="153"/>
      <c r="R11" s="153"/>
      <c r="S11" s="153"/>
      <c r="T11" s="166"/>
      <c r="U11" s="166"/>
      <c r="V11" s="166"/>
      <c r="W11" s="125"/>
    </row>
    <row r="12" spans="1:50" ht="11.25" customHeight="1" outlineLevel="1">
      <c r="C12" s="115" t="s">
        <v>33</v>
      </c>
      <c r="D12" s="154" t="s">
        <v>126</v>
      </c>
      <c r="E12" s="29" t="str">
        <f>percent</f>
        <v>Per cent</v>
      </c>
      <c r="J12" s="153">
        <f>'Input|Inflation'!E37/'Input|Inflation'!E33-1</f>
        <v>2.9296875E-2</v>
      </c>
      <c r="K12" s="153">
        <f>'Input|Inflation'!E41/'Input|Inflation'!E37-1</f>
        <v>1.3282732447817747E-2</v>
      </c>
      <c r="L12" s="153">
        <f>'Input|Inflation'!E45/'Input|Inflation'!E41-1</f>
        <v>1.3108614232209881E-2</v>
      </c>
      <c r="M12" s="153">
        <f>'Input|Inflation'!E49/'Input|Inflation'!E45-1</f>
        <v>2.0203327171903762E-2</v>
      </c>
      <c r="N12" s="153"/>
      <c r="O12" s="153"/>
      <c r="P12" s="153"/>
      <c r="Q12" s="153"/>
      <c r="R12" s="153"/>
      <c r="S12" s="153"/>
      <c r="T12" s="169"/>
      <c r="U12" s="155"/>
    </row>
    <row r="13" spans="1:50" ht="11.25" customHeight="1" outlineLevel="1">
      <c r="D13" s="28"/>
      <c r="E13" s="28"/>
      <c r="F13" s="28"/>
      <c r="G13" s="28"/>
      <c r="H13" s="28"/>
      <c r="I13" s="28"/>
      <c r="J13" s="28"/>
      <c r="T13" s="166"/>
    </row>
    <row r="14" spans="1:50" ht="11.25" customHeight="1" outlineLevel="1">
      <c r="C14" s="68" t="s">
        <v>127</v>
      </c>
      <c r="I14" s="28"/>
      <c r="J14" s="109" t="str">
        <f ca="1">J$4</f>
        <v>2013-14</v>
      </c>
      <c r="K14" s="109" t="str">
        <f>K$4</f>
        <v>2014-15</v>
      </c>
      <c r="L14" s="109" t="str">
        <f ca="1">L4</f>
        <v>2015-16</v>
      </c>
      <c r="M14" s="109" t="str">
        <f ca="1">M4</f>
        <v>2016-17</v>
      </c>
      <c r="N14" s="25"/>
      <c r="O14" s="25"/>
      <c r="P14" s="25"/>
      <c r="Q14" s="25"/>
      <c r="R14" s="25"/>
      <c r="S14" s="25"/>
      <c r="T14" s="170"/>
    </row>
    <row r="15" spans="1:50" ht="11.25" customHeight="1" outlineLevel="1">
      <c r="C15" s="68"/>
      <c r="I15" s="28"/>
      <c r="J15" s="125"/>
      <c r="K15" s="125"/>
      <c r="L15" s="125"/>
      <c r="M15" s="125"/>
      <c r="N15" s="25"/>
      <c r="O15" s="25"/>
      <c r="P15" s="25"/>
      <c r="Q15" s="25"/>
      <c r="R15" s="25"/>
      <c r="S15" s="25"/>
      <c r="T15" s="170"/>
    </row>
    <row r="16" spans="1:50" ht="11.25" customHeight="1" outlineLevel="1">
      <c r="C16" s="115" t="str">
        <f t="array" ref="C16:C19" ca="1">+TRANSPOSE(J10:M10)</f>
        <v>2013-14</v>
      </c>
      <c r="D16" s="154" t="s">
        <v>126</v>
      </c>
      <c r="E16" s="29" t="s">
        <v>107</v>
      </c>
      <c r="J16" s="22">
        <v>1</v>
      </c>
      <c r="K16" s="22">
        <f t="shared" ref="K16:M16" si="1">J16*(1+K$12)</f>
        <v>1.0132827324478177</v>
      </c>
      <c r="L16" s="22">
        <f t="shared" si="1"/>
        <v>1.0265654648956357</v>
      </c>
      <c r="M16" s="22">
        <f t="shared" si="1"/>
        <v>1.0473055028462996</v>
      </c>
      <c r="T16" s="166"/>
    </row>
    <row r="17" spans="1:50" ht="11.25" customHeight="1" outlineLevel="1">
      <c r="C17" s="115" t="str">
        <v>2014-15</v>
      </c>
      <c r="D17" s="154" t="s">
        <v>126</v>
      </c>
      <c r="E17" s="29" t="s">
        <v>107</v>
      </c>
      <c r="I17" s="22"/>
      <c r="J17" s="22">
        <f>K17/(1+K$12)</f>
        <v>0.98689138576779034</v>
      </c>
      <c r="K17" s="22">
        <v>1</v>
      </c>
      <c r="L17" s="22">
        <f>K17*(1+L$12)</f>
        <v>1.0131086142322099</v>
      </c>
      <c r="M17" s="22">
        <f t="shared" ref="M17" si="2">L17*(1+M$12)</f>
        <v>1.0335767790262174</v>
      </c>
      <c r="T17" s="166"/>
    </row>
    <row r="18" spans="1:50" ht="11.25" customHeight="1" outlineLevel="1">
      <c r="C18" s="115" t="str">
        <f ca="1"/>
        <v>2015-16</v>
      </c>
      <c r="D18" s="154" t="s">
        <v>126</v>
      </c>
      <c r="E18" s="29" t="s">
        <v>107</v>
      </c>
      <c r="I18" s="22"/>
      <c r="J18" s="22">
        <f>K18/(1+K$12)</f>
        <v>0.97412199630314222</v>
      </c>
      <c r="K18" s="22">
        <f>L18/(1+L$12)</f>
        <v>0.987060998151571</v>
      </c>
      <c r="L18" s="22">
        <v>1</v>
      </c>
      <c r="M18" s="22">
        <f t="shared" ref="M18" si="3">L18*(1+M$12)</f>
        <v>1.0202033271719038</v>
      </c>
      <c r="T18" s="166"/>
    </row>
    <row r="19" spans="1:50" ht="11.25" customHeight="1" outlineLevel="1">
      <c r="C19" s="115" t="str">
        <f ca="1"/>
        <v>2016-17</v>
      </c>
      <c r="D19" s="154" t="s">
        <v>126</v>
      </c>
      <c r="E19" s="29" t="s">
        <v>107</v>
      </c>
      <c r="I19" s="22"/>
      <c r="J19" s="22">
        <f t="shared" ref="J19:L19" si="4">K19/(1+K$12)</f>
        <v>0.95483122859782954</v>
      </c>
      <c r="K19" s="22">
        <f t="shared" si="4"/>
        <v>0.96751399634011559</v>
      </c>
      <c r="L19" s="22">
        <f t="shared" si="4"/>
        <v>0.98019676408240186</v>
      </c>
      <c r="M19" s="22">
        <v>1</v>
      </c>
      <c r="T19" s="166"/>
    </row>
    <row r="20" spans="1:50" ht="11.25" customHeight="1" outlineLevel="1">
      <c r="C20" s="115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171"/>
    </row>
    <row r="21" spans="1:50" ht="11.25" customHeight="1" outlineLevel="1">
      <c r="C21" s="68" t="s">
        <v>53</v>
      </c>
      <c r="J21" s="109" t="str">
        <f ca="1">J10</f>
        <v>2013-14</v>
      </c>
      <c r="K21" s="109" t="str">
        <f>K10</f>
        <v>2014-15</v>
      </c>
      <c r="L21" s="109" t="str">
        <f ca="1">L10</f>
        <v>2015-16</v>
      </c>
      <c r="M21" s="109" t="str">
        <f ca="1">M10</f>
        <v>2016-17</v>
      </c>
      <c r="N21" s="22"/>
      <c r="O21" s="22"/>
      <c r="P21" s="22"/>
      <c r="Q21" s="22"/>
      <c r="R21" s="22"/>
      <c r="S21" s="22"/>
      <c r="T21" s="171"/>
    </row>
    <row r="22" spans="1:50" ht="11.25" customHeight="1" outlineLevel="1">
      <c r="C22" s="115"/>
      <c r="J22" s="28"/>
      <c r="N22" s="22"/>
      <c r="O22" s="22"/>
      <c r="P22" s="22"/>
      <c r="Q22" s="22"/>
      <c r="R22" s="22"/>
      <c r="S22" s="22"/>
      <c r="T22" s="171"/>
    </row>
    <row r="23" spans="1:50" ht="11.25" customHeight="1" outlineLevel="1">
      <c r="C23" s="115" t="str">
        <f t="array" ref="C23:C26" ca="1">+TRANSPOSE(J10:M10)</f>
        <v>2013-14</v>
      </c>
      <c r="D23" s="154" t="s">
        <v>126</v>
      </c>
      <c r="E23" s="29" t="s">
        <v>107</v>
      </c>
      <c r="I23" s="22"/>
      <c r="J23" s="22">
        <f t="shared" ref="J23:M26" si="5">1/J16*(1+J$12)^0.5</f>
        <v>1.0145426925467453</v>
      </c>
      <c r="K23" s="22">
        <f t="shared" si="5"/>
        <v>0.9934240714658521</v>
      </c>
      <c r="L23" s="22">
        <f t="shared" si="5"/>
        <v>0.98048590343691056</v>
      </c>
      <c r="M23" s="22">
        <f t="shared" si="5"/>
        <v>0.96442838123641905</v>
      </c>
      <c r="N23" s="156"/>
      <c r="O23" s="156"/>
      <c r="P23" s="156"/>
      <c r="Q23" s="156"/>
      <c r="R23" s="156"/>
      <c r="S23" s="156"/>
      <c r="T23" s="172"/>
      <c r="U23" s="156"/>
      <c r="V23" s="156"/>
    </row>
    <row r="24" spans="1:50" ht="11.25" customHeight="1" outlineLevel="1">
      <c r="C24" s="115" t="str">
        <v>2014-15</v>
      </c>
      <c r="D24" s="154" t="s">
        <v>126</v>
      </c>
      <c r="E24" s="29" t="s">
        <v>107</v>
      </c>
      <c r="I24" s="22"/>
      <c r="J24" s="22">
        <f t="shared" si="5"/>
        <v>1.0280185916887323</v>
      </c>
      <c r="K24" s="22">
        <f t="shared" si="5"/>
        <v>1.0066194576143548</v>
      </c>
      <c r="L24" s="22">
        <f t="shared" si="5"/>
        <v>0.9935094353611198</v>
      </c>
      <c r="M24" s="22">
        <f t="shared" si="5"/>
        <v>0.97723862538946427</v>
      </c>
      <c r="N24" s="156"/>
      <c r="O24" s="156"/>
      <c r="P24" s="156"/>
      <c r="Q24" s="156"/>
      <c r="R24" s="156"/>
      <c r="S24" s="156"/>
      <c r="T24" s="172"/>
      <c r="U24" s="156"/>
      <c r="V24" s="156"/>
    </row>
    <row r="25" spans="1:50" ht="11.25" customHeight="1" outlineLevel="1">
      <c r="C25" s="115" t="str">
        <f ca="1"/>
        <v>2015-16</v>
      </c>
      <c r="D25" s="154" t="s">
        <v>126</v>
      </c>
      <c r="E25" s="29" t="s">
        <v>107</v>
      </c>
      <c r="I25" s="22"/>
      <c r="J25" s="22">
        <f t="shared" si="5"/>
        <v>1.0414944908307195</v>
      </c>
      <c r="K25" s="22">
        <f t="shared" si="5"/>
        <v>1.0198148437628578</v>
      </c>
      <c r="L25" s="22">
        <f t="shared" si="5"/>
        <v>1.0065329672853294</v>
      </c>
      <c r="M25" s="22">
        <f t="shared" si="5"/>
        <v>0.99004886954250992</v>
      </c>
      <c r="N25" s="156"/>
      <c r="O25" s="156"/>
      <c r="P25" s="156"/>
      <c r="Q25" s="156"/>
      <c r="R25" s="156"/>
      <c r="S25" s="156"/>
      <c r="T25" s="172"/>
      <c r="U25" s="156"/>
      <c r="V25" s="156"/>
    </row>
    <row r="26" spans="1:50" ht="11.25" customHeight="1" outlineLevel="1">
      <c r="C26" s="115" t="str">
        <f ca="1"/>
        <v>2016-17</v>
      </c>
      <c r="D26" s="154" t="s">
        <v>126</v>
      </c>
      <c r="E26" s="29" t="s">
        <v>107</v>
      </c>
      <c r="I26" s="22"/>
      <c r="J26" s="22">
        <f t="shared" si="5"/>
        <v>1.0625361447767079</v>
      </c>
      <c r="K26" s="22">
        <f t="shared" si="5"/>
        <v>1.0404184967061625</v>
      </c>
      <c r="L26" s="22">
        <f t="shared" si="5"/>
        <v>1.026868282132702</v>
      </c>
      <c r="M26" s="22">
        <f t="shared" si="5"/>
        <v>1.0100511507700507</v>
      </c>
      <c r="N26" s="156"/>
      <c r="O26" s="156"/>
      <c r="P26" s="156"/>
      <c r="Q26" s="156"/>
      <c r="R26" s="156"/>
      <c r="S26" s="156"/>
      <c r="T26" s="172"/>
      <c r="U26" s="156"/>
      <c r="V26" s="156"/>
    </row>
    <row r="27" spans="1:50">
      <c r="C27" s="115"/>
      <c r="K27" s="22"/>
      <c r="L27" s="22"/>
      <c r="M27" s="22"/>
      <c r="N27" s="22"/>
      <c r="O27" s="22"/>
      <c r="P27" s="25"/>
      <c r="Q27" s="22"/>
      <c r="R27" s="22"/>
      <c r="S27" s="22"/>
      <c r="T27" s="171"/>
    </row>
    <row r="28" spans="1:50" s="106" customFormat="1" ht="12.75">
      <c r="A28" s="97"/>
      <c r="B28" s="98" t="s">
        <v>101</v>
      </c>
      <c r="C28" s="97"/>
      <c r="D28" s="97"/>
      <c r="E28" s="97"/>
      <c r="F28" s="99"/>
      <c r="G28" s="99"/>
      <c r="H28" s="99"/>
      <c r="I28" s="99"/>
      <c r="J28" s="99"/>
      <c r="K28" s="100"/>
      <c r="L28" s="101"/>
      <c r="M28" s="100"/>
      <c r="N28" s="101"/>
      <c r="O28" s="100"/>
      <c r="P28" s="100"/>
      <c r="Q28" s="100"/>
      <c r="R28" s="100"/>
      <c r="S28" s="100"/>
      <c r="T28" s="100"/>
      <c r="U28" s="100"/>
      <c r="V28" s="100"/>
      <c r="W28" s="101"/>
      <c r="X28" s="102"/>
      <c r="Y28" s="102"/>
      <c r="Z28" s="102"/>
      <c r="AA28" s="102"/>
      <c r="AB28" s="102"/>
      <c r="AC28" s="102"/>
      <c r="AD28" s="102"/>
      <c r="AE28" s="103"/>
      <c r="AF28" s="104"/>
      <c r="AG28" s="104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</row>
    <row r="29" spans="1:50" ht="11.25" customHeight="1" outlineLevel="1"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50" ht="11.25" customHeight="1" outlineLevel="1">
      <c r="C30" s="68" t="s">
        <v>104</v>
      </c>
      <c r="D30" s="31" t="s">
        <v>7</v>
      </c>
      <c r="E30" s="31" t="s">
        <v>8</v>
      </c>
      <c r="K30" s="109" t="str">
        <f>IF(RIGHT(K$4,2)&gt;=RIGHT('Input|General'!$G$11,2),IF(RIGHT(K$4,2)&lt;=RIGHT('Input|General'!$G$12,2),K$4,""),"")</f>
        <v/>
      </c>
      <c r="L30" s="109" t="str">
        <f ca="1">IF(RIGHT(L$4,2)&gt;=RIGHT('Input|General'!$G$11,2),IF(RIGHT(L$4,2)&lt;=RIGHT('Input|General'!$G$12,2),L$4,""),"")</f>
        <v/>
      </c>
      <c r="M30" s="109" t="str">
        <f ca="1">IF(RIGHT(M$4,2)&gt;=RIGHT('Input|General'!$G$11,2),IF(RIGHT(M$4,2)&lt;=RIGHT('Input|General'!$G$12,2),M$4,""),"")</f>
        <v/>
      </c>
      <c r="N30" s="109" t="str">
        <f ca="1">IF(RIGHT(N$4,2)&gt;=RIGHT('Input|General'!$G$11,2),IF(RIGHT(N$4,2)&lt;=RIGHT('Input|General'!$G$12,2),N$4,""),"")</f>
        <v>2017-18</v>
      </c>
      <c r="O30" s="109" t="str">
        <f ca="1">IF(RIGHT(O$4,2)&gt;=RIGHT('Input|General'!$G$11,2),IF(RIGHT(O$4,2)&lt;=RIGHT('Input|General'!$G$12,2),O$4,""),"")</f>
        <v>2018-19</v>
      </c>
      <c r="P30" s="109" t="str">
        <f ca="1">IF(RIGHT(P$4,2)&gt;=RIGHT('Input|General'!$G$11,2),IF(RIGHT(P$4,2)&lt;=RIGHT('Input|General'!$G$12,2),P$4,""),"")</f>
        <v>2019-20</v>
      </c>
      <c r="Q30" s="109" t="str">
        <f ca="1">IF(RIGHT(Q$4,2)&gt;=RIGHT('Input|General'!$G$11,2),IF(RIGHT(Q$4,2)&lt;=RIGHT('Input|General'!$G$12,2),Q$4,""),"")</f>
        <v>2020-21</v>
      </c>
      <c r="R30" s="109" t="str">
        <f ca="1">IF(RIGHT(R$4,2)&gt;=RIGHT('Input|General'!$G$11,2),IF(RIGHT(R$4,2)&lt;=RIGHT('Input|General'!$G$12,2),R$4,""),"")</f>
        <v>2021-22</v>
      </c>
      <c r="T30" s="166"/>
      <c r="U30" s="166"/>
      <c r="V30" s="166"/>
    </row>
    <row r="31" spans="1:50" ht="11.25" customHeight="1" outlineLevel="1">
      <c r="T31" s="166"/>
      <c r="U31" s="166"/>
      <c r="V31" s="166"/>
    </row>
    <row r="32" spans="1:50" ht="11.25" customHeight="1" outlineLevel="1">
      <c r="C32" s="61" t="s">
        <v>171</v>
      </c>
      <c r="D32" s="29" t="s">
        <v>130</v>
      </c>
      <c r="E32" s="29" t="str">
        <f t="shared" ref="E32:E39" si="6">percent</f>
        <v>Per cent</v>
      </c>
      <c r="N32" s="60">
        <v>7.9249715276750177E-3</v>
      </c>
      <c r="O32" s="60">
        <v>6.8763922664109023E-3</v>
      </c>
      <c r="P32" s="60">
        <v>9.7132422313872535E-3</v>
      </c>
      <c r="Q32" s="60">
        <v>9.1151590942634142E-3</v>
      </c>
      <c r="R32" s="60">
        <v>9.0136861886154218E-3</v>
      </c>
      <c r="T32" s="166"/>
    </row>
    <row r="33" spans="3:21" ht="11.25" customHeight="1" outlineLevel="1">
      <c r="C33" s="61" t="s">
        <v>170</v>
      </c>
      <c r="D33" s="29" t="s">
        <v>130</v>
      </c>
      <c r="E33" s="29" t="str">
        <f t="shared" si="6"/>
        <v>Per cent</v>
      </c>
      <c r="N33" s="60">
        <v>1.0500000000000001E-2</v>
      </c>
      <c r="O33" s="60">
        <v>1.0700000000000001E-2</v>
      </c>
      <c r="P33" s="60">
        <v>1.06E-2</v>
      </c>
      <c r="Q33" s="60">
        <v>0.01</v>
      </c>
      <c r="R33" s="60">
        <v>9.7000000000000003E-3</v>
      </c>
      <c r="T33" s="166"/>
    </row>
    <row r="34" spans="3:21" ht="11.25" customHeight="1" outlineLevel="1">
      <c r="C34" s="61" t="s">
        <v>173</v>
      </c>
      <c r="D34" s="29" t="s">
        <v>130</v>
      </c>
      <c r="E34" s="29" t="str">
        <f t="shared" si="6"/>
        <v>Per cent</v>
      </c>
      <c r="N34" s="60">
        <f>AVERAGE(N32:N33)</f>
        <v>9.21248576383751E-3</v>
      </c>
      <c r="O34" s="60">
        <f t="shared" ref="O34:R34" si="7">AVERAGE(O32:O33)</f>
        <v>8.7881961332054517E-3</v>
      </c>
      <c r="P34" s="60">
        <f t="shared" si="7"/>
        <v>1.0156621115693626E-2</v>
      </c>
      <c r="Q34" s="60">
        <f t="shared" si="7"/>
        <v>9.5575795471317081E-3</v>
      </c>
      <c r="R34" s="60">
        <f t="shared" si="7"/>
        <v>9.3568430943077111E-3</v>
      </c>
      <c r="T34" s="166"/>
    </row>
    <row r="35" spans="3:21" ht="11.25" customHeight="1" outlineLevel="1">
      <c r="C35" s="61"/>
      <c r="D35" s="29" t="s">
        <v>130</v>
      </c>
      <c r="E35" s="29" t="str">
        <f t="shared" si="6"/>
        <v>Per cent</v>
      </c>
      <c r="N35" s="60"/>
      <c r="O35" s="60"/>
      <c r="P35" s="60"/>
      <c r="Q35" s="60"/>
      <c r="R35" s="60"/>
      <c r="S35" s="157"/>
      <c r="T35" s="173"/>
      <c r="U35" s="157"/>
    </row>
    <row r="36" spans="3:21" ht="11.25" customHeight="1" outlineLevel="1">
      <c r="C36" s="61"/>
      <c r="D36" s="29" t="s">
        <v>130</v>
      </c>
      <c r="E36" s="29" t="str">
        <f t="shared" si="6"/>
        <v>Per cent</v>
      </c>
      <c r="N36" s="60"/>
      <c r="O36" s="60"/>
      <c r="P36" s="60"/>
      <c r="Q36" s="60"/>
      <c r="R36" s="60"/>
      <c r="T36" s="166"/>
    </row>
    <row r="37" spans="3:21" ht="11.25" customHeight="1" outlineLevel="1">
      <c r="C37" s="61"/>
      <c r="D37" s="29" t="s">
        <v>130</v>
      </c>
      <c r="E37" s="29" t="str">
        <f t="shared" si="6"/>
        <v>Per cent</v>
      </c>
      <c r="N37" s="60"/>
      <c r="O37" s="60"/>
      <c r="P37" s="60"/>
      <c r="Q37" s="60"/>
      <c r="R37" s="60"/>
      <c r="T37" s="166"/>
    </row>
    <row r="38" spans="3:21" ht="11.25" customHeight="1" outlineLevel="1">
      <c r="C38" s="61"/>
      <c r="D38" s="29" t="s">
        <v>130</v>
      </c>
      <c r="E38" s="29" t="str">
        <f t="shared" si="6"/>
        <v>Per cent</v>
      </c>
      <c r="N38" s="60"/>
      <c r="O38" s="60"/>
      <c r="P38" s="60"/>
      <c r="Q38" s="60"/>
      <c r="R38" s="60"/>
      <c r="T38" s="166"/>
    </row>
    <row r="39" spans="3:21" ht="11.25" customHeight="1" outlineLevel="1">
      <c r="C39" s="61" t="s">
        <v>105</v>
      </c>
      <c r="D39" s="29" t="s">
        <v>130</v>
      </c>
      <c r="E39" s="29" t="str">
        <f t="shared" si="6"/>
        <v>Per cent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T39" s="166"/>
    </row>
    <row r="40" spans="3:21" ht="11.25" customHeight="1" outlineLevel="1">
      <c r="T40" s="166"/>
    </row>
    <row r="41" spans="3:21" ht="11.25" customHeight="1" outlineLevel="1">
      <c r="C41" s="68" t="s">
        <v>49</v>
      </c>
      <c r="D41" s="31" t="s">
        <v>7</v>
      </c>
      <c r="E41" s="31" t="s">
        <v>8</v>
      </c>
      <c r="K41" s="109" t="str">
        <f>IF(RIGHT(K$4,2)&gt;=RIGHT('Input|General'!$G$11,2),IF(RIGHT(K$4,2)&lt;=RIGHT('Input|General'!$G$12,2),K$4,""),"")</f>
        <v/>
      </c>
      <c r="L41" s="109" t="str">
        <f ca="1">IF(RIGHT(L$4,2)&gt;=RIGHT('Input|General'!$G$11,2),IF(RIGHT(L$4,2)&lt;=RIGHT('Input|General'!$G$12,2),L$4,""),"")</f>
        <v/>
      </c>
      <c r="M41" s="109" t="str">
        <f ca="1">IF(RIGHT(M$4,2)&gt;=RIGHT('Input|General'!$G$11,2),IF(RIGHT(M$4,2)&lt;=RIGHT('Input|General'!$G$12,2),M$4,""),"")</f>
        <v/>
      </c>
      <c r="N41" s="109" t="str">
        <f ca="1">IF(RIGHT(N$4,2)&gt;=RIGHT('Input|General'!$G$11,2),IF(RIGHT(N$4,2)&lt;=RIGHT('Input|General'!$G$12,2),N$4,""),"")</f>
        <v>2017-18</v>
      </c>
      <c r="O41" s="109" t="str">
        <f ca="1">IF(RIGHT(O$4,2)&gt;=RIGHT('Input|General'!$G$11,2),IF(RIGHT(O$4,2)&lt;=RIGHT('Input|General'!$G$12,2),O$4,""),"")</f>
        <v>2018-19</v>
      </c>
      <c r="P41" s="109" t="str">
        <f ca="1">IF(RIGHT(P$4,2)&gt;=RIGHT('Input|General'!$G$11,2),IF(RIGHT(P$4,2)&lt;=RIGHT('Input|General'!$G$12,2),P$4,""),"")</f>
        <v>2019-20</v>
      </c>
      <c r="Q41" s="109" t="str">
        <f ca="1">IF(RIGHT(Q$4,2)&gt;=RIGHT('Input|General'!$G$11,2),IF(RIGHT(Q$4,2)&lt;=RIGHT('Input|General'!$G$12,2),Q$4,""),"")</f>
        <v>2020-21</v>
      </c>
      <c r="R41" s="109" t="str">
        <f ca="1">IF(RIGHT(R$4,2)&gt;=RIGHT('Input|General'!$G$11,2),IF(RIGHT(R$4,2)&lt;=RIGHT('Input|General'!$G$12,2),R$4,""),"")</f>
        <v>2021-22</v>
      </c>
      <c r="T41" s="166"/>
    </row>
    <row r="42" spans="3:21" ht="11.25" customHeight="1" outlineLevel="1">
      <c r="T42" s="166"/>
    </row>
    <row r="43" spans="3:21" ht="11.25" customHeight="1" outlineLevel="1">
      <c r="C43" s="158" t="str">
        <f>C32</f>
        <v xml:space="preserve">Utilities WPI (DAE)  </v>
      </c>
      <c r="D43" s="29" t="s">
        <v>130</v>
      </c>
      <c r="E43" s="29" t="str">
        <f t="shared" ref="E43:E50" si="8">percent</f>
        <v>Per cent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T43" s="166"/>
    </row>
    <row r="44" spans="3:21" ht="11.25" customHeight="1" outlineLevel="1">
      <c r="C44" s="158" t="str">
        <f t="shared" ref="C44:C50" si="9">C33</f>
        <v>Utilities WPI (CIE)</v>
      </c>
      <c r="D44" s="29" t="s">
        <v>130</v>
      </c>
      <c r="E44" s="29" t="str">
        <f t="shared" si="8"/>
        <v>Per cent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T44" s="166"/>
    </row>
    <row r="45" spans="3:21" ht="11.25" customHeight="1" outlineLevel="1">
      <c r="C45" s="158" t="str">
        <f t="shared" si="9"/>
        <v>Utilities WPI (average)</v>
      </c>
      <c r="D45" s="29" t="s">
        <v>130</v>
      </c>
      <c r="E45" s="29" t="str">
        <f t="shared" si="8"/>
        <v>Per cent</v>
      </c>
      <c r="N45" s="60">
        <v>0.62</v>
      </c>
      <c r="O45" s="60">
        <v>0.62</v>
      </c>
      <c r="P45" s="60">
        <v>0.62</v>
      </c>
      <c r="Q45" s="60">
        <v>0.62</v>
      </c>
      <c r="R45" s="60">
        <v>0.62</v>
      </c>
      <c r="T45" s="166"/>
    </row>
    <row r="46" spans="3:21" ht="11.25" customHeight="1" outlineLevel="1">
      <c r="C46" s="158">
        <f t="shared" si="9"/>
        <v>0</v>
      </c>
      <c r="D46" s="29" t="s">
        <v>130</v>
      </c>
      <c r="E46" s="29" t="str">
        <f t="shared" si="8"/>
        <v>Per cent</v>
      </c>
      <c r="N46" s="60"/>
      <c r="O46" s="60"/>
      <c r="P46" s="60"/>
      <c r="Q46" s="60"/>
      <c r="R46" s="60"/>
      <c r="S46" s="157"/>
      <c r="T46" s="173"/>
      <c r="U46" s="157"/>
    </row>
    <row r="47" spans="3:21" ht="11.25" customHeight="1" outlineLevel="1">
      <c r="C47" s="158">
        <f t="shared" si="9"/>
        <v>0</v>
      </c>
      <c r="D47" s="29" t="s">
        <v>130</v>
      </c>
      <c r="E47" s="29" t="str">
        <f t="shared" si="8"/>
        <v>Per cent</v>
      </c>
      <c r="N47" s="60"/>
      <c r="O47" s="60"/>
      <c r="P47" s="60"/>
      <c r="Q47" s="60"/>
      <c r="R47" s="60"/>
      <c r="T47" s="166"/>
    </row>
    <row r="48" spans="3:21" ht="11.25" customHeight="1" outlineLevel="1">
      <c r="C48" s="158">
        <f t="shared" si="9"/>
        <v>0</v>
      </c>
      <c r="D48" s="29" t="s">
        <v>130</v>
      </c>
      <c r="E48" s="29" t="str">
        <f t="shared" si="8"/>
        <v>Per cent</v>
      </c>
      <c r="N48" s="60"/>
      <c r="O48" s="60"/>
      <c r="P48" s="60"/>
      <c r="Q48" s="60"/>
      <c r="R48" s="60"/>
      <c r="T48" s="166"/>
    </row>
    <row r="49" spans="1:50" ht="11.25" customHeight="1" outlineLevel="1">
      <c r="C49" s="158">
        <f t="shared" si="9"/>
        <v>0</v>
      </c>
      <c r="D49" s="29" t="s">
        <v>130</v>
      </c>
      <c r="E49" s="29" t="str">
        <f t="shared" si="8"/>
        <v>Per cent</v>
      </c>
      <c r="N49" s="60"/>
      <c r="O49" s="60"/>
      <c r="P49" s="60"/>
      <c r="Q49" s="60"/>
      <c r="R49" s="60"/>
      <c r="T49" s="166"/>
    </row>
    <row r="50" spans="1:50" ht="11.25" customHeight="1" outlineLevel="1">
      <c r="C50" s="158" t="str">
        <f t="shared" si="9"/>
        <v>CPI</v>
      </c>
      <c r="D50" s="29" t="s">
        <v>130</v>
      </c>
      <c r="E50" s="29" t="str">
        <f t="shared" si="8"/>
        <v>Per cent</v>
      </c>
      <c r="N50" s="60">
        <v>0.38</v>
      </c>
      <c r="O50" s="60">
        <v>0.38</v>
      </c>
      <c r="P50" s="60">
        <v>0.38</v>
      </c>
      <c r="Q50" s="60">
        <v>0.38</v>
      </c>
      <c r="R50" s="60">
        <v>0.38</v>
      </c>
      <c r="T50" s="166"/>
    </row>
    <row r="51" spans="1:50" ht="11.25" customHeight="1" outlineLevel="1">
      <c r="T51" s="166"/>
    </row>
    <row r="52" spans="1:50" outlineLevel="1">
      <c r="C52" s="28" t="s">
        <v>40</v>
      </c>
      <c r="D52" s="29" t="s">
        <v>126</v>
      </c>
      <c r="E52" s="29" t="s">
        <v>28</v>
      </c>
      <c r="F52" s="29" t="s">
        <v>36</v>
      </c>
      <c r="N52" s="138" t="str">
        <f t="shared" ref="N52:O52" si="10">IF(SUM(N43:N50)=1,"Ok","Check")</f>
        <v>Ok</v>
      </c>
      <c r="O52" s="138" t="str">
        <f t="shared" si="10"/>
        <v>Ok</v>
      </c>
      <c r="P52" s="138" t="str">
        <f>IF(SUM(P43:P50)=1,"Ok","Check")</f>
        <v>Ok</v>
      </c>
      <c r="Q52" s="138" t="str">
        <f t="shared" ref="Q52:R52" si="11">IF(SUM(Q43:Q50)=1,"Ok","Check")</f>
        <v>Ok</v>
      </c>
      <c r="R52" s="138" t="str">
        <f t="shared" si="11"/>
        <v>Ok</v>
      </c>
      <c r="S52" s="24"/>
      <c r="T52" s="174"/>
      <c r="U52" s="24"/>
      <c r="W52" s="138" t="str">
        <f>IF(COUNTIF(K52:T52,"Check")=0,"Ok","Check")</f>
        <v>Ok</v>
      </c>
    </row>
    <row r="53" spans="1:50">
      <c r="T53" s="166"/>
    </row>
    <row r="54" spans="1:50" s="106" customFormat="1" ht="12.75">
      <c r="A54" s="97"/>
      <c r="B54" s="98" t="s">
        <v>108</v>
      </c>
      <c r="C54" s="97"/>
      <c r="D54" s="97"/>
      <c r="E54" s="97"/>
      <c r="F54" s="99"/>
      <c r="G54" s="99"/>
      <c r="H54" s="99"/>
      <c r="I54" s="99"/>
      <c r="J54" s="99"/>
      <c r="K54" s="100"/>
      <c r="L54" s="101"/>
      <c r="M54" s="100"/>
      <c r="N54" s="101"/>
      <c r="O54" s="100"/>
      <c r="P54" s="100"/>
      <c r="Q54" s="100"/>
      <c r="R54" s="100"/>
      <c r="S54" s="100"/>
      <c r="T54" s="100"/>
      <c r="U54" s="100"/>
      <c r="V54" s="100"/>
      <c r="W54" s="101"/>
      <c r="X54" s="102"/>
      <c r="Y54" s="102"/>
      <c r="Z54" s="102"/>
      <c r="AA54" s="102"/>
      <c r="AB54" s="102"/>
      <c r="AC54" s="102"/>
      <c r="AD54" s="102"/>
      <c r="AE54" s="103"/>
      <c r="AF54" s="104"/>
      <c r="AG54" s="104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</row>
    <row r="55" spans="1:50" outlineLevel="1">
      <c r="G55" s="31"/>
      <c r="H55" s="31"/>
    </row>
    <row r="56" spans="1:50" outlineLevel="1">
      <c r="C56" s="68" t="s">
        <v>168</v>
      </c>
      <c r="D56" s="31" t="s">
        <v>7</v>
      </c>
      <c r="E56" s="31" t="s">
        <v>8</v>
      </c>
      <c r="F56" s="31" t="s">
        <v>22</v>
      </c>
      <c r="G56" s="31"/>
      <c r="H56" s="31"/>
      <c r="K56" s="109" t="s">
        <v>174</v>
      </c>
      <c r="L56" s="109" t="s">
        <v>174</v>
      </c>
      <c r="M56" s="109" t="s">
        <v>43</v>
      </c>
      <c r="N56" s="109" t="s">
        <v>44</v>
      </c>
      <c r="O56" s="109" t="s">
        <v>45</v>
      </c>
      <c r="P56" s="109" t="s">
        <v>46</v>
      </c>
      <c r="Q56" s="109" t="s">
        <v>91</v>
      </c>
      <c r="R56" s="109" t="s">
        <v>92</v>
      </c>
      <c r="S56" s="28" t="s">
        <v>174</v>
      </c>
      <c r="T56" s="166"/>
    </row>
    <row r="57" spans="1:50" outlineLevel="1">
      <c r="C57" s="115"/>
      <c r="G57" s="31"/>
      <c r="H57" s="31"/>
      <c r="K57" s="23"/>
      <c r="L57" s="23"/>
      <c r="M57" s="23"/>
      <c r="N57" s="23"/>
      <c r="O57" s="23"/>
      <c r="T57" s="166"/>
    </row>
    <row r="58" spans="1:50" outlineLevel="1">
      <c r="C58" s="61"/>
      <c r="D58" s="29" t="s">
        <v>130</v>
      </c>
      <c r="E58" s="29" t="s">
        <v>18</v>
      </c>
      <c r="F58" s="29" t="s">
        <v>36</v>
      </c>
      <c r="G58" s="31"/>
      <c r="H58" s="31"/>
      <c r="K58" s="23"/>
      <c r="L58" s="23"/>
      <c r="M58" s="168"/>
      <c r="N58" s="168"/>
      <c r="O58" s="168"/>
      <c r="P58" s="168"/>
      <c r="Q58" s="168"/>
      <c r="R58" s="168"/>
      <c r="T58" s="166"/>
    </row>
    <row r="59" spans="1:50" outlineLevel="1">
      <c r="C59" s="61"/>
      <c r="D59" s="29" t="s">
        <v>130</v>
      </c>
      <c r="E59" s="29" t="s">
        <v>18</v>
      </c>
      <c r="F59" s="29" t="s">
        <v>36</v>
      </c>
      <c r="G59" s="31"/>
      <c r="H59" s="31"/>
      <c r="K59" s="23"/>
      <c r="L59" s="23"/>
      <c r="M59" s="168"/>
      <c r="N59" s="168"/>
      <c r="O59" s="168"/>
      <c r="P59" s="168"/>
      <c r="Q59" s="168"/>
      <c r="R59" s="168"/>
      <c r="T59" s="166"/>
    </row>
    <row r="60" spans="1:50" outlineLevel="1">
      <c r="C60" s="61"/>
      <c r="D60" s="29" t="s">
        <v>130</v>
      </c>
      <c r="E60" s="29" t="s">
        <v>18</v>
      </c>
      <c r="F60" s="29" t="s">
        <v>36</v>
      </c>
      <c r="G60" s="31"/>
      <c r="H60" s="31"/>
      <c r="K60" s="23"/>
      <c r="L60" s="23"/>
      <c r="M60" s="168"/>
      <c r="N60" s="168"/>
      <c r="O60" s="168"/>
      <c r="P60" s="168"/>
      <c r="Q60" s="168"/>
      <c r="R60" s="168"/>
      <c r="T60" s="166"/>
    </row>
    <row r="61" spans="1:50" outlineLevel="1">
      <c r="C61" s="61"/>
      <c r="D61" s="29" t="s">
        <v>130</v>
      </c>
      <c r="E61" s="29" t="s">
        <v>18</v>
      </c>
      <c r="F61" s="29" t="s">
        <v>36</v>
      </c>
      <c r="G61" s="31"/>
      <c r="H61" s="31"/>
      <c r="K61" s="23"/>
      <c r="L61" s="23"/>
      <c r="M61" s="168"/>
      <c r="N61" s="168"/>
      <c r="O61" s="168"/>
      <c r="P61" s="168"/>
      <c r="Q61" s="168"/>
      <c r="R61" s="168"/>
      <c r="T61" s="166"/>
    </row>
    <row r="62" spans="1:50" outlineLevel="1">
      <c r="C62" s="61"/>
      <c r="D62" s="29" t="s">
        <v>130</v>
      </c>
      <c r="E62" s="29" t="s">
        <v>18</v>
      </c>
      <c r="F62" s="29" t="s">
        <v>36</v>
      </c>
      <c r="G62" s="31"/>
      <c r="H62" s="31"/>
      <c r="K62" s="23"/>
      <c r="L62" s="23"/>
      <c r="M62" s="168"/>
      <c r="N62" s="168"/>
      <c r="O62" s="168"/>
      <c r="P62" s="168"/>
      <c r="Q62" s="168"/>
      <c r="R62" s="168"/>
      <c r="T62" s="166"/>
    </row>
    <row r="63" spans="1:50" outlineLevel="1">
      <c r="C63" s="61"/>
      <c r="D63" s="29" t="s">
        <v>130</v>
      </c>
      <c r="E63" s="29" t="s">
        <v>18</v>
      </c>
      <c r="F63" s="29" t="s">
        <v>36</v>
      </c>
      <c r="G63" s="31"/>
      <c r="H63" s="31"/>
      <c r="K63" s="23"/>
      <c r="L63" s="23"/>
      <c r="M63" s="168"/>
      <c r="N63" s="168"/>
      <c r="O63" s="168"/>
      <c r="P63" s="168"/>
      <c r="Q63" s="168"/>
      <c r="R63" s="168"/>
      <c r="T63" s="166"/>
    </row>
    <row r="64" spans="1:50" outlineLevel="1">
      <c r="C64" s="115"/>
      <c r="G64" s="31"/>
      <c r="H64" s="31"/>
      <c r="K64" s="23"/>
      <c r="L64" s="23"/>
      <c r="M64" s="23"/>
      <c r="N64" s="23"/>
      <c r="O64" s="23"/>
      <c r="T64" s="166"/>
    </row>
    <row r="65" spans="3:21" outlineLevel="1">
      <c r="C65" s="68" t="s">
        <v>111</v>
      </c>
      <c r="D65" s="31" t="s">
        <v>7</v>
      </c>
      <c r="E65" s="31" t="s">
        <v>8</v>
      </c>
      <c r="F65" s="31" t="s">
        <v>22</v>
      </c>
      <c r="G65" s="31"/>
      <c r="H65" s="31"/>
      <c r="K65" s="109" t="s">
        <v>174</v>
      </c>
      <c r="L65" s="109" t="s">
        <v>174</v>
      </c>
      <c r="M65" s="109" t="s">
        <v>174</v>
      </c>
      <c r="N65" s="109" t="s">
        <v>44</v>
      </c>
      <c r="O65" s="109" t="s">
        <v>45</v>
      </c>
      <c r="P65" s="109" t="s">
        <v>46</v>
      </c>
      <c r="Q65" s="109" t="s">
        <v>91</v>
      </c>
      <c r="R65" s="109" t="s">
        <v>92</v>
      </c>
      <c r="S65" s="28" t="s">
        <v>174</v>
      </c>
      <c r="T65" s="166" t="s">
        <v>174</v>
      </c>
      <c r="U65" s="28" t="s">
        <v>174</v>
      </c>
    </row>
    <row r="66" spans="3:21" outlineLevel="1">
      <c r="C66" s="115"/>
      <c r="G66" s="31"/>
      <c r="H66" s="31"/>
      <c r="K66" s="23"/>
      <c r="L66" s="23"/>
      <c r="M66" s="23"/>
      <c r="N66" s="23"/>
      <c r="O66" s="23"/>
      <c r="T66" s="166"/>
    </row>
    <row r="67" spans="3:21" outlineLevel="1">
      <c r="C67" s="158">
        <f>C58</f>
        <v>0</v>
      </c>
      <c r="D67" s="29" t="s">
        <v>126</v>
      </c>
      <c r="E67" s="29" t="s">
        <v>18</v>
      </c>
      <c r="F67" s="29" t="s">
        <v>36</v>
      </c>
      <c r="G67" s="31"/>
      <c r="H67" s="31"/>
      <c r="K67" s="122" t="str">
        <f t="shared" ref="K67:R72" si="12">IF(ISBLANK(J58),"",LN(K58)-LN(J58))</f>
        <v/>
      </c>
      <c r="L67" s="122" t="str">
        <f t="shared" si="12"/>
        <v/>
      </c>
      <c r="M67" s="122" t="str">
        <f t="shared" si="12"/>
        <v/>
      </c>
      <c r="N67" s="122" t="str">
        <f t="shared" si="12"/>
        <v/>
      </c>
      <c r="O67" s="122" t="str">
        <f t="shared" si="12"/>
        <v/>
      </c>
      <c r="P67" s="122" t="str">
        <f t="shared" si="12"/>
        <v/>
      </c>
      <c r="Q67" s="122" t="str">
        <f t="shared" si="12"/>
        <v/>
      </c>
      <c r="R67" s="122" t="str">
        <f>IF(ISBLANK(Q58),"",LN(R58)-LN(Q58))</f>
        <v/>
      </c>
      <c r="S67" s="122" t="str">
        <f t="shared" ref="S67:T72" si="13">IF(ISBLANK(S58),"",LN(S58)-LN(R58))</f>
        <v/>
      </c>
      <c r="T67" s="175" t="str">
        <f t="shared" si="13"/>
        <v/>
      </c>
    </row>
    <row r="68" spans="3:21" outlineLevel="1">
      <c r="C68" s="158">
        <f t="shared" ref="C68:C72" si="14">C59</f>
        <v>0</v>
      </c>
      <c r="D68" s="29" t="s">
        <v>126</v>
      </c>
      <c r="E68" s="29" t="s">
        <v>18</v>
      </c>
      <c r="F68" s="29" t="s">
        <v>36</v>
      </c>
      <c r="G68" s="31"/>
      <c r="H68" s="31"/>
      <c r="K68" s="122" t="str">
        <f t="shared" si="12"/>
        <v/>
      </c>
      <c r="L68" s="122" t="str">
        <f t="shared" si="12"/>
        <v/>
      </c>
      <c r="M68" s="122" t="str">
        <f t="shared" si="12"/>
        <v/>
      </c>
      <c r="N68" s="122" t="str">
        <f t="shared" si="12"/>
        <v/>
      </c>
      <c r="O68" s="122" t="str">
        <f t="shared" si="12"/>
        <v/>
      </c>
      <c r="P68" s="122" t="str">
        <f t="shared" si="12"/>
        <v/>
      </c>
      <c r="Q68" s="122" t="str">
        <f t="shared" si="12"/>
        <v/>
      </c>
      <c r="R68" s="122" t="str">
        <f>IF(ISBLANK(Q59),"",LN(R59)-LN(Q59))</f>
        <v/>
      </c>
      <c r="S68" s="122" t="str">
        <f t="shared" si="13"/>
        <v/>
      </c>
      <c r="T68" s="175" t="str">
        <f t="shared" si="13"/>
        <v/>
      </c>
    </row>
    <row r="69" spans="3:21" outlineLevel="1">
      <c r="C69" s="158">
        <f t="shared" si="14"/>
        <v>0</v>
      </c>
      <c r="D69" s="29" t="s">
        <v>126</v>
      </c>
      <c r="E69" s="29" t="s">
        <v>18</v>
      </c>
      <c r="F69" s="29" t="s">
        <v>36</v>
      </c>
      <c r="G69" s="31"/>
      <c r="H69" s="31"/>
      <c r="K69" s="122" t="str">
        <f t="shared" si="12"/>
        <v/>
      </c>
      <c r="L69" s="122" t="str">
        <f t="shared" si="12"/>
        <v/>
      </c>
      <c r="M69" s="122" t="str">
        <f t="shared" si="12"/>
        <v/>
      </c>
      <c r="N69" s="122" t="str">
        <f t="shared" si="12"/>
        <v/>
      </c>
      <c r="O69" s="122" t="str">
        <f t="shared" si="12"/>
        <v/>
      </c>
      <c r="P69" s="122" t="str">
        <f t="shared" si="12"/>
        <v/>
      </c>
      <c r="Q69" s="122" t="str">
        <f t="shared" si="12"/>
        <v/>
      </c>
      <c r="R69" s="122" t="str">
        <f t="shared" si="12"/>
        <v/>
      </c>
      <c r="S69" s="122" t="str">
        <f t="shared" si="13"/>
        <v/>
      </c>
      <c r="T69" s="175" t="str">
        <f t="shared" si="13"/>
        <v/>
      </c>
    </row>
    <row r="70" spans="3:21" outlineLevel="1">
      <c r="C70" s="158">
        <f t="shared" si="14"/>
        <v>0</v>
      </c>
      <c r="D70" s="29" t="s">
        <v>126</v>
      </c>
      <c r="E70" s="29" t="s">
        <v>18</v>
      </c>
      <c r="F70" s="29" t="s">
        <v>36</v>
      </c>
      <c r="G70" s="31"/>
      <c r="H70" s="31"/>
      <c r="K70" s="122" t="str">
        <f t="shared" si="12"/>
        <v/>
      </c>
      <c r="L70" s="122" t="str">
        <f t="shared" si="12"/>
        <v/>
      </c>
      <c r="M70" s="122" t="str">
        <f t="shared" si="12"/>
        <v/>
      </c>
      <c r="N70" s="122" t="str">
        <f t="shared" si="12"/>
        <v/>
      </c>
      <c r="O70" s="122" t="str">
        <f t="shared" si="12"/>
        <v/>
      </c>
      <c r="P70" s="122" t="str">
        <f t="shared" si="12"/>
        <v/>
      </c>
      <c r="Q70" s="122" t="str">
        <f t="shared" si="12"/>
        <v/>
      </c>
      <c r="R70" s="122" t="str">
        <f t="shared" si="12"/>
        <v/>
      </c>
      <c r="S70" s="122" t="str">
        <f t="shared" si="13"/>
        <v/>
      </c>
      <c r="T70" s="175" t="str">
        <f t="shared" si="13"/>
        <v/>
      </c>
    </row>
    <row r="71" spans="3:21" outlineLevel="1">
      <c r="C71" s="158">
        <f t="shared" si="14"/>
        <v>0</v>
      </c>
      <c r="D71" s="29" t="s">
        <v>126</v>
      </c>
      <c r="E71" s="29" t="s">
        <v>18</v>
      </c>
      <c r="F71" s="29" t="s">
        <v>36</v>
      </c>
      <c r="G71" s="31"/>
      <c r="H71" s="31"/>
      <c r="K71" s="122" t="str">
        <f t="shared" si="12"/>
        <v/>
      </c>
      <c r="L71" s="122" t="str">
        <f t="shared" si="12"/>
        <v/>
      </c>
      <c r="M71" s="122" t="str">
        <f t="shared" si="12"/>
        <v/>
      </c>
      <c r="N71" s="122" t="str">
        <f t="shared" si="12"/>
        <v/>
      </c>
      <c r="O71" s="122" t="str">
        <f t="shared" si="12"/>
        <v/>
      </c>
      <c r="P71" s="122" t="str">
        <f t="shared" si="12"/>
        <v/>
      </c>
      <c r="Q71" s="122" t="str">
        <f t="shared" si="12"/>
        <v/>
      </c>
      <c r="R71" s="122" t="str">
        <f t="shared" si="12"/>
        <v/>
      </c>
      <c r="S71" s="122" t="str">
        <f t="shared" si="13"/>
        <v/>
      </c>
      <c r="T71" s="175" t="str">
        <f t="shared" si="13"/>
        <v/>
      </c>
    </row>
    <row r="72" spans="3:21" outlineLevel="1">
      <c r="C72" s="158">
        <f t="shared" si="14"/>
        <v>0</v>
      </c>
      <c r="D72" s="29" t="s">
        <v>126</v>
      </c>
      <c r="E72" s="29" t="s">
        <v>18</v>
      </c>
      <c r="F72" s="29" t="s">
        <v>36</v>
      </c>
      <c r="G72" s="31"/>
      <c r="H72" s="31"/>
      <c r="K72" s="122" t="str">
        <f t="shared" si="12"/>
        <v/>
      </c>
      <c r="L72" s="122" t="str">
        <f t="shared" si="12"/>
        <v/>
      </c>
      <c r="M72" s="122" t="str">
        <f t="shared" si="12"/>
        <v/>
      </c>
      <c r="N72" s="122" t="str">
        <f t="shared" si="12"/>
        <v/>
      </c>
      <c r="O72" s="122" t="str">
        <f t="shared" si="12"/>
        <v/>
      </c>
      <c r="P72" s="122" t="str">
        <f t="shared" si="12"/>
        <v/>
      </c>
      <c r="Q72" s="122" t="str">
        <f t="shared" si="12"/>
        <v/>
      </c>
      <c r="R72" s="122" t="str">
        <f t="shared" si="12"/>
        <v/>
      </c>
      <c r="S72" s="122" t="str">
        <f t="shared" si="13"/>
        <v/>
      </c>
      <c r="T72" s="175" t="str">
        <f t="shared" si="13"/>
        <v/>
      </c>
    </row>
    <row r="73" spans="3:21" outlineLevel="1">
      <c r="C73" s="115"/>
      <c r="G73" s="31"/>
      <c r="H73" s="31"/>
      <c r="K73" s="23"/>
      <c r="L73" s="23"/>
      <c r="M73" s="23"/>
      <c r="N73" s="23"/>
      <c r="O73" s="23"/>
      <c r="T73" s="166"/>
    </row>
    <row r="74" spans="3:21" outlineLevel="1">
      <c r="C74" s="68" t="s">
        <v>49</v>
      </c>
      <c r="G74" s="31"/>
      <c r="H74" s="31"/>
      <c r="K74" s="23"/>
      <c r="L74" s="23"/>
      <c r="M74" s="23"/>
      <c r="N74" s="23"/>
      <c r="O74" s="23"/>
      <c r="T74" s="166"/>
    </row>
    <row r="75" spans="3:21" outlineLevel="1">
      <c r="C75" s="115"/>
      <c r="G75" s="31"/>
      <c r="H75" s="31"/>
      <c r="K75" s="23"/>
      <c r="L75" s="23"/>
      <c r="M75" s="23"/>
      <c r="N75" s="23"/>
      <c r="T75" s="166"/>
    </row>
    <row r="76" spans="3:21" outlineLevel="1">
      <c r="C76" s="158">
        <f>C58</f>
        <v>0</v>
      </c>
      <c r="D76" s="29" t="s">
        <v>130</v>
      </c>
      <c r="E76" s="29" t="s">
        <v>18</v>
      </c>
      <c r="F76" s="29" t="s">
        <v>36</v>
      </c>
      <c r="G76" s="31"/>
      <c r="H76" s="31"/>
      <c r="K76" s="23"/>
      <c r="L76" s="23"/>
      <c r="M76" s="60">
        <v>1</v>
      </c>
      <c r="N76" s="23"/>
      <c r="T76" s="166"/>
    </row>
    <row r="77" spans="3:21" outlineLevel="1">
      <c r="C77" s="158">
        <f t="shared" ref="C77:C81" si="15">C59</f>
        <v>0</v>
      </c>
      <c r="D77" s="29" t="s">
        <v>130</v>
      </c>
      <c r="E77" s="29" t="s">
        <v>18</v>
      </c>
      <c r="F77" s="29" t="s">
        <v>36</v>
      </c>
      <c r="G77" s="31"/>
      <c r="H77" s="31"/>
      <c r="K77" s="23"/>
      <c r="L77" s="23"/>
      <c r="M77" s="60"/>
      <c r="N77" s="23"/>
      <c r="T77" s="166"/>
    </row>
    <row r="78" spans="3:21" outlineLevel="1">
      <c r="C78" s="158">
        <f t="shared" si="15"/>
        <v>0</v>
      </c>
      <c r="D78" s="29" t="s">
        <v>130</v>
      </c>
      <c r="E78" s="29" t="s">
        <v>18</v>
      </c>
      <c r="F78" s="29" t="s">
        <v>36</v>
      </c>
      <c r="G78" s="31"/>
      <c r="H78" s="31"/>
      <c r="K78" s="23"/>
      <c r="L78" s="23"/>
      <c r="M78" s="60"/>
      <c r="N78" s="23"/>
      <c r="T78" s="166"/>
    </row>
    <row r="79" spans="3:21" outlineLevel="1">
      <c r="C79" s="158">
        <f t="shared" si="15"/>
        <v>0</v>
      </c>
      <c r="D79" s="29" t="s">
        <v>130</v>
      </c>
      <c r="E79" s="29" t="s">
        <v>18</v>
      </c>
      <c r="F79" s="29" t="s">
        <v>36</v>
      </c>
      <c r="G79" s="31"/>
      <c r="H79" s="31"/>
      <c r="K79" s="23"/>
      <c r="L79" s="23"/>
      <c r="M79" s="60"/>
      <c r="N79" s="23"/>
      <c r="T79" s="166"/>
    </row>
    <row r="80" spans="3:21" outlineLevel="1">
      <c r="C80" s="158">
        <f t="shared" si="15"/>
        <v>0</v>
      </c>
      <c r="D80" s="29" t="s">
        <v>130</v>
      </c>
      <c r="E80" s="29" t="s">
        <v>18</v>
      </c>
      <c r="F80" s="29" t="s">
        <v>36</v>
      </c>
      <c r="G80" s="31"/>
      <c r="H80" s="31"/>
      <c r="K80" s="23"/>
      <c r="L80" s="23"/>
      <c r="M80" s="60"/>
      <c r="N80" s="23"/>
      <c r="T80" s="166"/>
    </row>
    <row r="81" spans="1:50" outlineLevel="1">
      <c r="C81" s="158">
        <f t="shared" si="15"/>
        <v>0</v>
      </c>
      <c r="D81" s="29" t="s">
        <v>130</v>
      </c>
      <c r="E81" s="29" t="s">
        <v>18</v>
      </c>
      <c r="F81" s="29" t="s">
        <v>36</v>
      </c>
      <c r="G81" s="31"/>
      <c r="H81" s="31"/>
      <c r="K81" s="23"/>
      <c r="L81" s="23"/>
      <c r="M81" s="60"/>
      <c r="N81" s="23"/>
      <c r="T81" s="166"/>
    </row>
    <row r="82" spans="1:50" outlineLevel="1">
      <c r="G82" s="31"/>
      <c r="H82" s="31"/>
      <c r="T82" s="166"/>
    </row>
    <row r="83" spans="1:50" outlineLevel="1">
      <c r="C83" s="28" t="s">
        <v>40</v>
      </c>
      <c r="D83" s="29" t="s">
        <v>126</v>
      </c>
      <c r="E83" s="29" t="s">
        <v>28</v>
      </c>
      <c r="F83" s="29" t="s">
        <v>36</v>
      </c>
      <c r="M83" s="138" t="str">
        <f>IF(SUM(M76:M81)=1,"Ok","Check")</f>
        <v>Ok</v>
      </c>
      <c r="N83" s="24"/>
      <c r="Q83" s="24"/>
      <c r="R83" s="24"/>
      <c r="S83" s="24"/>
      <c r="T83" s="174"/>
      <c r="U83" s="24"/>
      <c r="W83" s="138" t="str">
        <f>IF(COUNTIF(K83:T83,"Check")=0,"Ok","Check")</f>
        <v>Ok</v>
      </c>
    </row>
    <row r="84" spans="1:50">
      <c r="T84" s="166"/>
    </row>
    <row r="85" spans="1:50" s="106" customFormat="1" ht="12.75">
      <c r="A85" s="97"/>
      <c r="B85" s="98" t="s">
        <v>102</v>
      </c>
      <c r="C85" s="97"/>
      <c r="D85" s="97"/>
      <c r="E85" s="97"/>
      <c r="F85" s="99"/>
      <c r="G85" s="99"/>
      <c r="H85" s="99"/>
      <c r="I85" s="99"/>
      <c r="J85" s="99"/>
      <c r="K85" s="100"/>
      <c r="L85" s="101"/>
      <c r="M85" s="100"/>
      <c r="N85" s="101"/>
      <c r="O85" s="100"/>
      <c r="P85" s="100"/>
      <c r="Q85" s="100"/>
      <c r="R85" s="100"/>
      <c r="S85" s="100"/>
      <c r="T85" s="100"/>
      <c r="U85" s="100"/>
      <c r="V85" s="100"/>
      <c r="W85" s="101"/>
      <c r="X85" s="102"/>
      <c r="Y85" s="102"/>
      <c r="Z85" s="102"/>
      <c r="AA85" s="102"/>
      <c r="AB85" s="102"/>
      <c r="AC85" s="102"/>
      <c r="AD85" s="102"/>
      <c r="AE85" s="103"/>
      <c r="AF85" s="104"/>
      <c r="AG85" s="104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</row>
    <row r="86" spans="1:50" outlineLevel="1">
      <c r="G86" s="31"/>
      <c r="H86" s="31"/>
    </row>
    <row r="87" spans="1:50" outlineLevel="1">
      <c r="C87" s="68" t="s">
        <v>54</v>
      </c>
      <c r="D87" s="31" t="s">
        <v>7</v>
      </c>
      <c r="E87" s="31" t="s">
        <v>8</v>
      </c>
      <c r="F87" s="31" t="s">
        <v>22</v>
      </c>
      <c r="G87" s="31"/>
      <c r="H87" s="31"/>
      <c r="K87" s="109" t="str">
        <f>IF(RIGHT(K$4,2)&gt;=RIGHT('Input|General'!$G$11,2),IF(RIGHT(K$4,2)&lt;=RIGHT('Input|General'!$G$12,2),K$4,""),"")</f>
        <v/>
      </c>
      <c r="L87" s="109" t="str">
        <f ca="1">IF(RIGHT(L$4,2)&gt;=RIGHT('Input|General'!$G$11,2),IF(RIGHT(L$4,2)&lt;=RIGHT('Input|General'!$G$12,2),L$4,""),"")</f>
        <v/>
      </c>
      <c r="M87" s="109" t="str">
        <f ca="1">IF(RIGHT(M$4,2)&gt;=RIGHT('Input|General'!$G$11,2),IF(RIGHT(M$4,2)&lt;=RIGHT('Input|General'!$G$12,2),M$4,""),"")</f>
        <v/>
      </c>
      <c r="N87" s="109" t="str">
        <f ca="1">IF(RIGHT(N$4,2)&gt;=RIGHT('Input|General'!$G$11,2),IF(RIGHT(N$4,2)&lt;=RIGHT('Input|General'!$G$12,2),N$4,""),"")</f>
        <v>2017-18</v>
      </c>
      <c r="O87" s="109" t="str">
        <f ca="1">IF(RIGHT(O$4,2)&gt;=RIGHT('Input|General'!$G$11,2),IF(RIGHT(O$4,2)&lt;=RIGHT('Input|General'!$G$12,2),O$4,""),"")</f>
        <v>2018-19</v>
      </c>
      <c r="P87" s="109" t="str">
        <f ca="1">IF(RIGHT(P$4,2)&gt;=RIGHT('Input|General'!$G$11,2),IF(RIGHT(P$4,2)&lt;=RIGHT('Input|General'!$G$12,2),P$4,""),"")</f>
        <v>2019-20</v>
      </c>
      <c r="Q87" s="109" t="str">
        <f ca="1">IF(RIGHT(Q$4,2)&gt;=RIGHT('Input|General'!$G$11,2),IF(RIGHT(Q$4,2)&lt;=RIGHT('Input|General'!$G$12,2),Q$4,""),"")</f>
        <v>2020-21</v>
      </c>
      <c r="R87" s="109" t="str">
        <f ca="1">IF(RIGHT(R$4,2)&gt;=RIGHT('Input|General'!$G$11,2),IF(RIGHT(R$4,2)&lt;=RIGHT('Input|General'!$G$12,2),R$4,""),"")</f>
        <v>2021-22</v>
      </c>
      <c r="S87" s="166" t="str">
        <f ca="1">IF(RIGHT(S$4,2)&gt;=RIGHT('Input|General'!$G$11,2),IF(RIGHT(S$4,2)&lt;=RIGHT('Input|General'!$G$12,2),S$4,""),"")</f>
        <v/>
      </c>
      <c r="V87" s="166"/>
    </row>
    <row r="88" spans="1:50" outlineLevel="1">
      <c r="C88" s="115"/>
      <c r="G88" s="31"/>
      <c r="H88" s="31"/>
      <c r="K88" s="23"/>
      <c r="L88" s="23"/>
      <c r="M88" s="23"/>
      <c r="N88" s="23"/>
      <c r="O88" s="23"/>
      <c r="S88" s="166"/>
      <c r="V88" s="166"/>
    </row>
    <row r="89" spans="1:50" outlineLevel="1">
      <c r="C89" s="115" t="s">
        <v>54</v>
      </c>
      <c r="D89" s="29" t="s">
        <v>130</v>
      </c>
      <c r="E89" s="29" t="str">
        <f>percent</f>
        <v>Per cent</v>
      </c>
      <c r="F89" s="29" t="s">
        <v>36</v>
      </c>
      <c r="G89" s="31"/>
      <c r="H89" s="31"/>
      <c r="K89" s="23"/>
      <c r="L89" s="23"/>
      <c r="M89" s="23"/>
      <c r="N89" s="60">
        <v>0</v>
      </c>
      <c r="O89" s="60">
        <v>0</v>
      </c>
      <c r="P89" s="60">
        <v>0</v>
      </c>
      <c r="Q89" s="60">
        <v>0</v>
      </c>
      <c r="R89" s="60">
        <v>0</v>
      </c>
      <c r="T89" s="166"/>
    </row>
    <row r="90" spans="1:50" outlineLevel="1">
      <c r="C90" s="115"/>
      <c r="G90" s="31"/>
      <c r="H90" s="31"/>
      <c r="K90" s="23"/>
      <c r="L90" s="23"/>
      <c r="M90" s="23"/>
      <c r="N90" s="23"/>
      <c r="O90" s="23"/>
      <c r="T90" s="166"/>
    </row>
    <row r="91" spans="1:50" s="106" customFormat="1" ht="12.75">
      <c r="A91" s="97"/>
      <c r="B91" s="98" t="s">
        <v>21</v>
      </c>
      <c r="C91" s="97"/>
      <c r="D91" s="97"/>
      <c r="E91" s="97"/>
      <c r="F91" s="99"/>
      <c r="G91" s="99"/>
      <c r="H91" s="99"/>
      <c r="I91" s="99"/>
      <c r="J91" s="99"/>
      <c r="K91" s="100"/>
      <c r="L91" s="101"/>
      <c r="M91" s="100"/>
      <c r="N91" s="101"/>
      <c r="O91" s="100"/>
      <c r="P91" s="100"/>
      <c r="Q91" s="100"/>
      <c r="R91" s="100"/>
      <c r="S91" s="100"/>
      <c r="T91" s="100"/>
      <c r="U91" s="100"/>
      <c r="V91" s="100"/>
      <c r="W91" s="101"/>
      <c r="X91" s="102"/>
      <c r="Y91" s="102"/>
      <c r="Z91" s="102"/>
      <c r="AA91" s="102"/>
      <c r="AB91" s="102"/>
      <c r="AC91" s="102"/>
      <c r="AD91" s="102"/>
      <c r="AE91" s="103"/>
      <c r="AF91" s="104"/>
      <c r="AG91" s="104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</row>
    <row r="92" spans="1:50" hidden="1"/>
    <row r="93" spans="1:50" hidden="1"/>
    <row r="94" spans="1:50" hidden="1"/>
    <row r="95" spans="1:50" hidden="1"/>
    <row r="96" spans="1:50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mergeCells count="2">
    <mergeCell ref="K3:M3"/>
    <mergeCell ref="O3:T3"/>
  </mergeCells>
  <conditionalFormatting sqref="W1">
    <cfRule type="cellIs" dxfId="83" priority="63" operator="equal">
      <formula>"Check"</formula>
    </cfRule>
    <cfRule type="cellIs" dxfId="82" priority="64" operator="equal">
      <formula>"Ok"</formula>
    </cfRule>
  </conditionalFormatting>
  <conditionalFormatting sqref="T1">
    <cfRule type="cellIs" dxfId="81" priority="27" operator="equal">
      <formula>"Check"</formula>
    </cfRule>
    <cfRule type="cellIs" dxfId="80" priority="28" operator="equal">
      <formula>"Ok"</formula>
    </cfRule>
  </conditionalFormatting>
  <conditionalFormatting sqref="W52">
    <cfRule type="cellIs" dxfId="79" priority="15" operator="equal">
      <formula>"Check"</formula>
    </cfRule>
    <cfRule type="cellIs" dxfId="78" priority="16" operator="equal">
      <formula>"Ok"</formula>
    </cfRule>
  </conditionalFormatting>
  <conditionalFormatting sqref="P52:R52">
    <cfRule type="cellIs" dxfId="77" priority="13" operator="equal">
      <formula>"Check"</formula>
    </cfRule>
    <cfRule type="cellIs" dxfId="76" priority="14" operator="equal">
      <formula>"Ok"</formula>
    </cfRule>
  </conditionalFormatting>
  <conditionalFormatting sqref="N52:O52">
    <cfRule type="cellIs" dxfId="75" priority="5" operator="equal">
      <formula>"Check"</formula>
    </cfRule>
    <cfRule type="cellIs" dxfId="74" priority="6" operator="equal">
      <formula>"Ok"</formula>
    </cfRule>
  </conditionalFormatting>
  <conditionalFormatting sqref="Q83:T83 M83">
    <cfRule type="cellIs" dxfId="73" priority="3" operator="equal">
      <formula>"Check"</formula>
    </cfRule>
    <cfRule type="cellIs" dxfId="72" priority="4" operator="equal">
      <formula>"Ok"</formula>
    </cfRule>
  </conditionalFormatting>
  <conditionalFormatting sqref="W83">
    <cfRule type="cellIs" dxfId="71" priority="1" operator="equal">
      <formula>"Check"</formula>
    </cfRule>
    <cfRule type="cellIs" dxfId="70" priority="2" operator="equal">
      <formula>"Ok"</formula>
    </cfRule>
  </conditionalFormatting>
  <dataValidations disablePrompts="1" count="1">
    <dataValidation type="list" allowBlank="1" showInputMessage="1" showErrorMessage="1" sqref="F90 F64 F73:F75">
      <formula1>#REF!</formula1>
    </dataValidation>
  </dataValidations>
  <hyperlinks>
    <hyperlink ref="K1" location="Index!A1" display="Back to Index"/>
  </hyperlinks>
  <pageMargins left="0.7" right="0.7" top="0.75" bottom="0.75" header="0.3" footer="0.3"/>
  <pageSetup paperSize="9" orientation="portrait" verticalDpi="4" r:id="rId1"/>
  <ignoredErrors>
    <ignoredError sqref="T67:T7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3"/>
  <sheetViews>
    <sheetView showGridLines="0" workbookViewId="0">
      <selection activeCell="R37" sqref="R37"/>
    </sheetView>
  </sheetViews>
  <sheetFormatPr defaultColWidth="0" defaultRowHeight="11.25" zeroHeight="1" outlineLevelRow="1"/>
  <cols>
    <col min="1" max="2" width="1.5" style="28" customWidth="1"/>
    <col min="3" max="3" width="48" style="28" bestFit="1" customWidth="1"/>
    <col min="4" max="4" width="27.6640625" style="29" customWidth="1"/>
    <col min="5" max="5" width="15.83203125" style="29" customWidth="1"/>
    <col min="6" max="6" width="10.6640625" style="29" customWidth="1"/>
    <col min="7" max="9" width="3.33203125" style="29" customWidth="1"/>
    <col min="10" max="23" width="10.83203125" style="28" customWidth="1"/>
    <col min="24" max="47" width="10.5" style="28" hidden="1" customWidth="1"/>
    <col min="48" max="16384" width="0" style="28" hidden="1"/>
  </cols>
  <sheetData>
    <row r="1" spans="1:47" s="71" customFormat="1" ht="15.75">
      <c r="B1" s="72" t="str">
        <f>Index!$B$1</f>
        <v>AER opex model</v>
      </c>
      <c r="C1" s="72"/>
      <c r="D1" s="72"/>
      <c r="E1" s="72"/>
      <c r="F1" s="73"/>
      <c r="G1" s="73"/>
      <c r="H1" s="73"/>
      <c r="I1" s="73"/>
      <c r="J1" s="36" t="s">
        <v>2</v>
      </c>
      <c r="L1" s="74" t="s">
        <v>3</v>
      </c>
      <c r="M1" s="75" t="s">
        <v>4</v>
      </c>
      <c r="N1" s="76" t="s">
        <v>5</v>
      </c>
      <c r="O1" s="77" t="s">
        <v>6</v>
      </c>
      <c r="R1" s="74" t="s">
        <v>106</v>
      </c>
      <c r="S1" s="78" t="str">
        <f>IF(COUNTA($W$8:$W$232)=COUNTIF($W$8:$W$232,"OK"),"OK","Check")</f>
        <v>OK</v>
      </c>
      <c r="U1" s="74" t="s">
        <v>24</v>
      </c>
      <c r="V1" s="78" t="str">
        <f>'Check|List'!$S$1</f>
        <v>Ok</v>
      </c>
    </row>
    <row r="2" spans="1:47" s="79" customFormat="1" ht="13.5" thickBot="1">
      <c r="B2" s="80" t="str">
        <f>Index!$C$11</f>
        <v>Input | Step changes</v>
      </c>
      <c r="C2" s="80"/>
      <c r="D2" s="80"/>
      <c r="E2" s="80"/>
      <c r="F2" s="81"/>
      <c r="G2" s="81"/>
      <c r="H2" s="81"/>
      <c r="I2" s="81"/>
    </row>
    <row r="3" spans="1:47" s="82" customFormat="1">
      <c r="C3" s="83"/>
      <c r="D3" s="84"/>
      <c r="E3" s="84"/>
      <c r="F3" s="84"/>
      <c r="G3" s="84"/>
      <c r="H3" s="84"/>
      <c r="I3" s="84"/>
      <c r="J3" s="178"/>
      <c r="K3" s="178"/>
      <c r="L3" s="178"/>
      <c r="M3" s="84"/>
      <c r="N3" s="178"/>
      <c r="O3" s="178"/>
      <c r="P3" s="178"/>
      <c r="Q3" s="178"/>
      <c r="R3" s="178"/>
      <c r="S3" s="178"/>
      <c r="T3" s="85"/>
      <c r="U3" s="85"/>
      <c r="V3" s="85"/>
      <c r="W3" s="85"/>
      <c r="X3" s="85"/>
      <c r="Y3" s="85"/>
      <c r="Z3" s="85"/>
    </row>
    <row r="4" spans="1:47" s="96" customFormat="1" ht="10.5">
      <c r="A4" s="86"/>
      <c r="B4" s="86"/>
      <c r="C4" s="86"/>
      <c r="D4" s="86" t="s">
        <v>7</v>
      </c>
      <c r="E4" s="86" t="s">
        <v>8</v>
      </c>
      <c r="F4" s="89" t="s">
        <v>22</v>
      </c>
      <c r="G4" s="89"/>
      <c r="H4" s="89"/>
      <c r="I4" s="89"/>
      <c r="J4" s="152" t="str">
        <f>'Input|General'!$G$8</f>
        <v>2014-15</v>
      </c>
      <c r="K4" s="91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2015-16</v>
      </c>
      <c r="L4" s="152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2016-17</v>
      </c>
      <c r="M4" s="91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2017-18</v>
      </c>
      <c r="N4" s="152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2018-19</v>
      </c>
      <c r="O4" s="152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2019-20</v>
      </c>
      <c r="P4" s="152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2020-21</v>
      </c>
      <c r="Q4" s="152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2021-22</v>
      </c>
      <c r="R4" s="90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/>
      </c>
      <c r="S4" s="90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/>
      </c>
      <c r="T4" s="90"/>
      <c r="U4" s="90"/>
      <c r="V4" s="91"/>
      <c r="W4" s="91"/>
      <c r="X4" s="92"/>
      <c r="Y4" s="92"/>
      <c r="Z4" s="92"/>
      <c r="AA4" s="92"/>
      <c r="AB4" s="93"/>
      <c r="AC4" s="94"/>
      <c r="AD4" s="94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1:47" s="26" customFormat="1" ht="3" customHeight="1">
      <c r="D5" s="27"/>
      <c r="E5" s="27"/>
      <c r="F5" s="27"/>
      <c r="G5" s="27"/>
      <c r="H5" s="27"/>
      <c r="I5" s="27"/>
    </row>
    <row r="6" spans="1:47" s="26" customFormat="1" ht="9" customHeight="1">
      <c r="D6" s="27"/>
      <c r="E6" s="27"/>
      <c r="F6" s="27"/>
      <c r="G6" s="27"/>
      <c r="H6" s="27"/>
      <c r="I6" s="27"/>
    </row>
    <row r="7" spans="1:47" s="26" customFormat="1" ht="3" customHeight="1">
      <c r="D7" s="27"/>
      <c r="E7" s="27"/>
      <c r="F7" s="27"/>
      <c r="G7" s="27"/>
      <c r="H7" s="27"/>
      <c r="I7" s="27"/>
    </row>
    <row r="8" spans="1:47" s="106" customFormat="1" ht="12.75">
      <c r="A8" s="97"/>
      <c r="B8" s="98" t="s">
        <v>56</v>
      </c>
      <c r="C8" s="97"/>
      <c r="D8" s="97"/>
      <c r="E8" s="97"/>
      <c r="F8" s="99"/>
      <c r="G8" s="99"/>
      <c r="H8" s="99"/>
      <c r="I8" s="99"/>
      <c r="J8" s="100"/>
      <c r="K8" s="101"/>
      <c r="L8" s="100"/>
      <c r="M8" s="101"/>
      <c r="N8" s="100"/>
      <c r="O8" s="100"/>
      <c r="P8" s="100"/>
      <c r="Q8" s="100"/>
      <c r="R8" s="100"/>
      <c r="S8" s="100"/>
      <c r="T8" s="100"/>
      <c r="U8" s="100"/>
      <c r="V8" s="101"/>
      <c r="W8" s="101"/>
      <c r="X8" s="102"/>
      <c r="Y8" s="102"/>
      <c r="Z8" s="102"/>
      <c r="AA8" s="102"/>
      <c r="AB8" s="103"/>
      <c r="AC8" s="104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</row>
    <row r="9" spans="1:47" outlineLevel="1">
      <c r="G9" s="31"/>
      <c r="H9" s="31"/>
    </row>
    <row r="10" spans="1:47" outlineLevel="1">
      <c r="C10" s="68" t="s">
        <v>103</v>
      </c>
      <c r="D10" s="31" t="s">
        <v>7</v>
      </c>
      <c r="E10" s="31" t="s">
        <v>8</v>
      </c>
      <c r="F10" s="31" t="s">
        <v>22</v>
      </c>
      <c r="G10" s="31"/>
      <c r="H10" s="31"/>
      <c r="J10" s="109" t="str">
        <f>IF(RIGHT(J$4,2)&gt;=RIGHT('Input|General'!$G$11,2),IF(RIGHT(J$4,2)&lt;=RIGHT('Input|General'!$G$12,2),J$4,""),"")</f>
        <v/>
      </c>
      <c r="K10" s="109" t="str">
        <f ca="1">IF(RIGHT(K$4,2)&gt;=RIGHT('Input|General'!$G$11,2),IF(RIGHT(K$4,2)&lt;=RIGHT('Input|General'!$G$12,2),K$4,""),"")</f>
        <v/>
      </c>
      <c r="L10" s="109" t="str">
        <f ca="1">IF(RIGHT(L$4,2)&gt;=RIGHT('Input|General'!$G$11,2),IF(RIGHT(L$4,2)&lt;=RIGHT('Input|General'!$G$12,2),L$4,""),"")</f>
        <v/>
      </c>
      <c r="M10" s="109" t="str">
        <f ca="1">IF(RIGHT(M$4,2)&gt;=RIGHT('Input|General'!$G$11,2),IF(RIGHT(M$4,2)&lt;=RIGHT('Input|General'!$G$12,2),M$4,""),"")</f>
        <v>2017-18</v>
      </c>
      <c r="N10" s="109" t="str">
        <f ca="1">IF(RIGHT(N$4,2)&gt;=RIGHT('Input|General'!$G$11,2),IF(RIGHT(N$4,2)&lt;=RIGHT('Input|General'!$G$12,2),N$4,""),"")</f>
        <v>2018-19</v>
      </c>
      <c r="O10" s="109" t="str">
        <f ca="1">IF(RIGHT(O$4,2)&gt;=RIGHT('Input|General'!$G$11,2),IF(RIGHT(O$4,2)&lt;=RIGHT('Input|General'!$G$12,2),O$4,""),"")</f>
        <v>2019-20</v>
      </c>
      <c r="P10" s="109" t="str">
        <f ca="1">IF(RIGHT(P$4,2)&gt;=RIGHT('Input|General'!$G$11,2),IF(RIGHT(P$4,2)&lt;=RIGHT('Input|General'!$G$12,2),P$4,""),"")</f>
        <v>2020-21</v>
      </c>
      <c r="Q10" s="109" t="str">
        <f ca="1">IF(RIGHT(Q$4,2)&gt;=RIGHT('Input|General'!$G$11,2),IF(RIGHT(Q$4,2)&lt;=RIGHT('Input|General'!$G$12,2),Q$4,""),"")</f>
        <v>2021-22</v>
      </c>
      <c r="R10" s="28" t="str">
        <f ca="1">IF(RIGHT(R$4,2)&gt;=RIGHT('Input|General'!$G$11,2),IF(RIGHT(R$4,2)&lt;=RIGHT('Input|General'!$G$12,2),R$4,""),"")</f>
        <v/>
      </c>
      <c r="S10" s="28" t="str">
        <f ca="1">IF(RIGHT(S$4,2)&gt;=RIGHT('Input|General'!$G$11,2),IF(RIGHT(S$4,2)&lt;=RIGHT('Input|General'!$G$12,2),S$4,""),"")</f>
        <v/>
      </c>
    </row>
    <row r="11" spans="1:47" outlineLevel="1">
      <c r="G11" s="31"/>
      <c r="H11" s="31"/>
    </row>
    <row r="12" spans="1:47" outlineLevel="1">
      <c r="C12" s="61" t="s">
        <v>145</v>
      </c>
      <c r="D12" s="29" t="s">
        <v>88</v>
      </c>
      <c r="E12" s="163" t="s">
        <v>15</v>
      </c>
      <c r="F12" s="62" t="s">
        <v>43</v>
      </c>
      <c r="G12" s="31"/>
      <c r="H12" s="31"/>
      <c r="M12" s="62">
        <v>0</v>
      </c>
      <c r="N12" s="62">
        <v>0</v>
      </c>
      <c r="O12" s="62">
        <v>0</v>
      </c>
      <c r="P12" s="62">
        <v>0</v>
      </c>
      <c r="Q12" s="62">
        <v>0</v>
      </c>
    </row>
    <row r="13" spans="1:47" outlineLevel="1">
      <c r="C13" s="61" t="s">
        <v>146</v>
      </c>
      <c r="D13" s="29" t="s">
        <v>88</v>
      </c>
      <c r="E13" s="163" t="s">
        <v>15</v>
      </c>
      <c r="F13" s="62" t="s">
        <v>43</v>
      </c>
      <c r="G13" s="31"/>
      <c r="H13" s="31"/>
      <c r="M13" s="62">
        <v>0</v>
      </c>
      <c r="N13" s="62">
        <v>0</v>
      </c>
      <c r="O13" s="62">
        <v>0</v>
      </c>
      <c r="P13" s="62">
        <v>0</v>
      </c>
      <c r="Q13" s="62">
        <v>0</v>
      </c>
    </row>
    <row r="14" spans="1:47" outlineLevel="1">
      <c r="C14" s="61" t="s">
        <v>147</v>
      </c>
      <c r="D14" s="29" t="s">
        <v>88</v>
      </c>
      <c r="E14" s="163" t="s">
        <v>15</v>
      </c>
      <c r="F14" s="62" t="s">
        <v>43</v>
      </c>
      <c r="G14" s="31"/>
      <c r="H14" s="31"/>
      <c r="M14" s="62">
        <v>0</v>
      </c>
      <c r="N14" s="62">
        <v>0</v>
      </c>
      <c r="O14" s="62">
        <v>0</v>
      </c>
      <c r="P14" s="62">
        <v>0</v>
      </c>
      <c r="Q14" s="62">
        <v>0</v>
      </c>
    </row>
    <row r="15" spans="1:47" outlineLevel="1">
      <c r="C15" s="61" t="s">
        <v>148</v>
      </c>
      <c r="D15" s="29" t="s">
        <v>88</v>
      </c>
      <c r="E15" s="163" t="s">
        <v>15</v>
      </c>
      <c r="F15" s="62" t="s">
        <v>43</v>
      </c>
      <c r="G15" s="31"/>
      <c r="H15" s="31"/>
      <c r="M15" s="62">
        <v>0</v>
      </c>
      <c r="N15" s="62">
        <v>0</v>
      </c>
      <c r="O15" s="62">
        <v>0</v>
      </c>
      <c r="P15" s="62">
        <v>0</v>
      </c>
      <c r="Q15" s="62">
        <v>0</v>
      </c>
    </row>
    <row r="16" spans="1:47" outlineLevel="1">
      <c r="C16" s="61" t="s">
        <v>149</v>
      </c>
      <c r="D16" s="29" t="s">
        <v>88</v>
      </c>
      <c r="E16" s="163" t="s">
        <v>15</v>
      </c>
      <c r="F16" s="62" t="s">
        <v>43</v>
      </c>
      <c r="G16" s="31"/>
      <c r="H16" s="31"/>
      <c r="M16" s="62">
        <v>0</v>
      </c>
      <c r="N16" s="62">
        <v>0</v>
      </c>
      <c r="O16" s="62">
        <v>0</v>
      </c>
      <c r="P16" s="62">
        <v>0</v>
      </c>
      <c r="Q16" s="62">
        <v>0</v>
      </c>
    </row>
    <row r="17" spans="1:47" outlineLevel="1">
      <c r="C17" s="61" t="s">
        <v>150</v>
      </c>
      <c r="D17" s="29" t="s">
        <v>88</v>
      </c>
      <c r="E17" s="163" t="s">
        <v>15</v>
      </c>
      <c r="F17" s="62" t="s">
        <v>43</v>
      </c>
      <c r="G17" s="31"/>
      <c r="H17" s="31"/>
      <c r="M17" s="62">
        <v>0</v>
      </c>
      <c r="N17" s="62">
        <v>0</v>
      </c>
      <c r="O17" s="62">
        <v>0</v>
      </c>
      <c r="P17" s="62">
        <v>0</v>
      </c>
      <c r="Q17" s="62">
        <v>0</v>
      </c>
    </row>
    <row r="18" spans="1:47" outlineLevel="1">
      <c r="C18" s="61"/>
      <c r="D18" s="29" t="s">
        <v>88</v>
      </c>
      <c r="E18" s="163" t="s">
        <v>15</v>
      </c>
      <c r="F18" s="62" t="s">
        <v>43</v>
      </c>
      <c r="G18" s="31"/>
      <c r="H18" s="31"/>
      <c r="M18" s="62"/>
      <c r="N18" s="62"/>
      <c r="O18" s="62"/>
      <c r="P18" s="62"/>
      <c r="Q18" s="62"/>
    </row>
    <row r="19" spans="1:47" outlineLevel="1">
      <c r="C19" s="61"/>
      <c r="D19" s="29" t="s">
        <v>88</v>
      </c>
      <c r="E19" s="163" t="s">
        <v>15</v>
      </c>
      <c r="F19" s="62" t="s">
        <v>43</v>
      </c>
      <c r="G19" s="31"/>
      <c r="H19" s="31"/>
      <c r="M19" s="62"/>
      <c r="N19" s="62"/>
      <c r="O19" s="62"/>
      <c r="P19" s="62"/>
      <c r="Q19" s="62"/>
    </row>
    <row r="20" spans="1:47" outlineLevel="1">
      <c r="C20" s="61"/>
      <c r="D20" s="29" t="s">
        <v>88</v>
      </c>
      <c r="E20" s="163" t="s">
        <v>15</v>
      </c>
      <c r="F20" s="62" t="s">
        <v>43</v>
      </c>
      <c r="G20" s="31"/>
      <c r="H20" s="31"/>
      <c r="M20" s="62"/>
      <c r="N20" s="62"/>
      <c r="O20" s="62"/>
      <c r="P20" s="62"/>
      <c r="Q20" s="62"/>
    </row>
    <row r="21" spans="1:47" outlineLevel="1">
      <c r="C21" s="61"/>
      <c r="D21" s="29" t="s">
        <v>88</v>
      </c>
      <c r="E21" s="163" t="s">
        <v>15</v>
      </c>
      <c r="F21" s="62" t="s">
        <v>43</v>
      </c>
      <c r="G21" s="31"/>
      <c r="H21" s="31"/>
      <c r="M21" s="62"/>
      <c r="N21" s="62"/>
      <c r="O21" s="62"/>
      <c r="P21" s="62"/>
      <c r="Q21" s="62"/>
    </row>
    <row r="22" spans="1:47" outlineLevel="1">
      <c r="C22" s="61"/>
      <c r="D22" s="29" t="s">
        <v>88</v>
      </c>
      <c r="E22" s="163" t="s">
        <v>15</v>
      </c>
      <c r="F22" s="62" t="s">
        <v>43</v>
      </c>
      <c r="G22" s="31"/>
      <c r="H22" s="31"/>
      <c r="M22" s="62"/>
      <c r="N22" s="62"/>
      <c r="O22" s="62"/>
      <c r="P22" s="62"/>
      <c r="Q22" s="62"/>
    </row>
    <row r="23" spans="1:47" outlineLevel="1">
      <c r="C23" s="61"/>
      <c r="D23" s="29" t="s">
        <v>88</v>
      </c>
      <c r="E23" s="163" t="s">
        <v>15</v>
      </c>
      <c r="F23" s="62" t="s">
        <v>43</v>
      </c>
      <c r="G23" s="31"/>
      <c r="H23" s="31"/>
      <c r="M23" s="62"/>
      <c r="N23" s="62"/>
      <c r="O23" s="62"/>
      <c r="P23" s="62"/>
      <c r="Q23" s="62"/>
    </row>
    <row r="24" spans="1:47">
      <c r="G24" s="31"/>
      <c r="H24" s="31"/>
    </row>
    <row r="25" spans="1:47" s="106" customFormat="1" ht="12.75">
      <c r="A25" s="97"/>
      <c r="B25" s="98" t="s">
        <v>162</v>
      </c>
      <c r="C25" s="97"/>
      <c r="D25" s="97"/>
      <c r="E25" s="97"/>
      <c r="F25" s="99"/>
      <c r="G25" s="99"/>
      <c r="H25" s="99"/>
      <c r="I25" s="99"/>
      <c r="J25" s="100"/>
      <c r="K25" s="101"/>
      <c r="L25" s="100"/>
      <c r="M25" s="101"/>
      <c r="N25" s="100"/>
      <c r="O25" s="100"/>
      <c r="P25" s="100"/>
      <c r="Q25" s="100"/>
      <c r="R25" s="100"/>
      <c r="S25" s="100"/>
      <c r="T25" s="100"/>
      <c r="U25" s="100"/>
      <c r="V25" s="101"/>
      <c r="W25" s="101"/>
      <c r="X25" s="102"/>
      <c r="Y25" s="102"/>
      <c r="Z25" s="102"/>
      <c r="AA25" s="102"/>
      <c r="AB25" s="103"/>
      <c r="AC25" s="104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</row>
    <row r="26" spans="1:47" outlineLevel="1">
      <c r="G26" s="31"/>
      <c r="H26" s="31"/>
    </row>
    <row r="27" spans="1:47" outlineLevel="1">
      <c r="C27" s="68" t="s">
        <v>164</v>
      </c>
      <c r="D27" s="31" t="s">
        <v>7</v>
      </c>
      <c r="E27" s="31" t="s">
        <v>8</v>
      </c>
      <c r="F27" s="31" t="s">
        <v>22</v>
      </c>
      <c r="G27" s="31"/>
      <c r="H27" s="31"/>
      <c r="J27" s="109" t="str">
        <f>IF(RIGHT(J$4,2)&gt;=RIGHT('Input|General'!$G$11,2),IF(RIGHT(J$4,2)&lt;=RIGHT('Input|General'!$G$12,2),J$4,""),"")</f>
        <v/>
      </c>
      <c r="K27" s="109" t="str">
        <f ca="1">IF(RIGHT(K$4,2)&gt;=RIGHT('Input|General'!$G$11,2),IF(RIGHT(K$4,2)&lt;=RIGHT('Input|General'!$G$12,2),K$4,""),"")</f>
        <v/>
      </c>
      <c r="L27" s="109" t="str">
        <f ca="1">IF(RIGHT(L$4,2)&gt;=RIGHT('Input|General'!$G$11,2),IF(RIGHT(L$4,2)&lt;=RIGHT('Input|General'!$G$12,2),L$4,""),"")</f>
        <v/>
      </c>
      <c r="M27" s="109" t="str">
        <f ca="1">IF(RIGHT(M$4,2)&gt;=RIGHT('Input|General'!$G$11,2),IF(RIGHT(M$4,2)&lt;=RIGHT('Input|General'!$G$12,2),M$4,""),"")</f>
        <v>2017-18</v>
      </c>
      <c r="N27" s="109" t="str">
        <f ca="1">IF(RIGHT(N$4,2)&gt;=RIGHT('Input|General'!$G$11,2),IF(RIGHT(N$4,2)&lt;=RIGHT('Input|General'!$G$12,2),N$4,""),"")</f>
        <v>2018-19</v>
      </c>
      <c r="O27" s="109" t="str">
        <f ca="1">IF(RIGHT(O$4,2)&gt;=RIGHT('Input|General'!$G$11,2),IF(RIGHT(O$4,2)&lt;=RIGHT('Input|General'!$G$12,2),O$4,""),"")</f>
        <v>2019-20</v>
      </c>
      <c r="P27" s="109" t="str">
        <f ca="1">IF(RIGHT(P$4,2)&gt;=RIGHT('Input|General'!$G$11,2),IF(RIGHT(P$4,2)&lt;=RIGHT('Input|General'!$G$12,2),P$4,""),"")</f>
        <v>2020-21</v>
      </c>
      <c r="Q27" s="109" t="str">
        <f ca="1">IF(RIGHT(Q$4,2)&gt;=RIGHT('Input|General'!$G$11,2),IF(RIGHT(Q$4,2)&lt;=RIGHT('Input|General'!$G$12,2),Q$4,""),"")</f>
        <v>2021-22</v>
      </c>
      <c r="R27" s="28" t="str">
        <f ca="1">IF(RIGHT(R$4,2)&gt;=RIGHT('Input|General'!$G$11,2),IF(RIGHT(R$4,2)&lt;=RIGHT('Input|General'!$G$12,2),R$4,""),"")</f>
        <v/>
      </c>
      <c r="S27" s="28" t="str">
        <f ca="1">IF(RIGHT(S$4,2)&gt;=RIGHT('Input|General'!$G$11,2),IF(RIGHT(S$4,2)&lt;=RIGHT('Input|General'!$G$12,2),S$4,""),"")</f>
        <v/>
      </c>
    </row>
    <row r="28" spans="1:47" outlineLevel="1">
      <c r="G28" s="31"/>
      <c r="H28" s="31"/>
    </row>
    <row r="29" spans="1:47" outlineLevel="1">
      <c r="C29" s="61" t="s">
        <v>160</v>
      </c>
      <c r="D29" s="29" t="s">
        <v>88</v>
      </c>
      <c r="E29" s="163" t="s">
        <v>15</v>
      </c>
      <c r="F29" s="62" t="s">
        <v>43</v>
      </c>
      <c r="G29" s="31"/>
      <c r="H29" s="31"/>
      <c r="M29" s="62">
        <f>136.365015*'Input|Inflation'!$E$49/'Input|Inflation'!$E$51</f>
        <v>135.01954098084065</v>
      </c>
      <c r="N29" s="62">
        <f>136.365015*'Input|Inflation'!$E$49/'Input|Inflation'!$E$51</f>
        <v>135.01954098084065</v>
      </c>
      <c r="O29" s="62">
        <f>136.365015*'Input|Inflation'!$E$49/'Input|Inflation'!$E$51</f>
        <v>135.01954098084065</v>
      </c>
      <c r="P29" s="62">
        <f>136.365015*'Input|Inflation'!$E$49/'Input|Inflation'!$E$51</f>
        <v>135.01954098084065</v>
      </c>
      <c r="Q29" s="62">
        <f>136.365015*'Input|Inflation'!$E$49/'Input|Inflation'!$E$51</f>
        <v>135.01954098084065</v>
      </c>
    </row>
    <row r="30" spans="1:47" outlineLevel="1">
      <c r="C30" s="61" t="s">
        <v>169</v>
      </c>
      <c r="D30" s="29" t="s">
        <v>88</v>
      </c>
      <c r="E30" s="163" t="s">
        <v>15</v>
      </c>
      <c r="F30" s="62" t="s">
        <v>43</v>
      </c>
      <c r="G30" s="31"/>
      <c r="H30" s="31"/>
      <c r="M30" s="62">
        <v>2.0824986669588341</v>
      </c>
      <c r="N30" s="62">
        <v>2.0824986669588341</v>
      </c>
      <c r="O30" s="62">
        <v>2.0824986669588341</v>
      </c>
      <c r="P30" s="62">
        <v>2.0824986669588341</v>
      </c>
      <c r="Q30" s="62">
        <v>2.0824986669588341</v>
      </c>
    </row>
    <row r="31" spans="1:47" outlineLevel="1">
      <c r="C31" s="61"/>
      <c r="D31" s="29" t="s">
        <v>88</v>
      </c>
      <c r="E31" s="163" t="s">
        <v>15</v>
      </c>
      <c r="F31" s="62" t="s">
        <v>43</v>
      </c>
      <c r="G31" s="31"/>
      <c r="H31" s="31"/>
      <c r="M31" s="62"/>
      <c r="N31" s="62"/>
      <c r="O31" s="62"/>
      <c r="P31" s="62"/>
      <c r="Q31" s="62"/>
      <c r="V31" s="156"/>
    </row>
    <row r="32" spans="1:47">
      <c r="G32" s="31"/>
      <c r="H32" s="31"/>
    </row>
    <row r="33" spans="1:47" s="106" customFormat="1" ht="12.75">
      <c r="A33" s="97"/>
      <c r="B33" s="98" t="s">
        <v>50</v>
      </c>
      <c r="C33" s="97"/>
      <c r="D33" s="97"/>
      <c r="E33" s="97"/>
      <c r="F33" s="99"/>
      <c r="G33" s="99"/>
      <c r="H33" s="99"/>
      <c r="I33" s="99"/>
      <c r="J33" s="100"/>
      <c r="K33" s="101"/>
      <c r="L33" s="100"/>
      <c r="M33" s="101"/>
      <c r="N33" s="100"/>
      <c r="O33" s="100"/>
      <c r="P33" s="100"/>
      <c r="Q33" s="100"/>
      <c r="R33" s="100"/>
      <c r="S33" s="100"/>
      <c r="T33" s="100"/>
      <c r="U33" s="100"/>
      <c r="V33" s="101"/>
      <c r="W33" s="101"/>
      <c r="X33" s="102"/>
      <c r="Y33" s="102"/>
      <c r="Z33" s="102"/>
      <c r="AA33" s="102"/>
      <c r="AB33" s="103"/>
      <c r="AC33" s="104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</row>
    <row r="34" spans="1:47" outlineLevel="1">
      <c r="G34" s="31"/>
      <c r="H34" s="31"/>
    </row>
    <row r="35" spans="1:47" outlineLevel="1">
      <c r="C35" s="68" t="s">
        <v>32</v>
      </c>
      <c r="D35" s="31" t="s">
        <v>7</v>
      </c>
      <c r="E35" s="31" t="s">
        <v>8</v>
      </c>
      <c r="F35" s="31" t="s">
        <v>22</v>
      </c>
      <c r="G35" s="31"/>
      <c r="H35" s="31"/>
      <c r="J35" s="109" t="str">
        <f>IF(RIGHT(J$4,2)&gt;=RIGHT('Input|General'!$G$11,2),IF(RIGHT(J$4,2)&lt;=RIGHT('Input|General'!$G$12,2),J$4,""),"")</f>
        <v/>
      </c>
      <c r="K35" s="109" t="str">
        <f ca="1">IF(RIGHT(K$4,2)&gt;=RIGHT('Input|General'!$G$11,2),IF(RIGHT(K$4,2)&lt;=RIGHT('Input|General'!$G$12,2),K$4,""),"")</f>
        <v/>
      </c>
      <c r="L35" s="109" t="str">
        <f ca="1">IF(RIGHT(L$4,2)&gt;=RIGHT('Input|General'!$G$11,2),IF(RIGHT(L$4,2)&lt;=RIGHT('Input|General'!$G$12,2),L$4,""),"")</f>
        <v/>
      </c>
      <c r="M35" s="109" t="str">
        <f ca="1">IF(RIGHT(M$4,2)&gt;=RIGHT('Input|General'!$G$11,2),IF(RIGHT(M$4,2)&lt;=RIGHT('Input|General'!$G$12,2),M$4,""),"")</f>
        <v>2017-18</v>
      </c>
      <c r="N35" s="109" t="str">
        <f ca="1">IF(RIGHT(N$4,2)&gt;=RIGHT('Input|General'!$G$11,2),IF(RIGHT(N$4,2)&lt;=RIGHT('Input|General'!$G$12,2),N$4,""),"")</f>
        <v>2018-19</v>
      </c>
      <c r="O35" s="109" t="str">
        <f ca="1">IF(RIGHT(O$4,2)&gt;=RIGHT('Input|General'!$G$11,2),IF(RIGHT(O$4,2)&lt;=RIGHT('Input|General'!$G$12,2),O$4,""),"")</f>
        <v>2019-20</v>
      </c>
      <c r="P35" s="109" t="str">
        <f ca="1">IF(RIGHT(P$4,2)&gt;=RIGHT('Input|General'!$G$11,2),IF(RIGHT(P$4,2)&lt;=RIGHT('Input|General'!$G$12,2),P$4,""),"")</f>
        <v>2020-21</v>
      </c>
      <c r="Q35" s="109" t="str">
        <f ca="1">IF(RIGHT(Q$4,2)&gt;=RIGHT('Input|General'!$G$11,2),IF(RIGHT(Q$4,2)&lt;=RIGHT('Input|General'!$G$12,2),Q$4,""),"")</f>
        <v>2021-22</v>
      </c>
      <c r="R35" s="28" t="str">
        <f ca="1">IF(RIGHT(R$4,2)&gt;=RIGHT('Input|General'!$G$11,2),IF(RIGHT(R$4,2)&lt;=RIGHT('Input|General'!$G$12,2),R$4,""),"")</f>
        <v/>
      </c>
      <c r="S35" s="28" t="str">
        <f ca="1">IF(RIGHT(S$4,2)&gt;=RIGHT('Input|General'!$G$11,2),IF(RIGHT(S$4,2)&lt;=RIGHT('Input|General'!$G$12,2),S$4,""),"")</f>
        <v/>
      </c>
    </row>
    <row r="36" spans="1:47" outlineLevel="1">
      <c r="G36" s="31"/>
      <c r="H36" s="31"/>
    </row>
    <row r="37" spans="1:47" outlineLevel="1">
      <c r="C37" s="115" t="s">
        <v>39</v>
      </c>
      <c r="D37" s="29" t="s">
        <v>96</v>
      </c>
      <c r="E37" s="29" t="s">
        <v>15</v>
      </c>
      <c r="F37" s="29" t="s">
        <v>43</v>
      </c>
      <c r="G37" s="31"/>
      <c r="H37" s="31"/>
      <c r="M37" s="70">
        <v>1.573632843584865</v>
      </c>
      <c r="N37" s="70">
        <v>1.5808599396937768</v>
      </c>
      <c r="O37" s="70">
        <v>1.5764308989189231</v>
      </c>
      <c r="P37" s="70">
        <v>1.5640125872511021</v>
      </c>
      <c r="Q37" s="70">
        <v>1.5416470167462082</v>
      </c>
    </row>
    <row r="38" spans="1:47">
      <c r="G38" s="31"/>
      <c r="H38" s="31"/>
    </row>
    <row r="39" spans="1:47" s="106" customFormat="1" ht="12.75">
      <c r="A39" s="97"/>
      <c r="B39" s="98" t="s">
        <v>21</v>
      </c>
      <c r="C39" s="97"/>
      <c r="D39" s="97"/>
      <c r="E39" s="97"/>
      <c r="F39" s="99"/>
      <c r="G39" s="99"/>
      <c r="H39" s="99"/>
      <c r="I39" s="99"/>
      <c r="J39" s="100"/>
      <c r="K39" s="101"/>
      <c r="L39" s="100"/>
      <c r="M39" s="101"/>
      <c r="N39" s="100"/>
      <c r="O39" s="100"/>
      <c r="P39" s="100"/>
      <c r="Q39" s="100"/>
      <c r="R39" s="100"/>
      <c r="S39" s="100"/>
      <c r="T39" s="100"/>
      <c r="U39" s="100"/>
      <c r="V39" s="101"/>
      <c r="W39" s="101"/>
      <c r="X39" s="102"/>
      <c r="Y39" s="102"/>
      <c r="Z39" s="102"/>
      <c r="AA39" s="102"/>
      <c r="AB39" s="103"/>
      <c r="AC39" s="104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</row>
    <row r="40" spans="1:47" hidden="1">
      <c r="G40" s="31"/>
      <c r="H40" s="31"/>
    </row>
    <row r="41" spans="1:47" hidden="1">
      <c r="G41" s="31"/>
      <c r="H41" s="31"/>
    </row>
    <row r="42" spans="1:47" hidden="1">
      <c r="G42" s="31"/>
      <c r="H42" s="31"/>
    </row>
    <row r="43" spans="1:47" hidden="1">
      <c r="G43" s="31"/>
      <c r="H43" s="31"/>
    </row>
    <row r="44" spans="1:47" hidden="1">
      <c r="G44" s="31"/>
      <c r="H44" s="31"/>
    </row>
    <row r="45" spans="1:47" hidden="1">
      <c r="G45" s="31"/>
      <c r="H45" s="31"/>
    </row>
    <row r="46" spans="1:47" hidden="1">
      <c r="G46" s="31"/>
      <c r="H46" s="31"/>
    </row>
    <row r="47" spans="1:47" hidden="1">
      <c r="G47" s="31"/>
      <c r="H47" s="31"/>
    </row>
    <row r="48" spans="1:47" hidden="1">
      <c r="G48" s="31"/>
      <c r="H48" s="31"/>
    </row>
    <row r="49" spans="7:8" hidden="1">
      <c r="G49" s="31"/>
      <c r="H49" s="31"/>
    </row>
    <row r="50" spans="7:8" hidden="1"/>
    <row r="51" spans="7:8" hidden="1"/>
    <row r="52" spans="7:8" hidden="1"/>
    <row r="53" spans="7:8" hidden="1"/>
  </sheetData>
  <mergeCells count="2">
    <mergeCell ref="J3:L3"/>
    <mergeCell ref="N3:S3"/>
  </mergeCells>
  <conditionalFormatting sqref="S1">
    <cfRule type="cellIs" dxfId="69" priority="1" operator="equal">
      <formula>"Check"</formula>
    </cfRule>
    <cfRule type="cellIs" dxfId="68" priority="2" operator="equal">
      <formula>"Ok"</formula>
    </cfRule>
  </conditionalFormatting>
  <conditionalFormatting sqref="V1">
    <cfRule type="cellIs" dxfId="67" priority="3" operator="equal">
      <formula>"Check"</formula>
    </cfRule>
    <cfRule type="cellIs" dxfId="66" priority="4" operator="equal">
      <formula>"Ok"</formula>
    </cfRule>
  </conditionalFormatting>
  <dataValidations count="2">
    <dataValidation type="list" allowBlank="1" showInputMessage="1" showErrorMessage="1" sqref="F24">
      <formula1>"Real 2010,Real 2011,Real 2012,Real 2013,Real 2014,Real 2015,Nominal"</formula1>
    </dataValidation>
    <dataValidation type="list" allowBlank="1" showInputMessage="1" showErrorMessage="1" sqref="I12:I24 U12:U24 I29:I31 U29:U31 I37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'Lookup|Tables'!$G$25:$G$35</xm:f>
          </x14:formula1>
          <xm:sqref>F12:F23 F29:F31 F37</xm:sqref>
        </x14:dataValidation>
        <x14:dataValidation type="list" allowBlank="1" showInputMessage="1" showErrorMessage="1">
          <x14:formula1>
            <xm:f>'Lookup|Tables'!$G$10:$G$12</xm:f>
          </x14:formula1>
          <xm:sqref>E12:E23 E29:E31 E37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76"/>
  <sheetViews>
    <sheetView showGridLines="0" topLeftCell="A49" workbookViewId="0">
      <selection activeCell="M86" sqref="M86:Q86"/>
    </sheetView>
  </sheetViews>
  <sheetFormatPr defaultColWidth="0" defaultRowHeight="11.25" zeroHeight="1" outlineLevelRow="1"/>
  <cols>
    <col min="1" max="2" width="1.5" style="28" customWidth="1"/>
    <col min="3" max="3" width="50.1640625" style="28" bestFit="1" customWidth="1"/>
    <col min="4" max="4" width="27.6640625" style="29" customWidth="1"/>
    <col min="5" max="5" width="15.83203125" style="29" customWidth="1"/>
    <col min="6" max="6" width="10.6640625" style="29" customWidth="1"/>
    <col min="7" max="9" width="3.5" style="29" customWidth="1"/>
    <col min="10" max="23" width="10.83203125" style="28" customWidth="1"/>
    <col min="24" max="38" width="10.5" style="28" hidden="1" customWidth="1"/>
    <col min="39" max="16384" width="10.5" style="28" hidden="1"/>
  </cols>
  <sheetData>
    <row r="1" spans="1:47" s="71" customFormat="1" ht="15.75">
      <c r="B1" s="72" t="str">
        <f>Index!$B$1</f>
        <v>AER opex model</v>
      </c>
      <c r="C1" s="72"/>
      <c r="D1" s="72"/>
      <c r="E1" s="72"/>
      <c r="F1" s="73"/>
      <c r="G1" s="73"/>
      <c r="H1" s="73"/>
      <c r="I1" s="73"/>
      <c r="J1" s="36" t="s">
        <v>2</v>
      </c>
      <c r="L1" s="74" t="s">
        <v>3</v>
      </c>
      <c r="M1" s="75" t="s">
        <v>4</v>
      </c>
      <c r="N1" s="76" t="s">
        <v>5</v>
      </c>
      <c r="O1" s="77" t="s">
        <v>6</v>
      </c>
      <c r="R1" s="74" t="s">
        <v>106</v>
      </c>
      <c r="S1" s="78" t="s">
        <v>36</v>
      </c>
      <c r="U1" s="74" t="s">
        <v>24</v>
      </c>
      <c r="V1" s="78" t="str">
        <f>'Check|List'!$S$1</f>
        <v>Ok</v>
      </c>
    </row>
    <row r="2" spans="1:47" s="79" customFormat="1" ht="13.5" thickBot="1">
      <c r="B2" s="80" t="str">
        <f>Index!$C$12</f>
        <v>Calc | Opex Forecast</v>
      </c>
      <c r="C2" s="80"/>
      <c r="D2" s="80"/>
      <c r="E2" s="80"/>
      <c r="F2" s="81"/>
      <c r="G2" s="81"/>
      <c r="H2" s="81"/>
      <c r="I2" s="81"/>
    </row>
    <row r="3" spans="1:47" s="82" customFormat="1">
      <c r="C3" s="83"/>
      <c r="D3" s="84"/>
      <c r="E3" s="84"/>
      <c r="F3" s="84"/>
      <c r="G3" s="84"/>
      <c r="H3" s="84"/>
      <c r="I3" s="84"/>
      <c r="J3" s="178"/>
      <c r="K3" s="178"/>
      <c r="L3" s="178"/>
      <c r="M3" s="84"/>
      <c r="N3" s="178"/>
      <c r="O3" s="178"/>
      <c r="P3" s="178"/>
      <c r="Q3" s="178"/>
      <c r="R3" s="178"/>
      <c r="S3" s="178"/>
      <c r="T3" s="85"/>
      <c r="U3" s="85"/>
      <c r="V3" s="85"/>
      <c r="W3" s="85"/>
      <c r="X3" s="85"/>
      <c r="Y3" s="85"/>
      <c r="Z3" s="85"/>
    </row>
    <row r="4" spans="1:47" s="96" customFormat="1" ht="10.5">
      <c r="A4" s="86"/>
      <c r="B4" s="86"/>
      <c r="C4" s="86"/>
      <c r="D4" s="87" t="s">
        <v>7</v>
      </c>
      <c r="E4" s="87" t="s">
        <v>8</v>
      </c>
      <c r="F4" s="88" t="s">
        <v>22</v>
      </c>
      <c r="G4" s="89"/>
      <c r="H4" s="89"/>
      <c r="I4" s="89"/>
      <c r="J4" s="152" t="str">
        <f>'Input|General'!$G$8</f>
        <v>2014-15</v>
      </c>
      <c r="K4" s="91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2015-16</v>
      </c>
      <c r="L4" s="152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2016-17</v>
      </c>
      <c r="M4" s="91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2017-18</v>
      </c>
      <c r="N4" s="152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2018-19</v>
      </c>
      <c r="O4" s="152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2019-20</v>
      </c>
      <c r="P4" s="152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2020-21</v>
      </c>
      <c r="Q4" s="152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2021-22</v>
      </c>
      <c r="R4" s="152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/>
      </c>
      <c r="S4" s="15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/>
      </c>
      <c r="T4" s="90"/>
      <c r="U4" s="90"/>
      <c r="V4" s="91"/>
      <c r="W4" s="91"/>
      <c r="X4" s="92"/>
      <c r="Y4" s="92"/>
      <c r="Z4" s="92"/>
      <c r="AA4" s="92"/>
      <c r="AB4" s="93"/>
      <c r="AC4" s="94"/>
      <c r="AD4" s="94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1:47" s="26" customFormat="1" ht="3" customHeight="1">
      <c r="D5" s="27"/>
      <c r="E5" s="27"/>
      <c r="F5" s="27"/>
      <c r="G5" s="27"/>
      <c r="H5" s="27"/>
      <c r="I5" s="27"/>
    </row>
    <row r="6" spans="1:47" s="26" customFormat="1" ht="9" customHeight="1">
      <c r="D6" s="27"/>
      <c r="E6" s="27"/>
      <c r="F6" s="27"/>
      <c r="G6" s="27"/>
      <c r="H6" s="27"/>
      <c r="I6" s="27"/>
    </row>
    <row r="7" spans="1:47" s="26" customFormat="1" ht="3" customHeight="1">
      <c r="D7" s="27"/>
      <c r="E7" s="27"/>
      <c r="F7" s="27"/>
      <c r="G7" s="27"/>
      <c r="H7" s="27"/>
      <c r="I7" s="27"/>
    </row>
    <row r="8" spans="1:47" s="106" customFormat="1" ht="12.75">
      <c r="A8" s="97"/>
      <c r="B8" s="98" t="s">
        <v>109</v>
      </c>
      <c r="C8" s="97"/>
      <c r="D8" s="97"/>
      <c r="E8" s="69" t="s">
        <v>15</v>
      </c>
      <c r="F8" s="69" t="s">
        <v>43</v>
      </c>
      <c r="G8" s="99"/>
      <c r="H8" s="99"/>
      <c r="I8" s="99"/>
      <c r="J8" s="100"/>
      <c r="K8" s="101"/>
      <c r="L8" s="100"/>
      <c r="M8" s="101"/>
      <c r="N8" s="100"/>
      <c r="O8" s="100"/>
      <c r="P8" s="100"/>
      <c r="Q8" s="100"/>
      <c r="R8" s="100"/>
      <c r="S8" s="100"/>
      <c r="T8" s="100"/>
      <c r="U8" s="100"/>
      <c r="V8" s="101"/>
      <c r="W8" s="101"/>
      <c r="X8" s="102"/>
      <c r="Y8" s="102"/>
      <c r="Z8" s="102"/>
      <c r="AA8" s="102"/>
      <c r="AB8" s="103"/>
      <c r="AC8" s="104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</row>
    <row r="9" spans="1:47" outlineLevel="1"/>
    <row r="10" spans="1:47" outlineLevel="1">
      <c r="C10" s="107"/>
      <c r="D10" s="31" t="s">
        <v>7</v>
      </c>
      <c r="E10" s="31" t="s">
        <v>8</v>
      </c>
      <c r="F10" s="31" t="s">
        <v>22</v>
      </c>
      <c r="G10" s="108"/>
      <c r="H10" s="108"/>
      <c r="I10" s="108"/>
      <c r="J10" s="109" t="str">
        <f>IF(RIGHT(J$4,2)&gt;=RIGHT('Input|General'!$G$9,2),IF(RIGHT(J$4,2)&lt;=RIGHT('Input|General'!$G$10,2),J$4,""),"")</f>
        <v>2014-15</v>
      </c>
      <c r="K10" s="109" t="str">
        <f ca="1">IF(RIGHT(K$4,2)&gt;=RIGHT('Input|General'!$G$9,2),IF(RIGHT(K$4,2)&lt;=RIGHT('Input|General'!$G$10,2),K$4,""),"")</f>
        <v>2015-16</v>
      </c>
      <c r="L10" s="109" t="str">
        <f ca="1">IF(RIGHT(L$4,2)&gt;=RIGHT('Input|General'!$G$9,2),IF(RIGHT(L$4,2)&lt;=RIGHT('Input|General'!$G$10,2),L$4,""),"")</f>
        <v>2016-17</v>
      </c>
      <c r="M10" s="109" t="str">
        <f ca="1">IF(RIGHT(M$4,2)&gt;=RIGHT('Input|General'!$G$9,2),IF(RIGHT(M$4,2)&lt;=RIGHT('Input|General'!$G$10,2),M$4,""),"")</f>
        <v/>
      </c>
      <c r="N10" s="109" t="str">
        <f ca="1">IF(RIGHT(N$4,2)&gt;=RIGHT('Input|General'!$G$9,2),IF(RIGHT(N$4,2)&lt;=RIGHT('Input|General'!$G$10,2),N$4,""),"")</f>
        <v/>
      </c>
      <c r="O10" s="109" t="str">
        <f ca="1">IF(RIGHT(O$4,2)&gt;=RIGHT('Input|General'!$G$9,2),IF(RIGHT(O$4,2)&lt;=RIGHT('Input|General'!$G$10,2),O$4,""),"")</f>
        <v/>
      </c>
      <c r="P10" s="109" t="str">
        <f ca="1">IF(RIGHT(P$4,2)&gt;=RIGHT('Input|General'!$G$9,2),IF(RIGHT(P$4,2)&lt;=RIGHT('Input|General'!$G$10,2),P$4,""),"")</f>
        <v/>
      </c>
      <c r="Q10" s="109" t="str">
        <f ca="1">IF(RIGHT(Q$4,2)&gt;=RIGHT('Input|General'!$G$9,2),IF(RIGHT(Q$4,2)&lt;=RIGHT('Input|General'!$G$10,2),Q$4,""),"")</f>
        <v/>
      </c>
      <c r="R10" s="28" t="str">
        <f ca="1">IF(RIGHT(R$4,2)&gt;=RIGHT('Input|General'!$G$9,2),IF(RIGHT(R$4,2)&lt;=RIGHT('Input|General'!$G$10,2),R$4,""),"")</f>
        <v/>
      </c>
      <c r="S10" s="28" t="str">
        <f ca="1">IF(RIGHT(S$4,2)&gt;=RIGHT('Input|General'!$G$9,2),IF(RIGHT(S$4,2)&lt;=RIGHT('Input|General'!$G$10,2),S$4,""),"")</f>
        <v/>
      </c>
    </row>
    <row r="11" spans="1:47" outlineLevel="1">
      <c r="C11" s="110"/>
      <c r="J11" s="111"/>
      <c r="K11" s="111"/>
      <c r="L11" s="111"/>
      <c r="M11" s="111"/>
      <c r="N11" s="111"/>
      <c r="O11" s="111"/>
      <c r="P11" s="111"/>
      <c r="Q11" s="111"/>
    </row>
    <row r="12" spans="1:47" outlineLevel="1">
      <c r="C12" s="110" t="s">
        <v>115</v>
      </c>
      <c r="D12" s="112" t="s">
        <v>118</v>
      </c>
      <c r="E12" s="29" t="str">
        <f>'Input|Reported opex'!E45</f>
        <v>$millions</v>
      </c>
      <c r="F12" s="29" t="str">
        <f>'Input|Reported opex'!F45</f>
        <v>nominal</v>
      </c>
      <c r="J12" s="113">
        <f>IF(J$10='Input|General'!$G$9,'Input|Reported opex'!J45,0)</f>
        <v>81.484513699422607</v>
      </c>
      <c r="K12" s="113">
        <f ca="1">IF(K$10='Input|General'!$G$9,'Input|Reported opex'!K45,0)</f>
        <v>0</v>
      </c>
      <c r="L12" s="113">
        <f ca="1">IF(L$10='Input|General'!$G$9,'Input|Reported opex'!L45,0)</f>
        <v>0</v>
      </c>
      <c r="M12" s="113">
        <f ca="1">IF(M$10='Input|General'!$G$9,'Input|Reported opex'!M45,0)</f>
        <v>0</v>
      </c>
      <c r="N12" s="113">
        <f ca="1">IF(N$10='Input|General'!$G$9,'Input|Reported opex'!N45,0)</f>
        <v>0</v>
      </c>
      <c r="O12" s="113">
        <f ca="1">IF(O$10='Input|General'!$G$9,'Input|Reported opex'!O45,0)</f>
        <v>0</v>
      </c>
      <c r="P12" s="113">
        <f ca="1">IF(P$10='Input|General'!$G$9,'Input|Reported opex'!P45,0)</f>
        <v>0</v>
      </c>
      <c r="Q12" s="113">
        <f ca="1">IF(Q$10='Input|General'!$G$9,'Input|Reported opex'!Q45,0)</f>
        <v>0</v>
      </c>
      <c r="R12" s="113">
        <f ca="1">IF(R$10='Input|General'!$G$9,'Input|Reported opex'!R45,0)</f>
        <v>0</v>
      </c>
      <c r="S12" s="113">
        <f ca="1">IF(S$10='Input|General'!$G$9,'Input|Reported opex'!S45,0)</f>
        <v>0</v>
      </c>
    </row>
    <row r="13" spans="1:47" outlineLevel="1">
      <c r="C13" s="110" t="s">
        <v>115</v>
      </c>
      <c r="D13" s="114" t="s">
        <v>30</v>
      </c>
      <c r="E13" s="29" t="str">
        <f>$E$8</f>
        <v>$millions</v>
      </c>
      <c r="F13" s="29" t="str">
        <f>$F$8</f>
        <v>2016-17</v>
      </c>
      <c r="J13" s="113">
        <f ca="1">J12*IF($F12="nominal",LOOKUP($F13,Nominal_to_Real,'Input|Rate of change'!K$23:K$26),INDEX('Input|Rate of change'!$C$14:$O$19,MATCH('Calc|Opex forecast'!$F12,'Input|Rate of change'!$C$14:$C$19,0),MATCH('Calc|Opex forecast'!$F13,'Input|Rate of change'!$C$14:$O$14,0)))*IF($E12="$millions",1000000,IF($E12="$000",1000,1))/IF($E13="$millions",1000000,IF($E13="$000",1000,1))</f>
        <v>84.77799524798597</v>
      </c>
      <c r="K13" s="113">
        <f ca="1">K12*IF($F12="nominal",LOOKUP($F13,Nominal_to_Real,'Input|Rate of change'!L$23:L$26),INDEX('Input|Rate of change'!$C$14:$O$19,MATCH('Calc|Opex forecast'!$F12,'Input|Rate of change'!$C$14:$C$19,0),MATCH('Calc|Opex forecast'!$F13,'Input|Rate of change'!$C$14:$O$14,0)))*IF($E12="$millions",1000000,IF($E12="$000",1000,1))/IF($E13="$millions",1000000,IF($E13="$000",1000,1))</f>
        <v>0</v>
      </c>
      <c r="L13" s="113">
        <f ca="1">L12*IF($F12="nominal",LOOKUP($F13,Nominal_to_Real,'Input|Rate of change'!M$23:M$26),INDEX('Input|Rate of change'!$C$14:$O$19,MATCH('Calc|Opex forecast'!$F12,'Input|Rate of change'!$C$14:$C$19,0),MATCH('Calc|Opex forecast'!$F13,'Input|Rate of change'!$C$14:$O$14,0)))*IF($E12="$millions",1000000,IF($E12="$000",1000,1))/IF($E13="$millions",1000000,IF($E13="$000",1000,1))</f>
        <v>0</v>
      </c>
      <c r="M13" s="113">
        <f ca="1">M12*IF($F12="nominal",LOOKUP($F13,Nominal_to_Real,'Input|Rate of change'!N$23:N$26),INDEX('Input|Rate of change'!$C$14:$O$19,MATCH('Calc|Opex forecast'!$F12,'Input|Rate of change'!$C$14:$C$19,0),MATCH('Calc|Opex forecast'!$F13,'Input|Rate of change'!$C$14:$O$14,0)))*IF($E12="$millions",1000000,IF($E12="$000",1000,1))/IF($E13="$millions",1000000,IF($E13="$000",1000,1))</f>
        <v>0</v>
      </c>
      <c r="N13" s="113">
        <f ca="1">N12*IF($F12="nominal",LOOKUP($F13,Nominal_to_Real,'Input|Rate of change'!O$23:O$26),INDEX('Input|Rate of change'!$C$14:$O$19,MATCH('Calc|Opex forecast'!$F12,'Input|Rate of change'!$C$14:$C$19,0),MATCH('Calc|Opex forecast'!$F13,'Input|Rate of change'!$C$14:$O$14,0)))*IF($E12="$millions",1000000,IF($E12="$000",1000,1))/IF($E13="$millions",1000000,IF($E13="$000",1000,1))</f>
        <v>0</v>
      </c>
      <c r="O13" s="113">
        <f ca="1">O12*IF($F12="nominal",LOOKUP($F13,Nominal_to_Real,'Input|Rate of change'!P$23:P$26),INDEX('Input|Rate of change'!$C$14:$O$19,MATCH('Calc|Opex forecast'!$F12,'Input|Rate of change'!$C$14:$C$19,0),MATCH('Calc|Opex forecast'!$F13,'Input|Rate of change'!$C$14:$O$14,0)))*IF($E12="$millions",1000000,IF($E12="$000",1000,1))/IF($E13="$millions",1000000,IF($E13="$000",1000,1))</f>
        <v>0</v>
      </c>
      <c r="P13" s="113">
        <f ca="1">P12*IF($F12="nominal",LOOKUP($F13,Nominal_to_Real,'Input|Rate of change'!Q$23:Q$26),INDEX('Input|Rate of change'!$C$14:$O$19,MATCH('Calc|Opex forecast'!$F12,'Input|Rate of change'!$C$14:$C$19,0),MATCH('Calc|Opex forecast'!$F13,'Input|Rate of change'!$C$14:$O$14,0)))*IF($E12="$millions",1000000,IF($E12="$000",1000,1))/IF($E13="$millions",1000000,IF($E13="$000",1000,1))</f>
        <v>0</v>
      </c>
      <c r="Q13" s="113">
        <f ca="1">Q12*IF($F12="nominal",LOOKUP($F13,Nominal_to_Real,'Input|Rate of change'!R$23:R$26),INDEX('Input|Rate of change'!$C$14:$O$19,MATCH('Calc|Opex forecast'!$F12,'Input|Rate of change'!$C$14:$C$19,0),MATCH('Calc|Opex forecast'!$F13,'Input|Rate of change'!$C$14:$O$14,0)))*IF($E12="$millions",1000000,IF($E12="$000",1000,1))/IF($E13="$millions",1000000,IF($E13="$000",1000,1))</f>
        <v>0</v>
      </c>
      <c r="R13" s="113">
        <f ca="1">R12*IF($F12="nominal",LOOKUP($F13,Nominal_to_Real,'Input|Rate of change'!S$23:S$26),INDEX('Input|Rate of change'!$C$14:$O$19,MATCH('Calc|Opex forecast'!$F12,'Input|Rate of change'!$C$14:$C$19,0),MATCH('Calc|Opex forecast'!$F13,'Input|Rate of change'!$C$14:$O$14,0)))*IF($E12="$millions",1000000,IF($E12="$000",1000,1))/IF($E13="$millions",1000000,IF($E13="$000",1000,1))</f>
        <v>0</v>
      </c>
      <c r="S13" s="113">
        <f ca="1">S12*IF($F12="nominal",LOOKUP($F13,Nominal_to_Real,'Input|Rate of change'!T$23:T$26),INDEX('Input|Rate of change'!$C$14:$O$19,MATCH('Calc|Opex forecast'!$F12,'Input|Rate of change'!$C$14:$C$19,0),MATCH('Calc|Opex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5" t="s">
        <v>116</v>
      </c>
      <c r="D14" s="112" t="s">
        <v>118</v>
      </c>
      <c r="E14" s="29" t="str">
        <f>'Input|Reported opex'!E24</f>
        <v>$millions</v>
      </c>
      <c r="F14" s="29" t="str">
        <f>'Input|Reported opex'!F24</f>
        <v>2013-14</v>
      </c>
      <c r="J14" s="113">
        <f>IF(J$10='Input|General'!$G$9,'Input|Reported opex'!J24,0)</f>
        <v>80.38522259927808</v>
      </c>
      <c r="K14" s="113">
        <f ca="1">IF(K$10='Input|General'!$G$9,'Input|Reported opex'!K24,0)</f>
        <v>0</v>
      </c>
      <c r="L14" s="113">
        <f ca="1">IF(L$10='Input|General'!$G$9,'Input|Reported opex'!L24,0)</f>
        <v>0</v>
      </c>
      <c r="M14" s="113">
        <f ca="1">IF(M$10='Input|General'!$G$9,'Input|Reported opex'!M24,0)</f>
        <v>0</v>
      </c>
      <c r="N14" s="113">
        <f ca="1">IF(N$10='Input|General'!$G$9,'Input|Reported opex'!N24,0)</f>
        <v>0</v>
      </c>
      <c r="O14" s="113">
        <f ca="1">IF(O$10='Input|General'!$G$9,'Input|Reported opex'!O24,0)</f>
        <v>0</v>
      </c>
      <c r="P14" s="113">
        <f ca="1">IF(P$10='Input|General'!$G$9,'Input|Reported opex'!P24,0)</f>
        <v>0</v>
      </c>
      <c r="Q14" s="113">
        <f ca="1">IF(Q$10='Input|General'!$G$9,'Input|Reported opex'!Q24,0)</f>
        <v>0</v>
      </c>
      <c r="R14" s="113">
        <f ca="1">IF(R$10='Input|General'!$G$9,'Input|Reported opex'!R24,0)</f>
        <v>0</v>
      </c>
      <c r="S14" s="113">
        <f ca="1">IF(S$10='Input|General'!$G$9,'Input|Reported opex'!S24,0)</f>
        <v>0</v>
      </c>
    </row>
    <row r="15" spans="1:47" outlineLevel="1">
      <c r="C15" s="115" t="s">
        <v>116</v>
      </c>
      <c r="D15" s="114" t="s">
        <v>30</v>
      </c>
      <c r="E15" s="29" t="str">
        <f>$E$8</f>
        <v>$millions</v>
      </c>
      <c r="F15" s="29" t="str">
        <f>$F$8</f>
        <v>2016-17</v>
      </c>
      <c r="J15" s="113">
        <f ca="1">J14*IF($F14="nominal",LOOKUP($F15,Nominal_to_Real,'Input|Rate of change'!K$23:K$26),INDEX('Input|Rate of change'!$C$14:$O$19,MATCH('Calc|Opex forecast'!$F14,'Input|Rate of change'!$C$14:$C$19,0),MATCH('Calc|Opex forecast'!$F15,'Input|Rate of change'!$C$14:$O$14,0)))*IF($E14="$millions",1000000,IF($E14="$000",1000,1))/IF($E15="$millions",1000000,IF($E15="$000",1000,1))</f>
        <v>84.187885975748657</v>
      </c>
      <c r="K15" s="113">
        <f ca="1">K14*IF($F14="nominal",LOOKUP($F15,Nominal_to_Real,'Input|Rate of change'!L$23:L$26),INDEX('Input|Rate of change'!$C$14:$O$19,MATCH('Calc|Opex forecast'!$F14,'Input|Rate of change'!$C$14:$C$19,0),MATCH('Calc|Opex forecast'!$F15,'Input|Rate of change'!$C$14:$O$14,0)))*IF($E14="$millions",1000000,IF($E14="$000",1000,1))/IF($E15="$millions",1000000,IF($E15="$000",1000,1))</f>
        <v>0</v>
      </c>
      <c r="L15" s="113">
        <f ca="1">L14*IF($F14="nominal",LOOKUP($F15,Nominal_to_Real,'Input|Rate of change'!M$23:M$26),INDEX('Input|Rate of change'!$C$14:$O$19,MATCH('Calc|Opex forecast'!$F14,'Input|Rate of change'!$C$14:$C$19,0),MATCH('Calc|Opex forecast'!$F15,'Input|Rate of change'!$C$14:$O$14,0)))*IF($E14="$millions",1000000,IF($E14="$000",1000,1))/IF($E15="$millions",1000000,IF($E15="$000",1000,1))</f>
        <v>0</v>
      </c>
      <c r="M15" s="113">
        <f ca="1">M14*IF($F14="nominal",LOOKUP($F15,Nominal_to_Real,'Input|Rate of change'!N$23:N$26),INDEX('Input|Rate of change'!$C$14:$O$19,MATCH('Calc|Opex forecast'!$F14,'Input|Rate of change'!$C$14:$C$19,0),MATCH('Calc|Opex forecast'!$F15,'Input|Rate of change'!$C$14:$O$14,0)))*IF($E14="$millions",1000000,IF($E14="$000",1000,1))/IF($E15="$millions",1000000,IF($E15="$000",1000,1))</f>
        <v>0</v>
      </c>
      <c r="N15" s="113">
        <f ca="1">N14*IF($F14="nominal",LOOKUP($F15,Nominal_to_Real,'Input|Rate of change'!O$23:O$26),INDEX('Input|Rate of change'!$C$14:$O$19,MATCH('Calc|Opex forecast'!$F14,'Input|Rate of change'!$C$14:$C$19,0),MATCH('Calc|Opex forecast'!$F15,'Input|Rate of change'!$C$14:$O$14,0)))*IF($E14="$millions",1000000,IF($E14="$000",1000,1))/IF($E15="$millions",1000000,IF($E15="$000",1000,1))</f>
        <v>0</v>
      </c>
      <c r="O15" s="113">
        <f ca="1">O14*IF($F14="nominal",LOOKUP($F15,Nominal_to_Real,'Input|Rate of change'!P$23:P$26),INDEX('Input|Rate of change'!$C$14:$O$19,MATCH('Calc|Opex forecast'!$F14,'Input|Rate of change'!$C$14:$C$19,0),MATCH('Calc|Opex forecast'!$F15,'Input|Rate of change'!$C$14:$O$14,0)))*IF($E14="$millions",1000000,IF($E14="$000",1000,1))/IF($E15="$millions",1000000,IF($E15="$000",1000,1))</f>
        <v>0</v>
      </c>
      <c r="P15" s="113">
        <f ca="1">P14*IF($F14="nominal",LOOKUP($F15,Nominal_to_Real,'Input|Rate of change'!Q$23:Q$26),INDEX('Input|Rate of change'!$C$14:$O$19,MATCH('Calc|Opex forecast'!$F14,'Input|Rate of change'!$C$14:$C$19,0),MATCH('Calc|Opex forecast'!$F15,'Input|Rate of change'!$C$14:$O$14,0)))*IF($E14="$millions",1000000,IF($E14="$000",1000,1))/IF($E15="$millions",1000000,IF($E15="$000",1000,1))</f>
        <v>0</v>
      </c>
      <c r="Q15" s="113">
        <f ca="1">Q14*IF($F14="nominal",LOOKUP($F15,Nominal_to_Real,'Input|Rate of change'!R$23:R$26),INDEX('Input|Rate of change'!$C$14:$O$19,MATCH('Calc|Opex forecast'!$F14,'Input|Rate of change'!$C$14:$C$19,0),MATCH('Calc|Opex forecast'!$F15,'Input|Rate of change'!$C$14:$O$14,0)))*IF($E14="$millions",1000000,IF($E14="$000",1000,1))/IF($E15="$millions",1000000,IF($E15="$000",1000,1))</f>
        <v>0</v>
      </c>
      <c r="R15" s="113">
        <f ca="1">R14*IF($F14="nominal",LOOKUP($F15,Nominal_to_Real,'Input|Rate of change'!S$23:S$26),INDEX('Input|Rate of change'!$C$14:$O$19,MATCH('Calc|Opex forecast'!$F14,'Input|Rate of change'!$C$14:$C$19,0),MATCH('Calc|Opex forecast'!$F15,'Input|Rate of change'!$C$14:$O$14,0)))*IF($E14="$millions",1000000,IF($E14="$000",1000,1))/IF($E15="$millions",1000000,IF($E15="$000",1000,1))</f>
        <v>0</v>
      </c>
      <c r="S15" s="113">
        <f ca="1">S14*IF($F14="nominal",LOOKUP($F15,Nominal_to_Real,'Input|Rate of change'!T$23:T$26),INDEX('Input|Rate of change'!$C$14:$O$19,MATCH('Calc|Opex forecast'!$F14,'Input|Rate of change'!$C$14:$C$19,0),MATCH('Calc|Opex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5" t="s">
        <v>117</v>
      </c>
      <c r="D16" s="112" t="s">
        <v>118</v>
      </c>
      <c r="E16" s="29" t="str">
        <f>'Input|Reported opex'!E24</f>
        <v>$millions</v>
      </c>
      <c r="F16" s="29" t="str">
        <f>'Input|Reported opex'!F24</f>
        <v>2013-14</v>
      </c>
      <c r="J16" s="113">
        <f>IF(J$10='Input|General'!$G$10,'Input|Reported opex'!J24,0)</f>
        <v>0</v>
      </c>
      <c r="K16" s="113">
        <f ca="1">IF(K$10='Input|General'!$G$10,'Input|Reported opex'!K24,0)</f>
        <v>0</v>
      </c>
      <c r="L16" s="113">
        <f ca="1">IF(L$10='Input|General'!$G$10,'Input|Reported opex'!L24,0)</f>
        <v>83.227687199980238</v>
      </c>
      <c r="M16" s="113">
        <f ca="1">IF(M$10='Input|General'!$G$10,'Input|Reported opex'!M24,0)</f>
        <v>0</v>
      </c>
      <c r="N16" s="113">
        <f ca="1">IF(N$10='Input|General'!$G$10,'Input|Reported opex'!N24,0)</f>
        <v>0</v>
      </c>
      <c r="O16" s="113">
        <f ca="1">IF(O$10='Input|General'!$G$10,'Input|Reported opex'!O24,0)</f>
        <v>0</v>
      </c>
      <c r="P16" s="113">
        <f ca="1">IF(P$10='Input|General'!$G$10,'Input|Reported opex'!P24,0)</f>
        <v>0</v>
      </c>
      <c r="Q16" s="113">
        <f ca="1">IF(Q$10='Input|General'!$G$10,'Input|Reported opex'!Q24,0)</f>
        <v>0</v>
      </c>
      <c r="R16" s="113">
        <f ca="1">IF(R$10='Input|General'!$G$10,'Input|Reported opex'!R24,0)</f>
        <v>0</v>
      </c>
      <c r="S16" s="113">
        <f ca="1">IF(S$10='Input|General'!$G$10,'Input|Reported opex'!S24,0)</f>
        <v>0</v>
      </c>
    </row>
    <row r="17" spans="3:19" outlineLevel="1">
      <c r="C17" s="115" t="s">
        <v>117</v>
      </c>
      <c r="D17" s="114" t="s">
        <v>30</v>
      </c>
      <c r="E17" s="29" t="str">
        <f>$E$8</f>
        <v>$millions</v>
      </c>
      <c r="F17" s="29" t="str">
        <f>$F$8</f>
        <v>2016-17</v>
      </c>
      <c r="J17" s="113">
        <f ca="1">J16*IF($F16="nominal",LOOKUP($F17,Nominal_to_Real,'Input|Rate of change'!K$23:K$26),INDEX('Input|Rate of change'!$C$14:$O$19,MATCH('Calc|Opex forecast'!$F16,'Input|Rate of change'!$C$14:$C$19,0),MATCH('Calc|Opex forecast'!$F17,'Input|Rate of change'!$C$14:$O$14,0)))*IF($E16="$millions",1000000,IF($E16="$000",1000,1))/IF($E17="$millions",1000000,IF($E17="$000",1000,1))</f>
        <v>0</v>
      </c>
      <c r="K17" s="113">
        <f ca="1">K16*IF($F16="nominal",LOOKUP($F17,Nominal_to_Real,'Input|Rate of change'!L$23:L$26),INDEX('Input|Rate of change'!$C$14:$O$19,MATCH('Calc|Opex forecast'!$F16,'Input|Rate of change'!$C$14:$C$19,0),MATCH('Calc|Opex forecast'!$F17,'Input|Rate of change'!$C$14:$O$14,0)))*IF($E16="$millions",1000000,IF($E16="$000",1000,1))/IF($E17="$millions",1000000,IF($E17="$000",1000,1))</f>
        <v>0</v>
      </c>
      <c r="L17" s="113">
        <f ca="1">L16*IF($F16="nominal",LOOKUP($F17,Nominal_to_Real,'Input|Rate of change'!M$23:M$26),INDEX('Input|Rate of change'!$C$14:$O$19,MATCH('Calc|Opex forecast'!$F16,'Input|Rate of change'!$C$14:$C$19,0),MATCH('Calc|Opex forecast'!$F17,'Input|Rate of change'!$C$14:$O$14,0)))*IF($E16="$millions",1000000,IF($E16="$000",1000,1))/IF($E17="$millions",1000000,IF($E17="$000",1000,1))</f>
        <v>87.164814793709851</v>
      </c>
      <c r="M17" s="113">
        <f ca="1">M16*IF($F16="nominal",LOOKUP($F17,Nominal_to_Real,'Input|Rate of change'!N$23:N$26),INDEX('Input|Rate of change'!$C$14:$O$19,MATCH('Calc|Opex forecast'!$F16,'Input|Rate of change'!$C$14:$C$19,0),MATCH('Calc|Opex forecast'!$F17,'Input|Rate of change'!$C$14:$O$14,0)))*IF($E16="$millions",1000000,IF($E16="$000",1000,1))/IF($E17="$millions",1000000,IF($E17="$000",1000,1))</f>
        <v>0</v>
      </c>
      <c r="N17" s="113">
        <f ca="1">N16*IF($F16="nominal",LOOKUP($F17,Nominal_to_Real,'Input|Rate of change'!O$23:O$26),INDEX('Input|Rate of change'!$C$14:$O$19,MATCH('Calc|Opex forecast'!$F16,'Input|Rate of change'!$C$14:$C$19,0),MATCH('Calc|Opex forecast'!$F17,'Input|Rate of change'!$C$14:$O$14,0)))*IF($E16="$millions",1000000,IF($E16="$000",1000,1))/IF($E17="$millions",1000000,IF($E17="$000",1000,1))</f>
        <v>0</v>
      </c>
      <c r="O17" s="113">
        <f ca="1">O16*IF($F16="nominal",LOOKUP($F17,Nominal_to_Real,'Input|Rate of change'!P$23:P$26),INDEX('Input|Rate of change'!$C$14:$O$19,MATCH('Calc|Opex forecast'!$F16,'Input|Rate of change'!$C$14:$C$19,0),MATCH('Calc|Opex forecast'!$F17,'Input|Rate of change'!$C$14:$O$14,0)))*IF($E16="$millions",1000000,IF($E16="$000",1000,1))/IF($E17="$millions",1000000,IF($E17="$000",1000,1))</f>
        <v>0</v>
      </c>
      <c r="P17" s="113">
        <f ca="1">P16*IF($F16="nominal",LOOKUP($F17,Nominal_to_Real,'Input|Rate of change'!Q$23:Q$26),INDEX('Input|Rate of change'!$C$14:$O$19,MATCH('Calc|Opex forecast'!$F16,'Input|Rate of change'!$C$14:$C$19,0),MATCH('Calc|Opex forecast'!$F17,'Input|Rate of change'!$C$14:$O$14,0)))*IF($E16="$millions",1000000,IF($E16="$000",1000,1))/IF($E17="$millions",1000000,IF($E17="$000",1000,1))</f>
        <v>0</v>
      </c>
      <c r="Q17" s="113">
        <f ca="1">Q16*IF($F16="nominal",LOOKUP($F17,Nominal_to_Real,'Input|Rate of change'!R$23:R$26),INDEX('Input|Rate of change'!$C$14:$O$19,MATCH('Calc|Opex forecast'!$F16,'Input|Rate of change'!$C$14:$C$19,0),MATCH('Calc|Opex forecast'!$F17,'Input|Rate of change'!$C$14:$O$14,0)))*IF($E16="$millions",1000000,IF($E16="$000",1000,1))/IF($E17="$millions",1000000,IF($E17="$000",1000,1))</f>
        <v>0</v>
      </c>
      <c r="R17" s="113">
        <f ca="1">R16*IF($F16="nominal",LOOKUP($F17,Nominal_to_Real,'Input|Rate of change'!S$23:S$26),INDEX('Input|Rate of change'!$C$14:$O$19,MATCH('Calc|Opex forecast'!$F16,'Input|Rate of change'!$C$14:$C$19,0),MATCH('Calc|Opex forecast'!$F17,'Input|Rate of change'!$C$14:$O$14,0)))*IF($E16="$millions",1000000,IF($E16="$000",1000,1))/IF($E17="$millions",1000000,IF($E17="$000",1000,1))</f>
        <v>0</v>
      </c>
      <c r="S17" s="113">
        <f ca="1">S16*IF($F16="nominal",LOOKUP($F17,Nominal_to_Real,'Input|Rate of change'!T$23:T$26),INDEX('Input|Rate of change'!$C$14:$O$19,MATCH('Calc|Opex forecast'!$F16,'Input|Rate of change'!$C$14:$C$19,0),MATCH('Calc|Opex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5"/>
      <c r="F18" s="116"/>
      <c r="J18" s="117"/>
      <c r="K18" s="117"/>
      <c r="L18" s="117"/>
      <c r="M18" s="117"/>
      <c r="N18" s="117"/>
      <c r="O18" s="117"/>
      <c r="P18" s="117"/>
      <c r="Q18" s="117"/>
      <c r="R18" s="113"/>
      <c r="S18" s="113"/>
    </row>
    <row r="19" spans="3:19" outlineLevel="1">
      <c r="C19" s="118" t="s">
        <v>135</v>
      </c>
      <c r="D19" s="119" t="s">
        <v>30</v>
      </c>
      <c r="E19" s="119" t="str">
        <f>$E$8</f>
        <v>$millions</v>
      </c>
      <c r="F19" s="29" t="str">
        <f>$F$8</f>
        <v>2016-17</v>
      </c>
      <c r="J19" s="120">
        <f>IF(J$10='Input|General'!$G$10,SUM($J13:$S13)-SUM($J15:$S15)+SUM($J17:$S17),0)</f>
        <v>0</v>
      </c>
      <c r="K19" s="120">
        <f ca="1">IF(K$10='Input|General'!$G$10,SUM($J13:$S13)-SUM($J15:$S15)+SUM($J17:$S17),0)</f>
        <v>0</v>
      </c>
      <c r="L19" s="120">
        <f ca="1">IF(L$10='Input|General'!$G$10,SUM($J13:$S13)-SUM($J15:$S15)+SUM($J17:$S17),0)</f>
        <v>87.754924065947165</v>
      </c>
      <c r="M19" s="120">
        <f ca="1">IF(M$10='Input|General'!$G$10,SUM($J13:$S13)-SUM($J15:$S15)+SUM($J17:$S17),0)</f>
        <v>0</v>
      </c>
      <c r="N19" s="120">
        <f ca="1">IF(N$10='Input|General'!$G$10,SUM($J13:$S13)-SUM($J15:$S15)+SUM($J17:$S17),0)</f>
        <v>0</v>
      </c>
      <c r="O19" s="120">
        <f ca="1">IF(O$10='Input|General'!$G$10,SUM($J13:$S13)-SUM($J15:$S15)+SUM($J17:$S17),0)</f>
        <v>0</v>
      </c>
      <c r="P19" s="120">
        <f ca="1">IF(P$10='Input|General'!$G$10,SUM($J13:$S13)-SUM($J15:$S15)+SUM($J17:$S17),0)</f>
        <v>0</v>
      </c>
      <c r="Q19" s="120">
        <f ca="1">IF(Q$10='Input|General'!$G$10,SUM($J13:$S13)-SUM($J15:$S15)+SUM($J17:$S17),0)</f>
        <v>0</v>
      </c>
      <c r="R19" s="113">
        <f ca="1">IF(R$10='Input|General'!$G$10,SUM($J13:$S13)-SUM($J15:$S15)+SUM($J17:$S17),0)</f>
        <v>0</v>
      </c>
      <c r="S19" s="113">
        <f ca="1">IF(S$10='Input|General'!$G$10,SUM($J13:$S13)-SUM($J15:$S15)+SUM($J17:$S17),0)</f>
        <v>0</v>
      </c>
    </row>
    <row r="20" spans="3:19" outlineLevel="1">
      <c r="C20" s="128"/>
      <c r="D20" s="114"/>
      <c r="E20" s="114"/>
      <c r="J20" s="120"/>
      <c r="K20" s="120"/>
      <c r="L20" s="120"/>
      <c r="M20" s="120"/>
      <c r="N20" s="120"/>
      <c r="O20" s="120"/>
      <c r="P20" s="120"/>
      <c r="Q20" s="120"/>
      <c r="R20" s="113"/>
      <c r="S20" s="113"/>
    </row>
    <row r="21" spans="3:19" outlineLevel="1">
      <c r="C21" s="128" t="str">
        <f>'Input|Reported opex'!$C$50</f>
        <v>Adjustment 1</v>
      </c>
      <c r="D21" s="112" t="s">
        <v>118</v>
      </c>
      <c r="E21" s="114" t="str">
        <f>'Input|Reported opex'!E50</f>
        <v>$millions</v>
      </c>
      <c r="F21" s="29" t="str">
        <f>'Input|Reported opex'!F50</f>
        <v>2016-17</v>
      </c>
      <c r="I21" s="113">
        <f>IF(I$10='Input|General'!$G$10,'Input|Reported opex'!I50,0)</f>
        <v>0</v>
      </c>
      <c r="J21" s="113">
        <f>IF(J$10='Input|General'!$G$10,'Input|Reported opex'!J50,0)</f>
        <v>0</v>
      </c>
      <c r="K21" s="113">
        <f ca="1">IF(K$10='Input|General'!$G$10,'Input|Reported opex'!K50,0)</f>
        <v>0</v>
      </c>
      <c r="L21" s="113">
        <f ca="1">IF(L$10='Input|General'!$G$10,'Input|Reported opex'!L50,0)</f>
        <v>0</v>
      </c>
      <c r="M21" s="113">
        <f ca="1">IF(M$10='Input|General'!$G$10,'Input|Reported opex'!M50,0)</f>
        <v>0</v>
      </c>
      <c r="N21" s="113">
        <f ca="1">IF(N$10='Input|General'!$G$10,'Input|Reported opex'!N50,0)</f>
        <v>0</v>
      </c>
      <c r="O21" s="113">
        <f ca="1">IF(O$10='Input|General'!$G$10,'Input|Reported opex'!O50,0)</f>
        <v>0</v>
      </c>
      <c r="P21" s="113">
        <f ca="1">IF(P$10='Input|General'!$G$10,'Input|Reported opex'!P50,0)</f>
        <v>0</v>
      </c>
      <c r="Q21" s="113">
        <f ca="1">IF(Q$10='Input|General'!$G$10,'Input|Reported opex'!Q50,0)</f>
        <v>0</v>
      </c>
      <c r="R21" s="113">
        <f ca="1">IF(R$10='Input|General'!$G$10,'Input|Reported opex'!R50,0)</f>
        <v>0</v>
      </c>
      <c r="S21" s="113">
        <f ca="1">IF(S$10='Input|General'!$G$10,'Input|Reported opex'!S50,0)</f>
        <v>0</v>
      </c>
    </row>
    <row r="22" spans="3:19" outlineLevel="1">
      <c r="C22" s="128" t="str">
        <f>C21</f>
        <v>Adjustment 1</v>
      </c>
      <c r="D22" s="114" t="s">
        <v>30</v>
      </c>
      <c r="E22" s="29" t="str">
        <f>$E$8</f>
        <v>$millions</v>
      </c>
      <c r="F22" s="29" t="str">
        <f>$F$8</f>
        <v>2016-17</v>
      </c>
      <c r="J22" s="120">
        <f ca="1">J21*IF($F21="nominal",LOOKUP($F22,Nominal_to_Real,'Input|Rate of change'!K$23:K$26),INDEX('Input|Rate of change'!$C$14:$O$19,MATCH('Calc|Opex forecast'!$F21,'Input|Rate of change'!$C$14:$C$19,0),MATCH('Calc|Opex forecast'!$F22,'Input|Rate of change'!$C$14:$O$14,0)))*IF($E21="$millions",1000000,IF($E21="$000",1000,1))/IF($E22="$millions",1000000,IF($E22="$000",1000,1))</f>
        <v>0</v>
      </c>
      <c r="K22" s="120">
        <f ca="1">K21*IF($F21="nominal",LOOKUP($F22,Nominal_to_Real,'Input|Rate of change'!L$23:L$26),INDEX('Input|Rate of change'!$C$14:$O$19,MATCH('Calc|Opex forecast'!$F21,'Input|Rate of change'!$C$14:$C$19,0),MATCH('Calc|Opex forecast'!$F22,'Input|Rate of change'!$C$14:$O$14,0)))*IF($E21="$millions",1000000,IF($E21="$000",1000,1))/IF($E22="$millions",1000000,IF($E22="$000",1000,1))</f>
        <v>0</v>
      </c>
      <c r="L22" s="120">
        <f ca="1">L21*IF($F21="nominal",LOOKUP($F22,Nominal_to_Real,'Input|Rate of change'!M$23:M$26),INDEX('Input|Rate of change'!$C$14:$O$19,MATCH('Calc|Opex forecast'!$F21,'Input|Rate of change'!$C$14:$C$19,0),MATCH('Calc|Opex forecast'!$F22,'Input|Rate of change'!$C$14:$O$14,0)))*IF($E21="$millions",1000000,IF($E21="$000",1000,1))/IF($E22="$millions",1000000,IF($E22="$000",1000,1))</f>
        <v>0</v>
      </c>
      <c r="M22" s="120">
        <f ca="1">M21*IF($F21="nominal",LOOKUP($F22,Nominal_to_Real,'Input|Rate of change'!N$23:N$26),INDEX('Input|Rate of change'!$C$14:$O$19,MATCH('Calc|Opex forecast'!$F21,'Input|Rate of change'!$C$14:$C$19,0),MATCH('Calc|Opex forecast'!$F22,'Input|Rate of change'!$C$14:$O$14,0)))*IF($E21="$millions",1000000,IF($E21="$000",1000,1))/IF($E22="$millions",1000000,IF($E22="$000",1000,1))</f>
        <v>0</v>
      </c>
      <c r="N22" s="120">
        <f ca="1">N21*IF($F21="nominal",LOOKUP($F22,Nominal_to_Real,'Input|Rate of change'!O$23:O$26),INDEX('Input|Rate of change'!$C$14:$O$19,MATCH('Calc|Opex forecast'!$F21,'Input|Rate of change'!$C$14:$C$19,0),MATCH('Calc|Opex forecast'!$F22,'Input|Rate of change'!$C$14:$O$14,0)))*IF($E21="$millions",1000000,IF($E21="$000",1000,1))/IF($E22="$millions",1000000,IF($E22="$000",1000,1))</f>
        <v>0</v>
      </c>
      <c r="O22" s="120">
        <f ca="1">O21*IF($F21="nominal",LOOKUP($F22,Nominal_to_Real,'Input|Rate of change'!P$23:P$26),INDEX('Input|Rate of change'!$C$14:$O$19,MATCH('Calc|Opex forecast'!$F21,'Input|Rate of change'!$C$14:$C$19,0),MATCH('Calc|Opex forecast'!$F22,'Input|Rate of change'!$C$14:$O$14,0)))*IF($E21="$millions",1000000,IF($E21="$000",1000,1))/IF($E22="$millions",1000000,IF($E22="$000",1000,1))</f>
        <v>0</v>
      </c>
      <c r="P22" s="120">
        <f ca="1">P21*IF($F21="nominal",LOOKUP($F22,Nominal_to_Real,'Input|Rate of change'!Q$23:Q$26),INDEX('Input|Rate of change'!$C$14:$O$19,MATCH('Calc|Opex forecast'!$F21,'Input|Rate of change'!$C$14:$C$19,0),MATCH('Calc|Opex forecast'!$F22,'Input|Rate of change'!$C$14:$O$14,0)))*IF($E21="$millions",1000000,IF($E21="$000",1000,1))/IF($E22="$millions",1000000,IF($E22="$000",1000,1))</f>
        <v>0</v>
      </c>
      <c r="Q22" s="120">
        <f ca="1">Q21*IF($F21="nominal",LOOKUP($F22,Nominal_to_Real,'Input|Rate of change'!R$23:R$26),INDEX('Input|Rate of change'!$C$14:$O$19,MATCH('Calc|Opex forecast'!$F21,'Input|Rate of change'!$C$14:$C$19,0),MATCH('Calc|Opex forecast'!$F22,'Input|Rate of change'!$C$14:$O$14,0)))*IF($E21="$millions",1000000,IF($E21="$000",1000,1))/IF($E22="$millions",1000000,IF($E22="$000",1000,1))</f>
        <v>0</v>
      </c>
      <c r="R22" s="113">
        <f ca="1">R21*IF($F21="nominal",LOOKUP($F22,Nominal_to_Real,'Input|Rate of change'!S$23:S$26),INDEX('Input|Rate of change'!$C$14:$O$19,MATCH('Calc|Opex forecast'!$F21,'Input|Rate of change'!$C$14:$C$19,0),MATCH('Calc|Opex forecast'!$F22,'Input|Rate of change'!$C$14:$O$14,0)))*IF($E21="$millions",1000000,IF($E21="$000",1000,1))/IF($E22="$millions",1000000,IF($E22="$000",1000,1))</f>
        <v>0</v>
      </c>
      <c r="S22" s="113">
        <f ca="1">S21*IF($F21="nominal",LOOKUP($F22,Nominal_to_Real,'Input|Rate of change'!T$23:T$26),INDEX('Input|Rate of change'!$C$14:$O$19,MATCH('Calc|Opex forecast'!$F21,'Input|Rate of change'!$C$14:$C$19,0),MATCH('Calc|Opex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28"/>
      <c r="D23" s="114"/>
      <c r="E23" s="114"/>
      <c r="J23" s="120"/>
      <c r="K23" s="120"/>
      <c r="L23" s="120"/>
      <c r="M23" s="120"/>
      <c r="N23" s="120"/>
      <c r="O23" s="120"/>
      <c r="P23" s="120"/>
      <c r="Q23" s="120"/>
      <c r="R23" s="113"/>
      <c r="S23" s="113"/>
    </row>
    <row r="24" spans="3:19" outlineLevel="1">
      <c r="C24" s="128" t="str">
        <f>'Input|Reported opex'!$C$51</f>
        <v>Adjustment 2</v>
      </c>
      <c r="D24" s="112" t="s">
        <v>118</v>
      </c>
      <c r="E24" s="114" t="str">
        <f>'Input|Reported opex'!E51</f>
        <v>$millions</v>
      </c>
      <c r="F24" s="29" t="str">
        <f>'Input|Reported opex'!F51</f>
        <v>2016-17</v>
      </c>
      <c r="J24" s="113">
        <f>IF(J$10='Input|General'!$G$10,'Input|Reported opex'!J51,0)</f>
        <v>0</v>
      </c>
      <c r="K24" s="113">
        <f ca="1">IF(K$10='Input|General'!$G$10,'Input|Reported opex'!K51,0)</f>
        <v>0</v>
      </c>
      <c r="L24" s="113">
        <f ca="1">IF(L$10='Input|General'!$G$10,'Input|Reported opex'!L51,0)</f>
        <v>0</v>
      </c>
      <c r="M24" s="113">
        <f ca="1">IF(M$10='Input|General'!$G$10,'Input|Reported opex'!M51,0)</f>
        <v>0</v>
      </c>
      <c r="N24" s="113">
        <f ca="1">IF(N$10='Input|General'!$G$10,'Input|Reported opex'!N51,0)</f>
        <v>0</v>
      </c>
      <c r="O24" s="113">
        <f ca="1">IF(O$10='Input|General'!$G$10,'Input|Reported opex'!O51,0)</f>
        <v>0</v>
      </c>
      <c r="P24" s="113">
        <f ca="1">IF(P$10='Input|General'!$G$10,'Input|Reported opex'!P51,0)</f>
        <v>0</v>
      </c>
      <c r="Q24" s="113">
        <f ca="1">IF(Q$10='Input|General'!$G$10,'Input|Reported opex'!Q51,0)</f>
        <v>0</v>
      </c>
      <c r="R24" s="113"/>
      <c r="S24" s="113"/>
    </row>
    <row r="25" spans="3:19" outlineLevel="1">
      <c r="C25" s="128" t="str">
        <f>C24</f>
        <v>Adjustment 2</v>
      </c>
      <c r="D25" s="114" t="s">
        <v>30</v>
      </c>
      <c r="E25" s="29" t="str">
        <f>$E$8</f>
        <v>$millions</v>
      </c>
      <c r="F25" s="29" t="str">
        <f>$F$8</f>
        <v>2016-17</v>
      </c>
      <c r="J25" s="120">
        <f ca="1">J24*IF($F24="nominal",LOOKUP($F25,Nominal_to_Real,'Input|Rate of change'!K$23:K$26),INDEX('Input|Rate of change'!$C$14:$O$19,MATCH('Calc|Opex forecast'!$F24,'Input|Rate of change'!$C$14:$C$19,0),MATCH('Calc|Opex forecast'!$F25,'Input|Rate of change'!$C$14:$O$14,0)))*IF($E24="$millions",1000000,IF($E24="$000",1000,1))/IF($E25="$millions",1000000,IF($E25="$000",1000,1))</f>
        <v>0</v>
      </c>
      <c r="K25" s="120">
        <f ca="1">K24*IF($F24="nominal",LOOKUP($F25,Nominal_to_Real,'Input|Rate of change'!L$23:L$26),INDEX('Input|Rate of change'!$C$14:$O$19,MATCH('Calc|Opex forecast'!$F24,'Input|Rate of change'!$C$14:$C$19,0),MATCH('Calc|Opex forecast'!$F25,'Input|Rate of change'!$C$14:$O$14,0)))*IF($E24="$millions",1000000,IF($E24="$000",1000,1))/IF($E25="$millions",1000000,IF($E25="$000",1000,1))</f>
        <v>0</v>
      </c>
      <c r="L25" s="120">
        <f ca="1">L24*IF($F24="nominal",LOOKUP($F25,Nominal_to_Real,'Input|Rate of change'!M$23:M$26),INDEX('Input|Rate of change'!$C$14:$O$19,MATCH('Calc|Opex forecast'!$F24,'Input|Rate of change'!$C$14:$C$19,0),MATCH('Calc|Opex forecast'!$F25,'Input|Rate of change'!$C$14:$O$14,0)))*IF($E24="$millions",1000000,IF($E24="$000",1000,1))/IF($E25="$millions",1000000,IF($E25="$000",1000,1))</f>
        <v>0</v>
      </c>
      <c r="M25" s="120">
        <f ca="1">M24*IF($F24="nominal",LOOKUP($F25,Nominal_to_Real,'Input|Rate of change'!N$23:N$26),INDEX('Input|Rate of change'!$C$14:$O$19,MATCH('Calc|Opex forecast'!$F24,'Input|Rate of change'!$C$14:$C$19,0),MATCH('Calc|Opex forecast'!$F25,'Input|Rate of change'!$C$14:$O$14,0)))*IF($E24="$millions",1000000,IF($E24="$000",1000,1))/IF($E25="$millions",1000000,IF($E25="$000",1000,1))</f>
        <v>0</v>
      </c>
      <c r="N25" s="120">
        <f ca="1">N24*IF($F24="nominal",LOOKUP($F25,Nominal_to_Real,'Input|Rate of change'!O$23:O$26),INDEX('Input|Rate of change'!$C$14:$O$19,MATCH('Calc|Opex forecast'!$F24,'Input|Rate of change'!$C$14:$C$19,0),MATCH('Calc|Opex forecast'!$F25,'Input|Rate of change'!$C$14:$O$14,0)))*IF($E24="$millions",1000000,IF($E24="$000",1000,1))/IF($E25="$millions",1000000,IF($E25="$000",1000,1))</f>
        <v>0</v>
      </c>
      <c r="O25" s="120">
        <f ca="1">O24*IF($F24="nominal",LOOKUP($F25,Nominal_to_Real,'Input|Rate of change'!P$23:P$26),INDEX('Input|Rate of change'!$C$14:$O$19,MATCH('Calc|Opex forecast'!$F24,'Input|Rate of change'!$C$14:$C$19,0),MATCH('Calc|Opex forecast'!$F25,'Input|Rate of change'!$C$14:$O$14,0)))*IF($E24="$millions",1000000,IF($E24="$000",1000,1))/IF($E25="$millions",1000000,IF($E25="$000",1000,1))</f>
        <v>0</v>
      </c>
      <c r="P25" s="120">
        <f ca="1">P24*IF($F24="nominal",LOOKUP($F25,Nominal_to_Real,'Input|Rate of change'!Q$23:Q$26),INDEX('Input|Rate of change'!$C$14:$O$19,MATCH('Calc|Opex forecast'!$F24,'Input|Rate of change'!$C$14:$C$19,0),MATCH('Calc|Opex forecast'!$F25,'Input|Rate of change'!$C$14:$O$14,0)))*IF($E24="$millions",1000000,IF($E24="$000",1000,1))/IF($E25="$millions",1000000,IF($E25="$000",1000,1))</f>
        <v>0</v>
      </c>
      <c r="Q25" s="120">
        <f ca="1">Q24*IF($F24="nominal",LOOKUP($F25,Nominal_to_Real,'Input|Rate of change'!R$23:R$26),INDEX('Input|Rate of change'!$C$14:$O$19,MATCH('Calc|Opex forecast'!$F24,'Input|Rate of change'!$C$14:$C$19,0),MATCH('Calc|Opex forecast'!$F25,'Input|Rate of change'!$C$14:$O$14,0)))*IF($E24="$millions",1000000,IF($E24="$000",1000,1))/IF($E25="$millions",1000000,IF($E25="$000",1000,1))</f>
        <v>0</v>
      </c>
      <c r="R25" s="113">
        <f ca="1">R24*IF($F24="nominal",LOOKUP($F25,Nominal_to_Real,'Input|Rate of change'!S$23:S$26),INDEX('Input|Rate of change'!$C$14:$O$19,MATCH('Calc|Opex forecast'!$F24,'Input|Rate of change'!$C$14:$C$19,0),MATCH('Calc|Opex forecast'!$F25,'Input|Rate of change'!$C$14:$O$14,0)))*IF($E24="$millions",1000000,IF($E24="$000",1000,1))/IF($E25="$millions",1000000,IF($E25="$000",1000,1))</f>
        <v>0</v>
      </c>
      <c r="S25" s="113">
        <f ca="1">S24*IF($F24="nominal",LOOKUP($F25,Nominal_to_Real,'Input|Rate of change'!T$23:T$26),INDEX('Input|Rate of change'!$C$14:$O$19,MATCH('Calc|Opex forecast'!$F24,'Input|Rate of change'!$C$14:$C$19,0),MATCH('Calc|Opex forecast'!$F25,'Input|Rate of change'!$C$14:$O$14,0)))*IF($E24="$millions",1000000,IF($E24="$000",1000,1))/IF($E25="$millions",1000000,IF($E25="$000",1000,1))</f>
        <v>0</v>
      </c>
    </row>
    <row r="26" spans="3:19" outlineLevel="1">
      <c r="C26" s="128"/>
      <c r="D26" s="114"/>
      <c r="J26" s="120"/>
      <c r="K26" s="120"/>
      <c r="L26" s="120"/>
      <c r="M26" s="120"/>
      <c r="N26" s="120"/>
      <c r="O26" s="120"/>
      <c r="P26" s="120"/>
      <c r="Q26" s="120"/>
      <c r="R26" s="113"/>
      <c r="S26" s="113"/>
    </row>
    <row r="27" spans="3:19" outlineLevel="1">
      <c r="C27" s="128" t="str">
        <f>'Input|Reported opex'!$C$52</f>
        <v>Adjustment 3</v>
      </c>
      <c r="D27" s="112" t="s">
        <v>118</v>
      </c>
      <c r="E27" s="29" t="str">
        <f>'Input|Reported opex'!$E$52</f>
        <v>$millions</v>
      </c>
      <c r="F27" s="29" t="str">
        <f>'Input|Reported opex'!$F$52</f>
        <v>2016-17</v>
      </c>
      <c r="J27" s="113">
        <f>IF(J$10='Input|General'!$G$10,'Input|Reported opex'!J52,0)</f>
        <v>0</v>
      </c>
      <c r="K27" s="113">
        <f ca="1">IF(K$10='Input|General'!$G$10,'Input|Reported opex'!K52,0)</f>
        <v>0</v>
      </c>
      <c r="L27" s="113">
        <f ca="1">IF(L$10='Input|General'!$G$10,'Input|Reported opex'!L52,0)</f>
        <v>0</v>
      </c>
      <c r="M27" s="113">
        <f ca="1">IF(M$10='Input|General'!$G$10,'Input|Reported opex'!M52,0)</f>
        <v>0</v>
      </c>
      <c r="N27" s="113">
        <f ca="1">IF(N$10='Input|General'!$G$10,'Input|Reported opex'!N52,0)</f>
        <v>0</v>
      </c>
      <c r="O27" s="113">
        <f ca="1">IF(O$10='Input|General'!$G$10,'Input|Reported opex'!O52,0)</f>
        <v>0</v>
      </c>
      <c r="P27" s="113">
        <f ca="1">IF(P$10='Input|General'!$G$10,'Input|Reported opex'!P52,0)</f>
        <v>0</v>
      </c>
      <c r="Q27" s="113">
        <f ca="1">IF(Q$10='Input|General'!$G$10,'Input|Reported opex'!Q52,0)</f>
        <v>0</v>
      </c>
      <c r="R27" s="113"/>
      <c r="S27" s="113"/>
    </row>
    <row r="28" spans="3:19" outlineLevel="1">
      <c r="C28" s="128" t="str">
        <f>C27</f>
        <v>Adjustment 3</v>
      </c>
      <c r="D28" s="114" t="s">
        <v>30</v>
      </c>
      <c r="E28" s="29" t="str">
        <f>$E$8</f>
        <v>$millions</v>
      </c>
      <c r="F28" s="29" t="str">
        <f>$F$8</f>
        <v>2016-17</v>
      </c>
      <c r="J28" s="120">
        <f ca="1">J27*IF($F27="nominal",LOOKUP($F28,Nominal_to_Real,'Input|Rate of change'!K$23:K$26),INDEX('Input|Rate of change'!$C$14:$O$19,MATCH('Calc|Opex forecast'!$F27,'Input|Rate of change'!$C$14:$C$19,0),MATCH('Calc|Opex forecast'!$F28,'Input|Rate of change'!$C$14:$O$14,0)))*IF($E27="$millions",1000000,IF($E27="$000",1000,1))/IF($E28="$millions",1000000,IF($E28="$000",1000,1))</f>
        <v>0</v>
      </c>
      <c r="K28" s="120">
        <f ca="1">K27*IF($F27="nominal",LOOKUP($F28,Nominal_to_Real,'Input|Rate of change'!L$23:L$26),INDEX('Input|Rate of change'!$C$14:$O$19,MATCH('Calc|Opex forecast'!$F27,'Input|Rate of change'!$C$14:$C$19,0),MATCH('Calc|Opex forecast'!$F28,'Input|Rate of change'!$C$14:$O$14,0)))*IF($E27="$millions",1000000,IF($E27="$000",1000,1))/IF($E28="$millions",1000000,IF($E28="$000",1000,1))</f>
        <v>0</v>
      </c>
      <c r="L28" s="120">
        <f ca="1">L27*IF($F27="nominal",LOOKUP($F28,Nominal_to_Real,'Input|Rate of change'!M$23:M$26),INDEX('Input|Rate of change'!$C$14:$O$19,MATCH('Calc|Opex forecast'!$F27,'Input|Rate of change'!$C$14:$C$19,0),MATCH('Calc|Opex forecast'!$F28,'Input|Rate of change'!$C$14:$O$14,0)))*IF($E27="$millions",1000000,IF($E27="$000",1000,1))/IF($E28="$millions",1000000,IF($E28="$000",1000,1))</f>
        <v>0</v>
      </c>
      <c r="M28" s="120">
        <f ca="1">M27*IF($F27="nominal",LOOKUP($F28,Nominal_to_Real,'Input|Rate of change'!N$23:N$26),INDEX('Input|Rate of change'!$C$14:$O$19,MATCH('Calc|Opex forecast'!$F27,'Input|Rate of change'!$C$14:$C$19,0),MATCH('Calc|Opex forecast'!$F28,'Input|Rate of change'!$C$14:$O$14,0)))*IF($E27="$millions",1000000,IF($E27="$000",1000,1))/IF($E28="$millions",1000000,IF($E28="$000",1000,1))</f>
        <v>0</v>
      </c>
      <c r="N28" s="120">
        <f ca="1">N27*IF($F27="nominal",LOOKUP($F28,Nominal_to_Real,'Input|Rate of change'!O$23:O$26),INDEX('Input|Rate of change'!$C$14:$O$19,MATCH('Calc|Opex forecast'!$F27,'Input|Rate of change'!$C$14:$C$19,0),MATCH('Calc|Opex forecast'!$F28,'Input|Rate of change'!$C$14:$O$14,0)))*IF($E27="$millions",1000000,IF($E27="$000",1000,1))/IF($E28="$millions",1000000,IF($E28="$000",1000,1))</f>
        <v>0</v>
      </c>
      <c r="O28" s="120">
        <f ca="1">O27*IF($F27="nominal",LOOKUP($F28,Nominal_to_Real,'Input|Rate of change'!P$23:P$26),INDEX('Input|Rate of change'!$C$14:$O$19,MATCH('Calc|Opex forecast'!$F27,'Input|Rate of change'!$C$14:$C$19,0),MATCH('Calc|Opex forecast'!$F28,'Input|Rate of change'!$C$14:$O$14,0)))*IF($E27="$millions",1000000,IF($E27="$000",1000,1))/IF($E28="$millions",1000000,IF($E28="$000",1000,1))</f>
        <v>0</v>
      </c>
      <c r="P28" s="120">
        <f ca="1">P27*IF($F27="nominal",LOOKUP($F28,Nominal_to_Real,'Input|Rate of change'!Q$23:Q$26),INDEX('Input|Rate of change'!$C$14:$O$19,MATCH('Calc|Opex forecast'!$F27,'Input|Rate of change'!$C$14:$C$19,0),MATCH('Calc|Opex forecast'!$F28,'Input|Rate of change'!$C$14:$O$14,0)))*IF($E27="$millions",1000000,IF($E27="$000",1000,1))/IF($E28="$millions",1000000,IF($E28="$000",1000,1))</f>
        <v>0</v>
      </c>
      <c r="Q28" s="120">
        <f ca="1">Q27*IF($F27="nominal",LOOKUP($F28,Nominal_to_Real,'Input|Rate of change'!R$23:R$26),INDEX('Input|Rate of change'!$C$14:$O$19,MATCH('Calc|Opex forecast'!$F27,'Input|Rate of change'!$C$14:$C$19,0),MATCH('Calc|Opex forecast'!$F28,'Input|Rate of change'!$C$14:$O$14,0)))*IF($E27="$millions",1000000,IF($E27="$000",1000,1))/IF($E28="$millions",1000000,IF($E28="$000",1000,1))</f>
        <v>0</v>
      </c>
      <c r="R28" s="113"/>
      <c r="S28" s="113"/>
    </row>
    <row r="29" spans="3:19" outlineLevel="1">
      <c r="C29" s="128"/>
      <c r="D29" s="114"/>
      <c r="J29" s="120"/>
      <c r="K29" s="120"/>
      <c r="L29" s="120"/>
      <c r="M29" s="120"/>
      <c r="N29" s="120"/>
      <c r="O29" s="120"/>
      <c r="P29" s="120"/>
      <c r="Q29" s="120"/>
      <c r="R29" s="113"/>
      <c r="S29" s="113"/>
    </row>
    <row r="30" spans="3:19" outlineLevel="1">
      <c r="C30" s="128" t="str">
        <f>'Input|Reported opex'!$C$53</f>
        <v>Adjustment 4</v>
      </c>
      <c r="D30" s="112" t="s">
        <v>118</v>
      </c>
      <c r="E30" s="29" t="str">
        <f>'Input|Reported opex'!$E$53</f>
        <v>$millions</v>
      </c>
      <c r="F30" s="29" t="str">
        <f>'Input|Reported opex'!$F$53</f>
        <v>2016-17</v>
      </c>
      <c r="J30" s="113">
        <f>IF(J$10='Input|General'!$G$10,'Input|Reported opex'!J53,0)</f>
        <v>0</v>
      </c>
      <c r="K30" s="113">
        <f ca="1">IF(K$10='Input|General'!$G$10,'Input|Reported opex'!K53,0)</f>
        <v>0</v>
      </c>
      <c r="L30" s="113">
        <f ca="1">IF(L$10='Input|General'!$G$10,'Input|Reported opex'!L53,0)</f>
        <v>0</v>
      </c>
      <c r="M30" s="113">
        <f ca="1">IF(M$10='Input|General'!$G$10,'Input|Reported opex'!M53,0)</f>
        <v>0</v>
      </c>
      <c r="N30" s="113">
        <f ca="1">IF(N$10='Input|General'!$G$10,'Input|Reported opex'!N53,0)</f>
        <v>0</v>
      </c>
      <c r="O30" s="113">
        <f ca="1">IF(O$10='Input|General'!$G$10,'Input|Reported opex'!O53,0)</f>
        <v>0</v>
      </c>
      <c r="P30" s="113">
        <f ca="1">IF(P$10='Input|General'!$G$10,'Input|Reported opex'!P53,0)</f>
        <v>0</v>
      </c>
      <c r="Q30" s="113">
        <f ca="1">IF(Q$10='Input|General'!$G$10,'Input|Reported opex'!Q53,0)</f>
        <v>0</v>
      </c>
      <c r="R30" s="113"/>
      <c r="S30" s="113"/>
    </row>
    <row r="31" spans="3:19" outlineLevel="1">
      <c r="C31" s="128" t="str">
        <f>C30</f>
        <v>Adjustment 4</v>
      </c>
      <c r="D31" s="114" t="s">
        <v>30</v>
      </c>
      <c r="E31" s="29" t="str">
        <f>$E$8</f>
        <v>$millions</v>
      </c>
      <c r="F31" s="29" t="str">
        <f>$F$8</f>
        <v>2016-17</v>
      </c>
      <c r="J31" s="120">
        <f ca="1">J30*IF($F30="nominal",LOOKUP($F31,Nominal_to_Real,'Input|Rate of change'!K$23:K$26),INDEX('Input|Rate of change'!$C$14:$O$19,MATCH('Calc|Opex forecast'!$F30,'Input|Rate of change'!$C$14:$C$19,0),MATCH('Calc|Opex forecast'!$F31,'Input|Rate of change'!$C$14:$O$14,0)))*IF($E30="$millions",1000000,IF($E30="$000",1000,1))/IF($E31="$millions",1000000,IF($E31="$000",1000,1))</f>
        <v>0</v>
      </c>
      <c r="K31" s="120">
        <f ca="1">K30*IF($F30="nominal",LOOKUP($F31,Nominal_to_Real,'Input|Rate of change'!L$23:L$26),INDEX('Input|Rate of change'!$C$14:$O$19,MATCH('Calc|Opex forecast'!$F30,'Input|Rate of change'!$C$14:$C$19,0),MATCH('Calc|Opex forecast'!$F31,'Input|Rate of change'!$C$14:$O$14,0)))*IF($E30="$millions",1000000,IF($E30="$000",1000,1))/IF($E31="$millions",1000000,IF($E31="$000",1000,1))</f>
        <v>0</v>
      </c>
      <c r="L31" s="120">
        <f ca="1">L30*IF($F30="nominal",LOOKUP($F31,Nominal_to_Real,'Input|Rate of change'!M$23:M$26),INDEX('Input|Rate of change'!$C$14:$O$19,MATCH('Calc|Opex forecast'!$F30,'Input|Rate of change'!$C$14:$C$19,0),MATCH('Calc|Opex forecast'!$F31,'Input|Rate of change'!$C$14:$O$14,0)))*IF($E30="$millions",1000000,IF($E30="$000",1000,1))/IF($E31="$millions",1000000,IF($E31="$000",1000,1))</f>
        <v>0</v>
      </c>
      <c r="M31" s="120">
        <f ca="1">M30*IF($F30="nominal",LOOKUP($F31,Nominal_to_Real,'Input|Rate of change'!N$23:N$26),INDEX('Input|Rate of change'!$C$14:$O$19,MATCH('Calc|Opex forecast'!$F30,'Input|Rate of change'!$C$14:$C$19,0),MATCH('Calc|Opex forecast'!$F31,'Input|Rate of change'!$C$14:$O$14,0)))*IF($E30="$millions",1000000,IF($E30="$000",1000,1))/IF($E31="$millions",1000000,IF($E31="$000",1000,1))</f>
        <v>0</v>
      </c>
      <c r="N31" s="120">
        <f ca="1">N30*IF($F30="nominal",LOOKUP($F31,Nominal_to_Real,'Input|Rate of change'!O$23:O$26),INDEX('Input|Rate of change'!$C$14:$O$19,MATCH('Calc|Opex forecast'!$F30,'Input|Rate of change'!$C$14:$C$19,0),MATCH('Calc|Opex forecast'!$F31,'Input|Rate of change'!$C$14:$O$14,0)))*IF($E30="$millions",1000000,IF($E30="$000",1000,1))/IF($E31="$millions",1000000,IF($E31="$000",1000,1))</f>
        <v>0</v>
      </c>
      <c r="O31" s="120">
        <f ca="1">O30*IF($F30="nominal",LOOKUP($F31,Nominal_to_Real,'Input|Rate of change'!P$23:P$26),INDEX('Input|Rate of change'!$C$14:$O$19,MATCH('Calc|Opex forecast'!$F30,'Input|Rate of change'!$C$14:$C$19,0),MATCH('Calc|Opex forecast'!$F31,'Input|Rate of change'!$C$14:$O$14,0)))*IF($E30="$millions",1000000,IF($E30="$000",1000,1))/IF($E31="$millions",1000000,IF($E31="$000",1000,1))</f>
        <v>0</v>
      </c>
      <c r="P31" s="120">
        <f ca="1">P30*IF($F30="nominal",LOOKUP($F31,Nominal_to_Real,'Input|Rate of change'!Q$23:Q$26),INDEX('Input|Rate of change'!$C$14:$O$19,MATCH('Calc|Opex forecast'!$F30,'Input|Rate of change'!$C$14:$C$19,0),MATCH('Calc|Opex forecast'!$F31,'Input|Rate of change'!$C$14:$O$14,0)))*IF($E30="$millions",1000000,IF($E30="$000",1000,1))/IF($E31="$millions",1000000,IF($E31="$000",1000,1))</f>
        <v>0</v>
      </c>
      <c r="Q31" s="120">
        <f ca="1">Q30*IF($F30="nominal",LOOKUP($F31,Nominal_to_Real,'Input|Rate of change'!R$23:R$26),INDEX('Input|Rate of change'!$C$14:$O$19,MATCH('Calc|Opex forecast'!$F30,'Input|Rate of change'!$C$14:$C$19,0),MATCH('Calc|Opex forecast'!$F31,'Input|Rate of change'!$C$14:$O$14,0)))*IF($E30="$millions",1000000,IF($E30="$000",1000,1))/IF($E31="$millions",1000000,IF($E31="$000",1000,1))</f>
        <v>0</v>
      </c>
      <c r="R31" s="113"/>
      <c r="S31" s="113"/>
    </row>
    <row r="32" spans="3:19" outlineLevel="1">
      <c r="C32" s="128"/>
      <c r="D32" s="114"/>
      <c r="J32" s="120"/>
      <c r="K32" s="120"/>
      <c r="L32" s="120"/>
      <c r="M32" s="120"/>
      <c r="N32" s="120"/>
      <c r="O32" s="120"/>
      <c r="P32" s="120"/>
      <c r="Q32" s="120"/>
      <c r="R32" s="113"/>
      <c r="S32" s="113"/>
    </row>
    <row r="33" spans="1:47" outlineLevel="1">
      <c r="C33" s="128" t="str">
        <f>'Input|Reported opex'!$C$54</f>
        <v>Adjustment 5</v>
      </c>
      <c r="D33" s="112" t="s">
        <v>118</v>
      </c>
      <c r="E33" s="29" t="str">
        <f>'Input|Reported opex'!$E$54</f>
        <v>$millions</v>
      </c>
      <c r="F33" s="29" t="str">
        <f>'Input|Reported opex'!$F$54</f>
        <v>2016-17</v>
      </c>
      <c r="J33" s="113">
        <f>IF(J$10='Input|General'!$G$10,'Input|Reported opex'!J54,0)</f>
        <v>0</v>
      </c>
      <c r="K33" s="113">
        <f ca="1">IF(K$10='Input|General'!$G$10,'Input|Reported opex'!K54,0)</f>
        <v>0</v>
      </c>
      <c r="L33" s="113">
        <f ca="1">IF(L$10='Input|General'!$G$10,'Input|Reported opex'!L54,0)</f>
        <v>0</v>
      </c>
      <c r="M33" s="113">
        <f ca="1">IF(M$10='Input|General'!$G$10,'Input|Reported opex'!M54,0)</f>
        <v>0</v>
      </c>
      <c r="N33" s="113">
        <f ca="1">IF(N$10='Input|General'!$G$10,'Input|Reported opex'!N54,0)</f>
        <v>0</v>
      </c>
      <c r="O33" s="113">
        <f ca="1">IF(O$10='Input|General'!$G$10,'Input|Reported opex'!O54,0)</f>
        <v>0</v>
      </c>
      <c r="P33" s="113">
        <f ca="1">IF(P$10='Input|General'!$G$10,'Input|Reported opex'!P54,0)</f>
        <v>0</v>
      </c>
      <c r="Q33" s="113">
        <f ca="1">IF(Q$10='Input|General'!$G$10,'Input|Reported opex'!Q54,0)</f>
        <v>0</v>
      </c>
      <c r="R33" s="113"/>
      <c r="S33" s="113"/>
    </row>
    <row r="34" spans="1:47" outlineLevel="1">
      <c r="C34" s="128" t="str">
        <f>C33</f>
        <v>Adjustment 5</v>
      </c>
      <c r="D34" s="114" t="s">
        <v>30</v>
      </c>
      <c r="E34" s="29" t="str">
        <f>$E$8</f>
        <v>$millions</v>
      </c>
      <c r="F34" s="29" t="str">
        <f>$F$8</f>
        <v>2016-17</v>
      </c>
      <c r="J34" s="120">
        <f ca="1">J33*IF($F33="nominal",LOOKUP($F34,Nominal_to_Real,'Input|Rate of change'!K$23:K$26),INDEX('Input|Rate of change'!$C$14:$O$19,MATCH('Calc|Opex forecast'!$F33,'Input|Rate of change'!$C$14:$C$19,0),MATCH('Calc|Opex forecast'!$F34,'Input|Rate of change'!$C$14:$O$14,0)))*IF($E33="$millions",1000000,IF($E33="$000",1000,1))/IF($E34="$millions",1000000,IF($E34="$000",1000,1))</f>
        <v>0</v>
      </c>
      <c r="K34" s="120">
        <f ca="1">K33*IF($F33="nominal",LOOKUP($F34,Nominal_to_Real,'Input|Rate of change'!L$23:L$26),INDEX('Input|Rate of change'!$C$14:$O$19,MATCH('Calc|Opex forecast'!$F33,'Input|Rate of change'!$C$14:$C$19,0),MATCH('Calc|Opex forecast'!$F34,'Input|Rate of change'!$C$14:$O$14,0)))*IF($E33="$millions",1000000,IF($E33="$000",1000,1))/IF($E34="$millions",1000000,IF($E34="$000",1000,1))</f>
        <v>0</v>
      </c>
      <c r="L34" s="120">
        <f ca="1">L33*IF($F33="nominal",LOOKUP($F34,Nominal_to_Real,'Input|Rate of change'!M$23:M$26),INDEX('Input|Rate of change'!$C$14:$O$19,MATCH('Calc|Opex forecast'!$F33,'Input|Rate of change'!$C$14:$C$19,0),MATCH('Calc|Opex forecast'!$F34,'Input|Rate of change'!$C$14:$O$14,0)))*IF($E33="$millions",1000000,IF($E33="$000",1000,1))/IF($E34="$millions",1000000,IF($E34="$000",1000,1))</f>
        <v>0</v>
      </c>
      <c r="M34" s="120">
        <f ca="1">M33*IF($F33="nominal",LOOKUP($F34,Nominal_to_Real,'Input|Rate of change'!N$23:N$26),INDEX('Input|Rate of change'!$C$14:$O$19,MATCH('Calc|Opex forecast'!$F33,'Input|Rate of change'!$C$14:$C$19,0),MATCH('Calc|Opex forecast'!$F34,'Input|Rate of change'!$C$14:$O$14,0)))*IF($E33="$millions",1000000,IF($E33="$000",1000,1))/IF($E34="$millions",1000000,IF($E34="$000",1000,1))</f>
        <v>0</v>
      </c>
      <c r="N34" s="120">
        <f ca="1">N33*IF($F33="nominal",LOOKUP($F34,Nominal_to_Real,'Input|Rate of change'!O$23:O$26),INDEX('Input|Rate of change'!$C$14:$O$19,MATCH('Calc|Opex forecast'!$F33,'Input|Rate of change'!$C$14:$C$19,0),MATCH('Calc|Opex forecast'!$F34,'Input|Rate of change'!$C$14:$O$14,0)))*IF($E33="$millions",1000000,IF($E33="$000",1000,1))/IF($E34="$millions",1000000,IF($E34="$000",1000,1))</f>
        <v>0</v>
      </c>
      <c r="O34" s="120">
        <f ca="1">O33*IF($F33="nominal",LOOKUP($F34,Nominal_to_Real,'Input|Rate of change'!P$23:P$26),INDEX('Input|Rate of change'!$C$14:$O$19,MATCH('Calc|Opex forecast'!$F33,'Input|Rate of change'!$C$14:$C$19,0),MATCH('Calc|Opex forecast'!$F34,'Input|Rate of change'!$C$14:$O$14,0)))*IF($E33="$millions",1000000,IF($E33="$000",1000,1))/IF($E34="$millions",1000000,IF($E34="$000",1000,1))</f>
        <v>0</v>
      </c>
      <c r="P34" s="120">
        <f ca="1">P33*IF($F33="nominal",LOOKUP($F34,Nominal_to_Real,'Input|Rate of change'!Q$23:Q$26),INDEX('Input|Rate of change'!$C$14:$O$19,MATCH('Calc|Opex forecast'!$F33,'Input|Rate of change'!$C$14:$C$19,0),MATCH('Calc|Opex forecast'!$F34,'Input|Rate of change'!$C$14:$O$14,0)))*IF($E33="$millions",1000000,IF($E33="$000",1000,1))/IF($E34="$millions",1000000,IF($E34="$000",1000,1))</f>
        <v>0</v>
      </c>
      <c r="Q34" s="120">
        <f ca="1">Q33*IF($F33="nominal",LOOKUP($F34,Nominal_to_Real,'Input|Rate of change'!R$23:R$26),INDEX('Input|Rate of change'!$C$14:$O$19,MATCH('Calc|Opex forecast'!$F33,'Input|Rate of change'!$C$14:$C$19,0),MATCH('Calc|Opex forecast'!$F34,'Input|Rate of change'!$C$14:$O$14,0)))*IF($E33="$millions",1000000,IF($E33="$000",1000,1))/IF($E34="$millions",1000000,IF($E34="$000",1000,1))</f>
        <v>0</v>
      </c>
      <c r="R34" s="113"/>
      <c r="S34" s="113"/>
    </row>
    <row r="35" spans="1:47" outlineLevel="1">
      <c r="C35" s="128"/>
      <c r="D35" s="114"/>
      <c r="E35" s="114"/>
      <c r="J35" s="120"/>
      <c r="K35" s="120"/>
      <c r="L35" s="120"/>
      <c r="M35" s="120"/>
      <c r="N35" s="120"/>
      <c r="O35" s="120"/>
      <c r="P35" s="120"/>
      <c r="Q35" s="120"/>
      <c r="R35" s="113"/>
      <c r="S35" s="113"/>
    </row>
    <row r="36" spans="1:47" outlineLevel="1">
      <c r="C36" s="128" t="s">
        <v>112</v>
      </c>
      <c r="D36" s="114" t="s">
        <v>126</v>
      </c>
      <c r="E36" s="114" t="str">
        <f>$E$8</f>
        <v>$millions</v>
      </c>
      <c r="F36" s="114" t="str">
        <f>$F$8</f>
        <v>2016-17</v>
      </c>
      <c r="J36" s="120">
        <f ca="1">SUM(J19,J22,J25)*'Input|Reported opex'!$N$55</f>
        <v>0</v>
      </c>
      <c r="K36" s="120">
        <f ca="1">SUM(K19,K22,K25)*'Input|Reported opex'!$N$55</f>
        <v>0</v>
      </c>
      <c r="L36" s="120">
        <f ca="1">SUM(L19,L22,L25,L28,L31,L34)*'Input|Reported opex'!$N$55</f>
        <v>0</v>
      </c>
      <c r="M36" s="120">
        <f ca="1">SUM(M19,M22,M25)*'Input|Reported opex'!$N$55</f>
        <v>0</v>
      </c>
      <c r="N36" s="120">
        <f ca="1">SUM(N19,N22,N25)*'Input|Reported opex'!$N$55</f>
        <v>0</v>
      </c>
      <c r="O36" s="120">
        <f ca="1">SUM(O19,O22,O25)*'Input|Reported opex'!$N$55</f>
        <v>0</v>
      </c>
      <c r="P36" s="120">
        <f ca="1">SUM(P19,P22,P25)*'Input|Reported opex'!$N$55</f>
        <v>0</v>
      </c>
      <c r="Q36" s="120">
        <f ca="1">SUM(Q19,Q22,Q25)*'Input|Reported opex'!$N$55</f>
        <v>0</v>
      </c>
      <c r="R36" s="113">
        <f ca="1">SUM(R19,R22,R25)*'Input|Reported opex'!$N$55</f>
        <v>0</v>
      </c>
      <c r="S36" s="113">
        <f ca="1">SUM(S19,S22,S25)*'Input|Reported opex'!$N$55</f>
        <v>0</v>
      </c>
    </row>
    <row r="37" spans="1:47" outlineLevel="1">
      <c r="C37" s="128"/>
      <c r="D37" s="114"/>
      <c r="E37" s="114"/>
      <c r="J37" s="120"/>
      <c r="K37" s="120"/>
      <c r="L37" s="120"/>
      <c r="M37" s="120"/>
      <c r="N37" s="120"/>
      <c r="O37" s="120"/>
      <c r="P37" s="120"/>
      <c r="Q37" s="120"/>
      <c r="R37" s="113"/>
      <c r="S37" s="113"/>
    </row>
    <row r="38" spans="1:47" ht="12" outlineLevel="1" thickBot="1">
      <c r="C38" s="128" t="s">
        <v>136</v>
      </c>
      <c r="D38" s="114" t="s">
        <v>126</v>
      </c>
      <c r="E38" s="114" t="str">
        <f>$E$8</f>
        <v>$millions</v>
      </c>
      <c r="F38" s="114" t="str">
        <f>$F$8</f>
        <v>2016-17</v>
      </c>
      <c r="J38" s="162">
        <f t="shared" ref="J38:R38" ca="1" si="0">SUM(J19,J22,J25,J36)</f>
        <v>0</v>
      </c>
      <c r="K38" s="162">
        <f t="shared" ca="1" si="0"/>
        <v>0</v>
      </c>
      <c r="L38" s="162">
        <f ca="1">SUM(L19,L22,L25,L28,L31,L34,L36)</f>
        <v>87.754924065947165</v>
      </c>
      <c r="M38" s="162">
        <f t="shared" ca="1" si="0"/>
        <v>0</v>
      </c>
      <c r="N38" s="162">
        <f ca="1">SUM(N19,N22,N25,N36)</f>
        <v>0</v>
      </c>
      <c r="O38" s="162">
        <f t="shared" ca="1" si="0"/>
        <v>0</v>
      </c>
      <c r="P38" s="162">
        <f t="shared" ca="1" si="0"/>
        <v>0</v>
      </c>
      <c r="Q38" s="162">
        <f t="shared" ca="1" si="0"/>
        <v>0</v>
      </c>
      <c r="R38" s="113">
        <f t="shared" ca="1" si="0"/>
        <v>0</v>
      </c>
      <c r="S38" s="113">
        <f ca="1">SUM(S19,S22,S25,S36)</f>
        <v>0</v>
      </c>
    </row>
    <row r="39" spans="1:47" ht="12" thickTop="1">
      <c r="J39" s="111"/>
      <c r="K39" s="111"/>
      <c r="L39" s="111"/>
    </row>
    <row r="40" spans="1:47" s="106" customFormat="1" ht="12.75">
      <c r="A40" s="97"/>
      <c r="B40" s="98" t="s">
        <v>110</v>
      </c>
      <c r="C40" s="97"/>
      <c r="D40" s="97"/>
      <c r="E40" s="97"/>
      <c r="F40" s="99"/>
      <c r="G40" s="99"/>
      <c r="H40" s="99"/>
      <c r="I40" s="99"/>
      <c r="J40" s="100"/>
      <c r="K40" s="101"/>
      <c r="L40" s="100"/>
      <c r="M40" s="101"/>
      <c r="N40" s="100"/>
      <c r="O40" s="100"/>
      <c r="P40" s="100"/>
      <c r="Q40" s="100"/>
      <c r="R40" s="100"/>
      <c r="S40" s="100"/>
      <c r="T40" s="100"/>
      <c r="U40" s="100"/>
      <c r="V40" s="101"/>
      <c r="W40" s="101"/>
      <c r="X40" s="102"/>
      <c r="Y40" s="102"/>
      <c r="Z40" s="102"/>
      <c r="AA40" s="102"/>
      <c r="AB40" s="103"/>
      <c r="AC40" s="104"/>
      <c r="AD40" s="104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</row>
    <row r="41" spans="1:47" outlineLevel="1"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1:47" outlineLevel="1">
      <c r="C42" s="68" t="s">
        <v>48</v>
      </c>
      <c r="D42" s="31" t="s">
        <v>7</v>
      </c>
      <c r="E42" s="31" t="s">
        <v>8</v>
      </c>
      <c r="F42" s="31" t="s">
        <v>22</v>
      </c>
      <c r="J42" s="109" t="str">
        <f>IF(RIGHT(J$4,2)&gt;=RIGHT('Input|General'!$G$11,2),IF(RIGHT(J$4,2)&lt;=RIGHT('Input|General'!$G$12,2),J$4,""),"")</f>
        <v/>
      </c>
      <c r="K42" s="109" t="str">
        <f ca="1">IF(RIGHT(K$4,2)&gt;=RIGHT('Input|General'!$G$11,2),IF(RIGHT(K$4,2)&lt;=RIGHT('Input|General'!$G$12,2),K$4,""),"")</f>
        <v/>
      </c>
      <c r="L42" s="109" t="str">
        <f ca="1">IF(RIGHT(L$4,2)&gt;=RIGHT('Input|General'!$G$11,2),IF(RIGHT(L$4,2)&lt;=RIGHT('Input|General'!$G$12,2),L$4,""),"")</f>
        <v/>
      </c>
      <c r="M42" s="109" t="str">
        <f ca="1">IF(RIGHT(M$4,2)&gt;=RIGHT('Input|General'!$G$11,2),IF(RIGHT(M$4,2)&lt;=RIGHT('Input|General'!$G$12,2),M$4,""),"")</f>
        <v>2017-18</v>
      </c>
      <c r="N42" s="109" t="str">
        <f ca="1">IF(RIGHT(N$4,2)&gt;=RIGHT('Input|General'!$G$11,2),IF(RIGHT(N$4,2)&lt;=RIGHT('Input|General'!$G$12,2),N$4,""),"")</f>
        <v>2018-19</v>
      </c>
      <c r="O42" s="109" t="str">
        <f ca="1">IF(RIGHT(O$4,2)&gt;=RIGHT('Input|General'!$G$11,2),IF(RIGHT(O$4,2)&lt;=RIGHT('Input|General'!$G$12,2),O$4,""),"")</f>
        <v>2019-20</v>
      </c>
      <c r="P42" s="109" t="str">
        <f ca="1">IF(RIGHT(P$4,2)&gt;=RIGHT('Input|General'!$G$11,2),IF(RIGHT(P$4,2)&lt;=RIGHT('Input|General'!$G$12,2),P$4,""),"")</f>
        <v>2020-21</v>
      </c>
      <c r="Q42" s="109" t="str">
        <f ca="1">IF(RIGHT(Q$4,2)&gt;=RIGHT('Input|General'!$G$11,2),IF(RIGHT(Q$4,2)&lt;=RIGHT('Input|General'!$G$12,2),Q$4,""),"")</f>
        <v>2021-22</v>
      </c>
      <c r="R42" s="28" t="str">
        <f ca="1">IF(RIGHT(R$4,2)&gt;=RIGHT('Input|General'!$G$11,2),IF(RIGHT(R$4,2)&lt;=RIGHT('Input|General'!$G$12,2),R$4,""),"")</f>
        <v/>
      </c>
      <c r="S42" s="28" t="str">
        <f ca="1">IF(RIGHT(S$4,2)&gt;=RIGHT('Input|General'!$G$11,2),IF(RIGHT(S$4,2)&lt;=RIGHT('Input|General'!$G$12,2),S$4,""),"")</f>
        <v/>
      </c>
    </row>
    <row r="43" spans="1:47" outlineLevel="1">
      <c r="C43" s="68"/>
      <c r="J43" s="111"/>
      <c r="K43" s="111"/>
      <c r="L43" s="111"/>
      <c r="M43" s="111"/>
      <c r="N43" s="111"/>
      <c r="O43" s="111"/>
      <c r="P43" s="111"/>
      <c r="Q43" s="111"/>
      <c r="R43" s="122"/>
      <c r="S43" s="122"/>
    </row>
    <row r="44" spans="1:47" outlineLevel="1">
      <c r="B44" s="68"/>
      <c r="C44" s="121"/>
      <c r="J44" s="111"/>
      <c r="K44" s="111"/>
      <c r="L44" s="111"/>
      <c r="M44" s="111"/>
      <c r="N44" s="111"/>
      <c r="O44" s="111"/>
      <c r="P44" s="111"/>
      <c r="Q44" s="111"/>
      <c r="R44" s="122"/>
      <c r="S44" s="122"/>
    </row>
    <row r="45" spans="1:47" outlineLevel="1">
      <c r="C45" s="115" t="s">
        <v>139</v>
      </c>
      <c r="D45" s="114" t="s">
        <v>30</v>
      </c>
      <c r="E45" s="29" t="s">
        <v>31</v>
      </c>
      <c r="F45" s="29" t="s">
        <v>36</v>
      </c>
      <c r="J45" s="122">
        <f>SUMPRODUCT('Input|Rate of change'!K67:K72,'Input|Rate of change'!$M$76:$M$81)</f>
        <v>0</v>
      </c>
      <c r="K45" s="122">
        <f>SUMPRODUCT('Input|Rate of change'!L67:L72,'Input|Rate of change'!$M$76:$M$81)</f>
        <v>0</v>
      </c>
      <c r="L45" s="122">
        <f>SUMPRODUCT('Input|Rate of change'!M67:M72,'Input|Rate of change'!$M$76:$M$81)</f>
        <v>0</v>
      </c>
      <c r="M45" s="122">
        <f>SUMPRODUCT('Input|Rate of change'!N67:N72,'Input|Rate of change'!$M$76:$M$81)</f>
        <v>0</v>
      </c>
      <c r="N45" s="122">
        <f>SUMPRODUCT('Input|Rate of change'!O67:O72,'Input|Rate of change'!$M$76:$M$81)</f>
        <v>0</v>
      </c>
      <c r="O45" s="122">
        <f>SUMPRODUCT('Input|Rate of change'!P67:P72,'Input|Rate of change'!$M$76:$M$81)</f>
        <v>0</v>
      </c>
      <c r="P45" s="122">
        <f>SUMPRODUCT('Input|Rate of change'!Q67:Q72,'Input|Rate of change'!$M$76:$M$81)</f>
        <v>0</v>
      </c>
      <c r="Q45" s="122">
        <f>SUMPRODUCT('Input|Rate of change'!R67:R72,'Input|Rate of change'!$M$76:$M$81)</f>
        <v>0</v>
      </c>
      <c r="R45" s="122">
        <f>SUMPRODUCT('Input|Rate of change'!S67:S72,'Input|Rate of change'!$M$76:$M$81)</f>
        <v>0</v>
      </c>
      <c r="S45" s="122">
        <f>SUMPRODUCT('Input|Rate of change'!T67:T72,'Input|Rate of change'!$M$76:$M$81)</f>
        <v>0</v>
      </c>
    </row>
    <row r="46" spans="1:47" outlineLevel="1">
      <c r="J46" s="122"/>
      <c r="K46" s="122"/>
      <c r="L46" s="122"/>
      <c r="M46" s="122"/>
      <c r="N46" s="122"/>
      <c r="O46" s="122"/>
      <c r="P46" s="122"/>
      <c r="Q46" s="122"/>
      <c r="R46" s="122"/>
      <c r="S46" s="122"/>
    </row>
    <row r="47" spans="1:47" outlineLevel="1">
      <c r="C47" s="115" t="s">
        <v>104</v>
      </c>
      <c r="D47" s="114" t="s">
        <v>30</v>
      </c>
      <c r="E47" s="29" t="s">
        <v>31</v>
      </c>
      <c r="F47" s="29" t="s">
        <v>36</v>
      </c>
      <c r="J47" s="122">
        <f>SUMPRODUCT('Input|Rate of change'!K32:K39,'Input|Rate of change'!K43:K50)</f>
        <v>0</v>
      </c>
      <c r="K47" s="122">
        <f>SUMPRODUCT('Input|Rate of change'!L32:L39,'Input|Rate of change'!L43:L50)</f>
        <v>0</v>
      </c>
      <c r="L47" s="122">
        <f>SUMPRODUCT('Input|Rate of change'!M32:M39,'Input|Rate of change'!M43:M50)</f>
        <v>0</v>
      </c>
      <c r="M47" s="122">
        <f>SUMPRODUCT('Input|Rate of change'!N32:N39,'Input|Rate of change'!N43:N50)</f>
        <v>5.7117411735792562E-3</v>
      </c>
      <c r="N47" s="122">
        <f>SUMPRODUCT('Input|Rate of change'!O32:O39,'Input|Rate of change'!O43:O50)</f>
        <v>5.4486816025873797E-3</v>
      </c>
      <c r="O47" s="122">
        <f>SUMPRODUCT('Input|Rate of change'!P32:P39,'Input|Rate of change'!P43:P50)</f>
        <v>6.2971050917300479E-3</v>
      </c>
      <c r="P47" s="122">
        <f>SUMPRODUCT('Input|Rate of change'!Q32:Q39,'Input|Rate of change'!Q43:Q50)</f>
        <v>5.9256993192216591E-3</v>
      </c>
      <c r="Q47" s="122">
        <f>SUMPRODUCT('Input|Rate of change'!R32:R39,'Input|Rate of change'!R43:R50)</f>
        <v>5.801242718470781E-3</v>
      </c>
      <c r="R47" s="122">
        <f>SUMPRODUCT('Input|Rate of change'!S32:S39,'Input|Rate of change'!S43:S50)</f>
        <v>0</v>
      </c>
      <c r="S47" s="122">
        <f>SUMPRODUCT('Input|Rate of change'!T32:T39,'Input|Rate of change'!T43:T50)</f>
        <v>0</v>
      </c>
    </row>
    <row r="48" spans="1:47" outlineLevel="1">
      <c r="C48" s="115"/>
      <c r="J48" s="122"/>
      <c r="K48" s="122"/>
      <c r="L48" s="122"/>
      <c r="M48" s="122"/>
      <c r="N48" s="122"/>
      <c r="O48" s="122"/>
      <c r="P48" s="122"/>
      <c r="Q48" s="122"/>
      <c r="R48" s="122"/>
      <c r="S48" s="122"/>
    </row>
    <row r="49" spans="1:47" outlineLevel="1">
      <c r="C49" s="115" t="s">
        <v>131</v>
      </c>
      <c r="D49" s="114" t="s">
        <v>30</v>
      </c>
      <c r="E49" s="29" t="s">
        <v>31</v>
      </c>
      <c r="F49" s="29" t="s">
        <v>36</v>
      </c>
      <c r="J49" s="122">
        <f>'Input|Rate of change'!K89</f>
        <v>0</v>
      </c>
      <c r="K49" s="122">
        <f>'Input|Rate of change'!L89</f>
        <v>0</v>
      </c>
      <c r="L49" s="122">
        <f>'Input|Rate of change'!M89</f>
        <v>0</v>
      </c>
      <c r="M49" s="122">
        <f>'Input|Rate of change'!N89</f>
        <v>0</v>
      </c>
      <c r="N49" s="122">
        <f>'Input|Rate of change'!O89</f>
        <v>0</v>
      </c>
      <c r="O49" s="122">
        <f>'Input|Rate of change'!P89</f>
        <v>0</v>
      </c>
      <c r="P49" s="122">
        <f>'Input|Rate of change'!Q89</f>
        <v>0</v>
      </c>
      <c r="Q49" s="122">
        <f>'Input|Rate of change'!R89</f>
        <v>0</v>
      </c>
      <c r="R49" s="122">
        <f>'Input|Rate of change'!S89</f>
        <v>0</v>
      </c>
      <c r="S49" s="122">
        <f>'Input|Rate of change'!T89</f>
        <v>0</v>
      </c>
    </row>
    <row r="50" spans="1:47" outlineLevel="1">
      <c r="C50" s="115"/>
      <c r="J50" s="117"/>
      <c r="K50" s="117"/>
      <c r="L50" s="117"/>
      <c r="M50" s="117"/>
      <c r="N50" s="117"/>
      <c r="O50" s="117"/>
      <c r="P50" s="117"/>
      <c r="Q50" s="117"/>
      <c r="R50" s="122"/>
      <c r="S50" s="122"/>
    </row>
    <row r="51" spans="1:47" outlineLevel="1">
      <c r="C51" s="123" t="s">
        <v>132</v>
      </c>
      <c r="D51" s="119" t="s">
        <v>30</v>
      </c>
      <c r="E51" s="119" t="s">
        <v>31</v>
      </c>
      <c r="F51" s="119" t="s">
        <v>36</v>
      </c>
      <c r="J51" s="122">
        <f>(1+J45)*(1+J47)*(1-J49)-1</f>
        <v>0</v>
      </c>
      <c r="K51" s="122">
        <f t="shared" ref="K51:S51" si="1">(1+K45)*(1+K47)*(1-K49)-1</f>
        <v>0</v>
      </c>
      <c r="L51" s="122">
        <f t="shared" si="1"/>
        <v>0</v>
      </c>
      <c r="M51" s="122">
        <f t="shared" si="1"/>
        <v>5.711741173579199E-3</v>
      </c>
      <c r="N51" s="122">
        <f t="shared" si="1"/>
        <v>5.4486816025873797E-3</v>
      </c>
      <c r="O51" s="122">
        <f t="shared" si="1"/>
        <v>6.297105091729982E-3</v>
      </c>
      <c r="P51" s="122">
        <f t="shared" si="1"/>
        <v>5.9256993192216001E-3</v>
      </c>
      <c r="Q51" s="122">
        <f t="shared" si="1"/>
        <v>5.8012427184708226E-3</v>
      </c>
      <c r="R51" s="122">
        <f t="shared" si="1"/>
        <v>0</v>
      </c>
      <c r="S51" s="122">
        <f t="shared" si="1"/>
        <v>0</v>
      </c>
    </row>
    <row r="52" spans="1:47">
      <c r="J52" s="111"/>
      <c r="K52" s="111"/>
      <c r="L52" s="111"/>
      <c r="M52" s="111"/>
      <c r="N52" s="111"/>
      <c r="O52" s="124"/>
      <c r="P52" s="124"/>
      <c r="Q52" s="124"/>
      <c r="R52" s="124"/>
      <c r="S52" s="124"/>
    </row>
    <row r="53" spans="1:47" s="106" customFormat="1" ht="12.75">
      <c r="A53" s="97"/>
      <c r="B53" s="98" t="s">
        <v>113</v>
      </c>
      <c r="C53" s="97"/>
      <c r="D53" s="97"/>
      <c r="E53" s="97"/>
      <c r="F53" s="99"/>
      <c r="G53" s="99"/>
      <c r="H53" s="99"/>
      <c r="I53" s="99"/>
      <c r="J53" s="100"/>
      <c r="K53" s="101"/>
      <c r="L53" s="100"/>
      <c r="M53" s="101"/>
      <c r="N53" s="100"/>
      <c r="O53" s="100"/>
      <c r="P53" s="100"/>
      <c r="Q53" s="100"/>
      <c r="R53" s="100"/>
      <c r="S53" s="100"/>
      <c r="T53" s="100"/>
      <c r="U53" s="100"/>
      <c r="V53" s="101"/>
      <c r="W53" s="101"/>
      <c r="X53" s="102"/>
      <c r="Y53" s="102"/>
      <c r="Z53" s="102"/>
      <c r="AA53" s="102"/>
      <c r="AB53" s="103"/>
      <c r="AC53" s="104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</row>
    <row r="54" spans="1:47" outlineLevel="1">
      <c r="C54" s="110"/>
      <c r="J54" s="111"/>
      <c r="K54" s="111"/>
      <c r="L54" s="111"/>
    </row>
    <row r="55" spans="1:47" outlineLevel="1">
      <c r="C55" s="68" t="s">
        <v>133</v>
      </c>
      <c r="D55" s="31" t="s">
        <v>7</v>
      </c>
      <c r="E55" s="31" t="s">
        <v>8</v>
      </c>
      <c r="F55" s="31" t="s">
        <v>22</v>
      </c>
      <c r="J55" s="109" t="str">
        <f>IF(RIGHT(J$4,2)&gt;=RIGHT('Input|General'!$G$11,2),IF(RIGHT(J$4,2)&lt;=RIGHT('Input|General'!$G$12,2),J$4,""),"")</f>
        <v/>
      </c>
      <c r="K55" s="109" t="str">
        <f ca="1">IF(RIGHT(K$4,2)&gt;=RIGHT('Input|General'!$G$11,2),IF(RIGHT(K$4,2)&lt;=RIGHT('Input|General'!$G$12,2),K$4,""),"")</f>
        <v/>
      </c>
      <c r="L55" s="109" t="str">
        <f ca="1">IF(RIGHT(L$4,2)&gt;=RIGHT('Input|General'!$G$11,2),IF(RIGHT(L$4,2)&lt;=RIGHT('Input|General'!$G$12,2),L$4,""),"")</f>
        <v/>
      </c>
      <c r="M55" s="109" t="str">
        <f ca="1">IF(RIGHT(M$4,2)&gt;=RIGHT('Input|General'!$G$11,2),IF(RIGHT(M$4,2)&lt;=RIGHT('Input|General'!$G$12,2),M$4,""),"")</f>
        <v>2017-18</v>
      </c>
      <c r="N55" s="109" t="str">
        <f ca="1">IF(RIGHT(N$4,2)&gt;=RIGHT('Input|General'!$G$11,2),IF(RIGHT(N$4,2)&lt;=RIGHT('Input|General'!$G$12,2),N$4,""),"")</f>
        <v>2018-19</v>
      </c>
      <c r="O55" s="109" t="str">
        <f ca="1">IF(RIGHT(O$4,2)&gt;=RIGHT('Input|General'!$G$11,2),IF(RIGHT(O$4,2)&lt;=RIGHT('Input|General'!$G$12,2),O$4,""),"")</f>
        <v>2019-20</v>
      </c>
      <c r="P55" s="109" t="str">
        <f ca="1">IF(RIGHT(P$4,2)&gt;=RIGHT('Input|General'!$G$11,2),IF(RIGHT(P$4,2)&lt;=RIGHT('Input|General'!$G$12,2),P$4,""),"")</f>
        <v>2020-21</v>
      </c>
      <c r="Q55" s="109" t="str">
        <f ca="1">IF(RIGHT(Q$4,2)&gt;=RIGHT('Input|General'!$G$11,2),IF(RIGHT(Q$4,2)&lt;=RIGHT('Input|General'!$G$12,2),Q$4,""),"")</f>
        <v>2021-22</v>
      </c>
      <c r="R55" s="28" t="str">
        <f ca="1">IF(RIGHT(R$4,2)&gt;=RIGHT('Input|General'!$G$11,2),IF(RIGHT(R$4,2)&lt;=RIGHT('Input|General'!$G$12,2),R$4,""),"")</f>
        <v/>
      </c>
      <c r="S55" s="28" t="str">
        <f ca="1">IF(RIGHT(S$4,2)&gt;=RIGHT('Input|General'!$G$11,2),IF(RIGHT(S$4,2)&lt;=RIGHT('Input|General'!$G$12,2),S$4,""),"")</f>
        <v/>
      </c>
    </row>
    <row r="56" spans="1:47" outlineLevel="1">
      <c r="C56" s="68"/>
      <c r="J56" s="125"/>
      <c r="K56" s="125"/>
      <c r="L56" s="125"/>
      <c r="M56" s="125"/>
      <c r="N56" s="125"/>
      <c r="O56" s="125"/>
      <c r="P56" s="125"/>
      <c r="Q56" s="125"/>
    </row>
    <row r="57" spans="1:47" outlineLevel="1">
      <c r="C57" s="126" t="str">
        <f>'Input|Step changes'!C12</f>
        <v>Synchronous condenser decommissioning</v>
      </c>
      <c r="D57" s="114" t="s">
        <v>30</v>
      </c>
      <c r="E57" s="29" t="str">
        <f t="shared" ref="E57:E68" si="2">$E$8</f>
        <v>$millions</v>
      </c>
      <c r="F57" s="29" t="str">
        <f>$F$8</f>
        <v>2016-17</v>
      </c>
      <c r="J57" s="132">
        <f ca="1">'Input|Step changes'!J12*IF('Input|Step changes'!$F12="nominal",LOOKUP($F57,Nominal_to_Real,'Input|Rate of change'!N$23:N$26),INDEX('Input|Rate of change'!$C$14:$O$19,MATCH('Input|Step changes'!$F12,'Input|Rate of change'!$C$14:$C$19,0),MATCH('Calc|Opex forecast'!$F57,'Input|Rate of change'!$C$14:$O$14,0)))*IF('Input|Step changes'!$E12="$millions",1000000,IF('Input|Step changes'!$E12="$000",1000,1))/IF($E57="$millions",1000000,IF($E57="$000",1000,1))</f>
        <v>0</v>
      </c>
      <c r="K57" s="132">
        <f ca="1">'Input|Step changes'!K12*IF('Input|Step changes'!$F12="nominal",LOOKUP($F57,Nominal_to_Real,'Input|Rate of change'!O$23:O$26),INDEX('Input|Rate of change'!$C$14:$O$19,MATCH('Input|Step changes'!$F12,'Input|Rate of change'!$C$14:$C$19,0),MATCH('Calc|Opex forecast'!$F57,'Input|Rate of change'!$C$14:$O$14,0)))*IF('Input|Step changes'!$E12="$millions",1000000,IF('Input|Step changes'!$E12="$000",1000,1))/IF($E57="$millions",1000000,IF($E57="$000",1000,1))</f>
        <v>0</v>
      </c>
      <c r="L57" s="132">
        <f ca="1">'Input|Step changes'!L12*IF('Input|Step changes'!$F12="nominal",LOOKUP($F57,Nominal_to_Real,'Input|Rate of change'!P$23:P$26),INDEX('Input|Rate of change'!$C$14:$O$19,MATCH('Input|Step changes'!$F12,'Input|Rate of change'!$C$14:$C$19,0),MATCH('Calc|Opex forecast'!$F57,'Input|Rate of change'!$C$14:$O$14,0)))*IF('Input|Step changes'!$E12="$millions",1000000,IF('Input|Step changes'!$E12="$000",1000,1))/IF($E57="$millions",1000000,IF($E57="$000",1000,1))</f>
        <v>0</v>
      </c>
      <c r="M57" s="132">
        <f ca="1">'Input|Step changes'!M12*IF('Input|Step changes'!$F12="nominal",LOOKUP($F57,Nominal_to_Real,'Input|Rate of change'!Q$23:Q$26),INDEX('Input|Rate of change'!$C$14:$O$19,MATCH('Input|Step changes'!$F12,'Input|Rate of change'!$C$14:$C$19,0),MATCH('Calc|Opex forecast'!$F57,'Input|Rate of change'!$C$14:$O$14,0)))*IF('Input|Step changes'!$E12="$millions",1000000,IF('Input|Step changes'!$E12="$000",1000,1))/IF($E57="$millions",1000000,IF($E57="$000",1000,1))</f>
        <v>0</v>
      </c>
      <c r="N57" s="132">
        <f ca="1">'Input|Step changes'!N12*IF('Input|Step changes'!$F12="nominal",LOOKUP($F57,Nominal_to_Real,'Input|Rate of change'!R$23:R$26),INDEX('Input|Rate of change'!$C$14:$O$19,MATCH('Input|Step changes'!$F12,'Input|Rate of change'!$C$14:$C$19,0),MATCH('Calc|Opex forecast'!$F57,'Input|Rate of change'!$C$14:$O$14,0)))*IF('Input|Step changes'!$E12="$millions",1000000,IF('Input|Step changes'!$E12="$000",1000,1))/IF($E57="$millions",1000000,IF($E57="$000",1000,1))</f>
        <v>0</v>
      </c>
      <c r="O57" s="132">
        <f ca="1">'Input|Step changes'!O12*IF('Input|Step changes'!$F12="nominal",LOOKUP($F57,Nominal_to_Real,'Input|Rate of change'!S$23:S$26),INDEX('Input|Rate of change'!$C$14:$O$19,MATCH('Input|Step changes'!$F12,'Input|Rate of change'!$C$14:$C$19,0),MATCH('Calc|Opex forecast'!$F57,'Input|Rate of change'!$C$14:$O$14,0)))*IF('Input|Step changes'!$E12="$millions",1000000,IF('Input|Step changes'!$E12="$000",1000,1))/IF($E57="$millions",1000000,IF($E57="$000",1000,1))</f>
        <v>0</v>
      </c>
      <c r="P57" s="132">
        <f ca="1">'Input|Step changes'!P12*IF('Input|Step changes'!$F12="nominal",LOOKUP($F57,Nominal_to_Real,'Input|Rate of change'!T$23:T$26),INDEX('Input|Rate of change'!$C$14:$O$19,MATCH('Input|Step changes'!$F12,'Input|Rate of change'!$C$14:$C$19,0),MATCH('Calc|Opex forecast'!$F57,'Input|Rate of change'!$C$14:$O$14,0)))*IF('Input|Step changes'!$E12="$millions",1000000,IF('Input|Step changes'!$E12="$000",1000,1))/IF($E57="$millions",1000000,IF($E57="$000",1000,1))</f>
        <v>0</v>
      </c>
      <c r="Q57" s="132">
        <f ca="1">'Input|Step changes'!Q12*IF('Input|Step changes'!$F12="nominal",LOOKUP($F57,Nominal_to_Real,'Input|Rate of change'!U$23:U$26),INDEX('Input|Rate of change'!$C$14:$O$19,MATCH('Input|Step changes'!$F12,'Input|Rate of change'!$C$14:$C$19,0),MATCH('Calc|Opex forecast'!$F57,'Input|Rate of change'!$C$14:$O$14,0)))*IF('Input|Step changes'!$E12="$millions",1000000,IF('Input|Step changes'!$E12="$000",1000,1))/IF($E57="$millions",1000000,IF($E57="$000",1000,1))</f>
        <v>0</v>
      </c>
      <c r="R57" s="132">
        <f ca="1">'Input|Step changes'!R12*IF('Input|Step changes'!$F12="nominal",LOOKUP($F57,Nominal_to_Real,'Input|Rate of change'!V$23:V$26),INDEX('Input|Rate of change'!$C$14:$O$19,MATCH('Input|Step changes'!$F12,'Input|Rate of change'!$C$14:$C$19,0),MATCH('Calc|Opex forecast'!$F57,'Input|Rate of change'!$C$14:$O$14,0)))*IF('Input|Step changes'!$E12="$millions",1000000,IF('Input|Step changes'!$E12="$000",1000,1))/IF($E57="$millions",1000000,IF($E57="$000",1000,1))</f>
        <v>0</v>
      </c>
      <c r="S57" s="132">
        <f ca="1">'Input|Step changes'!S12*IF('Input|Step changes'!$F12="nominal",LOOKUP($F57,Nominal_to_Real,'Input|Rate of change'!W$23:W$26),INDEX('Input|Rate of change'!$C$14:$O$19,MATCH('Input|Step changes'!$F12,'Input|Rate of change'!$C$14:$C$19,0),MATCH('Calc|Opex forecast'!$F57,'Input|Rate of change'!$C$14:$O$14,0)))*IF('Input|Step changes'!$E12="$millions",1000000,IF('Input|Step changes'!$E12="$000",1000,1))/IF($E57="$millions",1000000,IF($E57="$000",1000,1))</f>
        <v>0</v>
      </c>
    </row>
    <row r="58" spans="1:47" outlineLevel="1">
      <c r="C58" s="126" t="str">
        <f>'Input|Step changes'!C13</f>
        <v>SAIP roll out</v>
      </c>
      <c r="D58" s="114" t="s">
        <v>30</v>
      </c>
      <c r="E58" s="29" t="str">
        <f t="shared" si="2"/>
        <v>$millions</v>
      </c>
      <c r="F58" s="29" t="str">
        <f t="shared" ref="F58:F68" si="3">$F$8</f>
        <v>2016-17</v>
      </c>
      <c r="J58" s="132">
        <f ca="1">'Input|Step changes'!J13*IF('Input|Step changes'!$F13="nominal",LOOKUP($F58,Nominal_to_Real,'Input|Rate of change'!N$23:N$26),INDEX('Input|Rate of change'!$C$14:$O$19,MATCH('Input|Step changes'!$F13,'Input|Rate of change'!$C$14:$C$19,0),MATCH('Calc|Opex forecast'!$F58,'Input|Rate of change'!$C$14:$O$14,0)))*IF('Input|Step changes'!$E13="$millions",1000000,IF('Input|Step changes'!$E13="$000",1000,1))/IF($E58="$millions",1000000,IF($E58="$000",1000,1))</f>
        <v>0</v>
      </c>
      <c r="K58" s="132">
        <f ca="1">'Input|Step changes'!K13*IF('Input|Step changes'!$F13="nominal",LOOKUP($F58,Nominal_to_Real,'Input|Rate of change'!O$23:O$26),INDEX('Input|Rate of change'!$C$14:$O$19,MATCH('Input|Step changes'!$F13,'Input|Rate of change'!$C$14:$C$19,0),MATCH('Calc|Opex forecast'!$F58,'Input|Rate of change'!$C$14:$O$14,0)))*IF('Input|Step changes'!$E13="$millions",1000000,IF('Input|Step changes'!$E13="$000",1000,1))/IF($E58="$millions",1000000,IF($E58="$000",1000,1))</f>
        <v>0</v>
      </c>
      <c r="L58" s="132">
        <f ca="1">'Input|Step changes'!L13*IF('Input|Step changes'!$F13="nominal",LOOKUP($F58,Nominal_to_Real,'Input|Rate of change'!P$23:P$26),INDEX('Input|Rate of change'!$C$14:$O$19,MATCH('Input|Step changes'!$F13,'Input|Rate of change'!$C$14:$C$19,0),MATCH('Calc|Opex forecast'!$F58,'Input|Rate of change'!$C$14:$O$14,0)))*IF('Input|Step changes'!$E13="$millions",1000000,IF('Input|Step changes'!$E13="$000",1000,1))/IF($E58="$millions",1000000,IF($E58="$000",1000,1))</f>
        <v>0</v>
      </c>
      <c r="M58" s="132">
        <f ca="1">'Input|Step changes'!M13*IF('Input|Step changes'!$F13="nominal",LOOKUP($F58,Nominal_to_Real,'Input|Rate of change'!Q$23:Q$26),INDEX('Input|Rate of change'!$C$14:$O$19,MATCH('Input|Step changes'!$F13,'Input|Rate of change'!$C$14:$C$19,0),MATCH('Calc|Opex forecast'!$F58,'Input|Rate of change'!$C$14:$O$14,0)))*IF('Input|Step changes'!$E13="$millions",1000000,IF('Input|Step changes'!$E13="$000",1000,1))/IF($E58="$millions",1000000,IF($E58="$000",1000,1))</f>
        <v>0</v>
      </c>
      <c r="N58" s="132">
        <f ca="1">'Input|Step changes'!N13*IF('Input|Step changes'!$F13="nominal",LOOKUP($F58,Nominal_to_Real,'Input|Rate of change'!R$23:R$26),INDEX('Input|Rate of change'!$C$14:$O$19,MATCH('Input|Step changes'!$F13,'Input|Rate of change'!$C$14:$C$19,0),MATCH('Calc|Opex forecast'!$F58,'Input|Rate of change'!$C$14:$O$14,0)))*IF('Input|Step changes'!$E13="$millions",1000000,IF('Input|Step changes'!$E13="$000",1000,1))/IF($E58="$millions",1000000,IF($E58="$000",1000,1))</f>
        <v>0</v>
      </c>
      <c r="O58" s="132">
        <f ca="1">'Input|Step changes'!O13*IF('Input|Step changes'!$F13="nominal",LOOKUP($F58,Nominal_to_Real,'Input|Rate of change'!S$23:S$26),INDEX('Input|Rate of change'!$C$14:$O$19,MATCH('Input|Step changes'!$F13,'Input|Rate of change'!$C$14:$C$19,0),MATCH('Calc|Opex forecast'!$F58,'Input|Rate of change'!$C$14:$O$14,0)))*IF('Input|Step changes'!$E13="$millions",1000000,IF('Input|Step changes'!$E13="$000",1000,1))/IF($E58="$millions",1000000,IF($E58="$000",1000,1))</f>
        <v>0</v>
      </c>
      <c r="P58" s="132">
        <f ca="1">'Input|Step changes'!P13*IF('Input|Step changes'!$F13="nominal",LOOKUP($F58,Nominal_to_Real,'Input|Rate of change'!T$23:T$26),INDEX('Input|Rate of change'!$C$14:$O$19,MATCH('Input|Step changes'!$F13,'Input|Rate of change'!$C$14:$C$19,0),MATCH('Calc|Opex forecast'!$F58,'Input|Rate of change'!$C$14:$O$14,0)))*IF('Input|Step changes'!$E13="$millions",1000000,IF('Input|Step changes'!$E13="$000",1000,1))/IF($E58="$millions",1000000,IF($E58="$000",1000,1))</f>
        <v>0</v>
      </c>
      <c r="Q58" s="132">
        <f ca="1">'Input|Step changes'!Q13*IF('Input|Step changes'!$F13="nominal",LOOKUP($F58,Nominal_to_Real,'Input|Rate of change'!U$23:U$26),INDEX('Input|Rate of change'!$C$14:$O$19,MATCH('Input|Step changes'!$F13,'Input|Rate of change'!$C$14:$C$19,0),MATCH('Calc|Opex forecast'!$F58,'Input|Rate of change'!$C$14:$O$14,0)))*IF('Input|Step changes'!$E13="$millions",1000000,IF('Input|Step changes'!$E13="$000",1000,1))/IF($E58="$millions",1000000,IF($E58="$000",1000,1))</f>
        <v>0</v>
      </c>
      <c r="R58" s="132">
        <f ca="1">'Input|Step changes'!R13*IF('Input|Step changes'!$F13="nominal",LOOKUP($F58,Nominal_to_Real,'Input|Rate of change'!V$23:V$26),INDEX('Input|Rate of change'!$C$14:$O$19,MATCH('Input|Step changes'!$F13,'Input|Rate of change'!$C$14:$C$19,0),MATCH('Calc|Opex forecast'!$F58,'Input|Rate of change'!$C$14:$O$14,0)))*IF('Input|Step changes'!$E13="$millions",1000000,IF('Input|Step changes'!$E13="$000",1000,1))/IF($E58="$millions",1000000,IF($E58="$000",1000,1))</f>
        <v>0</v>
      </c>
      <c r="S58" s="132">
        <f ca="1">'Input|Step changes'!S13*IF('Input|Step changes'!$F13="nominal",LOOKUP($F58,Nominal_to_Real,'Input|Rate of change'!W$23:W$26),INDEX('Input|Rate of change'!$C$14:$O$19,MATCH('Input|Step changes'!$F13,'Input|Rate of change'!$C$14:$C$19,0),MATCH('Calc|Opex forecast'!$F58,'Input|Rate of change'!$C$14:$O$14,0)))*IF('Input|Step changes'!$E13="$millions",1000000,IF('Input|Step changes'!$E13="$000",1000,1))/IF($E58="$millions",1000000,IF($E58="$000",1000,1))</f>
        <v>0</v>
      </c>
    </row>
    <row r="59" spans="1:47" outlineLevel="1">
      <c r="C59" s="126" t="str">
        <f>'Input|Step changes'!C14</f>
        <v>Establishment of IT security team</v>
      </c>
      <c r="D59" s="114" t="s">
        <v>30</v>
      </c>
      <c r="E59" s="29" t="str">
        <f t="shared" si="2"/>
        <v>$millions</v>
      </c>
      <c r="F59" s="29" t="str">
        <f t="shared" si="3"/>
        <v>2016-17</v>
      </c>
      <c r="J59" s="132">
        <f ca="1">'Input|Step changes'!J14*IF('Input|Step changes'!$F14="nominal",LOOKUP($F59,Nominal_to_Real,'Input|Rate of change'!N$23:N$26),INDEX('Input|Rate of change'!$C$14:$O$19,MATCH('Input|Step changes'!$F14,'Input|Rate of change'!$C$14:$C$19,0),MATCH('Calc|Opex forecast'!$F59,'Input|Rate of change'!$C$14:$O$14,0)))*IF('Input|Step changes'!$E14="$millions",1000000,IF('Input|Step changes'!$E14="$000",1000,1))/IF($E59="$millions",1000000,IF($E59="$000",1000,1))</f>
        <v>0</v>
      </c>
      <c r="K59" s="132">
        <f ca="1">'Input|Step changes'!K14*IF('Input|Step changes'!$F14="nominal",LOOKUP($F59,Nominal_to_Real,'Input|Rate of change'!O$23:O$26),INDEX('Input|Rate of change'!$C$14:$O$19,MATCH('Input|Step changes'!$F14,'Input|Rate of change'!$C$14:$C$19,0),MATCH('Calc|Opex forecast'!$F59,'Input|Rate of change'!$C$14:$O$14,0)))*IF('Input|Step changes'!$E14="$millions",1000000,IF('Input|Step changes'!$E14="$000",1000,1))/IF($E59="$millions",1000000,IF($E59="$000",1000,1))</f>
        <v>0</v>
      </c>
      <c r="L59" s="132">
        <f ca="1">'Input|Step changes'!L14*IF('Input|Step changes'!$F14="nominal",LOOKUP($F59,Nominal_to_Real,'Input|Rate of change'!P$23:P$26),INDEX('Input|Rate of change'!$C$14:$O$19,MATCH('Input|Step changes'!$F14,'Input|Rate of change'!$C$14:$C$19,0),MATCH('Calc|Opex forecast'!$F59,'Input|Rate of change'!$C$14:$O$14,0)))*IF('Input|Step changes'!$E14="$millions",1000000,IF('Input|Step changes'!$E14="$000",1000,1))/IF($E59="$millions",1000000,IF($E59="$000",1000,1))</f>
        <v>0</v>
      </c>
      <c r="M59" s="132">
        <f ca="1">'Input|Step changes'!M14*IF('Input|Step changes'!$F14="nominal",LOOKUP($F59,Nominal_to_Real,'Input|Rate of change'!Q$23:Q$26),INDEX('Input|Rate of change'!$C$14:$O$19,MATCH('Input|Step changes'!$F14,'Input|Rate of change'!$C$14:$C$19,0),MATCH('Calc|Opex forecast'!$F59,'Input|Rate of change'!$C$14:$O$14,0)))*IF('Input|Step changes'!$E14="$millions",1000000,IF('Input|Step changes'!$E14="$000",1000,1))/IF($E59="$millions",1000000,IF($E59="$000",1000,1))</f>
        <v>0</v>
      </c>
      <c r="N59" s="132">
        <f ca="1">'Input|Step changes'!N14*IF('Input|Step changes'!$F14="nominal",LOOKUP($F59,Nominal_to_Real,'Input|Rate of change'!R$23:R$26),INDEX('Input|Rate of change'!$C$14:$O$19,MATCH('Input|Step changes'!$F14,'Input|Rate of change'!$C$14:$C$19,0),MATCH('Calc|Opex forecast'!$F59,'Input|Rate of change'!$C$14:$O$14,0)))*IF('Input|Step changes'!$E14="$millions",1000000,IF('Input|Step changes'!$E14="$000",1000,1))/IF($E59="$millions",1000000,IF($E59="$000",1000,1))</f>
        <v>0</v>
      </c>
      <c r="O59" s="132">
        <f ca="1">'Input|Step changes'!O14*IF('Input|Step changes'!$F14="nominal",LOOKUP($F59,Nominal_to_Real,'Input|Rate of change'!S$23:S$26),INDEX('Input|Rate of change'!$C$14:$O$19,MATCH('Input|Step changes'!$F14,'Input|Rate of change'!$C$14:$C$19,0),MATCH('Calc|Opex forecast'!$F59,'Input|Rate of change'!$C$14:$O$14,0)))*IF('Input|Step changes'!$E14="$millions",1000000,IF('Input|Step changes'!$E14="$000",1000,1))/IF($E59="$millions",1000000,IF($E59="$000",1000,1))</f>
        <v>0</v>
      </c>
      <c r="P59" s="132">
        <f ca="1">'Input|Step changes'!P14*IF('Input|Step changes'!$F14="nominal",LOOKUP($F59,Nominal_to_Real,'Input|Rate of change'!T$23:T$26),INDEX('Input|Rate of change'!$C$14:$O$19,MATCH('Input|Step changes'!$F14,'Input|Rate of change'!$C$14:$C$19,0),MATCH('Calc|Opex forecast'!$F59,'Input|Rate of change'!$C$14:$O$14,0)))*IF('Input|Step changes'!$E14="$millions",1000000,IF('Input|Step changes'!$E14="$000",1000,1))/IF($E59="$millions",1000000,IF($E59="$000",1000,1))</f>
        <v>0</v>
      </c>
      <c r="Q59" s="132">
        <f ca="1">'Input|Step changes'!Q14*IF('Input|Step changes'!$F14="nominal",LOOKUP($F59,Nominal_to_Real,'Input|Rate of change'!U$23:U$26),INDEX('Input|Rate of change'!$C$14:$O$19,MATCH('Input|Step changes'!$F14,'Input|Rate of change'!$C$14:$C$19,0),MATCH('Calc|Opex forecast'!$F59,'Input|Rate of change'!$C$14:$O$14,0)))*IF('Input|Step changes'!$E14="$millions",1000000,IF('Input|Step changes'!$E14="$000",1000,1))/IF($E59="$millions",1000000,IF($E59="$000",1000,1))</f>
        <v>0</v>
      </c>
      <c r="R59" s="132">
        <f ca="1">'Input|Step changes'!R14*IF('Input|Step changes'!$F14="nominal",LOOKUP($F59,Nominal_to_Real,'Input|Rate of change'!V$23:V$26),INDEX('Input|Rate of change'!$C$14:$O$19,MATCH('Input|Step changes'!$F14,'Input|Rate of change'!$C$14:$C$19,0),MATCH('Calc|Opex forecast'!$F59,'Input|Rate of change'!$C$14:$O$14,0)))*IF('Input|Step changes'!$E14="$millions",1000000,IF('Input|Step changes'!$E14="$000",1000,1))/IF($E59="$millions",1000000,IF($E59="$000",1000,1))</f>
        <v>0</v>
      </c>
      <c r="S59" s="132">
        <f ca="1">'Input|Step changes'!S14*IF('Input|Step changes'!$F14="nominal",LOOKUP($F59,Nominal_to_Real,'Input|Rate of change'!W$23:W$26),INDEX('Input|Rate of change'!$C$14:$O$19,MATCH('Input|Step changes'!$F14,'Input|Rate of change'!$C$14:$C$19,0),MATCH('Calc|Opex forecast'!$F59,'Input|Rate of change'!$C$14:$O$14,0)))*IF('Input|Step changes'!$E14="$millions",1000000,IF('Input|Step changes'!$E14="$000",1000,1))/IF($E59="$millions",1000000,IF($E59="$000",1000,1))</f>
        <v>0</v>
      </c>
    </row>
    <row r="60" spans="1:47" outlineLevel="1">
      <c r="C60" s="126" t="str">
        <f>'Input|Step changes'!C15</f>
        <v>New emergency response arrangements</v>
      </c>
      <c r="D60" s="114" t="s">
        <v>30</v>
      </c>
      <c r="E60" s="29" t="str">
        <f t="shared" si="2"/>
        <v>$millions</v>
      </c>
      <c r="F60" s="29" t="str">
        <f t="shared" si="3"/>
        <v>2016-17</v>
      </c>
      <c r="J60" s="132">
        <f ca="1">'Input|Step changes'!J15*IF('Input|Step changes'!$F15="nominal",LOOKUP($F60,Nominal_to_Real,'Input|Rate of change'!N$23:N$26),INDEX('Input|Rate of change'!$C$14:$O$19,MATCH('Input|Step changes'!$F15,'Input|Rate of change'!$C$14:$C$19,0),MATCH('Calc|Opex forecast'!$F60,'Input|Rate of change'!$C$14:$O$14,0)))*IF('Input|Step changes'!$E15="$millions",1000000,IF('Input|Step changes'!$E15="$000",1000,1))/IF($E60="$millions",1000000,IF($E60="$000",1000,1))</f>
        <v>0</v>
      </c>
      <c r="K60" s="132">
        <f ca="1">'Input|Step changes'!K15*IF('Input|Step changes'!$F15="nominal",LOOKUP($F60,Nominal_to_Real,'Input|Rate of change'!O$23:O$26),INDEX('Input|Rate of change'!$C$14:$O$19,MATCH('Input|Step changes'!$F15,'Input|Rate of change'!$C$14:$C$19,0),MATCH('Calc|Opex forecast'!$F60,'Input|Rate of change'!$C$14:$O$14,0)))*IF('Input|Step changes'!$E15="$millions",1000000,IF('Input|Step changes'!$E15="$000",1000,1))/IF($E60="$millions",1000000,IF($E60="$000",1000,1))</f>
        <v>0</v>
      </c>
      <c r="L60" s="132">
        <f ca="1">'Input|Step changes'!L15*IF('Input|Step changes'!$F15="nominal",LOOKUP($F60,Nominal_to_Real,'Input|Rate of change'!P$23:P$26),INDEX('Input|Rate of change'!$C$14:$O$19,MATCH('Input|Step changes'!$F15,'Input|Rate of change'!$C$14:$C$19,0),MATCH('Calc|Opex forecast'!$F60,'Input|Rate of change'!$C$14:$O$14,0)))*IF('Input|Step changes'!$E15="$millions",1000000,IF('Input|Step changes'!$E15="$000",1000,1))/IF($E60="$millions",1000000,IF($E60="$000",1000,1))</f>
        <v>0</v>
      </c>
      <c r="M60" s="132">
        <f ca="1">'Input|Step changes'!M15*IF('Input|Step changes'!$F15="nominal",LOOKUP($F60,Nominal_to_Real,'Input|Rate of change'!Q$23:Q$26),INDEX('Input|Rate of change'!$C$14:$O$19,MATCH('Input|Step changes'!$F15,'Input|Rate of change'!$C$14:$C$19,0),MATCH('Calc|Opex forecast'!$F60,'Input|Rate of change'!$C$14:$O$14,0)))*IF('Input|Step changes'!$E15="$millions",1000000,IF('Input|Step changes'!$E15="$000",1000,1))/IF($E60="$millions",1000000,IF($E60="$000",1000,1))</f>
        <v>0</v>
      </c>
      <c r="N60" s="132">
        <f ca="1">'Input|Step changes'!N15*IF('Input|Step changes'!$F15="nominal",LOOKUP($F60,Nominal_to_Real,'Input|Rate of change'!R$23:R$26),INDEX('Input|Rate of change'!$C$14:$O$19,MATCH('Input|Step changes'!$F15,'Input|Rate of change'!$C$14:$C$19,0),MATCH('Calc|Opex forecast'!$F60,'Input|Rate of change'!$C$14:$O$14,0)))*IF('Input|Step changes'!$E15="$millions",1000000,IF('Input|Step changes'!$E15="$000",1000,1))/IF($E60="$millions",1000000,IF($E60="$000",1000,1))</f>
        <v>0</v>
      </c>
      <c r="O60" s="132">
        <f ca="1">'Input|Step changes'!O15*IF('Input|Step changes'!$F15="nominal",LOOKUP($F60,Nominal_to_Real,'Input|Rate of change'!S$23:S$26),INDEX('Input|Rate of change'!$C$14:$O$19,MATCH('Input|Step changes'!$F15,'Input|Rate of change'!$C$14:$C$19,0),MATCH('Calc|Opex forecast'!$F60,'Input|Rate of change'!$C$14:$O$14,0)))*IF('Input|Step changes'!$E15="$millions",1000000,IF('Input|Step changes'!$E15="$000",1000,1))/IF($E60="$millions",1000000,IF($E60="$000",1000,1))</f>
        <v>0</v>
      </c>
      <c r="P60" s="132">
        <f ca="1">'Input|Step changes'!P15*IF('Input|Step changes'!$F15="nominal",LOOKUP($F60,Nominal_to_Real,'Input|Rate of change'!T$23:T$26),INDEX('Input|Rate of change'!$C$14:$O$19,MATCH('Input|Step changes'!$F15,'Input|Rate of change'!$C$14:$C$19,0),MATCH('Calc|Opex forecast'!$F60,'Input|Rate of change'!$C$14:$O$14,0)))*IF('Input|Step changes'!$E15="$millions",1000000,IF('Input|Step changes'!$E15="$000",1000,1))/IF($E60="$millions",1000000,IF($E60="$000",1000,1))</f>
        <v>0</v>
      </c>
      <c r="Q60" s="132">
        <f ca="1">'Input|Step changes'!Q15*IF('Input|Step changes'!$F15="nominal",LOOKUP($F60,Nominal_to_Real,'Input|Rate of change'!U$23:U$26),INDEX('Input|Rate of change'!$C$14:$O$19,MATCH('Input|Step changes'!$F15,'Input|Rate of change'!$C$14:$C$19,0),MATCH('Calc|Opex forecast'!$F60,'Input|Rate of change'!$C$14:$O$14,0)))*IF('Input|Step changes'!$E15="$millions",1000000,IF('Input|Step changes'!$E15="$000",1000,1))/IF($E60="$millions",1000000,IF($E60="$000",1000,1))</f>
        <v>0</v>
      </c>
      <c r="R60" s="132">
        <f ca="1">'Input|Step changes'!R15*IF('Input|Step changes'!$F15="nominal",LOOKUP($F60,Nominal_to_Real,'Input|Rate of change'!V$23:V$26),INDEX('Input|Rate of change'!$C$14:$O$19,MATCH('Input|Step changes'!$F15,'Input|Rate of change'!$C$14:$C$19,0),MATCH('Calc|Opex forecast'!$F60,'Input|Rate of change'!$C$14:$O$14,0)))*IF('Input|Step changes'!$E15="$millions",1000000,IF('Input|Step changes'!$E15="$000",1000,1))/IF($E60="$millions",1000000,IF($E60="$000",1000,1))</f>
        <v>0</v>
      </c>
      <c r="S60" s="132">
        <f ca="1">'Input|Step changes'!S15*IF('Input|Step changes'!$F15="nominal",LOOKUP($F60,Nominal_to_Real,'Input|Rate of change'!W$23:W$26),INDEX('Input|Rate of change'!$C$14:$O$19,MATCH('Input|Step changes'!$F15,'Input|Rate of change'!$C$14:$C$19,0),MATCH('Calc|Opex forecast'!$F60,'Input|Rate of change'!$C$14:$O$14,0)))*IF('Input|Step changes'!$E15="$millions",1000000,IF('Input|Step changes'!$E15="$000",1000,1))/IF($E60="$millions",1000000,IF($E60="$000",1000,1))</f>
        <v>0</v>
      </c>
    </row>
    <row r="61" spans="1:47" outlineLevel="1">
      <c r="C61" s="126" t="str">
        <f>'Input|Step changes'!C16</f>
        <v>WMTS mobile switchboard</v>
      </c>
      <c r="D61" s="114" t="s">
        <v>30</v>
      </c>
      <c r="E61" s="29" t="str">
        <f t="shared" si="2"/>
        <v>$millions</v>
      </c>
      <c r="F61" s="29" t="str">
        <f t="shared" si="3"/>
        <v>2016-17</v>
      </c>
      <c r="J61" s="132">
        <f ca="1">'Input|Step changes'!J16*IF('Input|Step changes'!$F16="nominal",LOOKUP($F61,Nominal_to_Real,'Input|Rate of change'!N$23:N$26),INDEX('Input|Rate of change'!$C$14:$O$19,MATCH('Input|Step changes'!$F16,'Input|Rate of change'!$C$14:$C$19,0),MATCH('Calc|Opex forecast'!$F61,'Input|Rate of change'!$C$14:$O$14,0)))*IF('Input|Step changes'!$E16="$millions",1000000,IF('Input|Step changes'!$E16="$000",1000,1))/IF($E61="$millions",1000000,IF($E61="$000",1000,1))</f>
        <v>0</v>
      </c>
      <c r="K61" s="132">
        <f ca="1">'Input|Step changes'!K16*IF('Input|Step changes'!$F16="nominal",LOOKUP($F61,Nominal_to_Real,'Input|Rate of change'!O$23:O$26),INDEX('Input|Rate of change'!$C$14:$O$19,MATCH('Input|Step changes'!$F16,'Input|Rate of change'!$C$14:$C$19,0),MATCH('Calc|Opex forecast'!$F61,'Input|Rate of change'!$C$14:$O$14,0)))*IF('Input|Step changes'!$E16="$millions",1000000,IF('Input|Step changes'!$E16="$000",1000,1))/IF($E61="$millions",1000000,IF($E61="$000",1000,1))</f>
        <v>0</v>
      </c>
      <c r="L61" s="132">
        <f ca="1">'Input|Step changes'!L16*IF('Input|Step changes'!$F16="nominal",LOOKUP($F61,Nominal_to_Real,'Input|Rate of change'!P$23:P$26),INDEX('Input|Rate of change'!$C$14:$O$19,MATCH('Input|Step changes'!$F16,'Input|Rate of change'!$C$14:$C$19,0),MATCH('Calc|Opex forecast'!$F61,'Input|Rate of change'!$C$14:$O$14,0)))*IF('Input|Step changes'!$E16="$millions",1000000,IF('Input|Step changes'!$E16="$000",1000,1))/IF($E61="$millions",1000000,IF($E61="$000",1000,1))</f>
        <v>0</v>
      </c>
      <c r="M61" s="132">
        <f ca="1">'Input|Step changes'!M16*IF('Input|Step changes'!$F16="nominal",LOOKUP($F61,Nominal_to_Real,'Input|Rate of change'!Q$23:Q$26),INDEX('Input|Rate of change'!$C$14:$O$19,MATCH('Input|Step changes'!$F16,'Input|Rate of change'!$C$14:$C$19,0),MATCH('Calc|Opex forecast'!$F61,'Input|Rate of change'!$C$14:$O$14,0)))*IF('Input|Step changes'!$E16="$millions",1000000,IF('Input|Step changes'!$E16="$000",1000,1))/IF($E61="$millions",1000000,IF($E61="$000",1000,1))</f>
        <v>0</v>
      </c>
      <c r="N61" s="132">
        <f ca="1">'Input|Step changes'!N16*IF('Input|Step changes'!$F16="nominal",LOOKUP($F61,Nominal_to_Real,'Input|Rate of change'!R$23:R$26),INDEX('Input|Rate of change'!$C$14:$O$19,MATCH('Input|Step changes'!$F16,'Input|Rate of change'!$C$14:$C$19,0),MATCH('Calc|Opex forecast'!$F61,'Input|Rate of change'!$C$14:$O$14,0)))*IF('Input|Step changes'!$E16="$millions",1000000,IF('Input|Step changes'!$E16="$000",1000,1))/IF($E61="$millions",1000000,IF($E61="$000",1000,1))</f>
        <v>0</v>
      </c>
      <c r="O61" s="132">
        <f ca="1">'Input|Step changes'!O16*IF('Input|Step changes'!$F16="nominal",LOOKUP($F61,Nominal_to_Real,'Input|Rate of change'!S$23:S$26),INDEX('Input|Rate of change'!$C$14:$O$19,MATCH('Input|Step changes'!$F16,'Input|Rate of change'!$C$14:$C$19,0),MATCH('Calc|Opex forecast'!$F61,'Input|Rate of change'!$C$14:$O$14,0)))*IF('Input|Step changes'!$E16="$millions",1000000,IF('Input|Step changes'!$E16="$000",1000,1))/IF($E61="$millions",1000000,IF($E61="$000",1000,1))</f>
        <v>0</v>
      </c>
      <c r="P61" s="132">
        <f ca="1">'Input|Step changes'!P16*IF('Input|Step changes'!$F16="nominal",LOOKUP($F61,Nominal_to_Real,'Input|Rate of change'!T$23:T$26),INDEX('Input|Rate of change'!$C$14:$O$19,MATCH('Input|Step changes'!$F16,'Input|Rate of change'!$C$14:$C$19,0),MATCH('Calc|Opex forecast'!$F61,'Input|Rate of change'!$C$14:$O$14,0)))*IF('Input|Step changes'!$E16="$millions",1000000,IF('Input|Step changes'!$E16="$000",1000,1))/IF($E61="$millions",1000000,IF($E61="$000",1000,1))</f>
        <v>0</v>
      </c>
      <c r="Q61" s="132">
        <f ca="1">'Input|Step changes'!Q16*IF('Input|Step changes'!$F16="nominal",LOOKUP($F61,Nominal_to_Real,'Input|Rate of change'!U$23:U$26),INDEX('Input|Rate of change'!$C$14:$O$19,MATCH('Input|Step changes'!$F16,'Input|Rate of change'!$C$14:$C$19,0),MATCH('Calc|Opex forecast'!$F61,'Input|Rate of change'!$C$14:$O$14,0)))*IF('Input|Step changes'!$E16="$millions",1000000,IF('Input|Step changes'!$E16="$000",1000,1))/IF($E61="$millions",1000000,IF($E61="$000",1000,1))</f>
        <v>0</v>
      </c>
      <c r="R61" s="132">
        <f ca="1">'Input|Step changes'!R16*IF('Input|Step changes'!$F16="nominal",LOOKUP($F61,Nominal_to_Real,'Input|Rate of change'!V$23:V$26),INDEX('Input|Rate of change'!$C$14:$O$19,MATCH('Input|Step changes'!$F16,'Input|Rate of change'!$C$14:$C$19,0),MATCH('Calc|Opex forecast'!$F61,'Input|Rate of change'!$C$14:$O$14,0)))*IF('Input|Step changes'!$E16="$millions",1000000,IF('Input|Step changes'!$E16="$000",1000,1))/IF($E61="$millions",1000000,IF($E61="$000",1000,1))</f>
        <v>0</v>
      </c>
      <c r="S61" s="132">
        <f ca="1">'Input|Step changes'!S16*IF('Input|Step changes'!$F16="nominal",LOOKUP($F61,Nominal_to_Real,'Input|Rate of change'!W$23:W$26),INDEX('Input|Rate of change'!$C$14:$O$19,MATCH('Input|Step changes'!$F16,'Input|Rate of change'!$C$14:$C$19,0),MATCH('Calc|Opex forecast'!$F61,'Input|Rate of change'!$C$14:$O$14,0)))*IF('Input|Step changes'!$E16="$millions",1000000,IF('Input|Step changes'!$E16="$000",1000,1))/IF($E61="$millions",1000000,IF($E61="$000",1000,1))</f>
        <v>0</v>
      </c>
    </row>
    <row r="62" spans="1:47" outlineLevel="1">
      <c r="C62" s="126" t="str">
        <f>'Input|Step changes'!C17</f>
        <v>MPS decommissioning</v>
      </c>
      <c r="D62" s="114" t="s">
        <v>30</v>
      </c>
      <c r="E62" s="29" t="str">
        <f t="shared" si="2"/>
        <v>$millions</v>
      </c>
      <c r="F62" s="29" t="str">
        <f t="shared" si="3"/>
        <v>2016-17</v>
      </c>
      <c r="J62" s="132">
        <f ca="1">'Input|Step changes'!J17*IF('Input|Step changes'!$F17="nominal",LOOKUP($F62,Nominal_to_Real,'Input|Rate of change'!N$23:N$26),INDEX('Input|Rate of change'!$C$14:$O$19,MATCH('Input|Step changes'!$F17,'Input|Rate of change'!$C$14:$C$19,0),MATCH('Calc|Opex forecast'!$F62,'Input|Rate of change'!$C$14:$O$14,0)))*IF('Input|Step changes'!$E17="$millions",1000000,IF('Input|Step changes'!$E17="$000",1000,1))/IF($E62="$millions",1000000,IF($E62="$000",1000,1))</f>
        <v>0</v>
      </c>
      <c r="K62" s="132">
        <f ca="1">'Input|Step changes'!K17*IF('Input|Step changes'!$F17="nominal",LOOKUP($F62,Nominal_to_Real,'Input|Rate of change'!O$23:O$26),INDEX('Input|Rate of change'!$C$14:$O$19,MATCH('Input|Step changes'!$F17,'Input|Rate of change'!$C$14:$C$19,0),MATCH('Calc|Opex forecast'!$F62,'Input|Rate of change'!$C$14:$O$14,0)))*IF('Input|Step changes'!$E17="$millions",1000000,IF('Input|Step changes'!$E17="$000",1000,1))/IF($E62="$millions",1000000,IF($E62="$000",1000,1))</f>
        <v>0</v>
      </c>
      <c r="L62" s="132">
        <f ca="1">'Input|Step changes'!L17*IF('Input|Step changes'!$F17="nominal",LOOKUP($F62,Nominal_to_Real,'Input|Rate of change'!P$23:P$26),INDEX('Input|Rate of change'!$C$14:$O$19,MATCH('Input|Step changes'!$F17,'Input|Rate of change'!$C$14:$C$19,0),MATCH('Calc|Opex forecast'!$F62,'Input|Rate of change'!$C$14:$O$14,0)))*IF('Input|Step changes'!$E17="$millions",1000000,IF('Input|Step changes'!$E17="$000",1000,1))/IF($E62="$millions",1000000,IF($E62="$000",1000,1))</f>
        <v>0</v>
      </c>
      <c r="M62" s="132">
        <f ca="1">'Input|Step changes'!M17*IF('Input|Step changes'!$F17="nominal",LOOKUP($F62,Nominal_to_Real,'Input|Rate of change'!Q$23:Q$26),INDEX('Input|Rate of change'!$C$14:$O$19,MATCH('Input|Step changes'!$F17,'Input|Rate of change'!$C$14:$C$19,0),MATCH('Calc|Opex forecast'!$F62,'Input|Rate of change'!$C$14:$O$14,0)))*IF('Input|Step changes'!$E17="$millions",1000000,IF('Input|Step changes'!$E17="$000",1000,1))/IF($E62="$millions",1000000,IF($E62="$000",1000,1))</f>
        <v>0</v>
      </c>
      <c r="N62" s="132">
        <f ca="1">'Input|Step changes'!N17*IF('Input|Step changes'!$F17="nominal",LOOKUP($F62,Nominal_to_Real,'Input|Rate of change'!R$23:R$26),INDEX('Input|Rate of change'!$C$14:$O$19,MATCH('Input|Step changes'!$F17,'Input|Rate of change'!$C$14:$C$19,0),MATCH('Calc|Opex forecast'!$F62,'Input|Rate of change'!$C$14:$O$14,0)))*IF('Input|Step changes'!$E17="$millions",1000000,IF('Input|Step changes'!$E17="$000",1000,1))/IF($E62="$millions",1000000,IF($E62="$000",1000,1))</f>
        <v>0</v>
      </c>
      <c r="O62" s="132">
        <f ca="1">'Input|Step changes'!O17*IF('Input|Step changes'!$F17="nominal",LOOKUP($F62,Nominal_to_Real,'Input|Rate of change'!S$23:S$26),INDEX('Input|Rate of change'!$C$14:$O$19,MATCH('Input|Step changes'!$F17,'Input|Rate of change'!$C$14:$C$19,0),MATCH('Calc|Opex forecast'!$F62,'Input|Rate of change'!$C$14:$O$14,0)))*IF('Input|Step changes'!$E17="$millions",1000000,IF('Input|Step changes'!$E17="$000",1000,1))/IF($E62="$millions",1000000,IF($E62="$000",1000,1))</f>
        <v>0</v>
      </c>
      <c r="P62" s="132">
        <f ca="1">'Input|Step changes'!P17*IF('Input|Step changes'!$F17="nominal",LOOKUP($F62,Nominal_to_Real,'Input|Rate of change'!T$23:T$26),INDEX('Input|Rate of change'!$C$14:$O$19,MATCH('Input|Step changes'!$F17,'Input|Rate of change'!$C$14:$C$19,0),MATCH('Calc|Opex forecast'!$F62,'Input|Rate of change'!$C$14:$O$14,0)))*IF('Input|Step changes'!$E17="$millions",1000000,IF('Input|Step changes'!$E17="$000",1000,1))/IF($E62="$millions",1000000,IF($E62="$000",1000,1))</f>
        <v>0</v>
      </c>
      <c r="Q62" s="132">
        <f ca="1">'Input|Step changes'!Q17*IF('Input|Step changes'!$F17="nominal",LOOKUP($F62,Nominal_to_Real,'Input|Rate of change'!U$23:U$26),INDEX('Input|Rate of change'!$C$14:$O$19,MATCH('Input|Step changes'!$F17,'Input|Rate of change'!$C$14:$C$19,0),MATCH('Calc|Opex forecast'!$F62,'Input|Rate of change'!$C$14:$O$14,0)))*IF('Input|Step changes'!$E17="$millions",1000000,IF('Input|Step changes'!$E17="$000",1000,1))/IF($E62="$millions",1000000,IF($E62="$000",1000,1))</f>
        <v>0</v>
      </c>
      <c r="R62" s="132">
        <f ca="1">'Input|Step changes'!R17*IF('Input|Step changes'!$F17="nominal",LOOKUP($F62,Nominal_to_Real,'Input|Rate of change'!V$23:V$26),INDEX('Input|Rate of change'!$C$14:$O$19,MATCH('Input|Step changes'!$F17,'Input|Rate of change'!$C$14:$C$19,0),MATCH('Calc|Opex forecast'!$F62,'Input|Rate of change'!$C$14:$O$14,0)))*IF('Input|Step changes'!$E17="$millions",1000000,IF('Input|Step changes'!$E17="$000",1000,1))/IF($E62="$millions",1000000,IF($E62="$000",1000,1))</f>
        <v>0</v>
      </c>
      <c r="S62" s="132">
        <f ca="1">'Input|Step changes'!S17*IF('Input|Step changes'!$F17="nominal",LOOKUP($F62,Nominal_to_Real,'Input|Rate of change'!W$23:W$26),INDEX('Input|Rate of change'!$C$14:$O$19,MATCH('Input|Step changes'!$F17,'Input|Rate of change'!$C$14:$C$19,0),MATCH('Calc|Opex forecast'!$F62,'Input|Rate of change'!$C$14:$O$14,0)))*IF('Input|Step changes'!$E17="$millions",1000000,IF('Input|Step changes'!$E17="$000",1000,1))/IF($E62="$millions",1000000,IF($E62="$000",1000,1))</f>
        <v>0</v>
      </c>
    </row>
    <row r="63" spans="1:47" outlineLevel="1">
      <c r="C63" s="126">
        <f>'Input|Step changes'!C18</f>
        <v>0</v>
      </c>
      <c r="D63" s="114" t="s">
        <v>30</v>
      </c>
      <c r="E63" s="29" t="str">
        <f t="shared" si="2"/>
        <v>$millions</v>
      </c>
      <c r="F63" s="29" t="str">
        <f t="shared" si="3"/>
        <v>2016-17</v>
      </c>
      <c r="J63" s="132">
        <f ca="1">'Input|Step changes'!J18*IF('Input|Step changes'!$F18="nominal",LOOKUP($F63,Nominal_to_Real,'Input|Rate of change'!N$23:N$26),INDEX('Input|Rate of change'!$C$14:$O$19,MATCH('Input|Step changes'!$F18,'Input|Rate of change'!$C$14:$C$19,0),MATCH('Calc|Opex forecast'!$F63,'Input|Rate of change'!$C$14:$O$14,0)))*IF('Input|Step changes'!$E18="$millions",1000000,IF('Input|Step changes'!$E18="$000",1000,1))/IF($E63="$millions",1000000,IF($E63="$000",1000,1))</f>
        <v>0</v>
      </c>
      <c r="K63" s="132">
        <f ca="1">'Input|Step changes'!K18*IF('Input|Step changes'!$F18="nominal",LOOKUP($F63,Nominal_to_Real,'Input|Rate of change'!O$23:O$26),INDEX('Input|Rate of change'!$C$14:$O$19,MATCH('Input|Step changes'!$F18,'Input|Rate of change'!$C$14:$C$19,0),MATCH('Calc|Opex forecast'!$F63,'Input|Rate of change'!$C$14:$O$14,0)))*IF('Input|Step changes'!$E18="$millions",1000000,IF('Input|Step changes'!$E18="$000",1000,1))/IF($E63="$millions",1000000,IF($E63="$000",1000,1))</f>
        <v>0</v>
      </c>
      <c r="L63" s="132">
        <f ca="1">'Input|Step changes'!L18*IF('Input|Step changes'!$F18="nominal",LOOKUP($F63,Nominal_to_Real,'Input|Rate of change'!P$23:P$26),INDEX('Input|Rate of change'!$C$14:$O$19,MATCH('Input|Step changes'!$F18,'Input|Rate of change'!$C$14:$C$19,0),MATCH('Calc|Opex forecast'!$F63,'Input|Rate of change'!$C$14:$O$14,0)))*IF('Input|Step changes'!$E18="$millions",1000000,IF('Input|Step changes'!$E18="$000",1000,1))/IF($E63="$millions",1000000,IF($E63="$000",1000,1))</f>
        <v>0</v>
      </c>
      <c r="M63" s="132">
        <f ca="1">'Input|Step changes'!M18*IF('Input|Step changes'!$F18="nominal",LOOKUP($F63,Nominal_to_Real,'Input|Rate of change'!Q$23:Q$26),INDEX('Input|Rate of change'!$C$14:$O$19,MATCH('Input|Step changes'!$F18,'Input|Rate of change'!$C$14:$C$19,0),MATCH('Calc|Opex forecast'!$F63,'Input|Rate of change'!$C$14:$O$14,0)))*IF('Input|Step changes'!$E18="$millions",1000000,IF('Input|Step changes'!$E18="$000",1000,1))/IF($E63="$millions",1000000,IF($E63="$000",1000,1))</f>
        <v>0</v>
      </c>
      <c r="N63" s="132">
        <f ca="1">'Input|Step changes'!N18*IF('Input|Step changes'!$F18="nominal",LOOKUP($F63,Nominal_to_Real,'Input|Rate of change'!R$23:R$26),INDEX('Input|Rate of change'!$C$14:$O$19,MATCH('Input|Step changes'!$F18,'Input|Rate of change'!$C$14:$C$19,0),MATCH('Calc|Opex forecast'!$F63,'Input|Rate of change'!$C$14:$O$14,0)))*IF('Input|Step changes'!$E18="$millions",1000000,IF('Input|Step changes'!$E18="$000",1000,1))/IF($E63="$millions",1000000,IF($E63="$000",1000,1))</f>
        <v>0</v>
      </c>
      <c r="O63" s="132">
        <f ca="1">'Input|Step changes'!O18*IF('Input|Step changes'!$F18="nominal",LOOKUP($F63,Nominal_to_Real,'Input|Rate of change'!S$23:S$26),INDEX('Input|Rate of change'!$C$14:$O$19,MATCH('Input|Step changes'!$F18,'Input|Rate of change'!$C$14:$C$19,0),MATCH('Calc|Opex forecast'!$F63,'Input|Rate of change'!$C$14:$O$14,0)))*IF('Input|Step changes'!$E18="$millions",1000000,IF('Input|Step changes'!$E18="$000",1000,1))/IF($E63="$millions",1000000,IF($E63="$000",1000,1))</f>
        <v>0</v>
      </c>
      <c r="P63" s="132">
        <f ca="1">'Input|Step changes'!P18*IF('Input|Step changes'!$F18="nominal",LOOKUP($F63,Nominal_to_Real,'Input|Rate of change'!T$23:T$26),INDEX('Input|Rate of change'!$C$14:$O$19,MATCH('Input|Step changes'!$F18,'Input|Rate of change'!$C$14:$C$19,0),MATCH('Calc|Opex forecast'!$F63,'Input|Rate of change'!$C$14:$O$14,0)))*IF('Input|Step changes'!$E18="$millions",1000000,IF('Input|Step changes'!$E18="$000",1000,1))/IF($E63="$millions",1000000,IF($E63="$000",1000,1))</f>
        <v>0</v>
      </c>
      <c r="Q63" s="132">
        <f ca="1">'Input|Step changes'!Q18*IF('Input|Step changes'!$F18="nominal",LOOKUP($F63,Nominal_to_Real,'Input|Rate of change'!U$23:U$26),INDEX('Input|Rate of change'!$C$14:$O$19,MATCH('Input|Step changes'!$F18,'Input|Rate of change'!$C$14:$C$19,0),MATCH('Calc|Opex forecast'!$F63,'Input|Rate of change'!$C$14:$O$14,0)))*IF('Input|Step changes'!$E18="$millions",1000000,IF('Input|Step changes'!$E18="$000",1000,1))/IF($E63="$millions",1000000,IF($E63="$000",1000,1))</f>
        <v>0</v>
      </c>
      <c r="R63" s="132">
        <f ca="1">'Input|Step changes'!R18*IF('Input|Step changes'!$F18="nominal",LOOKUP($F63,Nominal_to_Real,'Input|Rate of change'!V$23:V$26),INDEX('Input|Rate of change'!$C$14:$O$19,MATCH('Input|Step changes'!$F18,'Input|Rate of change'!$C$14:$C$19,0),MATCH('Calc|Opex forecast'!$F63,'Input|Rate of change'!$C$14:$O$14,0)))*IF('Input|Step changes'!$E18="$millions",1000000,IF('Input|Step changes'!$E18="$000",1000,1))/IF($E63="$millions",1000000,IF($E63="$000",1000,1))</f>
        <v>0</v>
      </c>
      <c r="S63" s="132">
        <f ca="1">'Input|Step changes'!S18*IF('Input|Step changes'!$F18="nominal",LOOKUP($F63,Nominal_to_Real,'Input|Rate of change'!W$23:W$26),INDEX('Input|Rate of change'!$C$14:$O$19,MATCH('Input|Step changes'!$F18,'Input|Rate of change'!$C$14:$C$19,0),MATCH('Calc|Opex forecast'!$F63,'Input|Rate of change'!$C$14:$O$14,0)))*IF('Input|Step changes'!$E18="$millions",1000000,IF('Input|Step changes'!$E18="$000",1000,1))/IF($E63="$millions",1000000,IF($E63="$000",1000,1))</f>
        <v>0</v>
      </c>
    </row>
    <row r="64" spans="1:47" outlineLevel="1">
      <c r="C64" s="126">
        <f>'Input|Step changes'!C19</f>
        <v>0</v>
      </c>
      <c r="D64" s="114" t="s">
        <v>30</v>
      </c>
      <c r="E64" s="29" t="str">
        <f t="shared" si="2"/>
        <v>$millions</v>
      </c>
      <c r="F64" s="29" t="str">
        <f t="shared" si="3"/>
        <v>2016-17</v>
      </c>
      <c r="J64" s="132">
        <f ca="1">'Input|Step changes'!J19*IF('Input|Step changes'!$F19="nominal",LOOKUP($F64,Nominal_to_Real,'Input|Rate of change'!N$23:N$26),INDEX('Input|Rate of change'!$C$14:$O$19,MATCH('Input|Step changes'!$F19,'Input|Rate of change'!$C$14:$C$19,0),MATCH('Calc|Opex forecast'!$F64,'Input|Rate of change'!$C$14:$O$14,0)))*IF('Input|Step changes'!$E19="$millions",1000000,IF('Input|Step changes'!$E19="$000",1000,1))/IF($E64="$millions",1000000,IF($E64="$000",1000,1))</f>
        <v>0</v>
      </c>
      <c r="K64" s="132">
        <f ca="1">'Input|Step changes'!K19*IF('Input|Step changes'!$F19="nominal",LOOKUP($F64,Nominal_to_Real,'Input|Rate of change'!O$23:O$26),INDEX('Input|Rate of change'!$C$14:$O$19,MATCH('Input|Step changes'!$F19,'Input|Rate of change'!$C$14:$C$19,0),MATCH('Calc|Opex forecast'!$F64,'Input|Rate of change'!$C$14:$O$14,0)))*IF('Input|Step changes'!$E19="$millions",1000000,IF('Input|Step changes'!$E19="$000",1000,1))/IF($E64="$millions",1000000,IF($E64="$000",1000,1))</f>
        <v>0</v>
      </c>
      <c r="L64" s="132">
        <f ca="1">'Input|Step changes'!L19*IF('Input|Step changes'!$F19="nominal",LOOKUP($F64,Nominal_to_Real,'Input|Rate of change'!P$23:P$26),INDEX('Input|Rate of change'!$C$14:$O$19,MATCH('Input|Step changes'!$F19,'Input|Rate of change'!$C$14:$C$19,0),MATCH('Calc|Opex forecast'!$F64,'Input|Rate of change'!$C$14:$O$14,0)))*IF('Input|Step changes'!$E19="$millions",1000000,IF('Input|Step changes'!$E19="$000",1000,1))/IF($E64="$millions",1000000,IF($E64="$000",1000,1))</f>
        <v>0</v>
      </c>
      <c r="M64" s="132">
        <f ca="1">'Input|Step changes'!M19*IF('Input|Step changes'!$F19="nominal",LOOKUP($F64,Nominal_to_Real,'Input|Rate of change'!Q$23:Q$26),INDEX('Input|Rate of change'!$C$14:$O$19,MATCH('Input|Step changes'!$F19,'Input|Rate of change'!$C$14:$C$19,0),MATCH('Calc|Opex forecast'!$F64,'Input|Rate of change'!$C$14:$O$14,0)))*IF('Input|Step changes'!$E19="$millions",1000000,IF('Input|Step changes'!$E19="$000",1000,1))/IF($E64="$millions",1000000,IF($E64="$000",1000,1))</f>
        <v>0</v>
      </c>
      <c r="N64" s="132">
        <f ca="1">'Input|Step changes'!N19*IF('Input|Step changes'!$F19="nominal",LOOKUP($F64,Nominal_to_Real,'Input|Rate of change'!R$23:R$26),INDEX('Input|Rate of change'!$C$14:$O$19,MATCH('Input|Step changes'!$F19,'Input|Rate of change'!$C$14:$C$19,0),MATCH('Calc|Opex forecast'!$F64,'Input|Rate of change'!$C$14:$O$14,0)))*IF('Input|Step changes'!$E19="$millions",1000000,IF('Input|Step changes'!$E19="$000",1000,1))/IF($E64="$millions",1000000,IF($E64="$000",1000,1))</f>
        <v>0</v>
      </c>
      <c r="O64" s="132">
        <f ca="1">'Input|Step changes'!O19*IF('Input|Step changes'!$F19="nominal",LOOKUP($F64,Nominal_to_Real,'Input|Rate of change'!S$23:S$26),INDEX('Input|Rate of change'!$C$14:$O$19,MATCH('Input|Step changes'!$F19,'Input|Rate of change'!$C$14:$C$19,0),MATCH('Calc|Opex forecast'!$F64,'Input|Rate of change'!$C$14:$O$14,0)))*IF('Input|Step changes'!$E19="$millions",1000000,IF('Input|Step changes'!$E19="$000",1000,1))/IF($E64="$millions",1000000,IF($E64="$000",1000,1))</f>
        <v>0</v>
      </c>
      <c r="P64" s="132">
        <f ca="1">'Input|Step changes'!P19*IF('Input|Step changes'!$F19="nominal",LOOKUP($F64,Nominal_to_Real,'Input|Rate of change'!T$23:T$26),INDEX('Input|Rate of change'!$C$14:$O$19,MATCH('Input|Step changes'!$F19,'Input|Rate of change'!$C$14:$C$19,0),MATCH('Calc|Opex forecast'!$F64,'Input|Rate of change'!$C$14:$O$14,0)))*IF('Input|Step changes'!$E19="$millions",1000000,IF('Input|Step changes'!$E19="$000",1000,1))/IF($E64="$millions",1000000,IF($E64="$000",1000,1))</f>
        <v>0</v>
      </c>
      <c r="Q64" s="132">
        <f ca="1">'Input|Step changes'!Q19*IF('Input|Step changes'!$F19="nominal",LOOKUP($F64,Nominal_to_Real,'Input|Rate of change'!U$23:U$26),INDEX('Input|Rate of change'!$C$14:$O$19,MATCH('Input|Step changes'!$F19,'Input|Rate of change'!$C$14:$C$19,0),MATCH('Calc|Opex forecast'!$F64,'Input|Rate of change'!$C$14:$O$14,0)))*IF('Input|Step changes'!$E19="$millions",1000000,IF('Input|Step changes'!$E19="$000",1000,1))/IF($E64="$millions",1000000,IF($E64="$000",1000,1))</f>
        <v>0</v>
      </c>
      <c r="R64" s="132">
        <f ca="1">'Input|Step changes'!R19*IF('Input|Step changes'!$F19="nominal",LOOKUP($F64,Nominal_to_Real,'Input|Rate of change'!V$23:V$26),INDEX('Input|Rate of change'!$C$14:$O$19,MATCH('Input|Step changes'!$F19,'Input|Rate of change'!$C$14:$C$19,0),MATCH('Calc|Opex forecast'!$F64,'Input|Rate of change'!$C$14:$O$14,0)))*IF('Input|Step changes'!$E19="$millions",1000000,IF('Input|Step changes'!$E19="$000",1000,1))/IF($E64="$millions",1000000,IF($E64="$000",1000,1))</f>
        <v>0</v>
      </c>
      <c r="S64" s="132">
        <f ca="1">'Input|Step changes'!S19*IF('Input|Step changes'!$F19="nominal",LOOKUP($F64,Nominal_to_Real,'Input|Rate of change'!W$23:W$26),INDEX('Input|Rate of change'!$C$14:$O$19,MATCH('Input|Step changes'!$F19,'Input|Rate of change'!$C$14:$C$19,0),MATCH('Calc|Opex forecast'!$F64,'Input|Rate of change'!$C$14:$O$14,0)))*IF('Input|Step changes'!$E19="$millions",1000000,IF('Input|Step changes'!$E19="$000",1000,1))/IF($E64="$millions",1000000,IF($E64="$000",1000,1))</f>
        <v>0</v>
      </c>
    </row>
    <row r="65" spans="1:47" outlineLevel="1">
      <c r="C65" s="126">
        <f>'Input|Step changes'!C20</f>
        <v>0</v>
      </c>
      <c r="D65" s="114" t="s">
        <v>30</v>
      </c>
      <c r="E65" s="29" t="str">
        <f t="shared" si="2"/>
        <v>$millions</v>
      </c>
      <c r="F65" s="29" t="str">
        <f t="shared" si="3"/>
        <v>2016-17</v>
      </c>
      <c r="J65" s="132">
        <f ca="1">'Input|Step changes'!J20*IF('Input|Step changes'!$F20="nominal",LOOKUP($F65,Nominal_to_Real,'Input|Rate of change'!N$23:N$26),INDEX('Input|Rate of change'!$C$14:$O$19,MATCH('Input|Step changes'!$F20,'Input|Rate of change'!$C$14:$C$19,0),MATCH('Calc|Opex forecast'!$F65,'Input|Rate of change'!$C$14:$O$14,0)))*IF('Input|Step changes'!$E20="$millions",1000000,IF('Input|Step changes'!$E20="$000",1000,1))/IF($E65="$millions",1000000,IF($E65="$000",1000,1))</f>
        <v>0</v>
      </c>
      <c r="K65" s="132">
        <f ca="1">'Input|Step changes'!K20*IF('Input|Step changes'!$F20="nominal",LOOKUP($F65,Nominal_to_Real,'Input|Rate of change'!O$23:O$26),INDEX('Input|Rate of change'!$C$14:$O$19,MATCH('Input|Step changes'!$F20,'Input|Rate of change'!$C$14:$C$19,0),MATCH('Calc|Opex forecast'!$F65,'Input|Rate of change'!$C$14:$O$14,0)))*IF('Input|Step changes'!$E20="$millions",1000000,IF('Input|Step changes'!$E20="$000",1000,1))/IF($E65="$millions",1000000,IF($E65="$000",1000,1))</f>
        <v>0</v>
      </c>
      <c r="L65" s="132">
        <f ca="1">'Input|Step changes'!L20*IF('Input|Step changes'!$F20="nominal",LOOKUP($F65,Nominal_to_Real,'Input|Rate of change'!P$23:P$26),INDEX('Input|Rate of change'!$C$14:$O$19,MATCH('Input|Step changes'!$F20,'Input|Rate of change'!$C$14:$C$19,0),MATCH('Calc|Opex forecast'!$F65,'Input|Rate of change'!$C$14:$O$14,0)))*IF('Input|Step changes'!$E20="$millions",1000000,IF('Input|Step changes'!$E20="$000",1000,1))/IF($E65="$millions",1000000,IF($E65="$000",1000,1))</f>
        <v>0</v>
      </c>
      <c r="M65" s="132">
        <f ca="1">'Input|Step changes'!M20*IF('Input|Step changes'!$F20="nominal",LOOKUP($F65,Nominal_to_Real,'Input|Rate of change'!Q$23:Q$26),INDEX('Input|Rate of change'!$C$14:$O$19,MATCH('Input|Step changes'!$F20,'Input|Rate of change'!$C$14:$C$19,0),MATCH('Calc|Opex forecast'!$F65,'Input|Rate of change'!$C$14:$O$14,0)))*IF('Input|Step changes'!$E20="$millions",1000000,IF('Input|Step changes'!$E20="$000",1000,1))/IF($E65="$millions",1000000,IF($E65="$000",1000,1))</f>
        <v>0</v>
      </c>
      <c r="N65" s="132">
        <f ca="1">'Input|Step changes'!N20*IF('Input|Step changes'!$F20="nominal",LOOKUP($F65,Nominal_to_Real,'Input|Rate of change'!R$23:R$26),INDEX('Input|Rate of change'!$C$14:$O$19,MATCH('Input|Step changes'!$F20,'Input|Rate of change'!$C$14:$C$19,0),MATCH('Calc|Opex forecast'!$F65,'Input|Rate of change'!$C$14:$O$14,0)))*IF('Input|Step changes'!$E20="$millions",1000000,IF('Input|Step changes'!$E20="$000",1000,1))/IF($E65="$millions",1000000,IF($E65="$000",1000,1))</f>
        <v>0</v>
      </c>
      <c r="O65" s="132">
        <f ca="1">'Input|Step changes'!O20*IF('Input|Step changes'!$F20="nominal",LOOKUP($F65,Nominal_to_Real,'Input|Rate of change'!S$23:S$26),INDEX('Input|Rate of change'!$C$14:$O$19,MATCH('Input|Step changes'!$F20,'Input|Rate of change'!$C$14:$C$19,0),MATCH('Calc|Opex forecast'!$F65,'Input|Rate of change'!$C$14:$O$14,0)))*IF('Input|Step changes'!$E20="$millions",1000000,IF('Input|Step changes'!$E20="$000",1000,1))/IF($E65="$millions",1000000,IF($E65="$000",1000,1))</f>
        <v>0</v>
      </c>
      <c r="P65" s="132">
        <f ca="1">'Input|Step changes'!P20*IF('Input|Step changes'!$F20="nominal",LOOKUP($F65,Nominal_to_Real,'Input|Rate of change'!T$23:T$26),INDEX('Input|Rate of change'!$C$14:$O$19,MATCH('Input|Step changes'!$F20,'Input|Rate of change'!$C$14:$C$19,0),MATCH('Calc|Opex forecast'!$F65,'Input|Rate of change'!$C$14:$O$14,0)))*IF('Input|Step changes'!$E20="$millions",1000000,IF('Input|Step changes'!$E20="$000",1000,1))/IF($E65="$millions",1000000,IF($E65="$000",1000,1))</f>
        <v>0</v>
      </c>
      <c r="Q65" s="132">
        <f ca="1">'Input|Step changes'!Q20*IF('Input|Step changes'!$F20="nominal",LOOKUP($F65,Nominal_to_Real,'Input|Rate of change'!U$23:U$26),INDEX('Input|Rate of change'!$C$14:$O$19,MATCH('Input|Step changes'!$F20,'Input|Rate of change'!$C$14:$C$19,0),MATCH('Calc|Opex forecast'!$F65,'Input|Rate of change'!$C$14:$O$14,0)))*IF('Input|Step changes'!$E20="$millions",1000000,IF('Input|Step changes'!$E20="$000",1000,1))/IF($E65="$millions",1000000,IF($E65="$000",1000,1))</f>
        <v>0</v>
      </c>
      <c r="R65" s="132">
        <f ca="1">'Input|Step changes'!R20*IF('Input|Step changes'!$F20="nominal",LOOKUP($F65,Nominal_to_Real,'Input|Rate of change'!V$23:V$26),INDEX('Input|Rate of change'!$C$14:$O$19,MATCH('Input|Step changes'!$F20,'Input|Rate of change'!$C$14:$C$19,0),MATCH('Calc|Opex forecast'!$F65,'Input|Rate of change'!$C$14:$O$14,0)))*IF('Input|Step changes'!$E20="$millions",1000000,IF('Input|Step changes'!$E20="$000",1000,1))/IF($E65="$millions",1000000,IF($E65="$000",1000,1))</f>
        <v>0</v>
      </c>
      <c r="S65" s="132">
        <f ca="1">'Input|Step changes'!S20*IF('Input|Step changes'!$F20="nominal",LOOKUP($F65,Nominal_to_Real,'Input|Rate of change'!W$23:W$26),INDEX('Input|Rate of change'!$C$14:$O$19,MATCH('Input|Step changes'!$F20,'Input|Rate of change'!$C$14:$C$19,0),MATCH('Calc|Opex forecast'!$F65,'Input|Rate of change'!$C$14:$O$14,0)))*IF('Input|Step changes'!$E20="$millions",1000000,IF('Input|Step changes'!$E20="$000",1000,1))/IF($E65="$millions",1000000,IF($E65="$000",1000,1))</f>
        <v>0</v>
      </c>
    </row>
    <row r="66" spans="1:47" outlineLevel="1">
      <c r="C66" s="126">
        <f>'Input|Step changes'!C21</f>
        <v>0</v>
      </c>
      <c r="D66" s="114" t="s">
        <v>30</v>
      </c>
      <c r="E66" s="29" t="str">
        <f t="shared" si="2"/>
        <v>$millions</v>
      </c>
      <c r="F66" s="29" t="str">
        <f t="shared" si="3"/>
        <v>2016-17</v>
      </c>
      <c r="J66" s="132">
        <f ca="1">'Input|Step changes'!J21*IF('Input|Step changes'!$F21="nominal",LOOKUP($F66,Nominal_to_Real,'Input|Rate of change'!N$23:N$26),INDEX('Input|Rate of change'!$C$14:$O$19,MATCH('Input|Step changes'!$F21,'Input|Rate of change'!$C$14:$C$19,0),MATCH('Calc|Opex forecast'!$F66,'Input|Rate of change'!$C$14:$O$14,0)))*IF('Input|Step changes'!$E21="$millions",1000000,IF('Input|Step changes'!$E21="$000",1000,1))/IF($E66="$millions",1000000,IF($E66="$000",1000,1))</f>
        <v>0</v>
      </c>
      <c r="K66" s="132">
        <f ca="1">'Input|Step changes'!K21*IF('Input|Step changes'!$F21="nominal",LOOKUP($F66,Nominal_to_Real,'Input|Rate of change'!O$23:O$26),INDEX('Input|Rate of change'!$C$14:$O$19,MATCH('Input|Step changes'!$F21,'Input|Rate of change'!$C$14:$C$19,0),MATCH('Calc|Opex forecast'!$F66,'Input|Rate of change'!$C$14:$O$14,0)))*IF('Input|Step changes'!$E21="$millions",1000000,IF('Input|Step changes'!$E21="$000",1000,1))/IF($E66="$millions",1000000,IF($E66="$000",1000,1))</f>
        <v>0</v>
      </c>
      <c r="L66" s="132">
        <f ca="1">'Input|Step changes'!L21*IF('Input|Step changes'!$F21="nominal",LOOKUP($F66,Nominal_to_Real,'Input|Rate of change'!P$23:P$26),INDEX('Input|Rate of change'!$C$14:$O$19,MATCH('Input|Step changes'!$F21,'Input|Rate of change'!$C$14:$C$19,0),MATCH('Calc|Opex forecast'!$F66,'Input|Rate of change'!$C$14:$O$14,0)))*IF('Input|Step changes'!$E21="$millions",1000000,IF('Input|Step changes'!$E21="$000",1000,1))/IF($E66="$millions",1000000,IF($E66="$000",1000,1))</f>
        <v>0</v>
      </c>
      <c r="M66" s="132">
        <f ca="1">'Input|Step changes'!M21*IF('Input|Step changes'!$F21="nominal",LOOKUP($F66,Nominal_to_Real,'Input|Rate of change'!Q$23:Q$26),INDEX('Input|Rate of change'!$C$14:$O$19,MATCH('Input|Step changes'!$F21,'Input|Rate of change'!$C$14:$C$19,0),MATCH('Calc|Opex forecast'!$F66,'Input|Rate of change'!$C$14:$O$14,0)))*IF('Input|Step changes'!$E21="$millions",1000000,IF('Input|Step changes'!$E21="$000",1000,1))/IF($E66="$millions",1000000,IF($E66="$000",1000,1))</f>
        <v>0</v>
      </c>
      <c r="N66" s="132">
        <f ca="1">'Input|Step changes'!N21*IF('Input|Step changes'!$F21="nominal",LOOKUP($F66,Nominal_to_Real,'Input|Rate of change'!R$23:R$26),INDEX('Input|Rate of change'!$C$14:$O$19,MATCH('Input|Step changes'!$F21,'Input|Rate of change'!$C$14:$C$19,0),MATCH('Calc|Opex forecast'!$F66,'Input|Rate of change'!$C$14:$O$14,0)))*IF('Input|Step changes'!$E21="$millions",1000000,IF('Input|Step changes'!$E21="$000",1000,1))/IF($E66="$millions",1000000,IF($E66="$000",1000,1))</f>
        <v>0</v>
      </c>
      <c r="O66" s="132">
        <f ca="1">'Input|Step changes'!O21*IF('Input|Step changes'!$F21="nominal",LOOKUP($F66,Nominal_to_Real,'Input|Rate of change'!S$23:S$26),INDEX('Input|Rate of change'!$C$14:$O$19,MATCH('Input|Step changes'!$F21,'Input|Rate of change'!$C$14:$C$19,0),MATCH('Calc|Opex forecast'!$F66,'Input|Rate of change'!$C$14:$O$14,0)))*IF('Input|Step changes'!$E21="$millions",1000000,IF('Input|Step changes'!$E21="$000",1000,1))/IF($E66="$millions",1000000,IF($E66="$000",1000,1))</f>
        <v>0</v>
      </c>
      <c r="P66" s="132">
        <f ca="1">'Input|Step changes'!P21*IF('Input|Step changes'!$F21="nominal",LOOKUP($F66,Nominal_to_Real,'Input|Rate of change'!T$23:T$26),INDEX('Input|Rate of change'!$C$14:$O$19,MATCH('Input|Step changes'!$F21,'Input|Rate of change'!$C$14:$C$19,0),MATCH('Calc|Opex forecast'!$F66,'Input|Rate of change'!$C$14:$O$14,0)))*IF('Input|Step changes'!$E21="$millions",1000000,IF('Input|Step changes'!$E21="$000",1000,1))/IF($E66="$millions",1000000,IF($E66="$000",1000,1))</f>
        <v>0</v>
      </c>
      <c r="Q66" s="132">
        <f ca="1">'Input|Step changes'!Q21*IF('Input|Step changes'!$F21="nominal",LOOKUP($F66,Nominal_to_Real,'Input|Rate of change'!U$23:U$26),INDEX('Input|Rate of change'!$C$14:$O$19,MATCH('Input|Step changes'!$F21,'Input|Rate of change'!$C$14:$C$19,0),MATCH('Calc|Opex forecast'!$F66,'Input|Rate of change'!$C$14:$O$14,0)))*IF('Input|Step changes'!$E21="$millions",1000000,IF('Input|Step changes'!$E21="$000",1000,1))/IF($E66="$millions",1000000,IF($E66="$000",1000,1))</f>
        <v>0</v>
      </c>
      <c r="R66" s="132">
        <f ca="1">'Input|Step changes'!R21*IF('Input|Step changes'!$F21="nominal",LOOKUP($F66,Nominal_to_Real,'Input|Rate of change'!V$23:V$26),INDEX('Input|Rate of change'!$C$14:$O$19,MATCH('Input|Step changes'!$F21,'Input|Rate of change'!$C$14:$C$19,0),MATCH('Calc|Opex forecast'!$F66,'Input|Rate of change'!$C$14:$O$14,0)))*IF('Input|Step changes'!$E21="$millions",1000000,IF('Input|Step changes'!$E21="$000",1000,1))/IF($E66="$millions",1000000,IF($E66="$000",1000,1))</f>
        <v>0</v>
      </c>
      <c r="S66" s="132">
        <f ca="1">'Input|Step changes'!S21*IF('Input|Step changes'!$F21="nominal",LOOKUP($F66,Nominal_to_Real,'Input|Rate of change'!W$23:W$26),INDEX('Input|Rate of change'!$C$14:$O$19,MATCH('Input|Step changes'!$F21,'Input|Rate of change'!$C$14:$C$19,0),MATCH('Calc|Opex forecast'!$F66,'Input|Rate of change'!$C$14:$O$14,0)))*IF('Input|Step changes'!$E21="$millions",1000000,IF('Input|Step changes'!$E21="$000",1000,1))/IF($E66="$millions",1000000,IF($E66="$000",1000,1))</f>
        <v>0</v>
      </c>
    </row>
    <row r="67" spans="1:47" outlineLevel="1">
      <c r="C67" s="126">
        <f>'Input|Step changes'!C22</f>
        <v>0</v>
      </c>
      <c r="D67" s="114" t="s">
        <v>30</v>
      </c>
      <c r="E67" s="29" t="str">
        <f t="shared" si="2"/>
        <v>$millions</v>
      </c>
      <c r="F67" s="29" t="str">
        <f t="shared" si="3"/>
        <v>2016-17</v>
      </c>
      <c r="J67" s="132">
        <f ca="1">'Input|Step changes'!J22*IF('Input|Step changes'!$F22="nominal",LOOKUP($F67,Nominal_to_Real,'Input|Rate of change'!N$23:N$26),INDEX('Input|Rate of change'!$C$14:$O$19,MATCH('Input|Step changes'!$F22,'Input|Rate of change'!$C$14:$C$19,0),MATCH('Calc|Opex forecast'!$F67,'Input|Rate of change'!$C$14:$O$14,0)))*IF('Input|Step changes'!$E22="$millions",1000000,IF('Input|Step changes'!$E22="$000",1000,1))/IF($E67="$millions",1000000,IF($E67="$000",1000,1))</f>
        <v>0</v>
      </c>
      <c r="K67" s="132">
        <f ca="1">'Input|Step changes'!K22*IF('Input|Step changes'!$F22="nominal",LOOKUP($F67,Nominal_to_Real,'Input|Rate of change'!O$23:O$26),INDEX('Input|Rate of change'!$C$14:$O$19,MATCH('Input|Step changes'!$F22,'Input|Rate of change'!$C$14:$C$19,0),MATCH('Calc|Opex forecast'!$F67,'Input|Rate of change'!$C$14:$O$14,0)))*IF('Input|Step changes'!$E22="$millions",1000000,IF('Input|Step changes'!$E22="$000",1000,1))/IF($E67="$millions",1000000,IF($E67="$000",1000,1))</f>
        <v>0</v>
      </c>
      <c r="L67" s="132">
        <f ca="1">'Input|Step changes'!L22*IF('Input|Step changes'!$F22="nominal",LOOKUP($F67,Nominal_to_Real,'Input|Rate of change'!P$23:P$26),INDEX('Input|Rate of change'!$C$14:$O$19,MATCH('Input|Step changes'!$F22,'Input|Rate of change'!$C$14:$C$19,0),MATCH('Calc|Opex forecast'!$F67,'Input|Rate of change'!$C$14:$O$14,0)))*IF('Input|Step changes'!$E22="$millions",1000000,IF('Input|Step changes'!$E22="$000",1000,1))/IF($E67="$millions",1000000,IF($E67="$000",1000,1))</f>
        <v>0</v>
      </c>
      <c r="M67" s="132">
        <f ca="1">'Input|Step changes'!M22*IF('Input|Step changes'!$F22="nominal",LOOKUP($F67,Nominal_to_Real,'Input|Rate of change'!Q$23:Q$26),INDEX('Input|Rate of change'!$C$14:$O$19,MATCH('Input|Step changes'!$F22,'Input|Rate of change'!$C$14:$C$19,0),MATCH('Calc|Opex forecast'!$F67,'Input|Rate of change'!$C$14:$O$14,0)))*IF('Input|Step changes'!$E22="$millions",1000000,IF('Input|Step changes'!$E22="$000",1000,1))/IF($E67="$millions",1000000,IF($E67="$000",1000,1))</f>
        <v>0</v>
      </c>
      <c r="N67" s="132">
        <f ca="1">'Input|Step changes'!N22*IF('Input|Step changes'!$F22="nominal",LOOKUP($F67,Nominal_to_Real,'Input|Rate of change'!R$23:R$26),INDEX('Input|Rate of change'!$C$14:$O$19,MATCH('Input|Step changes'!$F22,'Input|Rate of change'!$C$14:$C$19,0),MATCH('Calc|Opex forecast'!$F67,'Input|Rate of change'!$C$14:$O$14,0)))*IF('Input|Step changes'!$E22="$millions",1000000,IF('Input|Step changes'!$E22="$000",1000,1))/IF($E67="$millions",1000000,IF($E67="$000",1000,1))</f>
        <v>0</v>
      </c>
      <c r="O67" s="132">
        <f ca="1">'Input|Step changes'!O22*IF('Input|Step changes'!$F22="nominal",LOOKUP($F67,Nominal_to_Real,'Input|Rate of change'!S$23:S$26),INDEX('Input|Rate of change'!$C$14:$O$19,MATCH('Input|Step changes'!$F22,'Input|Rate of change'!$C$14:$C$19,0),MATCH('Calc|Opex forecast'!$F67,'Input|Rate of change'!$C$14:$O$14,0)))*IF('Input|Step changes'!$E22="$millions",1000000,IF('Input|Step changes'!$E22="$000",1000,1))/IF($E67="$millions",1000000,IF($E67="$000",1000,1))</f>
        <v>0</v>
      </c>
      <c r="P67" s="132">
        <f ca="1">'Input|Step changes'!P22*IF('Input|Step changes'!$F22="nominal",LOOKUP($F67,Nominal_to_Real,'Input|Rate of change'!T$23:T$26),INDEX('Input|Rate of change'!$C$14:$O$19,MATCH('Input|Step changes'!$F22,'Input|Rate of change'!$C$14:$C$19,0),MATCH('Calc|Opex forecast'!$F67,'Input|Rate of change'!$C$14:$O$14,0)))*IF('Input|Step changes'!$E22="$millions",1000000,IF('Input|Step changes'!$E22="$000",1000,1))/IF($E67="$millions",1000000,IF($E67="$000",1000,1))</f>
        <v>0</v>
      </c>
      <c r="Q67" s="132">
        <f ca="1">'Input|Step changes'!Q22*IF('Input|Step changes'!$F22="nominal",LOOKUP($F67,Nominal_to_Real,'Input|Rate of change'!U$23:U$26),INDEX('Input|Rate of change'!$C$14:$O$19,MATCH('Input|Step changes'!$F22,'Input|Rate of change'!$C$14:$C$19,0),MATCH('Calc|Opex forecast'!$F67,'Input|Rate of change'!$C$14:$O$14,0)))*IF('Input|Step changes'!$E22="$millions",1000000,IF('Input|Step changes'!$E22="$000",1000,1))/IF($E67="$millions",1000000,IF($E67="$000",1000,1))</f>
        <v>0</v>
      </c>
      <c r="R67" s="132">
        <f ca="1">'Input|Step changes'!R22*IF('Input|Step changes'!$F22="nominal",LOOKUP($F67,Nominal_to_Real,'Input|Rate of change'!V$23:V$26),INDEX('Input|Rate of change'!$C$14:$O$19,MATCH('Input|Step changes'!$F22,'Input|Rate of change'!$C$14:$C$19,0),MATCH('Calc|Opex forecast'!$F67,'Input|Rate of change'!$C$14:$O$14,0)))*IF('Input|Step changes'!$E22="$millions",1000000,IF('Input|Step changes'!$E22="$000",1000,1))/IF($E67="$millions",1000000,IF($E67="$000",1000,1))</f>
        <v>0</v>
      </c>
      <c r="S67" s="132">
        <f ca="1">'Input|Step changes'!S22*IF('Input|Step changes'!$F22="nominal",LOOKUP($F67,Nominal_to_Real,'Input|Rate of change'!W$23:W$26),INDEX('Input|Rate of change'!$C$14:$O$19,MATCH('Input|Step changes'!$F22,'Input|Rate of change'!$C$14:$C$19,0),MATCH('Calc|Opex forecast'!$F67,'Input|Rate of change'!$C$14:$O$14,0)))*IF('Input|Step changes'!$E22="$millions",1000000,IF('Input|Step changes'!$E22="$000",1000,1))/IF($E67="$millions",1000000,IF($E67="$000",1000,1))</f>
        <v>0</v>
      </c>
    </row>
    <row r="68" spans="1:47" outlineLevel="1">
      <c r="C68" s="126">
        <f>'Input|Step changes'!C23</f>
        <v>0</v>
      </c>
      <c r="D68" s="114" t="s">
        <v>30</v>
      </c>
      <c r="E68" s="29" t="str">
        <f t="shared" si="2"/>
        <v>$millions</v>
      </c>
      <c r="F68" s="29" t="str">
        <f t="shared" si="3"/>
        <v>2016-17</v>
      </c>
      <c r="J68" s="132">
        <f ca="1">'Input|Step changes'!J23*IF('Input|Step changes'!$F23="nominal",LOOKUP($F68,Nominal_to_Real,'Input|Rate of change'!N$23:N$26),INDEX('Input|Rate of change'!$C$14:$O$19,MATCH('Input|Step changes'!$F23,'Input|Rate of change'!$C$14:$C$19,0),MATCH('Calc|Opex forecast'!$F68,'Input|Rate of change'!$C$14:$O$14,0)))*IF('Input|Step changes'!$E23="$millions",1000000,IF('Input|Step changes'!$E23="$000",1000,1))/IF($E68="$millions",1000000,IF($E68="$000",1000,1))</f>
        <v>0</v>
      </c>
      <c r="K68" s="132">
        <f ca="1">'Input|Step changes'!K23*IF('Input|Step changes'!$F23="nominal",LOOKUP($F68,Nominal_to_Real,'Input|Rate of change'!O$23:O$26),INDEX('Input|Rate of change'!$C$14:$O$19,MATCH('Input|Step changes'!$F23,'Input|Rate of change'!$C$14:$C$19,0),MATCH('Calc|Opex forecast'!$F68,'Input|Rate of change'!$C$14:$O$14,0)))*IF('Input|Step changes'!$E23="$millions",1000000,IF('Input|Step changes'!$E23="$000",1000,1))/IF($E68="$millions",1000000,IF($E68="$000",1000,1))</f>
        <v>0</v>
      </c>
      <c r="L68" s="132">
        <f ca="1">'Input|Step changes'!L23*IF('Input|Step changes'!$F23="nominal",LOOKUP($F68,Nominal_to_Real,'Input|Rate of change'!P$23:P$26),INDEX('Input|Rate of change'!$C$14:$O$19,MATCH('Input|Step changes'!$F23,'Input|Rate of change'!$C$14:$C$19,0),MATCH('Calc|Opex forecast'!$F68,'Input|Rate of change'!$C$14:$O$14,0)))*IF('Input|Step changes'!$E23="$millions",1000000,IF('Input|Step changes'!$E23="$000",1000,1))/IF($E68="$millions",1000000,IF($E68="$000",1000,1))</f>
        <v>0</v>
      </c>
      <c r="M68" s="132">
        <f ca="1">'Input|Step changes'!M23*IF('Input|Step changes'!$F23="nominal",LOOKUP($F68,Nominal_to_Real,'Input|Rate of change'!Q$23:Q$26),INDEX('Input|Rate of change'!$C$14:$O$19,MATCH('Input|Step changes'!$F23,'Input|Rate of change'!$C$14:$C$19,0),MATCH('Calc|Opex forecast'!$F68,'Input|Rate of change'!$C$14:$O$14,0)))*IF('Input|Step changes'!$E23="$millions",1000000,IF('Input|Step changes'!$E23="$000",1000,1))/IF($E68="$millions",1000000,IF($E68="$000",1000,1))</f>
        <v>0</v>
      </c>
      <c r="N68" s="132">
        <f ca="1">'Input|Step changes'!N23*IF('Input|Step changes'!$F23="nominal",LOOKUP($F68,Nominal_to_Real,'Input|Rate of change'!R$23:R$26),INDEX('Input|Rate of change'!$C$14:$O$19,MATCH('Input|Step changes'!$F23,'Input|Rate of change'!$C$14:$C$19,0),MATCH('Calc|Opex forecast'!$F68,'Input|Rate of change'!$C$14:$O$14,0)))*IF('Input|Step changes'!$E23="$millions",1000000,IF('Input|Step changes'!$E23="$000",1000,1))/IF($E68="$millions",1000000,IF($E68="$000",1000,1))</f>
        <v>0</v>
      </c>
      <c r="O68" s="132">
        <f ca="1">'Input|Step changes'!O23*IF('Input|Step changes'!$F23="nominal",LOOKUP($F68,Nominal_to_Real,'Input|Rate of change'!S$23:S$26),INDEX('Input|Rate of change'!$C$14:$O$19,MATCH('Input|Step changes'!$F23,'Input|Rate of change'!$C$14:$C$19,0),MATCH('Calc|Opex forecast'!$F68,'Input|Rate of change'!$C$14:$O$14,0)))*IF('Input|Step changes'!$E23="$millions",1000000,IF('Input|Step changes'!$E23="$000",1000,1))/IF($E68="$millions",1000000,IF($E68="$000",1000,1))</f>
        <v>0</v>
      </c>
      <c r="P68" s="132">
        <f ca="1">'Input|Step changes'!P23*IF('Input|Step changes'!$F23="nominal",LOOKUP($F68,Nominal_to_Real,'Input|Rate of change'!T$23:T$26),INDEX('Input|Rate of change'!$C$14:$O$19,MATCH('Input|Step changes'!$F23,'Input|Rate of change'!$C$14:$C$19,0),MATCH('Calc|Opex forecast'!$F68,'Input|Rate of change'!$C$14:$O$14,0)))*IF('Input|Step changes'!$E23="$millions",1000000,IF('Input|Step changes'!$E23="$000",1000,1))/IF($E68="$millions",1000000,IF($E68="$000",1000,1))</f>
        <v>0</v>
      </c>
      <c r="Q68" s="132">
        <f ca="1">'Input|Step changes'!Q23*IF('Input|Step changes'!$F23="nominal",LOOKUP($F68,Nominal_to_Real,'Input|Rate of change'!U$23:U$26),INDEX('Input|Rate of change'!$C$14:$O$19,MATCH('Input|Step changes'!$F23,'Input|Rate of change'!$C$14:$C$19,0),MATCH('Calc|Opex forecast'!$F68,'Input|Rate of change'!$C$14:$O$14,0)))*IF('Input|Step changes'!$E23="$millions",1000000,IF('Input|Step changes'!$E23="$000",1000,1))/IF($E68="$millions",1000000,IF($E68="$000",1000,1))</f>
        <v>0</v>
      </c>
      <c r="R68" s="132">
        <f ca="1">'Input|Step changes'!R23*IF('Input|Step changes'!$F23="nominal",LOOKUP($F68,Nominal_to_Real,'Input|Rate of change'!V$23:V$26),INDEX('Input|Rate of change'!$C$14:$O$19,MATCH('Input|Step changes'!$F23,'Input|Rate of change'!$C$14:$C$19,0),MATCH('Calc|Opex forecast'!$F68,'Input|Rate of change'!$C$14:$O$14,0)))*IF('Input|Step changes'!$E23="$millions",1000000,IF('Input|Step changes'!$E23="$000",1000,1))/IF($E68="$millions",1000000,IF($E68="$000",1000,1))</f>
        <v>0</v>
      </c>
      <c r="S68" s="132">
        <f ca="1">'Input|Step changes'!S23*IF('Input|Step changes'!$F23="nominal",LOOKUP($F68,Nominal_to_Real,'Input|Rate of change'!W$23:W$26),INDEX('Input|Rate of change'!$C$14:$O$19,MATCH('Input|Step changes'!$F23,'Input|Rate of change'!$C$14:$C$19,0),MATCH('Calc|Opex forecast'!$F68,'Input|Rate of change'!$C$14:$O$14,0)))*IF('Input|Step changes'!$E23="$millions",1000000,IF('Input|Step changes'!$E23="$000",1000,1))/IF($E68="$millions",1000000,IF($E68="$000",1000,1))</f>
        <v>0</v>
      </c>
    </row>
    <row r="69" spans="1:47" outlineLevel="1">
      <c r="C69" s="126"/>
      <c r="D69" s="112"/>
      <c r="F69" s="116"/>
      <c r="J69" s="133"/>
      <c r="K69" s="133"/>
      <c r="L69" s="133"/>
      <c r="M69" s="133"/>
      <c r="N69" s="133"/>
      <c r="O69" s="133"/>
      <c r="P69" s="133"/>
      <c r="Q69" s="133"/>
      <c r="R69" s="132"/>
      <c r="S69" s="132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</row>
    <row r="70" spans="1:47" outlineLevel="1">
      <c r="C70" s="118" t="s">
        <v>55</v>
      </c>
      <c r="D70" s="127" t="s">
        <v>30</v>
      </c>
      <c r="E70" s="127" t="str">
        <f>$E$8</f>
        <v>$millions</v>
      </c>
      <c r="F70" s="31" t="str">
        <f>$F$8</f>
        <v>2016-17</v>
      </c>
      <c r="G70" s="31"/>
      <c r="H70" s="31"/>
      <c r="I70" s="31"/>
      <c r="J70" s="134">
        <f ca="1">SUM(J57:J69)</f>
        <v>0</v>
      </c>
      <c r="K70" s="134">
        <f t="shared" ref="K70:S70" ca="1" si="4">SUM(K57:K69)</f>
        <v>0</v>
      </c>
      <c r="L70" s="134">
        <f t="shared" ca="1" si="4"/>
        <v>0</v>
      </c>
      <c r="M70" s="134">
        <f t="shared" ca="1" si="4"/>
        <v>0</v>
      </c>
      <c r="N70" s="134">
        <f t="shared" ca="1" si="4"/>
        <v>0</v>
      </c>
      <c r="O70" s="134">
        <f ca="1">SUM(O57:O69)</f>
        <v>0</v>
      </c>
      <c r="P70" s="134">
        <f t="shared" ca="1" si="4"/>
        <v>0</v>
      </c>
      <c r="Q70" s="134">
        <f t="shared" ca="1" si="4"/>
        <v>0</v>
      </c>
      <c r="R70" s="134">
        <f t="shared" ca="1" si="4"/>
        <v>0</v>
      </c>
      <c r="S70" s="134">
        <f t="shared" ca="1" si="4"/>
        <v>0</v>
      </c>
    </row>
    <row r="71" spans="1:47">
      <c r="C71" s="128"/>
      <c r="D71" s="114"/>
      <c r="E71" s="114"/>
      <c r="F71" s="114"/>
      <c r="J71" s="111"/>
      <c r="K71" s="111"/>
      <c r="L71" s="111"/>
      <c r="M71" s="111"/>
      <c r="N71" s="23"/>
      <c r="O71" s="23"/>
      <c r="P71" s="23"/>
      <c r="Q71" s="23"/>
      <c r="R71" s="23"/>
      <c r="S71" s="23"/>
    </row>
    <row r="72" spans="1:47" s="106" customFormat="1" ht="12.75">
      <c r="A72" s="97"/>
      <c r="B72" s="98" t="s">
        <v>163</v>
      </c>
      <c r="C72" s="97"/>
      <c r="D72" s="97"/>
      <c r="E72" s="97"/>
      <c r="F72" s="99"/>
      <c r="G72" s="99"/>
      <c r="H72" s="99"/>
      <c r="I72" s="99"/>
      <c r="J72" s="100"/>
      <c r="K72" s="101"/>
      <c r="L72" s="100"/>
      <c r="M72" s="101"/>
      <c r="N72" s="100"/>
      <c r="O72" s="100"/>
      <c r="P72" s="100"/>
      <c r="Q72" s="100"/>
      <c r="R72" s="100"/>
      <c r="S72" s="100"/>
      <c r="T72" s="100"/>
      <c r="U72" s="100"/>
      <c r="V72" s="101"/>
      <c r="W72" s="101"/>
      <c r="X72" s="102"/>
      <c r="Y72" s="102"/>
      <c r="Z72" s="102"/>
      <c r="AA72" s="102"/>
      <c r="AB72" s="103"/>
      <c r="AC72" s="104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</row>
    <row r="73" spans="1:47" outlineLevel="1">
      <c r="C73" s="110"/>
      <c r="J73" s="111"/>
      <c r="K73" s="111"/>
      <c r="L73" s="111"/>
    </row>
    <row r="74" spans="1:47" outlineLevel="1">
      <c r="C74" s="68" t="s">
        <v>164</v>
      </c>
      <c r="D74" s="31" t="s">
        <v>7</v>
      </c>
      <c r="E74" s="31" t="s">
        <v>8</v>
      </c>
      <c r="F74" s="31" t="s">
        <v>22</v>
      </c>
      <c r="J74" s="109" t="str">
        <f>IF(RIGHT(J$4,2)&gt;=RIGHT('Input|General'!$G$11,2),IF(RIGHT(J$4,2)&lt;=RIGHT('Input|General'!$G$12,2),J$4,""),"")</f>
        <v/>
      </c>
      <c r="K74" s="109" t="str">
        <f ca="1">IF(RIGHT(K$4,2)&gt;=RIGHT('Input|General'!$G$11,2),IF(RIGHT(K$4,2)&lt;=RIGHT('Input|General'!$G$12,2),K$4,""),"")</f>
        <v/>
      </c>
      <c r="L74" s="109" t="str">
        <f ca="1">IF(RIGHT(L$4,2)&gt;=RIGHT('Input|General'!$G$11,2),IF(RIGHT(L$4,2)&lt;=RIGHT('Input|General'!$G$12,2),L$4,""),"")</f>
        <v/>
      </c>
      <c r="M74" s="109" t="str">
        <f ca="1">IF(RIGHT(M$4,2)&gt;=RIGHT('Input|General'!$G$11,2),IF(RIGHT(M$4,2)&lt;=RIGHT('Input|General'!$G$12,2),M$4,""),"")</f>
        <v>2017-18</v>
      </c>
      <c r="N74" s="109" t="str">
        <f ca="1">IF(RIGHT(N$4,2)&gt;=RIGHT('Input|General'!$G$11,2),IF(RIGHT(N$4,2)&lt;=RIGHT('Input|General'!$G$12,2),N$4,""),"")</f>
        <v>2018-19</v>
      </c>
      <c r="O74" s="109" t="str">
        <f ca="1">IF(RIGHT(O$4,2)&gt;=RIGHT('Input|General'!$G$11,2),IF(RIGHT(O$4,2)&lt;=RIGHT('Input|General'!$G$12,2),O$4,""),"")</f>
        <v>2019-20</v>
      </c>
      <c r="P74" s="109" t="str">
        <f ca="1">IF(RIGHT(P$4,2)&gt;=RIGHT('Input|General'!$G$11,2),IF(RIGHT(P$4,2)&lt;=RIGHT('Input|General'!$G$12,2),P$4,""),"")</f>
        <v>2020-21</v>
      </c>
      <c r="Q74" s="109" t="str">
        <f ca="1">IF(RIGHT(Q$4,2)&gt;=RIGHT('Input|General'!$G$11,2),IF(RIGHT(Q$4,2)&lt;=RIGHT('Input|General'!$G$12,2),Q$4,""),"")</f>
        <v>2021-22</v>
      </c>
      <c r="R74" s="28" t="str">
        <f ca="1">IF(RIGHT(R$4,2)&gt;=RIGHT('Input|General'!$G$11,2),IF(RIGHT(R$4,2)&lt;=RIGHT('Input|General'!$G$12,2),R$4,""),"")</f>
        <v/>
      </c>
      <c r="S74" s="28" t="str">
        <f ca="1">IF(RIGHT(S$4,2)&gt;=RIGHT('Input|General'!$G$11,2),IF(RIGHT(S$4,2)&lt;=RIGHT('Input|General'!$G$12,2),S$4,""),"")</f>
        <v/>
      </c>
    </row>
    <row r="75" spans="1:47" outlineLevel="1">
      <c r="C75" s="68"/>
      <c r="J75" s="125"/>
      <c r="K75" s="125"/>
      <c r="L75" s="125"/>
      <c r="M75" s="125"/>
      <c r="N75" s="125"/>
      <c r="O75" s="125"/>
      <c r="P75" s="125"/>
      <c r="Q75" s="125"/>
    </row>
    <row r="76" spans="1:47" outlineLevel="1">
      <c r="C76" s="126" t="str">
        <f>'Input|Step changes'!C29</f>
        <v>Easement tax</v>
      </c>
      <c r="D76" s="114" t="s">
        <v>30</v>
      </c>
      <c r="E76" s="29" t="str">
        <f t="shared" ref="E76:E78" si="5">$E$8</f>
        <v>$millions</v>
      </c>
      <c r="F76" s="29" t="str">
        <f>$F$8</f>
        <v>2016-17</v>
      </c>
      <c r="J76" s="132">
        <f ca="1">'Input|Step changes'!J29*IF('Input|Step changes'!$F29="nominal",LOOKUP($F76,Nominal_to_Real,'Input|Rate of change'!N$23:N$26),INDEX('Input|Rate of change'!$C$14:$O$19,MATCH('Input|Step changes'!$F29,'Input|Rate of change'!$C$14:$C$19,0),MATCH('Calc|Opex forecast'!$F76,'Input|Rate of change'!$C$14:$O$14,0)))*IF('Input|Step changes'!$E29="$millions",1000000,IF('Input|Step changes'!$E29="$000",1000,1))/IF($E76="$millions",1000000,IF($E76="$000",1000,1))</f>
        <v>0</v>
      </c>
      <c r="K76" s="132">
        <f ca="1">'Input|Step changes'!K29*IF('Input|Step changes'!$F29="nominal",LOOKUP($F76,Nominal_to_Real,'Input|Rate of change'!O$23:O$26),INDEX('Input|Rate of change'!$C$14:$O$19,MATCH('Input|Step changes'!$F29,'Input|Rate of change'!$C$14:$C$19,0),MATCH('Calc|Opex forecast'!$F76,'Input|Rate of change'!$C$14:$O$14,0)))*IF('Input|Step changes'!$E29="$millions",1000000,IF('Input|Step changes'!$E29="$000",1000,1))/IF($E76="$millions",1000000,IF($E76="$000",1000,1))</f>
        <v>0</v>
      </c>
      <c r="L76" s="132">
        <f ca="1">'Input|Step changes'!L29*IF('Input|Step changes'!$F29="nominal",LOOKUP($F76,Nominal_to_Real,'Input|Rate of change'!P$23:P$26),INDEX('Input|Rate of change'!$C$14:$O$19,MATCH('Input|Step changes'!$F29,'Input|Rate of change'!$C$14:$C$19,0),MATCH('Calc|Opex forecast'!$F76,'Input|Rate of change'!$C$14:$O$14,0)))*IF('Input|Step changes'!$E29="$millions",1000000,IF('Input|Step changes'!$E29="$000",1000,1))/IF($E76="$millions",1000000,IF($E76="$000",1000,1))</f>
        <v>0</v>
      </c>
      <c r="M76" s="132">
        <f ca="1">'Input|Step changes'!M29*IF('Input|Step changes'!$F29="nominal",LOOKUP($F76,Nominal_to_Real,'Input|Rate of change'!Q$23:Q$26),INDEX('Input|Rate of change'!$C$14:$O$19,MATCH('Input|Step changes'!$F29,'Input|Rate of change'!$C$14:$C$19,0),MATCH('Calc|Opex forecast'!$F76,'Input|Rate of change'!$C$14:$O$14,0)))*IF('Input|Step changes'!$E29="$millions",1000000,IF('Input|Step changes'!$E29="$000",1000,1))/IF($E76="$millions",1000000,IF($E76="$000",1000,1))</f>
        <v>135.01954098084065</v>
      </c>
      <c r="N76" s="132">
        <f ca="1">'Input|Step changes'!N29*IF('Input|Step changes'!$F29="nominal",LOOKUP($F76,Nominal_to_Real,'Input|Rate of change'!R$23:R$26),INDEX('Input|Rate of change'!$C$14:$O$19,MATCH('Input|Step changes'!$F29,'Input|Rate of change'!$C$14:$C$19,0),MATCH('Calc|Opex forecast'!$F76,'Input|Rate of change'!$C$14:$O$14,0)))*IF('Input|Step changes'!$E29="$millions",1000000,IF('Input|Step changes'!$E29="$000",1000,1))/IF($E76="$millions",1000000,IF($E76="$000",1000,1))</f>
        <v>135.01954098084065</v>
      </c>
      <c r="O76" s="132">
        <f ca="1">'Input|Step changes'!O29*IF('Input|Step changes'!$F29="nominal",LOOKUP($F76,Nominal_to_Real,'Input|Rate of change'!S$23:S$26),INDEX('Input|Rate of change'!$C$14:$O$19,MATCH('Input|Step changes'!$F29,'Input|Rate of change'!$C$14:$C$19,0),MATCH('Calc|Opex forecast'!$F76,'Input|Rate of change'!$C$14:$O$14,0)))*IF('Input|Step changes'!$E29="$millions",1000000,IF('Input|Step changes'!$E29="$000",1000,1))/IF($E76="$millions",1000000,IF($E76="$000",1000,1))</f>
        <v>135.01954098084065</v>
      </c>
      <c r="P76" s="132">
        <f ca="1">'Input|Step changes'!P29*IF('Input|Step changes'!$F29="nominal",LOOKUP($F76,Nominal_to_Real,'Input|Rate of change'!T$23:T$26),INDEX('Input|Rate of change'!$C$14:$O$19,MATCH('Input|Step changes'!$F29,'Input|Rate of change'!$C$14:$C$19,0),MATCH('Calc|Opex forecast'!$F76,'Input|Rate of change'!$C$14:$O$14,0)))*IF('Input|Step changes'!$E29="$millions",1000000,IF('Input|Step changes'!$E29="$000",1000,1))/IF($E76="$millions",1000000,IF($E76="$000",1000,1))</f>
        <v>135.01954098084065</v>
      </c>
      <c r="Q76" s="132">
        <f ca="1">'Input|Step changes'!Q29*IF('Input|Step changes'!$F29="nominal",LOOKUP($F76,Nominal_to_Real,'Input|Rate of change'!U$23:U$26),INDEX('Input|Rate of change'!$C$14:$O$19,MATCH('Input|Step changes'!$F29,'Input|Rate of change'!$C$14:$C$19,0),MATCH('Calc|Opex forecast'!$F76,'Input|Rate of change'!$C$14:$O$14,0)))*IF('Input|Step changes'!$E29="$millions",1000000,IF('Input|Step changes'!$E29="$000",1000,1))/IF($E76="$millions",1000000,IF($E76="$000",1000,1))</f>
        <v>135.01954098084065</v>
      </c>
      <c r="R76" s="132">
        <f ca="1">'Input|Step changes'!R29*IF('Input|Step changes'!$F29="nominal",LOOKUP($F76,Nominal_to_Real,'Input|Rate of change'!V$23:V$26),INDEX('Input|Rate of change'!$C$14:$O$19,MATCH('Input|Step changes'!$F29,'Input|Rate of change'!$C$14:$C$19,0),MATCH('Calc|Opex forecast'!$F76,'Input|Rate of change'!$C$14:$O$14,0)))*IF('Input|Step changes'!$E29="$millions",1000000,IF('Input|Step changes'!$E29="$000",1000,1))/IF($E76="$millions",1000000,IF($E76="$000",1000,1))</f>
        <v>0</v>
      </c>
      <c r="S76" s="132">
        <f ca="1">'Input|Step changes'!S29*IF('Input|Step changes'!$F29="nominal",LOOKUP($F76,Nominal_to_Real,'Input|Rate of change'!W$23:W$26),INDEX('Input|Rate of change'!$C$14:$O$19,MATCH('Input|Step changes'!$F29,'Input|Rate of change'!$C$14:$C$19,0),MATCH('Calc|Opex forecast'!$F76,'Input|Rate of change'!$C$14:$O$14,0)))*IF('Input|Step changes'!$E29="$millions",1000000,IF('Input|Step changes'!$E29="$000",1000,1))/IF($E76="$millions",1000000,IF($E76="$000",1000,1))</f>
        <v>0</v>
      </c>
    </row>
    <row r="77" spans="1:47" outlineLevel="1">
      <c r="C77" s="126" t="str">
        <f>'Input|Step changes'!C30</f>
        <v>Group 3 roll in</v>
      </c>
      <c r="D77" s="114" t="s">
        <v>30</v>
      </c>
      <c r="E77" s="29" t="str">
        <f t="shared" si="5"/>
        <v>$millions</v>
      </c>
      <c r="F77" s="29" t="str">
        <f t="shared" ref="F77:F78" si="6">$F$8</f>
        <v>2016-17</v>
      </c>
      <c r="J77" s="132">
        <f ca="1">'Input|Step changes'!J30*IF('Input|Step changes'!$F30="nominal",LOOKUP($F77,Nominal_to_Real,'Input|Rate of change'!N$23:N$26),INDEX('Input|Rate of change'!$C$14:$O$19,MATCH('Input|Step changes'!$F30,'Input|Rate of change'!$C$14:$C$19,0),MATCH('Calc|Opex forecast'!$F77,'Input|Rate of change'!$C$14:$O$14,0)))*IF('Input|Step changes'!$E30="$millions",1000000,IF('Input|Step changes'!$E30="$000",1000,1))/IF($E77="$millions",1000000,IF($E77="$000",1000,1))</f>
        <v>0</v>
      </c>
      <c r="K77" s="132">
        <f ca="1">'Input|Step changes'!K30*IF('Input|Step changes'!$F30="nominal",LOOKUP($F77,Nominal_to_Real,'Input|Rate of change'!O$23:O$26),INDEX('Input|Rate of change'!$C$14:$O$19,MATCH('Input|Step changes'!$F30,'Input|Rate of change'!$C$14:$C$19,0),MATCH('Calc|Opex forecast'!$F77,'Input|Rate of change'!$C$14:$O$14,0)))*IF('Input|Step changes'!$E30="$millions",1000000,IF('Input|Step changes'!$E30="$000",1000,1))/IF($E77="$millions",1000000,IF($E77="$000",1000,1))</f>
        <v>0</v>
      </c>
      <c r="L77" s="132">
        <f ca="1">'Input|Step changes'!L30*IF('Input|Step changes'!$F30="nominal",LOOKUP($F77,Nominal_to_Real,'Input|Rate of change'!P$23:P$26),INDEX('Input|Rate of change'!$C$14:$O$19,MATCH('Input|Step changes'!$F30,'Input|Rate of change'!$C$14:$C$19,0),MATCH('Calc|Opex forecast'!$F77,'Input|Rate of change'!$C$14:$O$14,0)))*IF('Input|Step changes'!$E30="$millions",1000000,IF('Input|Step changes'!$E30="$000",1000,1))/IF($E77="$millions",1000000,IF($E77="$000",1000,1))</f>
        <v>0</v>
      </c>
      <c r="M77" s="132">
        <f ca="1">'Input|Step changes'!M30*IF('Input|Step changes'!$F30="nominal",LOOKUP($F77,Nominal_to_Real,'Input|Rate of change'!Q$23:Q$26),INDEX('Input|Rate of change'!$C$14:$O$19,MATCH('Input|Step changes'!$F30,'Input|Rate of change'!$C$14:$C$19,0),MATCH('Calc|Opex forecast'!$F77,'Input|Rate of change'!$C$14:$O$14,0)))*IF('Input|Step changes'!$E30="$millions",1000000,IF('Input|Step changes'!$E30="$000",1000,1))/IF($E77="$millions",1000000,IF($E77="$000",1000,1))</f>
        <v>2.0824986669588341</v>
      </c>
      <c r="N77" s="132">
        <f ca="1">'Input|Step changes'!N30*IF('Input|Step changes'!$F30="nominal",LOOKUP($F77,Nominal_to_Real,'Input|Rate of change'!R$23:R$26),INDEX('Input|Rate of change'!$C$14:$O$19,MATCH('Input|Step changes'!$F30,'Input|Rate of change'!$C$14:$C$19,0),MATCH('Calc|Opex forecast'!$F77,'Input|Rate of change'!$C$14:$O$14,0)))*IF('Input|Step changes'!$E30="$millions",1000000,IF('Input|Step changes'!$E30="$000",1000,1))/IF($E77="$millions",1000000,IF($E77="$000",1000,1))</f>
        <v>2.0824986669588341</v>
      </c>
      <c r="O77" s="132">
        <f ca="1">'Input|Step changes'!O30*IF('Input|Step changes'!$F30="nominal",LOOKUP($F77,Nominal_to_Real,'Input|Rate of change'!S$23:S$26),INDEX('Input|Rate of change'!$C$14:$O$19,MATCH('Input|Step changes'!$F30,'Input|Rate of change'!$C$14:$C$19,0),MATCH('Calc|Opex forecast'!$F77,'Input|Rate of change'!$C$14:$O$14,0)))*IF('Input|Step changes'!$E30="$millions",1000000,IF('Input|Step changes'!$E30="$000",1000,1))/IF($E77="$millions",1000000,IF($E77="$000",1000,1))</f>
        <v>2.0824986669588341</v>
      </c>
      <c r="P77" s="132">
        <f ca="1">'Input|Step changes'!P30*IF('Input|Step changes'!$F30="nominal",LOOKUP($F77,Nominal_to_Real,'Input|Rate of change'!T$23:T$26),INDEX('Input|Rate of change'!$C$14:$O$19,MATCH('Input|Step changes'!$F30,'Input|Rate of change'!$C$14:$C$19,0),MATCH('Calc|Opex forecast'!$F77,'Input|Rate of change'!$C$14:$O$14,0)))*IF('Input|Step changes'!$E30="$millions",1000000,IF('Input|Step changes'!$E30="$000",1000,1))/IF($E77="$millions",1000000,IF($E77="$000",1000,1))</f>
        <v>2.0824986669588341</v>
      </c>
      <c r="Q77" s="132">
        <f ca="1">'Input|Step changes'!Q30*IF('Input|Step changes'!$F30="nominal",LOOKUP($F77,Nominal_to_Real,'Input|Rate of change'!U$23:U$26),INDEX('Input|Rate of change'!$C$14:$O$19,MATCH('Input|Step changes'!$F30,'Input|Rate of change'!$C$14:$C$19,0),MATCH('Calc|Opex forecast'!$F77,'Input|Rate of change'!$C$14:$O$14,0)))*IF('Input|Step changes'!$E30="$millions",1000000,IF('Input|Step changes'!$E30="$000",1000,1))/IF($E77="$millions",1000000,IF($E77="$000",1000,1))</f>
        <v>2.0824986669588341</v>
      </c>
      <c r="R77" s="132">
        <f ca="1">'Input|Step changes'!R30*IF('Input|Step changes'!$F30="nominal",LOOKUP($F77,Nominal_to_Real,'Input|Rate of change'!V$23:V$26),INDEX('Input|Rate of change'!$C$14:$O$19,MATCH('Input|Step changes'!$F30,'Input|Rate of change'!$C$14:$C$19,0),MATCH('Calc|Opex forecast'!$F77,'Input|Rate of change'!$C$14:$O$14,0)))*IF('Input|Step changes'!$E30="$millions",1000000,IF('Input|Step changes'!$E30="$000",1000,1))/IF($E77="$millions",1000000,IF($E77="$000",1000,1))</f>
        <v>0</v>
      </c>
      <c r="S77" s="132">
        <f ca="1">'Input|Step changes'!S30*IF('Input|Step changes'!$F30="nominal",LOOKUP($F77,Nominal_to_Real,'Input|Rate of change'!W$23:W$26),INDEX('Input|Rate of change'!$C$14:$O$19,MATCH('Input|Step changes'!$F30,'Input|Rate of change'!$C$14:$C$19,0),MATCH('Calc|Opex forecast'!$F77,'Input|Rate of change'!$C$14:$O$14,0)))*IF('Input|Step changes'!$E30="$millions",1000000,IF('Input|Step changes'!$E30="$000",1000,1))/IF($E77="$millions",1000000,IF($E77="$000",1000,1))</f>
        <v>0</v>
      </c>
    </row>
    <row r="78" spans="1:47" outlineLevel="1">
      <c r="C78" s="126">
        <f>'Input|Step changes'!C31</f>
        <v>0</v>
      </c>
      <c r="D78" s="114" t="s">
        <v>30</v>
      </c>
      <c r="E78" s="29" t="str">
        <f t="shared" si="5"/>
        <v>$millions</v>
      </c>
      <c r="F78" s="29" t="str">
        <f t="shared" si="6"/>
        <v>2016-17</v>
      </c>
      <c r="J78" s="132">
        <f ca="1">'Input|Step changes'!J31*IF('Input|Step changes'!$F31="nominal",LOOKUP($F78,Nominal_to_Real,'Input|Rate of change'!N$23:N$26),INDEX('Input|Rate of change'!$C$14:$O$19,MATCH('Input|Step changes'!$F31,'Input|Rate of change'!$C$14:$C$19,0),MATCH('Calc|Opex forecast'!$F78,'Input|Rate of change'!$C$14:$O$14,0)))*IF('Input|Step changes'!$E31="$millions",1000000,IF('Input|Step changes'!$E31="$000",1000,1))/IF($E78="$millions",1000000,IF($E78="$000",1000,1))</f>
        <v>0</v>
      </c>
      <c r="K78" s="132">
        <f ca="1">'Input|Step changes'!K31*IF('Input|Step changes'!$F31="nominal",LOOKUP($F78,Nominal_to_Real,'Input|Rate of change'!O$23:O$26),INDEX('Input|Rate of change'!$C$14:$O$19,MATCH('Input|Step changes'!$F31,'Input|Rate of change'!$C$14:$C$19,0),MATCH('Calc|Opex forecast'!$F78,'Input|Rate of change'!$C$14:$O$14,0)))*IF('Input|Step changes'!$E31="$millions",1000000,IF('Input|Step changes'!$E31="$000",1000,1))/IF($E78="$millions",1000000,IF($E78="$000",1000,1))</f>
        <v>0</v>
      </c>
      <c r="L78" s="132">
        <f ca="1">'Input|Step changes'!L31*IF('Input|Step changes'!$F31="nominal",LOOKUP($F78,Nominal_to_Real,'Input|Rate of change'!P$23:P$26),INDEX('Input|Rate of change'!$C$14:$O$19,MATCH('Input|Step changes'!$F31,'Input|Rate of change'!$C$14:$C$19,0),MATCH('Calc|Opex forecast'!$F78,'Input|Rate of change'!$C$14:$O$14,0)))*IF('Input|Step changes'!$E31="$millions",1000000,IF('Input|Step changes'!$E31="$000",1000,1))/IF($E78="$millions",1000000,IF($E78="$000",1000,1))</f>
        <v>0</v>
      </c>
      <c r="M78" s="132">
        <f ca="1">'Input|Step changes'!M31*IF('Input|Step changes'!$F31="nominal",LOOKUP($F78,Nominal_to_Real,'Input|Rate of change'!Q$23:Q$26),INDEX('Input|Rate of change'!$C$14:$O$19,MATCH('Input|Step changes'!$F31,'Input|Rate of change'!$C$14:$C$19,0),MATCH('Calc|Opex forecast'!$F78,'Input|Rate of change'!$C$14:$O$14,0)))*IF('Input|Step changes'!$E31="$millions",1000000,IF('Input|Step changes'!$E31="$000",1000,1))/IF($E78="$millions",1000000,IF($E78="$000",1000,1))</f>
        <v>0</v>
      </c>
      <c r="N78" s="132">
        <f ca="1">'Input|Step changes'!N31*IF('Input|Step changes'!$F31="nominal",LOOKUP($F78,Nominal_to_Real,'Input|Rate of change'!R$23:R$26),INDEX('Input|Rate of change'!$C$14:$O$19,MATCH('Input|Step changes'!$F31,'Input|Rate of change'!$C$14:$C$19,0),MATCH('Calc|Opex forecast'!$F78,'Input|Rate of change'!$C$14:$O$14,0)))*IF('Input|Step changes'!$E31="$millions",1000000,IF('Input|Step changes'!$E31="$000",1000,1))/IF($E78="$millions",1000000,IF($E78="$000",1000,1))</f>
        <v>0</v>
      </c>
      <c r="O78" s="132">
        <f ca="1">'Input|Step changes'!O31*IF('Input|Step changes'!$F31="nominal",LOOKUP($F78,Nominal_to_Real,'Input|Rate of change'!S$23:S$26),INDEX('Input|Rate of change'!$C$14:$O$19,MATCH('Input|Step changes'!$F31,'Input|Rate of change'!$C$14:$C$19,0),MATCH('Calc|Opex forecast'!$F78,'Input|Rate of change'!$C$14:$O$14,0)))*IF('Input|Step changes'!$E31="$millions",1000000,IF('Input|Step changes'!$E31="$000",1000,1))/IF($E78="$millions",1000000,IF($E78="$000",1000,1))</f>
        <v>0</v>
      </c>
      <c r="P78" s="132">
        <f ca="1">'Input|Step changes'!P31*IF('Input|Step changes'!$F31="nominal",LOOKUP($F78,Nominal_to_Real,'Input|Rate of change'!T$23:T$26),INDEX('Input|Rate of change'!$C$14:$O$19,MATCH('Input|Step changes'!$F31,'Input|Rate of change'!$C$14:$C$19,0),MATCH('Calc|Opex forecast'!$F78,'Input|Rate of change'!$C$14:$O$14,0)))*IF('Input|Step changes'!$E31="$millions",1000000,IF('Input|Step changes'!$E31="$000",1000,1))/IF($E78="$millions",1000000,IF($E78="$000",1000,1))</f>
        <v>0</v>
      </c>
      <c r="Q78" s="132">
        <f ca="1">'Input|Step changes'!Q31*IF('Input|Step changes'!$F31="nominal",LOOKUP($F78,Nominal_to_Real,'Input|Rate of change'!U$23:U$26),INDEX('Input|Rate of change'!$C$14:$O$19,MATCH('Input|Step changes'!$F31,'Input|Rate of change'!$C$14:$C$19,0),MATCH('Calc|Opex forecast'!$F78,'Input|Rate of change'!$C$14:$O$14,0)))*IF('Input|Step changes'!$E31="$millions",1000000,IF('Input|Step changes'!$E31="$000",1000,1))/IF($E78="$millions",1000000,IF($E78="$000",1000,1))</f>
        <v>0</v>
      </c>
      <c r="R78" s="132">
        <f ca="1">'Input|Step changes'!R31*IF('Input|Step changes'!$F31="nominal",LOOKUP($F78,Nominal_to_Real,'Input|Rate of change'!V$23:V$26),INDEX('Input|Rate of change'!$C$14:$O$19,MATCH('Input|Step changes'!$F31,'Input|Rate of change'!$C$14:$C$19,0),MATCH('Calc|Opex forecast'!$F78,'Input|Rate of change'!$C$14:$O$14,0)))*IF('Input|Step changes'!$E31="$millions",1000000,IF('Input|Step changes'!$E31="$000",1000,1))/IF($E78="$millions",1000000,IF($E78="$000",1000,1))</f>
        <v>0</v>
      </c>
      <c r="S78" s="132">
        <f ca="1">'Input|Step changes'!S31*IF('Input|Step changes'!$F31="nominal",LOOKUP($F78,Nominal_to_Real,'Input|Rate of change'!W$23:W$26),INDEX('Input|Rate of change'!$C$14:$O$19,MATCH('Input|Step changes'!$F31,'Input|Rate of change'!$C$14:$C$19,0),MATCH('Calc|Opex forecast'!$F78,'Input|Rate of change'!$C$14:$O$14,0)))*IF('Input|Step changes'!$E31="$millions",1000000,IF('Input|Step changes'!$E31="$000",1000,1))/IF($E78="$millions",1000000,IF($E78="$000",1000,1))</f>
        <v>0</v>
      </c>
    </row>
    <row r="79" spans="1:47" outlineLevel="1">
      <c r="C79" s="126"/>
      <c r="D79" s="114"/>
      <c r="J79" s="133"/>
      <c r="K79" s="133"/>
      <c r="L79" s="133"/>
      <c r="M79" s="133"/>
      <c r="N79" s="133"/>
      <c r="O79" s="133"/>
      <c r="P79" s="133"/>
      <c r="Q79" s="133"/>
      <c r="R79" s="132"/>
      <c r="S79" s="132"/>
    </row>
    <row r="80" spans="1:47" outlineLevel="1">
      <c r="C80" s="118" t="s">
        <v>166</v>
      </c>
      <c r="D80" s="127" t="s">
        <v>30</v>
      </c>
      <c r="E80" s="127" t="str">
        <f>$E$8</f>
        <v>$millions</v>
      </c>
      <c r="F80" s="31" t="str">
        <f>$F$8</f>
        <v>2016-17</v>
      </c>
      <c r="G80" s="31"/>
      <c r="H80" s="31"/>
      <c r="I80" s="31"/>
      <c r="J80" s="134">
        <f t="shared" ref="J80:S80" ca="1" si="7">SUM(J76:J78)</f>
        <v>0</v>
      </c>
      <c r="K80" s="134">
        <f t="shared" ca="1" si="7"/>
        <v>0</v>
      </c>
      <c r="L80" s="134">
        <f t="shared" ca="1" si="7"/>
        <v>0</v>
      </c>
      <c r="M80" s="134">
        <f t="shared" ca="1" si="7"/>
        <v>137.10203964779947</v>
      </c>
      <c r="N80" s="134">
        <f t="shared" ca="1" si="7"/>
        <v>137.10203964779947</v>
      </c>
      <c r="O80" s="134">
        <f t="shared" ca="1" si="7"/>
        <v>137.10203964779947</v>
      </c>
      <c r="P80" s="134">
        <f t="shared" ca="1" si="7"/>
        <v>137.10203964779947</v>
      </c>
      <c r="Q80" s="134">
        <f t="shared" ca="1" si="7"/>
        <v>137.10203964779947</v>
      </c>
      <c r="R80" s="134">
        <f t="shared" ca="1" si="7"/>
        <v>0</v>
      </c>
      <c r="S80" s="134">
        <f t="shared" ca="1" si="7"/>
        <v>0</v>
      </c>
    </row>
    <row r="81" spans="1:47">
      <c r="C81" s="128"/>
      <c r="D81" s="114"/>
      <c r="E81" s="114"/>
      <c r="F81" s="114"/>
      <c r="J81" s="111"/>
      <c r="K81" s="111"/>
      <c r="L81" s="111"/>
      <c r="M81" s="111"/>
      <c r="N81" s="23"/>
      <c r="O81" s="23"/>
      <c r="P81" s="23"/>
      <c r="Q81" s="23"/>
      <c r="R81" s="23"/>
      <c r="S81" s="23"/>
    </row>
    <row r="82" spans="1:47" s="106" customFormat="1" ht="12.75">
      <c r="A82" s="97"/>
      <c r="B82" s="98" t="s">
        <v>114</v>
      </c>
      <c r="C82" s="97"/>
      <c r="D82" s="97"/>
      <c r="E82" s="97"/>
      <c r="F82" s="99"/>
      <c r="G82" s="99"/>
      <c r="H82" s="99"/>
      <c r="I82" s="99"/>
      <c r="J82" s="100"/>
      <c r="K82" s="101"/>
      <c r="L82" s="100"/>
      <c r="M82" s="101"/>
      <c r="N82" s="100"/>
      <c r="O82" s="100"/>
      <c r="P82" s="100"/>
      <c r="Q82" s="100"/>
      <c r="R82" s="100"/>
      <c r="S82" s="100"/>
      <c r="T82" s="100"/>
      <c r="U82" s="100"/>
      <c r="V82" s="101"/>
      <c r="W82" s="101"/>
      <c r="X82" s="102"/>
      <c r="Y82" s="102"/>
      <c r="Z82" s="102"/>
      <c r="AA82" s="102"/>
      <c r="AB82" s="103"/>
      <c r="AC82" s="104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</row>
    <row r="83" spans="1:47" outlineLevel="1">
      <c r="C83" s="110"/>
      <c r="J83" s="111"/>
      <c r="K83" s="111"/>
      <c r="L83" s="111"/>
    </row>
    <row r="84" spans="1:47" outlineLevel="1">
      <c r="C84" s="68"/>
      <c r="J84" s="109" t="str">
        <f>IF(RIGHT(J$4,2)&gt;=RIGHT('Input|General'!$G$9,2),IF(RIGHT(J$4,2)&lt;=RIGHT('Input|General'!$G$12,2),J$4,""),"")</f>
        <v>2014-15</v>
      </c>
      <c r="K84" s="109" t="str">
        <f ca="1">IF(RIGHT(K$4,2)&gt;=RIGHT('Input|General'!$G$9,2),IF(RIGHT(K$4,2)&lt;=RIGHT('Input|General'!$G$12,2),K$4,""),"")</f>
        <v>2015-16</v>
      </c>
      <c r="L84" s="109" t="str">
        <f ca="1">IF(RIGHT(L$4,2)&gt;=RIGHT('Input|General'!$G$9,2),IF(RIGHT(L$4,2)&lt;=RIGHT('Input|General'!$G$12,2),L$4,""),"")</f>
        <v>2016-17</v>
      </c>
      <c r="M84" s="109" t="str">
        <f ca="1">IF(RIGHT(M$4,2)&gt;=RIGHT('Input|General'!$G$9,2),IF(RIGHT(M$4,2)&lt;=RIGHT('Input|General'!$G$12,2),M$4,""),"")</f>
        <v>2017-18</v>
      </c>
      <c r="N84" s="109" t="str">
        <f ca="1">IF(RIGHT(N$4,2)&gt;=RIGHT('Input|General'!$G$9,2),IF(RIGHT(N$4,2)&lt;=RIGHT('Input|General'!$G$12,2),N$4,""),"")</f>
        <v>2018-19</v>
      </c>
      <c r="O84" s="109" t="str">
        <f ca="1">IF(RIGHT(O$4,2)&gt;=RIGHT('Input|General'!$G$9,2),IF(RIGHT(O$4,2)&lt;=RIGHT('Input|General'!$G$12,2),O$4,""),"")</f>
        <v>2019-20</v>
      </c>
      <c r="P84" s="109" t="str">
        <f ca="1">IF(RIGHT(P$4,2)&gt;=RIGHT('Input|General'!$G$9,2),IF(RIGHT(P$4,2)&lt;=RIGHT('Input|General'!$G$12,2),P$4,""),"")</f>
        <v>2020-21</v>
      </c>
      <c r="Q84" s="109" t="str">
        <f ca="1">IF(RIGHT(Q$4,2)&gt;=RIGHT('Input|General'!$G$9,2),IF(RIGHT(Q$4,2)&lt;=RIGHT('Input|General'!$G$12,2),Q$4,""),"")</f>
        <v>2021-22</v>
      </c>
      <c r="R84" s="28" t="str">
        <f ca="1">IF(RIGHT(R$4,2)&gt;=RIGHT('Input|General'!$G$9,2),IF(RIGHT(R$4,2)&lt;=RIGHT('Input|General'!$G$12,2),R$4,""),"")</f>
        <v/>
      </c>
      <c r="S84" s="28" t="str">
        <f ca="1">IF(RIGHT(S$4,2)&gt;=RIGHT('Input|General'!$G$9,2),IF(RIGHT(S$4,2)&lt;=RIGHT('Input|General'!$G$12,2),S$4,""),"")</f>
        <v/>
      </c>
    </row>
    <row r="85" spans="1:47" outlineLevel="1">
      <c r="C85" s="129"/>
      <c r="D85" s="114"/>
      <c r="E85" s="114"/>
      <c r="F85" s="11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77"/>
    </row>
    <row r="86" spans="1:47" outlineLevel="1">
      <c r="C86" s="128" t="s">
        <v>140</v>
      </c>
      <c r="D86" s="131" t="s">
        <v>30</v>
      </c>
      <c r="E86" s="131" t="str">
        <f>$E$8</f>
        <v>$millions</v>
      </c>
      <c r="F86" s="31" t="str">
        <f>$F$8</f>
        <v>2016-17</v>
      </c>
      <c r="J86" s="164">
        <f t="shared" ref="J86:K86" ca="1" si="8">J13</f>
        <v>84.77799524798597</v>
      </c>
      <c r="K86" s="164">
        <f t="shared" ca="1" si="8"/>
        <v>0</v>
      </c>
      <c r="L86" s="164">
        <f ca="1">L19</f>
        <v>87.754924065947165</v>
      </c>
      <c r="M86" s="164">
        <f t="array" aca="1" ref="M86" ca="1">IF(RIGHT(M$4,2)&gt;=RIGHT('Input|General'!$G$11,2),IF(RIGHT(M$4,2)&lt;=RIGHT('Input|General'!$G$12,2),IF(ISBLANK(M84),"",PRODUCT(1+$J51:M51)*SUM($J38:$Q38)+M70+M80),""),"")</f>
        <v>225.35819712671844</v>
      </c>
      <c r="N86" s="164">
        <f t="array" aca="1" ref="N86" ca="1">IF(RIGHT(N$4,2)&gt;=RIGHT('Input|General'!$G$11,2),IF(RIGHT(N$4,2)&lt;=RIGHT('Input|General'!$G$12,2),IF(ISBLANK(N84),"",PRODUCT(1+$J51:N51)*SUM($J38:$Q38)+N70+N80),""),"")</f>
        <v>225.83907682828885</v>
      </c>
      <c r="O86" s="164">
        <f t="array" aca="1" ref="O86" ca="1">IF(RIGHT(O$4,2)&gt;=RIGHT('Input|General'!$G$11,2),IF(RIGHT(O$4,2)&lt;=RIGHT('Input|General'!$G$12,2),IF(ISBLANK(O84),"",PRODUCT(1+$J51:O51)*SUM($J38:$Q38)+O70+O80),""),"")</f>
        <v>226.39786327694316</v>
      </c>
      <c r="P86" s="164">
        <f t="array" aca="1" ref="P86" ca="1">IF(RIGHT(P$4,2)&gt;=RIGHT('Input|General'!$G$11,2),IF(RIGHT(P$4,2)&lt;=RIGHT('Input|General'!$G$12,2),IF(ISBLANK(P84),"",PRODUCT(1+$J51:P51)*SUM($J38:$Q38)+P70+P80),""),"")</f>
        <v>226.92700347823171</v>
      </c>
      <c r="Q86" s="176">
        <f t="array" aca="1" ref="Q86" ca="1">IF(RIGHT(Q$4,2)&gt;=RIGHT('Input|General'!$G$11,2),IF(RIGHT(Q$4,2)&lt;=RIGHT('Input|General'!$G$12,2),IF(ISBLANK(Q84),"",PRODUCT(1+$J51:Q51)*SUM($J38:$Q38)+Q70+Q80),""),"")</f>
        <v>227.44809989558991</v>
      </c>
      <c r="R86" s="164"/>
      <c r="S86" s="164"/>
      <c r="U86" s="177"/>
    </row>
    <row r="87" spans="1:47" outlineLevel="1">
      <c r="C87" s="128" t="s">
        <v>141</v>
      </c>
      <c r="D87" s="131" t="s">
        <v>30</v>
      </c>
      <c r="E87" s="131" t="str">
        <f>$E$8</f>
        <v>$millions</v>
      </c>
      <c r="F87" s="31" t="str">
        <f>$F$8</f>
        <v>2016-17</v>
      </c>
      <c r="J87" s="164"/>
      <c r="K87" s="164"/>
      <c r="L87" s="164"/>
      <c r="M87" s="164">
        <f ca="1">M86+'Input|Step changes'!M37</f>
        <v>226.93182997030331</v>
      </c>
      <c r="N87" s="164">
        <f ca="1">N86+'Input|Step changes'!N37</f>
        <v>227.41993676798262</v>
      </c>
      <c r="O87" s="164">
        <f ca="1">O86+'Input|Step changes'!O37</f>
        <v>227.97429417586207</v>
      </c>
      <c r="P87" s="164">
        <f ca="1">P86+'Input|Step changes'!P37</f>
        <v>228.49101606548282</v>
      </c>
      <c r="Q87" s="164">
        <f ca="1">Q86+'Input|Step changes'!Q37</f>
        <v>228.9897469123361</v>
      </c>
      <c r="R87" s="164"/>
      <c r="S87" s="164"/>
    </row>
    <row r="88" spans="1:47">
      <c r="C88" s="128"/>
      <c r="D88" s="114"/>
      <c r="E88" s="114"/>
      <c r="F88" s="114"/>
      <c r="J88" s="111"/>
      <c r="K88" s="111"/>
      <c r="L88" s="111"/>
      <c r="M88" s="111"/>
      <c r="N88" s="23"/>
      <c r="O88" s="23"/>
      <c r="P88" s="23"/>
      <c r="Q88" s="23"/>
      <c r="R88" s="23"/>
      <c r="S88" s="23"/>
    </row>
    <row r="89" spans="1:47" s="106" customFormat="1" ht="12.75">
      <c r="A89" s="97"/>
      <c r="B89" s="98" t="s">
        <v>21</v>
      </c>
      <c r="C89" s="97"/>
      <c r="D89" s="97"/>
      <c r="E89" s="97"/>
      <c r="F89" s="99"/>
      <c r="G89" s="99"/>
      <c r="H89" s="99"/>
      <c r="I89" s="99"/>
      <c r="J89" s="100"/>
      <c r="K89" s="101"/>
      <c r="L89" s="100"/>
      <c r="M89" s="101"/>
      <c r="N89" s="100"/>
      <c r="O89" s="100"/>
      <c r="P89" s="100"/>
      <c r="Q89" s="100"/>
      <c r="R89" s="100"/>
      <c r="S89" s="100"/>
      <c r="T89" s="100"/>
      <c r="U89" s="100"/>
      <c r="V89" s="101"/>
      <c r="W89" s="101"/>
      <c r="X89" s="102"/>
      <c r="Y89" s="102"/>
      <c r="Z89" s="102"/>
      <c r="AA89" s="102"/>
      <c r="AB89" s="103"/>
      <c r="AC89" s="104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</row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</sheetData>
  <mergeCells count="2">
    <mergeCell ref="J3:L3"/>
    <mergeCell ref="N3:S3"/>
  </mergeCells>
  <conditionalFormatting sqref="S1">
    <cfRule type="cellIs" dxfId="65" priority="52" operator="equal">
      <formula>"Check"</formula>
    </cfRule>
    <cfRule type="cellIs" dxfId="64" priority="53" operator="equal">
      <formula>"Ok"</formula>
    </cfRule>
  </conditionalFormatting>
  <conditionalFormatting sqref="V1">
    <cfRule type="cellIs" dxfId="63" priority="54" operator="equal">
      <formula>"Check"</formula>
    </cfRule>
    <cfRule type="cellIs" dxfId="62" priority="55" operator="equal">
      <formula>"Ok"</formula>
    </cfRule>
  </conditionalFormatting>
  <conditionalFormatting sqref="J12:Q17">
    <cfRule type="cellIs" dxfId="61" priority="51" operator="equal">
      <formula>0</formula>
    </cfRule>
  </conditionalFormatting>
  <conditionalFormatting sqref="J13:Q13">
    <cfRule type="cellIs" dxfId="60" priority="50" operator="equal">
      <formula>0</formula>
    </cfRule>
  </conditionalFormatting>
  <conditionalFormatting sqref="J14:Q14">
    <cfRule type="cellIs" dxfId="59" priority="49" operator="equal">
      <formula>0</formula>
    </cfRule>
  </conditionalFormatting>
  <conditionalFormatting sqref="J15:Q15">
    <cfRule type="cellIs" dxfId="58" priority="48" operator="equal">
      <formula>0</formula>
    </cfRule>
  </conditionalFormatting>
  <conditionalFormatting sqref="J16:Q16">
    <cfRule type="cellIs" dxfId="57" priority="47" operator="equal">
      <formula>0</formula>
    </cfRule>
  </conditionalFormatting>
  <conditionalFormatting sqref="J17:Q17">
    <cfRule type="cellIs" dxfId="56" priority="46" operator="equal">
      <formula>0</formula>
    </cfRule>
  </conditionalFormatting>
  <conditionalFormatting sqref="J46:Q49 J45:S45">
    <cfRule type="cellIs" dxfId="55" priority="45" operator="equal">
      <formula>0</formula>
    </cfRule>
  </conditionalFormatting>
  <conditionalFormatting sqref="J51:S51">
    <cfRule type="cellIs" dxfId="54" priority="44" operator="equal">
      <formula>0</formula>
    </cfRule>
  </conditionalFormatting>
  <conditionalFormatting sqref="J57:Q68">
    <cfRule type="cellIs" dxfId="53" priority="43" operator="equal">
      <formula>0</formula>
    </cfRule>
  </conditionalFormatting>
  <conditionalFormatting sqref="J70:S70">
    <cfRule type="cellIs" dxfId="52" priority="42" operator="equal">
      <formula>0</formula>
    </cfRule>
  </conditionalFormatting>
  <conditionalFormatting sqref="J19:Q20 J23:Q23 J35:Q38">
    <cfRule type="cellIs" dxfId="51" priority="41" operator="equal">
      <formula>0</formula>
    </cfRule>
  </conditionalFormatting>
  <conditionalFormatting sqref="J19:Q20 J23:Q23 J35:Q38">
    <cfRule type="cellIs" dxfId="50" priority="40" operator="equal">
      <formula>0</formula>
    </cfRule>
  </conditionalFormatting>
  <conditionalFormatting sqref="J86:S87">
    <cfRule type="cellIs" dxfId="49" priority="39" operator="equal">
      <formula>0</formula>
    </cfRule>
  </conditionalFormatting>
  <conditionalFormatting sqref="J86:S87">
    <cfRule type="cellIs" dxfId="48" priority="38" operator="equal">
      <formula>0</formula>
    </cfRule>
  </conditionalFormatting>
  <conditionalFormatting sqref="I21:Q21">
    <cfRule type="cellIs" dxfId="47" priority="37" operator="equal">
      <formula>0</formula>
    </cfRule>
  </conditionalFormatting>
  <conditionalFormatting sqref="I21:Q21">
    <cfRule type="cellIs" dxfId="46" priority="36" operator="equal">
      <formula>0</formula>
    </cfRule>
  </conditionalFormatting>
  <conditionalFormatting sqref="J25:Q26 J29:Q29 J32:Q32">
    <cfRule type="cellIs" dxfId="45" priority="29" operator="equal">
      <formula>0</formula>
    </cfRule>
  </conditionalFormatting>
  <conditionalFormatting sqref="J25:Q26 J29:Q29 J32:Q32">
    <cfRule type="cellIs" dxfId="44" priority="28" operator="equal">
      <formula>0</formula>
    </cfRule>
  </conditionalFormatting>
  <conditionalFormatting sqref="J22:Q22">
    <cfRule type="cellIs" dxfId="43" priority="27" operator="equal">
      <formula>0</formula>
    </cfRule>
  </conditionalFormatting>
  <conditionalFormatting sqref="J22:Q22">
    <cfRule type="cellIs" dxfId="42" priority="26" operator="equal">
      <formula>0</formula>
    </cfRule>
  </conditionalFormatting>
  <conditionalFormatting sqref="R12:S38">
    <cfRule type="cellIs" dxfId="41" priority="25" operator="equal">
      <formula>0</formula>
    </cfRule>
  </conditionalFormatting>
  <conditionalFormatting sqref="R43:S44 R46:S50">
    <cfRule type="cellIs" dxfId="40" priority="24" operator="equal">
      <formula>0</formula>
    </cfRule>
  </conditionalFormatting>
  <conditionalFormatting sqref="R57:S69">
    <cfRule type="cellIs" dxfId="39" priority="23" operator="equal">
      <formula>0</formula>
    </cfRule>
  </conditionalFormatting>
  <conditionalFormatting sqref="J24:Q24">
    <cfRule type="cellIs" dxfId="38" priority="22" operator="equal">
      <formula>0</formula>
    </cfRule>
  </conditionalFormatting>
  <conditionalFormatting sqref="J24:Q24">
    <cfRule type="cellIs" dxfId="37" priority="21" operator="equal">
      <formula>0</formula>
    </cfRule>
  </conditionalFormatting>
  <conditionalFormatting sqref="J28:Q28">
    <cfRule type="cellIs" dxfId="36" priority="20" operator="equal">
      <formula>0</formula>
    </cfRule>
  </conditionalFormatting>
  <conditionalFormatting sqref="J28:Q28">
    <cfRule type="cellIs" dxfId="35" priority="19" operator="equal">
      <formula>0</formula>
    </cfRule>
  </conditionalFormatting>
  <conditionalFormatting sqref="J27:Q27">
    <cfRule type="cellIs" dxfId="34" priority="18" operator="equal">
      <formula>0</formula>
    </cfRule>
  </conditionalFormatting>
  <conditionalFormatting sqref="J27:Q27">
    <cfRule type="cellIs" dxfId="33" priority="17" operator="equal">
      <formula>0</formula>
    </cfRule>
  </conditionalFormatting>
  <conditionalFormatting sqref="J31:Q31">
    <cfRule type="cellIs" dxfId="32" priority="16" operator="equal">
      <formula>0</formula>
    </cfRule>
  </conditionalFormatting>
  <conditionalFormatting sqref="J31:Q31">
    <cfRule type="cellIs" dxfId="31" priority="15" operator="equal">
      <formula>0</formula>
    </cfRule>
  </conditionalFormatting>
  <conditionalFormatting sqref="J30:Q30">
    <cfRule type="cellIs" dxfId="30" priority="14" operator="equal">
      <formula>0</formula>
    </cfRule>
  </conditionalFormatting>
  <conditionalFormatting sqref="J30:Q30">
    <cfRule type="cellIs" dxfId="29" priority="13" operator="equal">
      <formula>0</formula>
    </cfRule>
  </conditionalFormatting>
  <conditionalFormatting sqref="J34:Q34">
    <cfRule type="cellIs" dxfId="28" priority="12" operator="equal">
      <formula>0</formula>
    </cfRule>
  </conditionalFormatting>
  <conditionalFormatting sqref="J34:Q34">
    <cfRule type="cellIs" dxfId="27" priority="11" operator="equal">
      <formula>0</formula>
    </cfRule>
  </conditionalFormatting>
  <conditionalFormatting sqref="J33:Q33">
    <cfRule type="cellIs" dxfId="26" priority="10" operator="equal">
      <formula>0</formula>
    </cfRule>
  </conditionalFormatting>
  <conditionalFormatting sqref="J33:Q33">
    <cfRule type="cellIs" dxfId="25" priority="9" operator="equal">
      <formula>0</formula>
    </cfRule>
  </conditionalFormatting>
  <conditionalFormatting sqref="R80:S80">
    <cfRule type="cellIs" dxfId="24" priority="4" operator="equal">
      <formula>0</formula>
    </cfRule>
  </conditionalFormatting>
  <conditionalFormatting sqref="R79:S79">
    <cfRule type="cellIs" dxfId="23" priority="6" operator="equal">
      <formula>0</formula>
    </cfRule>
  </conditionalFormatting>
  <conditionalFormatting sqref="J76:S78">
    <cfRule type="cellIs" dxfId="22" priority="2" operator="equal">
      <formula>0</formula>
    </cfRule>
  </conditionalFormatting>
  <conditionalFormatting sqref="J80:Q80">
    <cfRule type="cellIs" dxfId="21" priority="1" operator="equal">
      <formula>0</formula>
    </cfRule>
  </conditionalFormatting>
  <dataValidations disablePrompts="1" count="3">
    <dataValidation type="list" allowBlank="1" showInputMessage="1" showErrorMessage="1" sqref="F88 F69 F71 F81">
      <formula1>"Real 2010,Real 2011,Real 2012,Real 2013,Real 2014,Real 2015,Nominal"</formula1>
    </dataValidation>
    <dataValidation type="list" allowBlank="1" showInputMessage="1" showErrorMessage="1" sqref="F57:F68 F86:F87 F70 F76:F80">
      <formula1>$G$44:$G$50</formula1>
    </dataValidation>
    <dataValidation type="list" allowBlank="1" showInputMessage="1" showErrorMessage="1" sqref="F8">
      <formula1>J$4:S$4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'Lookup|Tables'!$G$10:$G$12</xm:f>
          </x14:formula1>
          <xm:sqref>E8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32"/>
  <sheetViews>
    <sheetView showGridLines="0" workbookViewId="0">
      <selection activeCell="U11" sqref="U11:W12"/>
    </sheetView>
  </sheetViews>
  <sheetFormatPr defaultColWidth="0" defaultRowHeight="11.25" zeroHeight="1"/>
  <cols>
    <col min="1" max="2" width="1.5" style="28" customWidth="1"/>
    <col min="3" max="3" width="42" style="28" customWidth="1"/>
    <col min="4" max="4" width="27.6640625" style="29" customWidth="1"/>
    <col min="5" max="5" width="15.83203125" style="29" customWidth="1"/>
    <col min="6" max="6" width="10.6640625" style="29" customWidth="1"/>
    <col min="7" max="9" width="3.33203125" style="29" customWidth="1"/>
    <col min="10" max="23" width="10.83203125" style="28" customWidth="1"/>
    <col min="24" max="47" width="0" style="28" hidden="1" customWidth="1"/>
    <col min="48" max="16384" width="10.5" style="28" hidden="1"/>
  </cols>
  <sheetData>
    <row r="1" spans="1:47" s="71" customFormat="1" ht="15.75">
      <c r="B1" s="72" t="str">
        <f>Index!$B$1</f>
        <v>AER opex model</v>
      </c>
      <c r="C1" s="72"/>
      <c r="D1" s="72"/>
      <c r="E1" s="72"/>
      <c r="F1" s="73"/>
      <c r="G1" s="73"/>
      <c r="H1" s="73"/>
      <c r="I1" s="73"/>
      <c r="J1" s="36" t="s">
        <v>2</v>
      </c>
      <c r="L1" s="74" t="s">
        <v>3</v>
      </c>
      <c r="M1" s="75" t="s">
        <v>4</v>
      </c>
      <c r="N1" s="76" t="s">
        <v>5</v>
      </c>
      <c r="O1" s="77" t="s">
        <v>6</v>
      </c>
      <c r="R1" s="74" t="s">
        <v>106</v>
      </c>
      <c r="S1" s="78" t="str">
        <f>IF(COUNTA($W$14:$W$471)=COUNTIF($W$14:$W$471,"OK"),"OK","Check")</f>
        <v>OK</v>
      </c>
      <c r="U1" s="74" t="s">
        <v>24</v>
      </c>
      <c r="V1" s="78" t="str">
        <f>'Check|List'!$S$1</f>
        <v>Ok</v>
      </c>
    </row>
    <row r="2" spans="1:47" s="79" customFormat="1" ht="13.5" thickBot="1">
      <c r="B2" s="80" t="str">
        <f>Index!$C$13</f>
        <v>Output | Models</v>
      </c>
      <c r="C2" s="80"/>
      <c r="D2" s="80"/>
      <c r="E2" s="80"/>
      <c r="F2" s="81"/>
      <c r="G2" s="81"/>
      <c r="H2" s="81"/>
      <c r="I2" s="81"/>
    </row>
    <row r="3" spans="1:47" s="82" customFormat="1">
      <c r="C3" s="83"/>
      <c r="D3" s="84"/>
      <c r="E3" s="84"/>
      <c r="F3" s="84"/>
      <c r="G3" s="84"/>
      <c r="H3" s="84"/>
      <c r="I3" s="84"/>
      <c r="J3" s="178"/>
      <c r="K3" s="178"/>
      <c r="L3" s="178"/>
      <c r="M3" s="84"/>
      <c r="N3" s="178"/>
      <c r="O3" s="178"/>
      <c r="P3" s="178"/>
      <c r="Q3" s="178"/>
      <c r="R3" s="178"/>
      <c r="S3" s="178"/>
      <c r="T3" s="85"/>
      <c r="U3" s="85"/>
      <c r="V3" s="85"/>
      <c r="W3" s="85"/>
      <c r="X3" s="85"/>
      <c r="Y3" s="85"/>
      <c r="Z3" s="85"/>
    </row>
    <row r="4" spans="1:47" s="96" customFormat="1" ht="10.5">
      <c r="A4" s="86"/>
      <c r="B4" s="86"/>
      <c r="C4" s="86"/>
      <c r="D4" s="87" t="s">
        <v>7</v>
      </c>
      <c r="E4" s="87" t="s">
        <v>8</v>
      </c>
      <c r="F4" s="88" t="s">
        <v>22</v>
      </c>
      <c r="G4" s="89"/>
      <c r="H4" s="89"/>
      <c r="I4" s="89"/>
      <c r="J4" s="152" t="str">
        <f>'Input|General'!$G$8</f>
        <v>2014-15</v>
      </c>
      <c r="K4" s="152" t="str">
        <f ca="1">IF(OFFSET('Lookup|Tables'!$G$28:$G$43,MATCH('Input|General'!$G$8,'Lookup|Tables'!$G$28:$G$42,0)+1,0,1,1)&lt;='Input|General'!$G$12,OFFSET('Lookup|Tables'!$G$28:$G$43,MATCH('Input|General'!$G$8,'Lookup|Tables'!$G$28:$G$42,0),0,1,1),"")</f>
        <v>2015-16</v>
      </c>
      <c r="L4" s="152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2016-17</v>
      </c>
      <c r="M4" s="91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2017-18</v>
      </c>
      <c r="N4" s="152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2018-19</v>
      </c>
      <c r="O4" s="152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2019-20</v>
      </c>
      <c r="P4" s="152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2020-21</v>
      </c>
      <c r="Q4" s="152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2021-22</v>
      </c>
      <c r="R4" s="152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/>
      </c>
      <c r="S4" s="15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/>
      </c>
      <c r="T4" s="90"/>
      <c r="U4" s="90"/>
      <c r="V4" s="91"/>
      <c r="W4" s="91"/>
      <c r="X4" s="92"/>
      <c r="Y4" s="92"/>
      <c r="Z4" s="92"/>
      <c r="AA4" s="92"/>
      <c r="AB4" s="93"/>
      <c r="AC4" s="94"/>
      <c r="AD4" s="94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1:47" s="26" customFormat="1" ht="3" customHeight="1">
      <c r="D5" s="27"/>
      <c r="E5" s="27"/>
      <c r="F5" s="27"/>
      <c r="G5" s="27"/>
      <c r="H5" s="27"/>
      <c r="I5" s="27"/>
    </row>
    <row r="6" spans="1:47" s="26" customFormat="1" ht="9" customHeight="1">
      <c r="D6" s="27"/>
      <c r="E6" s="27"/>
      <c r="F6" s="27"/>
      <c r="G6" s="27"/>
      <c r="H6" s="27"/>
      <c r="I6" s="27"/>
    </row>
    <row r="7" spans="1:47" s="26" customFormat="1" ht="3" customHeight="1">
      <c r="D7" s="27"/>
      <c r="E7" s="27"/>
      <c r="F7" s="27"/>
      <c r="G7" s="27"/>
      <c r="H7" s="27"/>
      <c r="I7" s="27"/>
    </row>
    <row r="8" spans="1:47" s="106" customFormat="1" ht="12.75">
      <c r="A8" s="97"/>
      <c r="B8" s="98" t="s">
        <v>70</v>
      </c>
      <c r="C8" s="97"/>
      <c r="D8" s="97"/>
      <c r="E8" s="69" t="s">
        <v>15</v>
      </c>
      <c r="F8" s="69" t="s">
        <v>43</v>
      </c>
      <c r="G8" s="99"/>
      <c r="H8" s="99"/>
      <c r="I8" s="99"/>
      <c r="J8" s="159" t="s">
        <v>71</v>
      </c>
      <c r="K8" s="101"/>
      <c r="L8" s="100"/>
      <c r="M8" s="101"/>
      <c r="N8" s="100"/>
      <c r="O8" s="100"/>
      <c r="P8" s="100"/>
      <c r="Q8" s="100"/>
      <c r="R8" s="100"/>
      <c r="S8" s="100"/>
      <c r="T8" s="100"/>
      <c r="U8" s="100"/>
      <c r="V8" s="101"/>
      <c r="W8" s="101"/>
    </row>
    <row r="9" spans="1:47" ht="4.5" customHeight="1"/>
    <row r="10" spans="1:47">
      <c r="M10" s="111"/>
      <c r="N10" s="111"/>
      <c r="O10" s="111"/>
      <c r="P10" s="111"/>
      <c r="Q10" s="111"/>
      <c r="R10" s="111"/>
      <c r="S10" s="111"/>
    </row>
    <row r="11" spans="1:47">
      <c r="C11" s="68" t="s">
        <v>52</v>
      </c>
      <c r="D11" s="31" t="s">
        <v>7</v>
      </c>
      <c r="E11" s="31" t="s">
        <v>8</v>
      </c>
      <c r="F11" s="31" t="s">
        <v>22</v>
      </c>
      <c r="H11" s="31"/>
      <c r="I11" s="31"/>
      <c r="J11" s="109" t="str">
        <f>IF(RIGHT(J$4,2)&gt;=RIGHT('Input|General'!$G$11,2),IF(RIGHT(J$4,2)&lt;=RIGHT('Input|General'!$G$12,2),J$4,""),"")</f>
        <v/>
      </c>
      <c r="K11" s="109" t="str">
        <f ca="1">IF(RIGHT(K$4,2)&gt;=RIGHT('Input|General'!$G$11,2),IF(RIGHT(K$4,2)&lt;=RIGHT('Input|General'!$G$12,2),K$4,""),"")</f>
        <v/>
      </c>
      <c r="L11" s="109" t="str">
        <f ca="1">IF(RIGHT(L$4,2)&gt;=RIGHT('Input|General'!$G$11,2),IF(RIGHT(L$4,2)&lt;=RIGHT('Input|General'!$G$12,2),L$4,""),"")</f>
        <v/>
      </c>
      <c r="M11" s="109" t="str">
        <f ca="1">IF(RIGHT(M$4,2)&gt;=RIGHT('Input|General'!$G$11,2),IF(RIGHT(M$4,2)&lt;=RIGHT('Input|General'!$G$12,2),M$4,""),"")</f>
        <v>2017-18</v>
      </c>
      <c r="N11" s="109" t="str">
        <f ca="1">IF(RIGHT(N$4,2)&gt;=RIGHT('Input|General'!$G$11,2),IF(RIGHT(N$4,2)&lt;=RIGHT('Input|General'!$G$12,2),N$4,""),"")</f>
        <v>2018-19</v>
      </c>
      <c r="O11" s="109" t="str">
        <f ca="1">IF(RIGHT(O$4,2)&gt;=RIGHT('Input|General'!$G$11,2),IF(RIGHT(O$4,2)&lt;=RIGHT('Input|General'!$G$12,2),O$4,""),"")</f>
        <v>2019-20</v>
      </c>
      <c r="P11" s="109" t="str">
        <f ca="1">IF(RIGHT(P$4,2)&gt;=RIGHT('Input|General'!$G$11,2),IF(RIGHT(P$4,2)&lt;=RIGHT('Input|General'!$G$12,2),P$4,""),"")</f>
        <v>2020-21</v>
      </c>
      <c r="Q11" s="109" t="str">
        <f ca="1">IF(RIGHT(Q$4,2)&gt;=RIGHT('Input|General'!$G$11,2),IF(RIGHT(Q$4,2)&lt;=RIGHT('Input|General'!$G$12,2),Q$4,""),"")</f>
        <v>2021-22</v>
      </c>
      <c r="U11" s="146" t="s">
        <v>68</v>
      </c>
      <c r="V11" s="147"/>
      <c r="W11" s="147"/>
    </row>
    <row r="12" spans="1:47">
      <c r="C12" s="115" t="s">
        <v>69</v>
      </c>
      <c r="D12" s="33" t="s">
        <v>134</v>
      </c>
      <c r="E12" s="29" t="str">
        <f>$E$8</f>
        <v>$millions</v>
      </c>
      <c r="F12" s="29" t="str">
        <f>$F$8</f>
        <v>2016-17</v>
      </c>
      <c r="H12" s="31"/>
      <c r="I12" s="31"/>
      <c r="J12" s="160">
        <f>IF(J11="",0,'Calc|Opex forecast'!J86*IF('Calc|Opex forecast'!$F$86="nominal",LOOKUP($F12,Nominal_to_Real,'Input|Rate of change'!P$23:P$26),INDEX('Input|Rate of change'!$C$14:$O$19,MATCH('Calc|Opex forecast'!$F$86,'Input|Rate of change'!$C$14:$C$19,0),MATCH('Output|Models'!$F12,'Input|Rate of change'!$C$14:$O$14,0)))*IF('Calc|Opex forecast'!$E$86="$millions",1000000,IF('Output|Models'!B47="$000",1000,1))/IF($E12="$millions",1000000,IF($E12="$000",1000,1)))</f>
        <v>0</v>
      </c>
      <c r="K12" s="160">
        <f ca="1">IF(K11="",0,'Calc|Opex forecast'!K86*IF('Calc|Opex forecast'!$F$86="nominal",LOOKUP($F12,Nominal_to_Real,'Input|Rate of change'!Q$23:Q$26),INDEX('Input|Rate of change'!$C$14:$O$19,MATCH('Calc|Opex forecast'!$F$86,'Input|Rate of change'!$C$14:$C$19,0),MATCH('Output|Models'!$F12,'Input|Rate of change'!$C$14:$O$14,0)))*IF('Calc|Opex forecast'!$E$86="$millions",1000000,IF('Output|Models'!C47="$000",1000,1))/IF($E12="$millions",1000000,IF($E12="$000",1000,1)))</f>
        <v>0</v>
      </c>
      <c r="L12" s="160">
        <f ca="1">IF(L11="",0,'Calc|Opex forecast'!L86*IF('Calc|Opex forecast'!$F$86="nominal",LOOKUP($F12,Nominal_to_Real,'Input|Rate of change'!R$23:R$26),INDEX('Input|Rate of change'!$C$14:$O$19,MATCH('Calc|Opex forecast'!$F$86,'Input|Rate of change'!$C$14:$C$19,0),MATCH('Output|Models'!$F12,'Input|Rate of change'!$C$14:$O$14,0)))*IF('Calc|Opex forecast'!$E$86="$millions",1000000,IF('Output|Models'!D47="$000",1000,1))/IF($E12="$millions",1000000,IF($E12="$000",1000,1)))</f>
        <v>0</v>
      </c>
      <c r="M12" s="160">
        <f ca="1">IF(M11="",0,'Calc|Opex forecast'!M86*IF('Calc|Opex forecast'!$F$86="nominal",LOOKUP($F12,Nominal_to_Real,'Input|Rate of change'!S$23:S$26),INDEX('Input|Rate of change'!$C$14:$O$19,MATCH('Calc|Opex forecast'!$F$86,'Input|Rate of change'!$C$14:$C$19,0),MATCH('Output|Models'!$F12,'Input|Rate of change'!$C$14:$O$14,0)))*IF('Calc|Opex forecast'!$E$86="$millions",1000000,IF('Output|Models'!E47="$000",1000,1))/IF($E12="$millions",1000000,IF($E12="$000",1000,1)))</f>
        <v>225.35819712671844</v>
      </c>
      <c r="N12" s="160">
        <f ca="1">IF(N11="",0,'Calc|Opex forecast'!N86*IF('Calc|Opex forecast'!$F$86="nominal",LOOKUP($F12,Nominal_to_Real,'Input|Rate of change'!T$23:T$26),INDEX('Input|Rate of change'!$C$14:$O$19,MATCH('Calc|Opex forecast'!$F$86,'Input|Rate of change'!$C$14:$C$19,0),MATCH('Output|Models'!$F12,'Input|Rate of change'!$C$14:$O$14,0)))*IF('Calc|Opex forecast'!$E$86="$millions",1000000,IF('Output|Models'!F47="$000",1000,1))/IF($E12="$millions",1000000,IF($E12="$000",1000,1)))</f>
        <v>225.83907682828885</v>
      </c>
      <c r="O12" s="160">
        <f ca="1">IF(O11="",0,'Calc|Opex forecast'!O86*IF('Calc|Opex forecast'!$F$86="nominal",LOOKUP($F12,Nominal_to_Real,'Input|Rate of change'!U$23:U$26),INDEX('Input|Rate of change'!$C$14:$O$19,MATCH('Calc|Opex forecast'!$F$86,'Input|Rate of change'!$C$14:$C$19,0),MATCH('Output|Models'!$F12,'Input|Rate of change'!$C$14:$O$14,0)))*IF('Calc|Opex forecast'!$E$86="$millions",1000000,IF('Output|Models'!G47="$000",1000,1))/IF($E12="$millions",1000000,IF($E12="$000",1000,1)))</f>
        <v>226.39786327694316</v>
      </c>
      <c r="P12" s="160">
        <f ca="1">IF(P11="",0,'Calc|Opex forecast'!P86*IF('Calc|Opex forecast'!$F$86="nominal",LOOKUP($F12,Nominal_to_Real,'Input|Rate of change'!V$23:V$26),INDEX('Input|Rate of change'!$C$14:$O$19,MATCH('Calc|Opex forecast'!$F$86,'Input|Rate of change'!$C$14:$C$19,0),MATCH('Output|Models'!$F12,'Input|Rate of change'!$C$14:$O$14,0)))*IF('Calc|Opex forecast'!$E$86="$millions",1000000,IF('Output|Models'!H47="$000",1000,1))/IF($E12="$millions",1000000,IF($E12="$000",1000,1)))</f>
        <v>226.92700347823171</v>
      </c>
      <c r="Q12" s="160">
        <f ca="1">IF(Q11="",0,'Calc|Opex forecast'!Q86*IF('Calc|Opex forecast'!$F$86="nominal",LOOKUP($F12,Nominal_to_Real,'Input|Rate of change'!W$23:W$26),INDEX('Input|Rate of change'!$C$14:$O$19,MATCH('Calc|Opex forecast'!$F$86,'Input|Rate of change'!$C$14:$C$19,0),MATCH('Output|Models'!$F12,'Input|Rate of change'!$C$14:$O$14,0)))*IF('Calc|Opex forecast'!$E$86="$millions",1000000,IF('Output|Models'!I47="$000",1000,1))/IF($E12="$millions",1000000,IF($E12="$000",1000,1)))</f>
        <v>227.44809989558991</v>
      </c>
      <c r="R12" s="115"/>
      <c r="S12" s="115"/>
      <c r="T12" s="115"/>
      <c r="U12" s="166"/>
    </row>
    <row r="13" spans="1:47">
      <c r="C13" s="115"/>
      <c r="D13" s="33"/>
      <c r="H13" s="31"/>
      <c r="I13" s="31"/>
      <c r="N13" s="151"/>
      <c r="Q13" s="135">
        <f ca="1">SUM(M12:Q12)</f>
        <v>1131.970240605772</v>
      </c>
    </row>
    <row r="14" spans="1:47">
      <c r="D14" s="33"/>
      <c r="H14" s="31"/>
      <c r="I14" s="31"/>
      <c r="N14" s="151"/>
      <c r="S14" s="23"/>
    </row>
    <row r="15" spans="1:47" s="106" customFormat="1" ht="12.75">
      <c r="A15" s="97"/>
      <c r="B15" s="98" t="s">
        <v>21</v>
      </c>
      <c r="C15" s="97"/>
      <c r="D15" s="97"/>
      <c r="E15" s="97"/>
      <c r="F15" s="99"/>
      <c r="G15" s="99"/>
      <c r="H15" s="99"/>
      <c r="I15" s="99"/>
      <c r="J15" s="100"/>
      <c r="K15" s="101"/>
      <c r="L15" s="100"/>
      <c r="M15" s="101"/>
      <c r="N15" s="100"/>
      <c r="O15" s="100"/>
      <c r="P15" s="100"/>
      <c r="Q15" s="100"/>
      <c r="R15" s="100"/>
      <c r="S15" s="100"/>
      <c r="T15" s="100"/>
      <c r="U15" s="100"/>
      <c r="V15" s="101"/>
      <c r="W15" s="101"/>
    </row>
    <row r="16" spans="1:47" hidden="1"/>
    <row r="17" spans="13:19" hidden="1"/>
    <row r="18" spans="13:19" hidden="1"/>
    <row r="19" spans="13:19" hidden="1"/>
    <row r="20" spans="13:19" hidden="1"/>
    <row r="21" spans="13:19" hidden="1">
      <c r="M21" s="156"/>
      <c r="N21" s="156"/>
      <c r="O21" s="156"/>
      <c r="P21" s="156"/>
      <c r="Q21" s="156"/>
      <c r="R21" s="156"/>
      <c r="S21" s="156"/>
    </row>
    <row r="22" spans="13:19" hidden="1"/>
    <row r="23" spans="13:19" hidden="1"/>
    <row r="24" spans="13:19" hidden="1"/>
    <row r="25" spans="13:19" hidden="1"/>
    <row r="26" spans="13:19" hidden="1"/>
    <row r="27" spans="13:19" hidden="1"/>
    <row r="28" spans="13:19" hidden="1"/>
    <row r="29" spans="13:19" hidden="1"/>
    <row r="30" spans="13:19" hidden="1"/>
    <row r="31" spans="13:19" hidden="1"/>
    <row r="32" spans="13:19" hidden="1"/>
  </sheetData>
  <mergeCells count="2">
    <mergeCell ref="J3:L3"/>
    <mergeCell ref="N3:S3"/>
  </mergeCells>
  <conditionalFormatting sqref="S1">
    <cfRule type="cellIs" dxfId="20" priority="4" operator="equal">
      <formula>"Check"</formula>
    </cfRule>
    <cfRule type="cellIs" dxfId="19" priority="5" operator="equal">
      <formula>"Ok"</formula>
    </cfRule>
  </conditionalFormatting>
  <conditionalFormatting sqref="V1">
    <cfRule type="cellIs" dxfId="18" priority="6" operator="equal">
      <formula>"Check"</formula>
    </cfRule>
    <cfRule type="cellIs" dxfId="17" priority="7" operator="equal">
      <formula>"Ok"</formula>
    </cfRule>
  </conditionalFormatting>
  <conditionalFormatting sqref="J12:Q12">
    <cfRule type="cellIs" dxfId="16" priority="3" operator="equal">
      <formula>0</formula>
    </cfRule>
  </conditionalFormatting>
  <dataValidations count="2">
    <dataValidation type="list" allowBlank="1" showInputMessage="1" showErrorMessage="1" sqref="F13:F14">
      <formula1>#REF!</formula1>
    </dataValidation>
    <dataValidation type="list" allowBlank="1" showInputMessage="1" showErrorMessage="1" sqref="F12">
      <formula1>$G$17:$G$23</formula1>
    </dataValidation>
  </dataValidations>
  <hyperlinks>
    <hyperlink ref="J1" location="Index!A1" display="Back to Index"/>
    <hyperlink ref="D12" location="'Calc|Opex forecast'!A1" display="Calc | Opex forecast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'Lookup|Tables'!$G$25:$G$35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51"/>
  <sheetViews>
    <sheetView showGridLines="0" workbookViewId="0">
      <selection activeCell="C27" sqref="C27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7" customFormat="1" ht="15.75">
      <c r="B1" s="34" t="str">
        <f>Index!$B$1</f>
        <v>AER opex model</v>
      </c>
      <c r="C1" s="34"/>
      <c r="D1" s="34"/>
      <c r="E1" s="34"/>
      <c r="F1" s="35"/>
      <c r="G1" s="35"/>
      <c r="H1" s="35"/>
      <c r="I1" s="35"/>
      <c r="J1" s="36" t="s">
        <v>2</v>
      </c>
      <c r="L1" s="38" t="s">
        <v>3</v>
      </c>
      <c r="M1" s="58" t="s">
        <v>4</v>
      </c>
      <c r="N1" s="11" t="s">
        <v>5</v>
      </c>
      <c r="O1" s="12" t="s">
        <v>6</v>
      </c>
      <c r="R1" s="38"/>
      <c r="S1" s="39"/>
      <c r="U1" s="38" t="s">
        <v>24</v>
      </c>
      <c r="V1" s="39" t="str">
        <f>'Check|List'!$S$1</f>
        <v>Ok</v>
      </c>
    </row>
    <row r="2" spans="1:47" s="37" customFormat="1" ht="12.75">
      <c r="B2" s="52" t="str">
        <f>Index!$C$14</f>
        <v>Lookup | Tables</v>
      </c>
      <c r="C2" s="52"/>
      <c r="D2" s="52"/>
      <c r="E2" s="52"/>
      <c r="F2" s="53"/>
      <c r="G2" s="53"/>
      <c r="H2" s="53"/>
      <c r="I2" s="53"/>
    </row>
    <row r="3" spans="1:47" s="57" customFormat="1" ht="12.75">
      <c r="A3" s="42"/>
      <c r="B3" s="50"/>
      <c r="C3" s="42"/>
      <c r="D3" s="42"/>
      <c r="E3" s="42"/>
      <c r="F3" s="43"/>
      <c r="G3" s="43"/>
      <c r="H3" s="43"/>
      <c r="I3" s="43"/>
      <c r="J3" s="44"/>
      <c r="K3" s="45"/>
      <c r="L3" s="44"/>
      <c r="M3" s="45"/>
      <c r="N3" s="44"/>
      <c r="O3" s="44"/>
      <c r="P3" s="44"/>
      <c r="Q3" s="44"/>
      <c r="R3" s="44"/>
      <c r="S3" s="44"/>
      <c r="T3" s="44"/>
      <c r="U3" s="44"/>
      <c r="V3" s="45"/>
      <c r="W3" s="45"/>
      <c r="X3" s="54"/>
      <c r="Y3" s="54"/>
      <c r="Z3" s="54"/>
      <c r="AA3" s="54"/>
      <c r="AB3" s="54"/>
      <c r="AC3" s="55"/>
      <c r="AD3" s="55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2"/>
      <c r="B7" s="50" t="s">
        <v>19</v>
      </c>
      <c r="C7" s="42"/>
      <c r="D7" s="42"/>
      <c r="E7" s="42"/>
      <c r="F7" s="43"/>
      <c r="G7" s="43"/>
      <c r="H7" s="43"/>
      <c r="I7" s="43"/>
      <c r="J7" s="44"/>
      <c r="K7" s="45"/>
      <c r="L7" s="44"/>
      <c r="M7" s="45"/>
      <c r="N7" s="44"/>
      <c r="O7" s="44"/>
      <c r="P7" s="44"/>
      <c r="Q7" s="44"/>
      <c r="R7" s="44"/>
      <c r="S7" s="44"/>
      <c r="T7" s="44"/>
      <c r="U7" s="44"/>
      <c r="V7" s="45"/>
      <c r="W7" s="45"/>
      <c r="X7" s="46"/>
      <c r="Y7" s="46"/>
      <c r="Z7" s="46"/>
      <c r="AA7" s="46"/>
      <c r="AB7" s="47"/>
      <c r="AC7" s="48"/>
      <c r="AD7" s="48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88</v>
      </c>
      <c r="E10" s="16"/>
      <c r="F10" s="16"/>
      <c r="G10" s="51" t="s">
        <v>12</v>
      </c>
    </row>
    <row r="11" spans="1:47">
      <c r="C11" s="15" t="s">
        <v>13</v>
      </c>
      <c r="D11" s="16" t="s">
        <v>88</v>
      </c>
      <c r="E11" s="16"/>
      <c r="F11" s="16"/>
      <c r="G11" s="51" t="s">
        <v>20</v>
      </c>
    </row>
    <row r="12" spans="1:47">
      <c r="C12" s="15" t="s">
        <v>14</v>
      </c>
      <c r="D12" s="16" t="s">
        <v>88</v>
      </c>
      <c r="E12" s="16"/>
      <c r="F12" s="16"/>
      <c r="G12" s="51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88</v>
      </c>
      <c r="E14" s="16"/>
      <c r="F14" s="16"/>
      <c r="G14" s="51" t="s">
        <v>31</v>
      </c>
    </row>
    <row r="15" spans="1:47">
      <c r="C15" s="15" t="s">
        <v>8</v>
      </c>
      <c r="D15" s="16" t="s">
        <v>88</v>
      </c>
      <c r="E15" s="16"/>
      <c r="F15" s="16"/>
      <c r="G15" s="51" t="s">
        <v>11</v>
      </c>
    </row>
    <row r="16" spans="1:47">
      <c r="C16" s="15" t="s">
        <v>17</v>
      </c>
      <c r="D16" s="16" t="s">
        <v>88</v>
      </c>
      <c r="E16" s="16"/>
      <c r="F16" s="16"/>
      <c r="G16" s="51" t="s">
        <v>18</v>
      </c>
    </row>
    <row r="17" spans="1:47">
      <c r="C17" s="15" t="s">
        <v>37</v>
      </c>
      <c r="D17" s="16" t="s">
        <v>88</v>
      </c>
      <c r="E17" s="16"/>
      <c r="F17" s="16"/>
      <c r="G17" s="51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88</v>
      </c>
      <c r="E19" s="16"/>
      <c r="F19" s="16"/>
      <c r="G19" s="51" t="s">
        <v>23</v>
      </c>
    </row>
    <row r="20" spans="1:47">
      <c r="C20" s="15" t="s">
        <v>98</v>
      </c>
      <c r="D20" s="16" t="s">
        <v>88</v>
      </c>
      <c r="E20" s="16"/>
      <c r="F20" s="16"/>
      <c r="G20" s="51" t="s">
        <v>98</v>
      </c>
    </row>
    <row r="21" spans="1:47">
      <c r="C21" s="15"/>
      <c r="D21" s="16"/>
      <c r="E21" s="16"/>
      <c r="F21" s="16"/>
      <c r="G21" s="8"/>
    </row>
    <row r="22" spans="1:47" customFormat="1" ht="12.75">
      <c r="A22" s="42"/>
      <c r="B22" s="50" t="s">
        <v>89</v>
      </c>
      <c r="C22" s="42"/>
      <c r="D22" s="42"/>
      <c r="E22" s="42"/>
      <c r="F22" s="43"/>
      <c r="G22" s="43"/>
      <c r="H22" s="43"/>
      <c r="I22" s="43"/>
      <c r="J22" s="44"/>
      <c r="K22" s="45"/>
      <c r="L22" s="44"/>
      <c r="M22" s="45"/>
      <c r="N22" s="44"/>
      <c r="O22" s="44"/>
      <c r="P22" s="44"/>
      <c r="Q22" s="44"/>
      <c r="R22" s="44"/>
      <c r="S22" s="44"/>
      <c r="T22" s="44"/>
      <c r="U22" s="44"/>
      <c r="V22" s="45"/>
      <c r="W22" s="45"/>
      <c r="X22" s="46"/>
      <c r="Y22" s="46"/>
      <c r="Z22" s="46"/>
      <c r="AA22" s="46"/>
      <c r="AB22" s="47"/>
      <c r="AC22" s="48"/>
      <c r="AD22" s="48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</row>
    <row r="23" spans="1:47"/>
    <row r="24" spans="1:47">
      <c r="C24" s="13" t="str">
        <f>B22</f>
        <v>Years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129</v>
      </c>
      <c r="D25" s="16" t="s">
        <v>88</v>
      </c>
      <c r="E25" s="16"/>
      <c r="F25" s="16"/>
      <c r="G25" s="51" t="s">
        <v>129</v>
      </c>
      <c r="H25" s="14"/>
    </row>
    <row r="26" spans="1:47">
      <c r="C26" s="15" t="s">
        <v>137</v>
      </c>
      <c r="D26" s="16" t="s">
        <v>88</v>
      </c>
      <c r="E26" s="16"/>
      <c r="F26" s="16"/>
      <c r="G26" s="51" t="s">
        <v>137</v>
      </c>
      <c r="H26" s="14"/>
    </row>
    <row r="27" spans="1:47">
      <c r="C27" s="15" t="s">
        <v>128</v>
      </c>
      <c r="D27" s="16" t="s">
        <v>88</v>
      </c>
      <c r="E27" s="16"/>
      <c r="F27" s="16"/>
      <c r="G27" s="51" t="s">
        <v>128</v>
      </c>
      <c r="H27" s="14"/>
    </row>
    <row r="28" spans="1:47">
      <c r="C28" s="15" t="s">
        <v>90</v>
      </c>
      <c r="D28" s="16" t="s">
        <v>88</v>
      </c>
      <c r="E28" s="16"/>
      <c r="F28" s="16"/>
      <c r="G28" s="51" t="s">
        <v>90</v>
      </c>
    </row>
    <row r="29" spans="1:47">
      <c r="C29" s="15" t="s">
        <v>62</v>
      </c>
      <c r="D29" s="16" t="s">
        <v>88</v>
      </c>
      <c r="E29" s="16"/>
      <c r="F29" s="16"/>
      <c r="G29" s="51" t="s">
        <v>62</v>
      </c>
    </row>
    <row r="30" spans="1:47">
      <c r="C30" s="15" t="s">
        <v>63</v>
      </c>
      <c r="D30" s="16" t="s">
        <v>88</v>
      </c>
      <c r="E30" s="16"/>
      <c r="F30" s="16"/>
      <c r="G30" s="51" t="s">
        <v>63</v>
      </c>
      <c r="T30" s="17"/>
    </row>
    <row r="31" spans="1:47">
      <c r="C31" s="15" t="s">
        <v>64</v>
      </c>
      <c r="D31" s="16" t="s">
        <v>88</v>
      </c>
      <c r="E31" s="16"/>
      <c r="F31" s="16"/>
      <c r="G31" s="51" t="s">
        <v>64</v>
      </c>
      <c r="T31" s="17"/>
    </row>
    <row r="32" spans="1:47">
      <c r="C32" s="15" t="s">
        <v>65</v>
      </c>
      <c r="D32" s="16" t="s">
        <v>88</v>
      </c>
      <c r="E32" s="16"/>
      <c r="F32" s="16"/>
      <c r="G32" s="51" t="s">
        <v>65</v>
      </c>
      <c r="T32" s="17"/>
    </row>
    <row r="33" spans="1:47">
      <c r="C33" s="15" t="s">
        <v>41</v>
      </c>
      <c r="D33" s="16" t="s">
        <v>88</v>
      </c>
      <c r="E33" s="16"/>
      <c r="F33" s="16"/>
      <c r="G33" s="51" t="s">
        <v>41</v>
      </c>
      <c r="T33" s="17"/>
    </row>
    <row r="34" spans="1:47">
      <c r="C34" s="15" t="s">
        <v>42</v>
      </c>
      <c r="D34" s="16" t="s">
        <v>88</v>
      </c>
      <c r="E34" s="16"/>
      <c r="F34" s="16"/>
      <c r="G34" s="51" t="s">
        <v>42</v>
      </c>
      <c r="T34" s="17"/>
    </row>
    <row r="35" spans="1:47">
      <c r="C35" s="15" t="s">
        <v>43</v>
      </c>
      <c r="D35" s="16" t="s">
        <v>88</v>
      </c>
      <c r="E35" s="16"/>
      <c r="F35" s="16"/>
      <c r="G35" s="51" t="s">
        <v>43</v>
      </c>
      <c r="T35" s="17"/>
    </row>
    <row r="36" spans="1:47">
      <c r="C36" s="15" t="s">
        <v>44</v>
      </c>
      <c r="D36" s="16" t="s">
        <v>88</v>
      </c>
      <c r="E36" s="16"/>
      <c r="F36" s="16"/>
      <c r="G36" s="51" t="s">
        <v>44</v>
      </c>
      <c r="T36" s="17"/>
    </row>
    <row r="37" spans="1:47">
      <c r="C37" s="15" t="s">
        <v>45</v>
      </c>
      <c r="D37" s="16" t="s">
        <v>88</v>
      </c>
      <c r="E37" s="16"/>
      <c r="F37" s="16"/>
      <c r="G37" s="51" t="s">
        <v>45</v>
      </c>
      <c r="T37" s="17"/>
    </row>
    <row r="38" spans="1:47">
      <c r="C38" s="15" t="s">
        <v>46</v>
      </c>
      <c r="D38" s="16" t="s">
        <v>88</v>
      </c>
      <c r="E38" s="16"/>
      <c r="F38" s="16"/>
      <c r="G38" s="51" t="s">
        <v>46</v>
      </c>
      <c r="T38" s="17"/>
    </row>
    <row r="39" spans="1:47">
      <c r="C39" s="15" t="s">
        <v>91</v>
      </c>
      <c r="D39" s="16" t="s">
        <v>88</v>
      </c>
      <c r="E39" s="16"/>
      <c r="F39" s="16"/>
      <c r="G39" s="51" t="s">
        <v>91</v>
      </c>
      <c r="T39" s="17"/>
    </row>
    <row r="40" spans="1:47">
      <c r="C40" s="15" t="s">
        <v>92</v>
      </c>
      <c r="D40" s="16" t="s">
        <v>88</v>
      </c>
      <c r="E40" s="16"/>
      <c r="F40" s="16"/>
      <c r="G40" s="51" t="s">
        <v>92</v>
      </c>
      <c r="T40" s="17"/>
    </row>
    <row r="41" spans="1:47">
      <c r="C41" s="15" t="s">
        <v>93</v>
      </c>
      <c r="D41" s="16" t="s">
        <v>88</v>
      </c>
      <c r="E41" s="16"/>
      <c r="F41" s="16"/>
      <c r="G41" s="51" t="s">
        <v>93</v>
      </c>
      <c r="T41" s="17"/>
    </row>
    <row r="42" spans="1:47">
      <c r="C42" s="15" t="s">
        <v>94</v>
      </c>
      <c r="D42" s="16" t="s">
        <v>88</v>
      </c>
      <c r="E42" s="16"/>
      <c r="F42" s="16"/>
      <c r="G42" s="51" t="s">
        <v>94</v>
      </c>
      <c r="T42" s="17"/>
    </row>
    <row r="43" spans="1:47"/>
    <row r="44" spans="1:47" customFormat="1" ht="12.75">
      <c r="A44" s="42"/>
      <c r="B44" s="50" t="s">
        <v>21</v>
      </c>
      <c r="C44" s="42"/>
      <c r="D44" s="42"/>
      <c r="E44" s="42"/>
      <c r="F44" s="43"/>
      <c r="G44" s="43"/>
      <c r="H44" s="43"/>
      <c r="I44" s="43"/>
      <c r="J44" s="44"/>
      <c r="K44" s="45"/>
      <c r="L44" s="44"/>
      <c r="M44" s="45"/>
      <c r="N44" s="44"/>
      <c r="O44" s="44"/>
      <c r="P44" s="44"/>
      <c r="Q44" s="44"/>
      <c r="R44" s="44"/>
      <c r="S44" s="44"/>
      <c r="T44" s="44"/>
      <c r="U44" s="44"/>
      <c r="V44" s="45"/>
      <c r="W44" s="45"/>
      <c r="X44" s="46"/>
      <c r="Y44" s="46"/>
      <c r="Z44" s="46"/>
      <c r="AA44" s="46"/>
      <c r="AB44" s="47"/>
      <c r="AC44" s="48"/>
      <c r="AD44" s="48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</row>
    <row r="45" spans="1:47" hidden="1"/>
    <row r="46" spans="1:47" hidden="1"/>
    <row r="47" spans="1:47" hidden="1"/>
    <row r="48" spans="1:47" hidden="1"/>
    <row r="49" hidden="1"/>
    <row r="50" hidden="1"/>
    <row r="51" hidden="1"/>
  </sheetData>
  <conditionalFormatting sqref="P14:Q21">
    <cfRule type="expression" dxfId="15" priority="54" stopIfTrue="1">
      <formula>#REF!="Actual"</formula>
    </cfRule>
  </conditionalFormatting>
  <conditionalFormatting sqref="P14:P21">
    <cfRule type="expression" dxfId="14" priority="53" stopIfTrue="1">
      <formula>#REF!="Actual"</formula>
    </cfRule>
  </conditionalFormatting>
  <conditionalFormatting sqref="P43">
    <cfRule type="expression" dxfId="13" priority="51" stopIfTrue="1">
      <formula>#REF!="Actual"</formula>
    </cfRule>
  </conditionalFormatting>
  <conditionalFormatting sqref="Q43">
    <cfRule type="expression" dxfId="12" priority="48" stopIfTrue="1">
      <formula>#REF!="Actual"</formula>
    </cfRule>
  </conditionalFormatting>
  <conditionalFormatting sqref="V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S1">
    <cfRule type="cellIs" dxfId="9" priority="1" operator="equal">
      <formula>"Check"</formula>
    </cfRule>
    <cfRule type="cellIs" dxfId="8" priority="2" operator="equal">
      <formula>"Ok"</formula>
    </cfRule>
  </conditionalFormatting>
  <hyperlinks>
    <hyperlink ref="J1" location="Index!A1" display="Back to Index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3"/>
  <sheetViews>
    <sheetView showGridLines="0" workbookViewId="0">
      <selection activeCell="A22" sqref="A22:XFD23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7" customFormat="1" ht="15.75">
      <c r="B1" s="34" t="str">
        <f>Index!$B$1</f>
        <v>AER opex model</v>
      </c>
      <c r="C1" s="34"/>
      <c r="D1" s="34"/>
      <c r="E1" s="34"/>
      <c r="F1" s="35"/>
      <c r="G1" s="35"/>
      <c r="H1" s="35"/>
      <c r="I1" s="35"/>
      <c r="J1" s="36" t="s">
        <v>2</v>
      </c>
      <c r="L1" s="38" t="s">
        <v>3</v>
      </c>
      <c r="M1" s="58" t="s">
        <v>4</v>
      </c>
      <c r="N1" s="11" t="s">
        <v>5</v>
      </c>
      <c r="O1" s="12" t="s">
        <v>6</v>
      </c>
      <c r="R1" s="38" t="s">
        <v>24</v>
      </c>
      <c r="S1" s="39" t="str">
        <f>IF(COUNTIF(G10:G15,"Check")=0,"Ok","Check")</f>
        <v>Ok</v>
      </c>
      <c r="U1" s="38"/>
      <c r="V1" s="39"/>
    </row>
    <row r="2" spans="1:47" s="37" customFormat="1" ht="12.75">
      <c r="B2" s="52" t="str">
        <f>Index!$C$15</f>
        <v>Check | List</v>
      </c>
      <c r="C2" s="52"/>
      <c r="D2" s="52"/>
      <c r="E2" s="52"/>
      <c r="F2" s="53"/>
      <c r="G2" s="53"/>
      <c r="H2" s="53"/>
      <c r="I2" s="53"/>
    </row>
    <row r="3" spans="1:47" s="57" customFormat="1" ht="12.75">
      <c r="A3" s="42"/>
      <c r="B3" s="50"/>
      <c r="C3" s="42"/>
      <c r="D3" s="42"/>
      <c r="E3" s="42"/>
      <c r="F3" s="43"/>
      <c r="G3" s="43"/>
      <c r="H3" s="43"/>
      <c r="I3" s="43"/>
      <c r="J3" s="44"/>
      <c r="K3" s="45"/>
      <c r="L3" s="44"/>
      <c r="M3" s="45"/>
      <c r="N3" s="44"/>
      <c r="O3" s="44"/>
      <c r="P3" s="44"/>
      <c r="Q3" s="44"/>
      <c r="R3" s="44"/>
      <c r="S3" s="44"/>
      <c r="T3" s="44"/>
      <c r="U3" s="44"/>
      <c r="V3" s="45"/>
      <c r="W3" s="45"/>
      <c r="X3" s="54"/>
      <c r="Y3" s="54"/>
      <c r="Z3" s="54"/>
      <c r="AA3" s="54"/>
      <c r="AB3" s="54"/>
      <c r="AC3" s="55"/>
      <c r="AD3" s="55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2"/>
      <c r="B7" s="50" t="s">
        <v>26</v>
      </c>
      <c r="C7" s="42"/>
      <c r="D7" s="42"/>
      <c r="E7" s="42"/>
      <c r="F7" s="43"/>
      <c r="G7" s="43"/>
      <c r="H7" s="43"/>
      <c r="I7" s="43"/>
      <c r="J7" s="44"/>
      <c r="K7" s="45"/>
      <c r="L7" s="44"/>
      <c r="M7" s="45"/>
      <c r="N7" s="44"/>
      <c r="O7" s="44"/>
      <c r="P7" s="44"/>
      <c r="Q7" s="44"/>
      <c r="R7" s="44"/>
      <c r="S7" s="44"/>
      <c r="T7" s="44"/>
      <c r="U7" s="44"/>
      <c r="V7" s="45"/>
      <c r="W7" s="45"/>
      <c r="X7" s="46"/>
      <c r="Y7" s="46"/>
      <c r="Z7" s="46"/>
      <c r="AA7" s="46"/>
      <c r="AB7" s="47"/>
      <c r="AC7" s="48"/>
      <c r="AD7" s="48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3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Index!C9</f>
        <v>Input | Reported opex</v>
      </c>
      <c r="D11" s="33" t="str">
        <f t="shared" ref="D11:D15" si="0">C11</f>
        <v>Input | Reported opex</v>
      </c>
      <c r="E11" s="16" t="s">
        <v>28</v>
      </c>
      <c r="G11" s="18" t="str">
        <f>'Input|Reported opex'!S1</f>
        <v>OK</v>
      </c>
      <c r="H11" s="16"/>
      <c r="T11" s="17"/>
    </row>
    <row r="12" spans="1:47">
      <c r="C12" s="15" t="str">
        <f>Index!C10</f>
        <v>Input | Rate of change</v>
      </c>
      <c r="D12" s="33" t="str">
        <f t="shared" si="0"/>
        <v>Input | Rate of change</v>
      </c>
      <c r="E12" s="16" t="s">
        <v>28</v>
      </c>
      <c r="F12" s="16"/>
      <c r="G12" s="18" t="str">
        <f>'Input|Rate of change'!T1</f>
        <v>Ok</v>
      </c>
      <c r="H12" s="16"/>
      <c r="T12" s="17"/>
    </row>
    <row r="13" spans="1:47">
      <c r="C13" s="15" t="str">
        <f>Index!C11</f>
        <v>Input | Step changes</v>
      </c>
      <c r="D13" s="33" t="str">
        <f t="shared" si="0"/>
        <v>Input | Step changes</v>
      </c>
      <c r="E13" s="16" t="s">
        <v>28</v>
      </c>
      <c r="F13" s="16"/>
      <c r="G13" s="18" t="str">
        <f>'Input|Step changes'!S1</f>
        <v>OK</v>
      </c>
      <c r="H13" s="16"/>
      <c r="T13" s="17"/>
    </row>
    <row r="14" spans="1:47">
      <c r="C14" s="15" t="str">
        <f>Index!C12</f>
        <v>Calc | Opex Forecast</v>
      </c>
      <c r="D14" s="33" t="str">
        <f t="shared" si="0"/>
        <v>Calc | Opex Forecast</v>
      </c>
      <c r="E14" s="16" t="s">
        <v>28</v>
      </c>
      <c r="F14" s="16"/>
      <c r="G14" s="18" t="str">
        <f>'Calc|Opex forecast'!S1</f>
        <v>n/a</v>
      </c>
      <c r="H14" s="16"/>
      <c r="T14" s="17"/>
    </row>
    <row r="15" spans="1:47">
      <c r="C15" s="15" t="str">
        <f>Index!C13</f>
        <v>Output | Models</v>
      </c>
      <c r="D15" s="33" t="str">
        <f t="shared" si="0"/>
        <v>Output | Models</v>
      </c>
      <c r="E15" s="16" t="s">
        <v>28</v>
      </c>
      <c r="F15" s="16"/>
      <c r="G15" s="18" t="str">
        <f>'Output|Models'!S1</f>
        <v>OK</v>
      </c>
      <c r="H15" s="16"/>
      <c r="T15" s="17"/>
    </row>
    <row r="16" spans="1:47">
      <c r="C16" s="15"/>
    </row>
    <row r="17" spans="1:47" customFormat="1" ht="12.75">
      <c r="A17" s="42"/>
      <c r="B17" s="50" t="s">
        <v>21</v>
      </c>
      <c r="C17" s="42"/>
      <c r="D17" s="42"/>
      <c r="E17" s="42"/>
      <c r="F17" s="43"/>
      <c r="G17" s="43"/>
      <c r="H17" s="43"/>
      <c r="I17" s="43"/>
      <c r="J17" s="44"/>
      <c r="K17" s="45"/>
      <c r="L17" s="44"/>
      <c r="M17" s="45"/>
      <c r="N17" s="44"/>
      <c r="O17" s="44"/>
      <c r="P17" s="44"/>
      <c r="Q17" s="44"/>
      <c r="R17" s="44"/>
      <c r="S17" s="44"/>
      <c r="T17" s="44"/>
      <c r="U17" s="44"/>
      <c r="V17" s="45"/>
      <c r="W17" s="45"/>
      <c r="X17" s="46"/>
      <c r="Y17" s="46"/>
      <c r="Z17" s="46"/>
      <c r="AA17" s="46"/>
      <c r="AB17" s="47"/>
      <c r="AC17" s="48"/>
      <c r="AD17" s="48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</row>
    <row r="18" spans="1:47" hidden="1">
      <c r="C18" s="15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/>
    <row r="23" spans="1:47" hidden="1"/>
  </sheetData>
  <conditionalFormatting sqref="G10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1:G15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1" location="'Input|Reported opex'!A1" display="'Input|Reported opex'!A1"/>
    <hyperlink ref="D12" location="'Input| Rate of change'!A1" display="'Input| Rate of change'!A1"/>
    <hyperlink ref="D13" location="'Input|Step changes'!A1" display="'Input|Step changes'!A1"/>
    <hyperlink ref="D14" location="'Calc|Opex Forecast'!A1" display="'Calc|Opex Forecast'!A1"/>
    <hyperlink ref="D15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dollars</vt:lpstr>
      <vt:lpstr>factor</vt:lpstr>
      <vt:lpstr>millions</vt:lpstr>
      <vt:lpstr>Nominal_to_Real</vt:lpstr>
      <vt:lpstr>number</vt:lpstr>
      <vt:lpstr>percent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final decision - AusNet Services - Opex model</dc:title>
  <dc:creator>AER</dc:creator>
  <cp:lastModifiedBy>Le Cornu, Matthew</cp:lastModifiedBy>
  <dcterms:created xsi:type="dcterms:W3CDTF">2017-04-19T07:01:28Z</dcterms:created>
  <dcterms:modified xsi:type="dcterms:W3CDTF">2017-04-24T06:08:42Z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8880728</vt:lpwstr>
  </property>
  <property fmtid="{D5CDD505-2E9C-101B-9397-08002B2CF9AE}" pid="3" name="currfile">
    <vt:lpwstr>\\cdchnas-evs02\home$\mleco\aer - final decision ausnet services tx 2017-22 - opex model (AER2017-000059).xlsx</vt:lpwstr>
  </property>
  <property fmtid="{D5CDD505-2E9C-101B-9397-08002B2CF9AE}" pid="4" name="cf">
    <vt:lpwstr>\\cdchnas-evs02\home$\mleco\aer - final decision ausnet services tx 2017-22 - opex model (AER2017-000059).xlsx</vt:lpwstr>
  </property>
</Properties>
</file>