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256" workbookHashValue="t5PwGJpJQ+BK++W5ezad69q6LNMtIL4lkbrpKJx3ETA=" workbookSaltValue="gRIpIum4/MQ0cRwhJBl7rw==" workbookSpinCount="100000" lockStructure="1"/>
  <bookViews>
    <workbookView xWindow="0" yWindow="0" windowWidth="28800" windowHeight="11870" tabRatio="694"/>
  </bookViews>
  <sheets>
    <sheet name="Cover" sheetId="43" r:id="rId1"/>
    <sheet name="Index" sheetId="44" r:id="rId2"/>
    <sheet name="OVERVIEW -&gt;" sheetId="88" r:id="rId3"/>
    <sheet name="Structure" sheetId="89" r:id="rId4"/>
    <sheet name="Summary" sheetId="57" r:id="rId5"/>
    <sheet name="CHARTS -&gt;" sheetId="93" r:id="rId6"/>
    <sheet name="Res wo CL" sheetId="83" r:id="rId7"/>
    <sheet name="Res w CL" sheetId="84" r:id="rId8"/>
    <sheet name="SB wo CL" sheetId="85" r:id="rId9"/>
    <sheet name="DMO INDEX -&gt;" sheetId="90" r:id="rId10"/>
    <sheet name="Ausgrid" sheetId="53" r:id="rId11"/>
    <sheet name="Endeavour" sheetId="79" r:id="rId12"/>
    <sheet name="Essential" sheetId="80" r:id="rId13"/>
    <sheet name="Energex" sheetId="81" r:id="rId14"/>
    <sheet name="SAPN" sheetId="82" r:id="rId15"/>
    <sheet name="COST CALCS -&gt;" sheetId="91" r:id="rId16"/>
    <sheet name="Network cost" sheetId="52" r:id="rId17"/>
    <sheet name="Wholesale cost" sheetId="66" r:id="rId18"/>
    <sheet name="Environmental cost" sheetId="68" r:id="rId19"/>
    <sheet name="INPUTS -&gt;" sheetId="92" r:id="rId20"/>
    <sheet name="Key inputs" sheetId="78" r:id="rId21"/>
    <sheet name="Usage" sheetId="61" r:id="rId22"/>
    <sheet name="Detail inputs" sheetId="58" r:id="rId23"/>
    <sheet name="Lists" sheetId="60" state="hidden" r:id="rId24"/>
  </sheets>
  <definedNames>
    <definedName name="_xlnm._FilterDatabase" localSheetId="22" hidden="1">'Detail inputs'!$B$3:$N$245</definedName>
    <definedName name="_xlnm._FilterDatabase" localSheetId="21" hidden="1">Usage!$B$4:$M$4</definedName>
    <definedName name="CPI">'Key inputs'!$C$9</definedName>
    <definedName name="Days">'Key inputs'!$C$10</definedName>
    <definedName name="FY">'Key inputs'!$C$6</definedName>
    <definedName name="GST">'Key inputs'!$C$11</definedName>
    <definedName name="PY">'Key inputs'!$C$7</definedName>
  </definedNames>
  <calcPr calcId="162913" calcMode="manual"/>
</workbook>
</file>

<file path=xl/calcChain.xml><?xml version="1.0" encoding="utf-8"?>
<calcChain xmlns="http://schemas.openxmlformats.org/spreadsheetml/2006/main">
  <c r="J32" i="78" l="1"/>
  <c r="J31" i="78"/>
  <c r="J30" i="78"/>
  <c r="J29" i="78"/>
  <c r="J28" i="78"/>
  <c r="J27" i="78"/>
  <c r="J26" i="78"/>
  <c r="J25" i="78"/>
  <c r="J24" i="78"/>
  <c r="J23" i="78"/>
  <c r="J22" i="78"/>
  <c r="J21" i="78"/>
  <c r="F24" i="78"/>
  <c r="H24" i="78"/>
  <c r="H23" i="78"/>
  <c r="H22" i="78"/>
  <c r="H21" i="78"/>
  <c r="F23" i="78"/>
  <c r="F22" i="78"/>
  <c r="H28" i="78"/>
  <c r="F28" i="78"/>
  <c r="H25" i="78"/>
  <c r="H26" i="78"/>
  <c r="H27" i="78"/>
  <c r="F25" i="78"/>
  <c r="H32" i="78" l="1"/>
  <c r="F32" i="78"/>
  <c r="H31" i="78"/>
  <c r="H30" i="78"/>
  <c r="H29" i="78"/>
  <c r="F31" i="78"/>
  <c r="F30" i="78"/>
  <c r="F29" i="78"/>
  <c r="J35" i="78" l="1"/>
  <c r="J34" i="78"/>
  <c r="J36" i="78"/>
  <c r="J33" i="78"/>
  <c r="H34" i="78"/>
  <c r="H35" i="78"/>
  <c r="H36" i="78"/>
  <c r="F36" i="78"/>
  <c r="H33" i="78"/>
  <c r="F33" i="78"/>
  <c r="H39" i="78"/>
  <c r="F39" i="78"/>
  <c r="H38" i="78"/>
  <c r="H37" i="78"/>
  <c r="F37" i="78"/>
  <c r="L36" i="82" l="1"/>
  <c r="AD36" i="82" l="1"/>
  <c r="U36" i="82"/>
  <c r="AD36" i="81"/>
  <c r="U36" i="81"/>
  <c r="L36" i="81"/>
  <c r="AD36" i="80"/>
  <c r="U36" i="80"/>
  <c r="L36" i="80"/>
  <c r="AD36" i="79"/>
  <c r="U36" i="79"/>
  <c r="L36" i="79"/>
  <c r="AD36" i="53"/>
  <c r="U36" i="53"/>
  <c r="L36" i="53"/>
  <c r="B9" i="78" l="1"/>
  <c r="R16" i="78" l="1"/>
  <c r="Q16" i="78"/>
  <c r="P16" i="78"/>
  <c r="O16" i="78"/>
  <c r="N120" i="58"/>
  <c r="N121" i="58"/>
  <c r="N122" i="58"/>
  <c r="N123" i="58"/>
  <c r="N124" i="58"/>
  <c r="N125" i="58"/>
  <c r="N126" i="58"/>
  <c r="N127" i="58"/>
  <c r="N128" i="58"/>
  <c r="N129" i="58"/>
  <c r="N130" i="58"/>
  <c r="N131" i="58"/>
  <c r="N132" i="58"/>
  <c r="N133" i="58"/>
  <c r="N134" i="58"/>
  <c r="F10" i="93"/>
  <c r="T4" i="57"/>
  <c r="L4" i="57"/>
  <c r="E33" i="78" l="1"/>
  <c r="E25" i="78" l="1"/>
  <c r="N168" i="58" l="1"/>
  <c r="N167" i="58"/>
  <c r="N166" i="58"/>
  <c r="N165" i="58"/>
  <c r="N164" i="58"/>
  <c r="N163" i="58"/>
  <c r="N162" i="58"/>
  <c r="N161" i="58"/>
  <c r="N160" i="58"/>
  <c r="N159" i="58"/>
  <c r="N158" i="58"/>
  <c r="N157" i="58"/>
  <c r="N156" i="58"/>
  <c r="N155" i="58"/>
  <c r="N154" i="58"/>
  <c r="N153" i="58"/>
  <c r="N152" i="58"/>
  <c r="N151" i="58"/>
  <c r="N150" i="58"/>
  <c r="N149" i="58"/>
  <c r="N148" i="58"/>
  <c r="N147" i="58"/>
  <c r="N146" i="58"/>
  <c r="N145" i="58"/>
  <c r="N144" i="58"/>
  <c r="N143" i="58"/>
  <c r="N142" i="58"/>
  <c r="N141" i="58"/>
  <c r="N140" i="58"/>
  <c r="N139" i="58"/>
  <c r="N138" i="58"/>
  <c r="N137" i="58"/>
  <c r="N136" i="58"/>
  <c r="N135" i="58"/>
  <c r="N119" i="58"/>
  <c r="N118" i="58"/>
  <c r="N117" i="58"/>
  <c r="N116" i="58"/>
  <c r="N115" i="58"/>
  <c r="N114" i="58"/>
  <c r="N113" i="58"/>
  <c r="N112" i="58"/>
  <c r="N111" i="58"/>
  <c r="N110" i="58"/>
  <c r="N109" i="58"/>
  <c r="N108" i="58"/>
  <c r="N107" i="58"/>
  <c r="N106" i="58"/>
  <c r="N105" i="58"/>
  <c r="N104" i="58"/>
  <c r="N103" i="58"/>
  <c r="N102" i="58"/>
  <c r="N101" i="58"/>
  <c r="N100" i="58"/>
  <c r="N99" i="58"/>
  <c r="N98" i="58"/>
  <c r="N97" i="58"/>
  <c r="N96" i="58"/>
  <c r="N95" i="58"/>
  <c r="N94" i="58"/>
  <c r="N93" i="58"/>
  <c r="N92" i="58"/>
  <c r="N91" i="58"/>
  <c r="N90" i="58"/>
  <c r="N89" i="58"/>
  <c r="N88" i="58"/>
  <c r="N87" i="58"/>
  <c r="N86" i="58"/>
  <c r="N85" i="58"/>
  <c r="N84" i="58"/>
  <c r="N83" i="58"/>
  <c r="N82" i="58"/>
  <c r="N81" i="58"/>
  <c r="N80" i="58"/>
  <c r="N79" i="58"/>
  <c r="N78" i="58"/>
  <c r="N77" i="58"/>
  <c r="N76" i="58"/>
  <c r="N75" i="58"/>
  <c r="N74" i="58"/>
  <c r="N73" i="58"/>
  <c r="N72" i="58"/>
  <c r="N71" i="58"/>
  <c r="N70" i="58"/>
  <c r="N69" i="58"/>
  <c r="N68" i="58"/>
  <c r="N67" i="58"/>
  <c r="N66" i="58"/>
  <c r="N65" i="58"/>
  <c r="N64" i="58"/>
  <c r="N63" i="58"/>
  <c r="N62" i="58"/>
  <c r="N61" i="58"/>
  <c r="N60" i="58"/>
  <c r="N59" i="58"/>
  <c r="N58" i="58"/>
  <c r="N57" i="58"/>
  <c r="N56" i="58"/>
  <c r="N55" i="58"/>
  <c r="N54" i="58"/>
  <c r="N53" i="58"/>
  <c r="N52" i="58"/>
  <c r="N51" i="58"/>
  <c r="N50" i="58"/>
  <c r="N49" i="58"/>
  <c r="N48" i="58"/>
  <c r="N47" i="58"/>
  <c r="N46" i="58"/>
  <c r="N45" i="58"/>
  <c r="N44" i="58"/>
  <c r="N43" i="58"/>
  <c r="N42" i="58"/>
  <c r="N41" i="58"/>
  <c r="N40" i="58"/>
  <c r="N39" i="58"/>
  <c r="N38" i="58"/>
  <c r="N37" i="58"/>
  <c r="N36" i="58"/>
  <c r="N35" i="58"/>
  <c r="N34" i="58"/>
  <c r="N33" i="58"/>
  <c r="N32" i="58"/>
  <c r="N31" i="58"/>
  <c r="N30" i="58"/>
  <c r="N29" i="58"/>
  <c r="N28" i="58"/>
  <c r="N27" i="58"/>
  <c r="N26" i="58"/>
  <c r="N25" i="58"/>
  <c r="N24" i="58"/>
  <c r="N23" i="58"/>
  <c r="N22" i="58"/>
  <c r="N21" i="58"/>
  <c r="N20" i="58"/>
  <c r="N19" i="58"/>
  <c r="N18" i="58"/>
  <c r="N17" i="58"/>
  <c r="N16" i="58"/>
  <c r="N15" i="58"/>
  <c r="N14" i="58"/>
  <c r="N13" i="58"/>
  <c r="N12" i="58"/>
  <c r="N11" i="58"/>
  <c r="N10" i="58"/>
  <c r="N9" i="58"/>
  <c r="N8" i="58"/>
  <c r="N7" i="58"/>
  <c r="N6" i="58"/>
  <c r="N5" i="58"/>
  <c r="N4" i="58"/>
  <c r="F21" i="78"/>
  <c r="C9" i="61" l="1"/>
  <c r="H17" i="78" l="1"/>
  <c r="G17" i="78"/>
  <c r="F17" i="78"/>
  <c r="E17" i="78"/>
  <c r="J17" i="78"/>
  <c r="I17" i="78"/>
  <c r="M38" i="78" l="1"/>
  <c r="M39" i="78" s="1"/>
  <c r="M34" i="78"/>
  <c r="M35" i="78" s="1"/>
  <c r="M30" i="78"/>
  <c r="M31" i="78" s="1"/>
  <c r="M26" i="78"/>
  <c r="M27" i="78" s="1"/>
  <c r="K32" i="78"/>
  <c r="K28" i="78"/>
  <c r="K24" i="78"/>
  <c r="F18" i="78" l="1"/>
  <c r="E18" i="78"/>
  <c r="H18" i="78"/>
  <c r="G18" i="78"/>
  <c r="J18" i="78"/>
  <c r="I18" i="78"/>
  <c r="S9" i="57" l="1"/>
  <c r="S10" i="57" s="1"/>
  <c r="S11" i="57" s="1"/>
  <c r="S12" i="57" s="1"/>
  <c r="S13" i="57" s="1"/>
  <c r="S15" i="57"/>
  <c r="S16" i="57" s="1"/>
  <c r="S17" i="57" s="1"/>
  <c r="S18" i="57" s="1"/>
  <c r="S19" i="57" s="1"/>
  <c r="S21" i="57"/>
  <c r="S22" i="57" s="1"/>
  <c r="S23" i="57" s="1"/>
  <c r="S24" i="57" s="1"/>
  <c r="S25" i="57" s="1"/>
  <c r="C134" i="58" l="1"/>
  <c r="C133" i="58"/>
  <c r="C132" i="58"/>
  <c r="C131" i="58"/>
  <c r="C130" i="58"/>
  <c r="C129" i="58"/>
  <c r="C128" i="58"/>
  <c r="C127" i="58"/>
  <c r="C126" i="58"/>
  <c r="C125" i="58"/>
  <c r="C124" i="58"/>
  <c r="C123" i="58"/>
  <c r="C122" i="58"/>
  <c r="C121" i="58"/>
  <c r="C120" i="58"/>
  <c r="A2" i="57" l="1"/>
  <c r="F11" i="43"/>
  <c r="B4" i="57"/>
  <c r="A73" i="84" l="1"/>
  <c r="A73" i="85"/>
  <c r="A73" i="83"/>
  <c r="A66" i="84"/>
  <c r="A66" i="85"/>
  <c r="A66" i="83"/>
  <c r="A59" i="84"/>
  <c r="A59" i="85"/>
  <c r="A59" i="83"/>
  <c r="A52" i="84"/>
  <c r="A52" i="85"/>
  <c r="A52" i="83"/>
  <c r="A45" i="84"/>
  <c r="A45" i="85"/>
  <c r="A45" i="83"/>
  <c r="B26" i="44" l="1"/>
  <c r="B27" i="44" s="1"/>
  <c r="F10" i="92"/>
  <c r="F10" i="91"/>
  <c r="F10" i="90"/>
  <c r="F10" i="88"/>
  <c r="B22" i="44"/>
  <c r="B23" i="44" s="1"/>
  <c r="B24" i="44" s="1"/>
  <c r="B18" i="44"/>
  <c r="B19" i="44" s="1"/>
  <c r="B20" i="44" s="1"/>
  <c r="B12" i="44"/>
  <c r="B13" i="44" s="1"/>
  <c r="B14" i="44" s="1"/>
  <c r="B15" i="44" s="1"/>
  <c r="B16" i="44" s="1"/>
  <c r="B8" i="44"/>
  <c r="B9" i="44" s="1"/>
  <c r="B10" i="44" s="1"/>
  <c r="B5" i="44"/>
  <c r="B6" i="44" s="1"/>
  <c r="P25" i="57" l="1"/>
  <c r="P24" i="57"/>
  <c r="P23" i="57"/>
  <c r="P22" i="57"/>
  <c r="P21" i="57"/>
  <c r="P19" i="57"/>
  <c r="P18" i="57"/>
  <c r="P17" i="57"/>
  <c r="P16" i="57"/>
  <c r="P15" i="57"/>
  <c r="P13" i="57"/>
  <c r="P12" i="57"/>
  <c r="P11" i="57"/>
  <c r="P10" i="57"/>
  <c r="P9" i="57"/>
  <c r="R21" i="57" l="1"/>
  <c r="R22" i="57" s="1"/>
  <c r="R23" i="57" s="1"/>
  <c r="R24" i="57" s="1"/>
  <c r="R25" i="57" s="1"/>
  <c r="R15" i="57"/>
  <c r="R16" i="57" s="1"/>
  <c r="R17" i="57" s="1"/>
  <c r="R18" i="57" s="1"/>
  <c r="R19" i="57" s="1"/>
  <c r="R9" i="57"/>
  <c r="R10" i="57" s="1"/>
  <c r="R11" i="57" s="1"/>
  <c r="R12" i="57" s="1"/>
  <c r="R13" i="57" s="1"/>
  <c r="L20" i="57"/>
  <c r="T20" i="57" s="1"/>
  <c r="L14" i="57"/>
  <c r="T14" i="57" s="1"/>
  <c r="L8" i="57"/>
  <c r="T8" i="57" s="1"/>
  <c r="M3" i="58" l="1"/>
  <c r="L3" i="58"/>
  <c r="B16" i="79" l="1"/>
  <c r="B16" i="80"/>
  <c r="B16" i="81"/>
  <c r="B16" i="82"/>
  <c r="B16" i="53"/>
  <c r="B15" i="79"/>
  <c r="B15" i="80"/>
  <c r="B15" i="81"/>
  <c r="B15" i="82"/>
  <c r="B15" i="53"/>
  <c r="J44" i="84" l="1"/>
  <c r="J44" i="85"/>
  <c r="J44" i="83"/>
  <c r="D44" i="84"/>
  <c r="D44" i="85"/>
  <c r="D44" i="83"/>
  <c r="C75" i="58" l="1"/>
  <c r="C74" i="58"/>
  <c r="C62" i="58"/>
  <c r="C61" i="58"/>
  <c r="C60" i="58"/>
  <c r="C48" i="58"/>
  <c r="C47" i="58"/>
  <c r="C46" i="58"/>
  <c r="C33" i="58"/>
  <c r="C32" i="58"/>
  <c r="C31" i="58"/>
  <c r="C18" i="58"/>
  <c r="C17" i="58"/>
  <c r="C16" i="58"/>
  <c r="B74" i="85" l="1"/>
  <c r="B75" i="85" s="1"/>
  <c r="B76" i="85" s="1"/>
  <c r="B67" i="85"/>
  <c r="B68" i="85" s="1"/>
  <c r="B69" i="85" s="1"/>
  <c r="B60" i="85"/>
  <c r="B61" i="85" s="1"/>
  <c r="B62" i="85" s="1"/>
  <c r="B53" i="85"/>
  <c r="B46" i="85"/>
  <c r="B47" i="85" s="1"/>
  <c r="B48" i="85" s="1"/>
  <c r="B74" i="84"/>
  <c r="B75" i="84" s="1"/>
  <c r="B67" i="84"/>
  <c r="B68" i="84" s="1"/>
  <c r="B60" i="84"/>
  <c r="B53" i="84"/>
  <c r="B54" i="84" s="1"/>
  <c r="B46" i="84"/>
  <c r="B47" i="84" s="1"/>
  <c r="B48" i="84" s="1"/>
  <c r="AG24" i="82"/>
  <c r="AF24" i="82"/>
  <c r="AE24" i="82"/>
  <c r="AD24" i="82"/>
  <c r="AB24" i="82"/>
  <c r="AA24" i="82"/>
  <c r="Z24" i="82"/>
  <c r="X24" i="82"/>
  <c r="W24" i="82"/>
  <c r="V24" i="82"/>
  <c r="U24" i="82"/>
  <c r="S24" i="82"/>
  <c r="R24" i="82"/>
  <c r="Q24" i="82"/>
  <c r="O24" i="82"/>
  <c r="N24" i="82"/>
  <c r="M24" i="82"/>
  <c r="L24" i="82"/>
  <c r="J24" i="82"/>
  <c r="I24" i="82"/>
  <c r="H24" i="82"/>
  <c r="AG23" i="82"/>
  <c r="AF23" i="82"/>
  <c r="AE23" i="82"/>
  <c r="AD23" i="82"/>
  <c r="AB23" i="82"/>
  <c r="AA23" i="82"/>
  <c r="Z23" i="82"/>
  <c r="X23" i="82"/>
  <c r="W23" i="82"/>
  <c r="V23" i="82"/>
  <c r="U23" i="82"/>
  <c r="S23" i="82"/>
  <c r="R23" i="82"/>
  <c r="Q23" i="82"/>
  <c r="O23" i="82"/>
  <c r="N23" i="82"/>
  <c r="M23" i="82"/>
  <c r="L23" i="82"/>
  <c r="J23" i="82"/>
  <c r="I23" i="82"/>
  <c r="H23" i="82"/>
  <c r="AG24" i="81"/>
  <c r="AF24" i="81"/>
  <c r="AE24" i="81"/>
  <c r="AD24" i="81"/>
  <c r="AB24" i="81"/>
  <c r="AA24" i="81"/>
  <c r="Z24" i="81"/>
  <c r="X24" i="81"/>
  <c r="W24" i="81"/>
  <c r="V24" i="81"/>
  <c r="U24" i="81"/>
  <c r="S24" i="81"/>
  <c r="R24" i="81"/>
  <c r="Q24" i="81"/>
  <c r="O24" i="81"/>
  <c r="N24" i="81"/>
  <c r="M24" i="81"/>
  <c r="L24" i="81"/>
  <c r="J24" i="81"/>
  <c r="I24" i="81"/>
  <c r="H24" i="81"/>
  <c r="AG23" i="81"/>
  <c r="AF23" i="81"/>
  <c r="AE23" i="81"/>
  <c r="AD23" i="81"/>
  <c r="AB23" i="81"/>
  <c r="AA23" i="81"/>
  <c r="Z23" i="81"/>
  <c r="X23" i="81"/>
  <c r="W23" i="81"/>
  <c r="V23" i="81"/>
  <c r="U23" i="81"/>
  <c r="S23" i="81"/>
  <c r="R23" i="81"/>
  <c r="Q23" i="81"/>
  <c r="O23" i="81"/>
  <c r="N23" i="81"/>
  <c r="M23" i="81"/>
  <c r="L23" i="81"/>
  <c r="J23" i="81"/>
  <c r="I23" i="81"/>
  <c r="H23" i="81"/>
  <c r="AG24" i="80"/>
  <c r="AF24" i="80"/>
  <c r="AE24" i="80"/>
  <c r="AD24" i="80"/>
  <c r="AB24" i="80"/>
  <c r="AA24" i="80"/>
  <c r="Z24" i="80"/>
  <c r="X24" i="80"/>
  <c r="W24" i="80"/>
  <c r="V24" i="80"/>
  <c r="U24" i="80"/>
  <c r="S24" i="80"/>
  <c r="R24" i="80"/>
  <c r="Q24" i="80"/>
  <c r="O24" i="80"/>
  <c r="N24" i="80"/>
  <c r="M24" i="80"/>
  <c r="L24" i="80"/>
  <c r="J24" i="80"/>
  <c r="I24" i="80"/>
  <c r="H24" i="80"/>
  <c r="AG23" i="80"/>
  <c r="AF23" i="80"/>
  <c r="AE23" i="80"/>
  <c r="AD23" i="80"/>
  <c r="AB23" i="80"/>
  <c r="AA23" i="80"/>
  <c r="Z23" i="80"/>
  <c r="X23" i="80"/>
  <c r="W23" i="80"/>
  <c r="V23" i="80"/>
  <c r="U23" i="80"/>
  <c r="S23" i="80"/>
  <c r="R23" i="80"/>
  <c r="Q23" i="80"/>
  <c r="O23" i="80"/>
  <c r="N23" i="80"/>
  <c r="M23" i="80"/>
  <c r="L23" i="80"/>
  <c r="J23" i="80"/>
  <c r="I23" i="80"/>
  <c r="H23" i="80"/>
  <c r="AG24" i="79"/>
  <c r="AF24" i="79"/>
  <c r="AE24" i="79"/>
  <c r="AD24" i="79"/>
  <c r="AB24" i="79"/>
  <c r="AA24" i="79"/>
  <c r="Z24" i="79"/>
  <c r="X24" i="79"/>
  <c r="W24" i="79"/>
  <c r="V24" i="79"/>
  <c r="U24" i="79"/>
  <c r="S24" i="79"/>
  <c r="R24" i="79"/>
  <c r="Q24" i="79"/>
  <c r="O24" i="79"/>
  <c r="N24" i="79"/>
  <c r="M24" i="79"/>
  <c r="L24" i="79"/>
  <c r="J24" i="79"/>
  <c r="I24" i="79"/>
  <c r="H24" i="79"/>
  <c r="AG23" i="79"/>
  <c r="AF23" i="79"/>
  <c r="AE23" i="79"/>
  <c r="AD23" i="79"/>
  <c r="AB23" i="79"/>
  <c r="AA23" i="79"/>
  <c r="Z23" i="79"/>
  <c r="X23" i="79"/>
  <c r="W23" i="79"/>
  <c r="V23" i="79"/>
  <c r="U23" i="79"/>
  <c r="S23" i="79"/>
  <c r="R23" i="79"/>
  <c r="Q23" i="79"/>
  <c r="O23" i="79"/>
  <c r="N23" i="79"/>
  <c r="M23" i="79"/>
  <c r="L23" i="79"/>
  <c r="J23" i="79"/>
  <c r="I23" i="79"/>
  <c r="H23" i="79"/>
  <c r="AE24" i="53"/>
  <c r="AE23" i="53"/>
  <c r="V24" i="53"/>
  <c r="V23" i="53"/>
  <c r="M24" i="53"/>
  <c r="M23" i="53"/>
  <c r="W24" i="53"/>
  <c r="W23" i="53"/>
  <c r="N24" i="53"/>
  <c r="N23" i="53"/>
  <c r="B61" i="84" l="1"/>
  <c r="B54" i="85"/>
  <c r="B55" i="85" s="1"/>
  <c r="B56" i="85" s="1"/>
  <c r="B57" i="85" s="1"/>
  <c r="B77" i="85"/>
  <c r="B78" i="85" s="1"/>
  <c r="B70" i="85"/>
  <c r="B71" i="85" s="1"/>
  <c r="B49" i="85"/>
  <c r="B50" i="85" s="1"/>
  <c r="B63" i="85"/>
  <c r="B64" i="85" s="1"/>
  <c r="B49" i="84"/>
  <c r="B50" i="84" s="1"/>
  <c r="B55" i="84"/>
  <c r="B62" i="84"/>
  <c r="B76" i="84"/>
  <c r="B69" i="84"/>
  <c r="B74" i="83"/>
  <c r="B67" i="83"/>
  <c r="B60" i="83"/>
  <c r="B53" i="83"/>
  <c r="B46" i="83"/>
  <c r="B47" i="83" s="1"/>
  <c r="B48" i="83" s="1"/>
  <c r="B49" i="83" s="1"/>
  <c r="AG24" i="53"/>
  <c r="AF24" i="53"/>
  <c r="AD24" i="53"/>
  <c r="AB24" i="53"/>
  <c r="AA24" i="53"/>
  <c r="AG23" i="53"/>
  <c r="AF23" i="53"/>
  <c r="AD23" i="53"/>
  <c r="AB23" i="53"/>
  <c r="AA23" i="53"/>
  <c r="Z24" i="53"/>
  <c r="Z23" i="53"/>
  <c r="B51" i="83" l="1"/>
  <c r="B50" i="83"/>
  <c r="B72" i="85"/>
  <c r="B58" i="85"/>
  <c r="B65" i="85"/>
  <c r="B79" i="85"/>
  <c r="B51" i="85"/>
  <c r="B70" i="84"/>
  <c r="B71" i="84" s="1"/>
  <c r="B63" i="84"/>
  <c r="B64" i="84" s="1"/>
  <c r="B56" i="84"/>
  <c r="B57" i="84" s="1"/>
  <c r="B77" i="84"/>
  <c r="B78" i="84" s="1"/>
  <c r="B51" i="84"/>
  <c r="B54" i="83"/>
  <c r="B55" i="83" s="1"/>
  <c r="B56" i="83" s="1"/>
  <c r="B57" i="83" s="1"/>
  <c r="B68" i="83"/>
  <c r="B69" i="83" s="1"/>
  <c r="B70" i="83" s="1"/>
  <c r="B75" i="83"/>
  <c r="B76" i="83" s="1"/>
  <c r="B77" i="83" s="1"/>
  <c r="B78" i="83" s="1"/>
  <c r="B61" i="83"/>
  <c r="X24" i="53"/>
  <c r="X23" i="53"/>
  <c r="U24" i="53"/>
  <c r="U23" i="53"/>
  <c r="S24" i="53"/>
  <c r="S23" i="53"/>
  <c r="R24" i="53"/>
  <c r="R23" i="53"/>
  <c r="Q24" i="53"/>
  <c r="Q23" i="53"/>
  <c r="I24" i="53"/>
  <c r="J24" i="53"/>
  <c r="L24" i="53"/>
  <c r="O24" i="53"/>
  <c r="H24" i="53"/>
  <c r="O23" i="53"/>
  <c r="L23" i="53"/>
  <c r="J23" i="53"/>
  <c r="I23" i="53"/>
  <c r="H23" i="53"/>
  <c r="F39" i="79"/>
  <c r="F39" i="80"/>
  <c r="F39" i="81"/>
  <c r="F39" i="82"/>
  <c r="F39" i="53"/>
  <c r="F32" i="79"/>
  <c r="F32" i="80"/>
  <c r="F32" i="81"/>
  <c r="F32" i="82"/>
  <c r="F32" i="53"/>
  <c r="B72" i="83" l="1"/>
  <c r="B71" i="83"/>
  <c r="B58" i="84"/>
  <c r="B79" i="84"/>
  <c r="B72" i="84"/>
  <c r="B65" i="84"/>
  <c r="B79" i="83"/>
  <c r="B62" i="83"/>
  <c r="B58" i="83"/>
  <c r="B63" i="83" l="1"/>
  <c r="B64" i="83" s="1"/>
  <c r="B65" i="83" l="1"/>
  <c r="AD29" i="82"/>
  <c r="AA29" i="82"/>
  <c r="U29" i="82"/>
  <c r="R29" i="82"/>
  <c r="L29" i="82"/>
  <c r="I29" i="82"/>
  <c r="B9" i="82"/>
  <c r="B6" i="82"/>
  <c r="E3" i="82"/>
  <c r="D3" i="82"/>
  <c r="C3" i="82"/>
  <c r="AD29" i="81"/>
  <c r="AA29" i="81"/>
  <c r="U29" i="81"/>
  <c r="R29" i="81"/>
  <c r="L29" i="81"/>
  <c r="I29" i="81"/>
  <c r="B9" i="81"/>
  <c r="B6" i="81"/>
  <c r="E3" i="81"/>
  <c r="D3" i="81"/>
  <c r="C3" i="81"/>
  <c r="AD29" i="80"/>
  <c r="AA29" i="80"/>
  <c r="U29" i="80"/>
  <c r="R29" i="80"/>
  <c r="L29" i="80"/>
  <c r="I29" i="80"/>
  <c r="B9" i="80"/>
  <c r="B6" i="80"/>
  <c r="E3" i="80"/>
  <c r="D3" i="80"/>
  <c r="C3" i="80"/>
  <c r="AD29" i="79"/>
  <c r="AA29" i="79"/>
  <c r="U29" i="79"/>
  <c r="R29" i="79"/>
  <c r="L29" i="79"/>
  <c r="I29" i="79"/>
  <c r="B9" i="79"/>
  <c r="B6" i="79"/>
  <c r="E3" i="79"/>
  <c r="D3" i="79"/>
  <c r="C3" i="79"/>
  <c r="E3" i="53"/>
  <c r="D3" i="53"/>
  <c r="AE25" i="81" l="1"/>
  <c r="AD25" i="81"/>
  <c r="AG25" i="81"/>
  <c r="AF25" i="81"/>
  <c r="AB25" i="82"/>
  <c r="AA25" i="82"/>
  <c r="J25" i="79"/>
  <c r="I25" i="79"/>
  <c r="AB25" i="79"/>
  <c r="AA25" i="79"/>
  <c r="V25" i="80"/>
  <c r="U25" i="80"/>
  <c r="X25" i="80"/>
  <c r="W25" i="80"/>
  <c r="S25" i="81"/>
  <c r="R25" i="81"/>
  <c r="N25" i="82"/>
  <c r="M25" i="82"/>
  <c r="O25" i="82"/>
  <c r="L25" i="82"/>
  <c r="AD25" i="82"/>
  <c r="AG25" i="82"/>
  <c r="AE25" i="82"/>
  <c r="AF25" i="82"/>
  <c r="S25" i="80"/>
  <c r="R25" i="80"/>
  <c r="I25" i="82"/>
  <c r="J25" i="82"/>
  <c r="M25" i="79"/>
  <c r="L25" i="79"/>
  <c r="O25" i="79"/>
  <c r="N25" i="79"/>
  <c r="AG25" i="79"/>
  <c r="AF25" i="79"/>
  <c r="AD25" i="79"/>
  <c r="AE25" i="79"/>
  <c r="J25" i="80"/>
  <c r="I25" i="80"/>
  <c r="AA25" i="80"/>
  <c r="AB25" i="80"/>
  <c r="U25" i="81"/>
  <c r="X25" i="81"/>
  <c r="W25" i="81"/>
  <c r="V25" i="81"/>
  <c r="S25" i="82"/>
  <c r="R25" i="82"/>
  <c r="W25" i="79"/>
  <c r="V25" i="79"/>
  <c r="X25" i="79"/>
  <c r="U25" i="79"/>
  <c r="O25" i="81"/>
  <c r="N25" i="81"/>
  <c r="M25" i="81"/>
  <c r="L25" i="81"/>
  <c r="R25" i="79"/>
  <c r="S25" i="79"/>
  <c r="L25" i="80"/>
  <c r="O25" i="80"/>
  <c r="M25" i="80"/>
  <c r="N25" i="80"/>
  <c r="AF25" i="80"/>
  <c r="AE25" i="80"/>
  <c r="AD25" i="80"/>
  <c r="AG25" i="80"/>
  <c r="J25" i="81"/>
  <c r="I25" i="81"/>
  <c r="AA25" i="81"/>
  <c r="AB25" i="81"/>
  <c r="X25" i="82"/>
  <c r="W25" i="82"/>
  <c r="U25" i="82"/>
  <c r="V25" i="82"/>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17" i="78" l="1"/>
  <c r="M17" i="78"/>
  <c r="L17" i="78"/>
  <c r="K17" i="78"/>
  <c r="B9" i="53" l="1"/>
  <c r="M3" i="68" l="1"/>
  <c r="M3" i="66"/>
  <c r="M3" i="52"/>
  <c r="F10" i="43"/>
  <c r="N18" i="78"/>
  <c r="M18" i="78"/>
  <c r="L18" i="78"/>
  <c r="K18" i="78"/>
  <c r="C119" i="58" l="1"/>
  <c r="C118" i="58"/>
  <c r="C117" i="58"/>
  <c r="C116" i="58"/>
  <c r="C115" i="58"/>
  <c r="C114" i="58"/>
  <c r="C113" i="58"/>
  <c r="C112" i="58"/>
  <c r="C111" i="58"/>
  <c r="C110" i="58"/>
  <c r="C109" i="58"/>
  <c r="C108" i="58"/>
  <c r="C107" i="58"/>
  <c r="C106" i="58"/>
  <c r="C105" i="58"/>
  <c r="C104" i="58"/>
  <c r="C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3" i="58"/>
  <c r="C72" i="58"/>
  <c r="C71" i="58"/>
  <c r="C70" i="58"/>
  <c r="C69" i="58"/>
  <c r="C68" i="58"/>
  <c r="C67" i="58"/>
  <c r="C66" i="58"/>
  <c r="C65" i="58"/>
  <c r="C64" i="58"/>
  <c r="C63" i="58"/>
  <c r="C59" i="58"/>
  <c r="C58" i="58"/>
  <c r="C57" i="58"/>
  <c r="C56" i="58"/>
  <c r="C55" i="58"/>
  <c r="C54" i="58"/>
  <c r="C53" i="58"/>
  <c r="C52" i="58"/>
  <c r="C51" i="58"/>
  <c r="C50" i="58"/>
  <c r="C49" i="58"/>
  <c r="C45" i="58"/>
  <c r="C44" i="58"/>
  <c r="C43" i="58"/>
  <c r="C42" i="58"/>
  <c r="C41" i="58"/>
  <c r="C40" i="58"/>
  <c r="C39" i="58"/>
  <c r="C38" i="58"/>
  <c r="C37" i="58"/>
  <c r="C36" i="58"/>
  <c r="C35" i="58"/>
  <c r="C34" i="58"/>
  <c r="C30" i="58"/>
  <c r="C29" i="58"/>
  <c r="C28" i="58"/>
  <c r="C27" i="58"/>
  <c r="C26" i="58"/>
  <c r="C25" i="58"/>
  <c r="C24" i="58"/>
  <c r="C23" i="58"/>
  <c r="C22" i="58"/>
  <c r="C21" i="58"/>
  <c r="C20" i="58"/>
  <c r="C19" i="58"/>
  <c r="C15" i="58"/>
  <c r="C14" i="58"/>
  <c r="C13" i="58"/>
  <c r="C12" i="58"/>
  <c r="C11" i="58"/>
  <c r="C10" i="58"/>
  <c r="C9" i="58"/>
  <c r="C8" i="58"/>
  <c r="C7" i="58"/>
  <c r="C6" i="58"/>
  <c r="C5" i="58"/>
  <c r="C4" i="58"/>
  <c r="C3" i="53" l="1"/>
  <c r="B6" i="53"/>
  <c r="D213" i="52"/>
  <c r="D214" i="52" s="1"/>
  <c r="D215" i="52" s="1"/>
  <c r="D216" i="52" s="1"/>
  <c r="D217" i="52" s="1"/>
  <c r="D218" i="52" s="1"/>
  <c r="D219" i="52" s="1"/>
  <c r="D220" i="52" s="1"/>
  <c r="C213" i="52"/>
  <c r="C214" i="52" s="1"/>
  <c r="C215" i="52" s="1"/>
  <c r="C216" i="52" s="1"/>
  <c r="C217" i="52" s="1"/>
  <c r="C218" i="52" s="1"/>
  <c r="C219" i="52" s="1"/>
  <c r="C220" i="52" s="1"/>
  <c r="D161" i="68"/>
  <c r="D162" i="68" s="1"/>
  <c r="D163" i="68" s="1"/>
  <c r="D164" i="68" s="1"/>
  <c r="D165" i="68" s="1"/>
  <c r="D166" i="68" s="1"/>
  <c r="D167" i="68" s="1"/>
  <c r="C161" i="68"/>
  <c r="C162" i="68" s="1"/>
  <c r="C163" i="68" s="1"/>
  <c r="C164" i="68" s="1"/>
  <c r="C165" i="68" s="1"/>
  <c r="C166" i="68" s="1"/>
  <c r="C167" i="68" s="1"/>
  <c r="B161" i="68"/>
  <c r="D150" i="68"/>
  <c r="D151" i="68" s="1"/>
  <c r="D152" i="68" s="1"/>
  <c r="D153" i="68" s="1"/>
  <c r="D154" i="68" s="1"/>
  <c r="D155" i="68" s="1"/>
  <c r="D156" i="68" s="1"/>
  <c r="D157" i="68" s="1"/>
  <c r="D158" i="68" s="1"/>
  <c r="C150" i="68"/>
  <c r="C151" i="68" s="1"/>
  <c r="C152" i="68" s="1"/>
  <c r="C153" i="68" s="1"/>
  <c r="C154" i="68" s="1"/>
  <c r="C155" i="68" s="1"/>
  <c r="C156" i="68" s="1"/>
  <c r="C157" i="68" s="1"/>
  <c r="C158" i="68" s="1"/>
  <c r="B150" i="68"/>
  <c r="B151" i="68" s="1"/>
  <c r="D141" i="68"/>
  <c r="D142" i="68" s="1"/>
  <c r="D143" i="68" s="1"/>
  <c r="D144" i="68" s="1"/>
  <c r="D145" i="68" s="1"/>
  <c r="D146" i="68" s="1"/>
  <c r="D147" i="68" s="1"/>
  <c r="C141" i="68"/>
  <c r="C142" i="68" s="1"/>
  <c r="C143" i="68" s="1"/>
  <c r="C144" i="68" s="1"/>
  <c r="C145" i="68" s="1"/>
  <c r="C146" i="68" s="1"/>
  <c r="C147" i="68" s="1"/>
  <c r="B141" i="68"/>
  <c r="D133" i="68"/>
  <c r="D134" i="68" s="1"/>
  <c r="D135" i="68" s="1"/>
  <c r="D136" i="68" s="1"/>
  <c r="D137" i="68" s="1"/>
  <c r="D138" i="68" s="1"/>
  <c r="C133" i="68"/>
  <c r="C134" i="68" s="1"/>
  <c r="C135" i="68" s="1"/>
  <c r="C136" i="68" s="1"/>
  <c r="C137" i="68" s="1"/>
  <c r="C138" i="68" s="1"/>
  <c r="B133" i="68"/>
  <c r="D119" i="68"/>
  <c r="D120" i="68" s="1"/>
  <c r="D121" i="68" s="1"/>
  <c r="D122" i="68" s="1"/>
  <c r="D123" i="68" s="1"/>
  <c r="D124" i="68" s="1"/>
  <c r="D125" i="68" s="1"/>
  <c r="D126" i="68" s="1"/>
  <c r="D127" i="68" s="1"/>
  <c r="D128" i="68" s="1"/>
  <c r="D129" i="68" s="1"/>
  <c r="D130" i="68" s="1"/>
  <c r="C119" i="68"/>
  <c r="C120" i="68" s="1"/>
  <c r="C121" i="68" s="1"/>
  <c r="C122" i="68" s="1"/>
  <c r="C123" i="68" s="1"/>
  <c r="C124" i="68" s="1"/>
  <c r="C125" i="68" s="1"/>
  <c r="C126" i="68" s="1"/>
  <c r="C127" i="68" s="1"/>
  <c r="C128" i="68" s="1"/>
  <c r="C129" i="68" s="1"/>
  <c r="C130" i="68" s="1"/>
  <c r="B119" i="68"/>
  <c r="B120" i="68" s="1"/>
  <c r="D111" i="68"/>
  <c r="D112" i="68" s="1"/>
  <c r="D113" i="68" s="1"/>
  <c r="D114" i="68" s="1"/>
  <c r="D115" i="68" s="1"/>
  <c r="D116" i="68" s="1"/>
  <c r="C111" i="68"/>
  <c r="C112" i="68" s="1"/>
  <c r="C113" i="68" s="1"/>
  <c r="C114" i="68" s="1"/>
  <c r="C115" i="68" s="1"/>
  <c r="C116" i="68" s="1"/>
  <c r="B111" i="68"/>
  <c r="D102" i="68"/>
  <c r="D103" i="68" s="1"/>
  <c r="D104" i="68" s="1"/>
  <c r="D105" i="68" s="1"/>
  <c r="D106" i="68" s="1"/>
  <c r="D107" i="68" s="1"/>
  <c r="D108" i="68" s="1"/>
  <c r="C102" i="68"/>
  <c r="C103" i="68" s="1"/>
  <c r="C104" i="68" s="1"/>
  <c r="C105" i="68" s="1"/>
  <c r="C106" i="68" s="1"/>
  <c r="C107" i="68" s="1"/>
  <c r="C108" i="68" s="1"/>
  <c r="B102" i="68"/>
  <c r="D86" i="68"/>
  <c r="D87" i="68" s="1"/>
  <c r="D88" i="68" s="1"/>
  <c r="D89" i="68" s="1"/>
  <c r="D90" i="68" s="1"/>
  <c r="D91" i="68" s="1"/>
  <c r="D92" i="68" s="1"/>
  <c r="D93" i="68" s="1"/>
  <c r="D94" i="68" s="1"/>
  <c r="D95" i="68" s="1"/>
  <c r="D96" i="68" s="1"/>
  <c r="D97" i="68" s="1"/>
  <c r="D98" i="68" s="1"/>
  <c r="D99" i="68" s="1"/>
  <c r="C86" i="68"/>
  <c r="C87" i="68" s="1"/>
  <c r="C88" i="68" s="1"/>
  <c r="C89" i="68" s="1"/>
  <c r="C90" i="68" s="1"/>
  <c r="C91" i="68" s="1"/>
  <c r="C92" i="68" s="1"/>
  <c r="C93" i="68" s="1"/>
  <c r="C94" i="68" s="1"/>
  <c r="C95" i="68" s="1"/>
  <c r="C96" i="68" s="1"/>
  <c r="C97" i="68" s="1"/>
  <c r="C98" i="68" s="1"/>
  <c r="C99" i="68" s="1"/>
  <c r="B86" i="68"/>
  <c r="B87" i="68" s="1"/>
  <c r="D77" i="68"/>
  <c r="D78" i="68" s="1"/>
  <c r="D79" i="68" s="1"/>
  <c r="D80" i="68" s="1"/>
  <c r="D81" i="68" s="1"/>
  <c r="D82" i="68" s="1"/>
  <c r="D83" i="68" s="1"/>
  <c r="C77" i="68"/>
  <c r="C78" i="68" s="1"/>
  <c r="C79" i="68" s="1"/>
  <c r="C80" i="68" s="1"/>
  <c r="C81" i="68" s="1"/>
  <c r="C82" i="68" s="1"/>
  <c r="C83" i="68" s="1"/>
  <c r="B77" i="68"/>
  <c r="D68" i="68"/>
  <c r="D69" i="68" s="1"/>
  <c r="D70" i="68" s="1"/>
  <c r="D71" i="68" s="1"/>
  <c r="D72" i="68" s="1"/>
  <c r="D73" i="68" s="1"/>
  <c r="D74" i="68" s="1"/>
  <c r="C68" i="68"/>
  <c r="C69" i="68" s="1"/>
  <c r="B68" i="68"/>
  <c r="D52" i="68"/>
  <c r="D53" i="68" s="1"/>
  <c r="D54" i="68" s="1"/>
  <c r="D55" i="68" s="1"/>
  <c r="D56" i="68" s="1"/>
  <c r="D57" i="68" s="1"/>
  <c r="D58" i="68" s="1"/>
  <c r="D59" i="68" s="1"/>
  <c r="D60" i="68" s="1"/>
  <c r="D61" i="68" s="1"/>
  <c r="D62" i="68" s="1"/>
  <c r="D63" i="68" s="1"/>
  <c r="D64" i="68" s="1"/>
  <c r="D65" i="68" s="1"/>
  <c r="C52" i="68"/>
  <c r="C53" i="68" s="1"/>
  <c r="C54" i="68" s="1"/>
  <c r="C55" i="68" s="1"/>
  <c r="C56" i="68" s="1"/>
  <c r="C57" i="68" s="1"/>
  <c r="C58" i="68" s="1"/>
  <c r="C59" i="68" s="1"/>
  <c r="C60" i="68" s="1"/>
  <c r="C61" i="68" s="1"/>
  <c r="C62" i="68" s="1"/>
  <c r="C63" i="68" s="1"/>
  <c r="C64" i="68" s="1"/>
  <c r="C65" i="68" s="1"/>
  <c r="B52" i="68"/>
  <c r="B53" i="68" s="1"/>
  <c r="D43" i="68"/>
  <c r="D44" i="68" s="1"/>
  <c r="D45" i="68" s="1"/>
  <c r="D46" i="68" s="1"/>
  <c r="D47" i="68" s="1"/>
  <c r="D48" i="68" s="1"/>
  <c r="D49" i="68" s="1"/>
  <c r="C43" i="68"/>
  <c r="C44" i="68" s="1"/>
  <c r="C45" i="68" s="1"/>
  <c r="C46" i="68" s="1"/>
  <c r="C47" i="68" s="1"/>
  <c r="C48" i="68" s="1"/>
  <c r="C49" i="68" s="1"/>
  <c r="B43" i="68"/>
  <c r="D34" i="68"/>
  <c r="D35" i="68" s="1"/>
  <c r="D36" i="68" s="1"/>
  <c r="D37" i="68" s="1"/>
  <c r="D38" i="68" s="1"/>
  <c r="D39" i="68" s="1"/>
  <c r="D40" i="68" s="1"/>
  <c r="C34" i="68"/>
  <c r="C35" i="68" s="1"/>
  <c r="C36" i="68" s="1"/>
  <c r="C37" i="68" s="1"/>
  <c r="C38" i="68" s="1"/>
  <c r="C39" i="68" s="1"/>
  <c r="C40" i="68" s="1"/>
  <c r="B34" i="68"/>
  <c r="D18" i="68"/>
  <c r="D19" i="68" s="1"/>
  <c r="D20" i="68" s="1"/>
  <c r="D21" i="68" s="1"/>
  <c r="D22" i="68" s="1"/>
  <c r="D23" i="68" s="1"/>
  <c r="D24" i="68" s="1"/>
  <c r="D25" i="68" s="1"/>
  <c r="D26" i="68" s="1"/>
  <c r="D27" i="68" s="1"/>
  <c r="D28" i="68" s="1"/>
  <c r="D29" i="68" s="1"/>
  <c r="D30" i="68" s="1"/>
  <c r="D31" i="68" s="1"/>
  <c r="C18" i="68"/>
  <c r="C19" i="68" s="1"/>
  <c r="C20" i="68" s="1"/>
  <c r="C21" i="68" s="1"/>
  <c r="C22" i="68" s="1"/>
  <c r="C23" i="68" s="1"/>
  <c r="C24" i="68" s="1"/>
  <c r="C25" i="68" s="1"/>
  <c r="C26" i="68" s="1"/>
  <c r="C27" i="68" s="1"/>
  <c r="C28" i="68" s="1"/>
  <c r="C29" i="68" s="1"/>
  <c r="C30" i="68" s="1"/>
  <c r="C31" i="68" s="1"/>
  <c r="B18" i="68"/>
  <c r="B19" i="68" s="1"/>
  <c r="D9" i="68"/>
  <c r="D10" i="68" s="1"/>
  <c r="D11" i="68" s="1"/>
  <c r="D12" i="68" s="1"/>
  <c r="D13" i="68" s="1"/>
  <c r="D14" i="68" s="1"/>
  <c r="D15" i="68" s="1"/>
  <c r="C9" i="68"/>
  <c r="C10" i="68" s="1"/>
  <c r="C11" i="68" s="1"/>
  <c r="C12" i="68" s="1"/>
  <c r="C13" i="68" s="1"/>
  <c r="C14" i="68" s="1"/>
  <c r="C15" i="68" s="1"/>
  <c r="B9" i="68"/>
  <c r="D201" i="66"/>
  <c r="D202" i="66" s="1"/>
  <c r="D203" i="66" s="1"/>
  <c r="D204" i="66" s="1"/>
  <c r="D205" i="66" s="1"/>
  <c r="D206" i="66" s="1"/>
  <c r="D207" i="66" s="1"/>
  <c r="D208" i="66" s="1"/>
  <c r="D209" i="66" s="1"/>
  <c r="C201" i="66"/>
  <c r="C202" i="66" s="1"/>
  <c r="C203" i="66" s="1"/>
  <c r="C204" i="66" s="1"/>
  <c r="C205" i="66" s="1"/>
  <c r="C206" i="66" s="1"/>
  <c r="C207" i="66" s="1"/>
  <c r="C208" i="66" s="1"/>
  <c r="C209" i="66" s="1"/>
  <c r="B201" i="66"/>
  <c r="D188" i="66"/>
  <c r="D189" i="66" s="1"/>
  <c r="D190" i="66" s="1"/>
  <c r="D191" i="66" s="1"/>
  <c r="D192" i="66" s="1"/>
  <c r="D193" i="66" s="1"/>
  <c r="D194" i="66" s="1"/>
  <c r="D195" i="66" s="1"/>
  <c r="D196" i="66" s="1"/>
  <c r="D197" i="66" s="1"/>
  <c r="D198" i="66" s="1"/>
  <c r="C188" i="66"/>
  <c r="C189" i="66" s="1"/>
  <c r="C190" i="66" s="1"/>
  <c r="C191" i="66" s="1"/>
  <c r="C192" i="66" s="1"/>
  <c r="C193" i="66" s="1"/>
  <c r="C194" i="66" s="1"/>
  <c r="C195" i="66" s="1"/>
  <c r="C196" i="66" s="1"/>
  <c r="C197" i="66" s="1"/>
  <c r="C198" i="66" s="1"/>
  <c r="B188" i="66"/>
  <c r="B189" i="66" s="1"/>
  <c r="D177" i="66"/>
  <c r="D178" i="66" s="1"/>
  <c r="D179" i="66" s="1"/>
  <c r="D180" i="66" s="1"/>
  <c r="D181" i="66" s="1"/>
  <c r="D182" i="66" s="1"/>
  <c r="D183" i="66" s="1"/>
  <c r="D184" i="66" s="1"/>
  <c r="D185" i="66" s="1"/>
  <c r="C177" i="66"/>
  <c r="C178" i="66" s="1"/>
  <c r="C179" i="66" s="1"/>
  <c r="C180" i="66" s="1"/>
  <c r="C181" i="66" s="1"/>
  <c r="C182" i="66" s="1"/>
  <c r="C183" i="66" s="1"/>
  <c r="C184" i="66" s="1"/>
  <c r="C185" i="66" s="1"/>
  <c r="B177" i="66"/>
  <c r="D166" i="66"/>
  <c r="D167" i="66" s="1"/>
  <c r="D168" i="66" s="1"/>
  <c r="D169" i="66" s="1"/>
  <c r="D170" i="66" s="1"/>
  <c r="D171" i="66" s="1"/>
  <c r="D172" i="66" s="1"/>
  <c r="D173" i="66" s="1"/>
  <c r="D174" i="66" s="1"/>
  <c r="C166" i="66"/>
  <c r="C167" i="66" s="1"/>
  <c r="C168" i="66" s="1"/>
  <c r="C169" i="66" s="1"/>
  <c r="C170" i="66" s="1"/>
  <c r="C171" i="66" s="1"/>
  <c r="C172" i="66" s="1"/>
  <c r="C173" i="66" s="1"/>
  <c r="C174" i="66" s="1"/>
  <c r="B166" i="66"/>
  <c r="D146" i="66"/>
  <c r="D147" i="66" s="1"/>
  <c r="D148" i="66" s="1"/>
  <c r="D149" i="66" s="1"/>
  <c r="D150" i="66" s="1"/>
  <c r="D151" i="66" s="1"/>
  <c r="D152" i="66" s="1"/>
  <c r="D153" i="66" s="1"/>
  <c r="D154" i="66" s="1"/>
  <c r="D155" i="66" s="1"/>
  <c r="D156" i="66" s="1"/>
  <c r="D157" i="66" s="1"/>
  <c r="D158" i="66" s="1"/>
  <c r="D159" i="66" s="1"/>
  <c r="D160" i="66" s="1"/>
  <c r="D161" i="66" s="1"/>
  <c r="D162" i="66" s="1"/>
  <c r="D163" i="66" s="1"/>
  <c r="C146" i="66"/>
  <c r="C147" i="66" s="1"/>
  <c r="C148" i="66" s="1"/>
  <c r="C149" i="66" s="1"/>
  <c r="C150" i="66" s="1"/>
  <c r="C151" i="66" s="1"/>
  <c r="C152" i="66" s="1"/>
  <c r="C153" i="66" s="1"/>
  <c r="C154" i="66" s="1"/>
  <c r="C155" i="66" s="1"/>
  <c r="C156" i="66" s="1"/>
  <c r="C157" i="66" s="1"/>
  <c r="C158" i="66" s="1"/>
  <c r="C159" i="66" s="1"/>
  <c r="C160" i="66" s="1"/>
  <c r="C161" i="66" s="1"/>
  <c r="C162" i="66" s="1"/>
  <c r="C163" i="66" s="1"/>
  <c r="B146" i="66"/>
  <c r="B147" i="66" s="1"/>
  <c r="D135" i="66"/>
  <c r="D136" i="66" s="1"/>
  <c r="D137" i="66" s="1"/>
  <c r="D138" i="66" s="1"/>
  <c r="D139" i="66" s="1"/>
  <c r="D140" i="66" s="1"/>
  <c r="D141" i="66" s="1"/>
  <c r="D142" i="66" s="1"/>
  <c r="D143" i="66" s="1"/>
  <c r="C135" i="66"/>
  <c r="C136" i="66" s="1"/>
  <c r="C137" i="66" s="1"/>
  <c r="C138" i="66" s="1"/>
  <c r="C139" i="66" s="1"/>
  <c r="C140" i="66" s="1"/>
  <c r="C141" i="66" s="1"/>
  <c r="C142" i="66" s="1"/>
  <c r="C143" i="66" s="1"/>
  <c r="B135" i="66"/>
  <c r="D124" i="66"/>
  <c r="D125" i="66" s="1"/>
  <c r="D126" i="66" s="1"/>
  <c r="D127" i="66" s="1"/>
  <c r="D128" i="66" s="1"/>
  <c r="D129" i="66" s="1"/>
  <c r="D130" i="66" s="1"/>
  <c r="D131" i="66" s="1"/>
  <c r="D132" i="66" s="1"/>
  <c r="C124" i="66"/>
  <c r="C125" i="66" s="1"/>
  <c r="C126" i="66" s="1"/>
  <c r="C127" i="66" s="1"/>
  <c r="C128" i="66" s="1"/>
  <c r="C129" i="66" s="1"/>
  <c r="C130" i="66" s="1"/>
  <c r="C131" i="66" s="1"/>
  <c r="C132" i="66" s="1"/>
  <c r="B124" i="66"/>
  <c r="D104" i="66"/>
  <c r="D105" i="66" s="1"/>
  <c r="D106" i="66" s="1"/>
  <c r="D107" i="66" s="1"/>
  <c r="D108" i="66" s="1"/>
  <c r="D109" i="66" s="1"/>
  <c r="D110" i="66" s="1"/>
  <c r="D111" i="66" s="1"/>
  <c r="D112" i="66" s="1"/>
  <c r="D113" i="66" s="1"/>
  <c r="D114" i="66" s="1"/>
  <c r="D115" i="66" s="1"/>
  <c r="D116" i="66" s="1"/>
  <c r="D117" i="66" s="1"/>
  <c r="D118" i="66" s="1"/>
  <c r="D119" i="66" s="1"/>
  <c r="D120" i="66" s="1"/>
  <c r="D121" i="66" s="1"/>
  <c r="C104" i="66"/>
  <c r="C105" i="66" s="1"/>
  <c r="C106" i="66" s="1"/>
  <c r="C107" i="66" s="1"/>
  <c r="C108" i="66" s="1"/>
  <c r="C109" i="66" s="1"/>
  <c r="C110" i="66" s="1"/>
  <c r="C111" i="66" s="1"/>
  <c r="C112" i="66" s="1"/>
  <c r="C113" i="66" s="1"/>
  <c r="C114" i="66" s="1"/>
  <c r="C115" i="66" s="1"/>
  <c r="C116" i="66" s="1"/>
  <c r="C117" i="66" s="1"/>
  <c r="C118" i="66" s="1"/>
  <c r="C119" i="66" s="1"/>
  <c r="C120" i="66" s="1"/>
  <c r="C121" i="66" s="1"/>
  <c r="B104" i="66"/>
  <c r="B105" i="66" s="1"/>
  <c r="D93" i="66"/>
  <c r="D94" i="66" s="1"/>
  <c r="D95" i="66" s="1"/>
  <c r="D96" i="66" s="1"/>
  <c r="D97" i="66" s="1"/>
  <c r="D98" i="66" s="1"/>
  <c r="D99" i="66" s="1"/>
  <c r="D100" i="66" s="1"/>
  <c r="D101" i="66" s="1"/>
  <c r="C93" i="66"/>
  <c r="C94" i="66" s="1"/>
  <c r="C95" i="66" s="1"/>
  <c r="C96" i="66" s="1"/>
  <c r="C97" i="66" s="1"/>
  <c r="C98" i="66" s="1"/>
  <c r="C99" i="66" s="1"/>
  <c r="C100" i="66" s="1"/>
  <c r="C101" i="66" s="1"/>
  <c r="B93" i="66"/>
  <c r="D82" i="66"/>
  <c r="D83" i="66" s="1"/>
  <c r="D84" i="66" s="1"/>
  <c r="D85" i="66" s="1"/>
  <c r="D86" i="66" s="1"/>
  <c r="D87" i="66" s="1"/>
  <c r="D88" i="66" s="1"/>
  <c r="D89" i="66" s="1"/>
  <c r="D90" i="66" s="1"/>
  <c r="C82" i="66"/>
  <c r="C83" i="66" s="1"/>
  <c r="C84" i="66" s="1"/>
  <c r="C85" i="66" s="1"/>
  <c r="C86" i="66" s="1"/>
  <c r="C87" i="66" s="1"/>
  <c r="C88" i="66" s="1"/>
  <c r="C89" i="66" s="1"/>
  <c r="C90" i="66" s="1"/>
  <c r="B82" i="66"/>
  <c r="D62" i="66"/>
  <c r="D63" i="66" s="1"/>
  <c r="D64" i="66" s="1"/>
  <c r="D65" i="66" s="1"/>
  <c r="D66" i="66" s="1"/>
  <c r="D67" i="66" s="1"/>
  <c r="D68" i="66" s="1"/>
  <c r="D69" i="66" s="1"/>
  <c r="D70" i="66" s="1"/>
  <c r="D71" i="66" s="1"/>
  <c r="D72" i="66" s="1"/>
  <c r="D73" i="66" s="1"/>
  <c r="D74" i="66" s="1"/>
  <c r="D75" i="66" s="1"/>
  <c r="D76" i="66" s="1"/>
  <c r="D77" i="66" s="1"/>
  <c r="D78" i="66" s="1"/>
  <c r="D79" i="66" s="1"/>
  <c r="C62" i="66"/>
  <c r="C63" i="66" s="1"/>
  <c r="C64" i="66" s="1"/>
  <c r="C65" i="66" s="1"/>
  <c r="C66" i="66" s="1"/>
  <c r="C67" i="66" s="1"/>
  <c r="C68" i="66" s="1"/>
  <c r="C69" i="66" s="1"/>
  <c r="C70" i="66" s="1"/>
  <c r="C71" i="66" s="1"/>
  <c r="C72" i="66" s="1"/>
  <c r="C73" i="66" s="1"/>
  <c r="C74" i="66" s="1"/>
  <c r="C75" i="66" s="1"/>
  <c r="C76" i="66" s="1"/>
  <c r="C77" i="66" s="1"/>
  <c r="C78" i="66" s="1"/>
  <c r="C79" i="66" s="1"/>
  <c r="B62" i="66"/>
  <c r="B63" i="66" s="1"/>
  <c r="D51" i="66"/>
  <c r="D52" i="66" s="1"/>
  <c r="D53" i="66" s="1"/>
  <c r="D54" i="66" s="1"/>
  <c r="D55" i="66" s="1"/>
  <c r="D56" i="66" s="1"/>
  <c r="D57" i="66" s="1"/>
  <c r="D58" i="66" s="1"/>
  <c r="D59" i="66" s="1"/>
  <c r="C51" i="66"/>
  <c r="C52" i="66" s="1"/>
  <c r="C53" i="66" s="1"/>
  <c r="C54" i="66" s="1"/>
  <c r="C55" i="66" s="1"/>
  <c r="C56" i="66" s="1"/>
  <c r="C57" i="66" s="1"/>
  <c r="C58" i="66" s="1"/>
  <c r="C59" i="66" s="1"/>
  <c r="B51" i="66"/>
  <c r="D40" i="66"/>
  <c r="D41" i="66" s="1"/>
  <c r="D42" i="66" s="1"/>
  <c r="C40" i="66"/>
  <c r="C41" i="66" s="1"/>
  <c r="C42" i="66" s="1"/>
  <c r="B40" i="66"/>
  <c r="D20" i="66"/>
  <c r="D21" i="66" s="1"/>
  <c r="D22" i="66" s="1"/>
  <c r="D23" i="66" s="1"/>
  <c r="D24" i="66" s="1"/>
  <c r="D25" i="66" s="1"/>
  <c r="D26" i="66" s="1"/>
  <c r="D27" i="66" s="1"/>
  <c r="D28" i="66" s="1"/>
  <c r="D29" i="66" s="1"/>
  <c r="D30" i="66" s="1"/>
  <c r="D31" i="66" s="1"/>
  <c r="D32" i="66" s="1"/>
  <c r="D33" i="66" s="1"/>
  <c r="D34" i="66" s="1"/>
  <c r="D35" i="66" s="1"/>
  <c r="D36" i="66" s="1"/>
  <c r="D37" i="66" s="1"/>
  <c r="C20" i="66"/>
  <c r="C21" i="66" s="1"/>
  <c r="C22" i="66" s="1"/>
  <c r="C23" i="66" s="1"/>
  <c r="C24" i="66" s="1"/>
  <c r="C25" i="66" s="1"/>
  <c r="C26" i="66" s="1"/>
  <c r="C27" i="66" s="1"/>
  <c r="C28" i="66" s="1"/>
  <c r="C29" i="66" s="1"/>
  <c r="C30" i="66" s="1"/>
  <c r="C31" i="66" s="1"/>
  <c r="C32" i="66" s="1"/>
  <c r="C33" i="66" s="1"/>
  <c r="C34" i="66" s="1"/>
  <c r="C35" i="66" s="1"/>
  <c r="C36" i="66" s="1"/>
  <c r="C37" i="66" s="1"/>
  <c r="B20" i="66"/>
  <c r="B21" i="66" s="1"/>
  <c r="D9" i="66"/>
  <c r="D10" i="66" s="1"/>
  <c r="D11" i="66" s="1"/>
  <c r="D12" i="66" s="1"/>
  <c r="D13" i="66" s="1"/>
  <c r="D14" i="66" s="1"/>
  <c r="D15" i="66" s="1"/>
  <c r="D16" i="66" s="1"/>
  <c r="D17" i="66" s="1"/>
  <c r="C9" i="66"/>
  <c r="B9" i="66"/>
  <c r="R175" i="68"/>
  <c r="K175" i="68"/>
  <c r="R174" i="68"/>
  <c r="K174" i="68"/>
  <c r="R173" i="68"/>
  <c r="K173" i="68"/>
  <c r="R172" i="68"/>
  <c r="K172" i="68"/>
  <c r="R171" i="68"/>
  <c r="K171" i="68"/>
  <c r="R170" i="68"/>
  <c r="K170" i="68"/>
  <c r="R169" i="68"/>
  <c r="K169" i="68"/>
  <c r="R168" i="68"/>
  <c r="K168" i="68"/>
  <c r="M4" i="68"/>
  <c r="O3" i="68"/>
  <c r="P4" i="68" s="1"/>
  <c r="H3" i="68"/>
  <c r="I4" i="68" s="1"/>
  <c r="R217" i="66"/>
  <c r="R216" i="66"/>
  <c r="R215" i="66"/>
  <c r="R214" i="66"/>
  <c r="R213" i="66"/>
  <c r="R212" i="66"/>
  <c r="R211" i="66"/>
  <c r="R210" i="66"/>
  <c r="K217" i="66"/>
  <c r="K216" i="66"/>
  <c r="K215" i="66"/>
  <c r="K214" i="66"/>
  <c r="K213" i="66"/>
  <c r="K212" i="66"/>
  <c r="K211" i="66"/>
  <c r="K210" i="66"/>
  <c r="B213" i="52"/>
  <c r="M51" i="52"/>
  <c r="D196" i="52"/>
  <c r="C196" i="52"/>
  <c r="B196" i="52"/>
  <c r="D186" i="52"/>
  <c r="C186" i="52"/>
  <c r="B186" i="52"/>
  <c r="D176" i="52"/>
  <c r="D177" i="52" s="1"/>
  <c r="C176" i="52"/>
  <c r="C177" i="52" s="1"/>
  <c r="B176" i="52"/>
  <c r="D153" i="52"/>
  <c r="D154" i="52" s="1"/>
  <c r="C153" i="52"/>
  <c r="C154" i="52" s="1"/>
  <c r="B153" i="52"/>
  <c r="D143" i="52"/>
  <c r="D144" i="52" s="1"/>
  <c r="C143" i="52"/>
  <c r="C144" i="52" s="1"/>
  <c r="B143" i="52"/>
  <c r="D132" i="52"/>
  <c r="D133" i="52" s="1"/>
  <c r="D134" i="52" s="1"/>
  <c r="D135" i="52" s="1"/>
  <c r="D136" i="52" s="1"/>
  <c r="C132" i="52"/>
  <c r="C133" i="52" s="1"/>
  <c r="C134" i="52" s="1"/>
  <c r="B132" i="52"/>
  <c r="D106" i="52"/>
  <c r="D107" i="52" s="1"/>
  <c r="D108" i="52" s="1"/>
  <c r="D109" i="52" s="1"/>
  <c r="D110" i="52" s="1"/>
  <c r="C106" i="52"/>
  <c r="C107" i="52" s="1"/>
  <c r="C108" i="52" s="1"/>
  <c r="C109" i="52" s="1"/>
  <c r="C110" i="52" s="1"/>
  <c r="B106" i="52"/>
  <c r="D95" i="52"/>
  <c r="D96" i="52" s="1"/>
  <c r="D97" i="52" s="1"/>
  <c r="D98" i="52" s="1"/>
  <c r="D99" i="52" s="1"/>
  <c r="C95" i="52"/>
  <c r="C96" i="52" s="1"/>
  <c r="C97" i="52" s="1"/>
  <c r="C98" i="52" s="1"/>
  <c r="C99" i="52" s="1"/>
  <c r="B95" i="52"/>
  <c r="D62" i="52"/>
  <c r="C62" i="52"/>
  <c r="B62" i="52"/>
  <c r="D52" i="52"/>
  <c r="D53" i="52" s="1"/>
  <c r="D54" i="52" s="1"/>
  <c r="D55" i="52" s="1"/>
  <c r="D56" i="52" s="1"/>
  <c r="D57" i="52" s="1"/>
  <c r="D58" i="52" s="1"/>
  <c r="D59" i="52" s="1"/>
  <c r="C52" i="52"/>
  <c r="C53" i="52" s="1"/>
  <c r="C54" i="52" s="1"/>
  <c r="C55" i="52" s="1"/>
  <c r="C56" i="52" s="1"/>
  <c r="C57" i="52" s="1"/>
  <c r="C58" i="52" s="1"/>
  <c r="C59" i="52" s="1"/>
  <c r="B52" i="52"/>
  <c r="D42" i="52"/>
  <c r="D43" i="52" s="1"/>
  <c r="D44" i="52" s="1"/>
  <c r="D45" i="52" s="1"/>
  <c r="D46" i="52" s="1"/>
  <c r="D47" i="52" s="1"/>
  <c r="D48" i="52" s="1"/>
  <c r="D49" i="52" s="1"/>
  <c r="C42" i="52"/>
  <c r="C43" i="52" s="1"/>
  <c r="C44" i="52" s="1"/>
  <c r="C45" i="52" s="1"/>
  <c r="C46" i="52" s="1"/>
  <c r="C47" i="52" s="1"/>
  <c r="C48" i="52" s="1"/>
  <c r="C49" i="52" s="1"/>
  <c r="B42" i="52"/>
  <c r="D19" i="52"/>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C19" i="52"/>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B19" i="52"/>
  <c r="D9" i="52"/>
  <c r="D10" i="52" s="1"/>
  <c r="D11" i="52" s="1"/>
  <c r="D12" i="52" s="1"/>
  <c r="D13" i="52" s="1"/>
  <c r="D14" i="52" s="1"/>
  <c r="D15" i="52" s="1"/>
  <c r="D16" i="52" s="1"/>
  <c r="C9" i="52"/>
  <c r="C10" i="52" s="1"/>
  <c r="C11" i="52" s="1"/>
  <c r="C12" i="52" s="1"/>
  <c r="C13" i="52" s="1"/>
  <c r="C14" i="52" s="1"/>
  <c r="C15" i="52" s="1"/>
  <c r="C16" i="52" s="1"/>
  <c r="B9" i="52"/>
  <c r="D197" i="52" l="1"/>
  <c r="D198" i="52" s="1"/>
  <c r="D199" i="52" s="1"/>
  <c r="D200" i="52" s="1"/>
  <c r="D201" i="52" s="1"/>
  <c r="D202" i="52" s="1"/>
  <c r="D203" i="52" s="1"/>
  <c r="D204" i="52" s="1"/>
  <c r="D205" i="52" s="1"/>
  <c r="D206" i="52" s="1"/>
  <c r="D207" i="52" s="1"/>
  <c r="D208" i="52" s="1"/>
  <c r="D209" i="52" s="1"/>
  <c r="D210" i="52" s="1"/>
  <c r="B197" i="52"/>
  <c r="B187" i="52"/>
  <c r="C197" i="52"/>
  <c r="C198" i="52" s="1"/>
  <c r="C199" i="52" s="1"/>
  <c r="C200" i="52" s="1"/>
  <c r="C201" i="52" s="1"/>
  <c r="C202" i="52" s="1"/>
  <c r="C203" i="52" s="1"/>
  <c r="C204" i="52" s="1"/>
  <c r="C205" i="52" s="1"/>
  <c r="C206" i="52" s="1"/>
  <c r="C207" i="52" s="1"/>
  <c r="C208" i="52" s="1"/>
  <c r="C209" i="52" s="1"/>
  <c r="C210" i="52" s="1"/>
  <c r="C187" i="52"/>
  <c r="C188" i="52" s="1"/>
  <c r="C189" i="52" s="1"/>
  <c r="C190" i="52" s="1"/>
  <c r="C191" i="52" s="1"/>
  <c r="C192" i="52" s="1"/>
  <c r="C193" i="52" s="1"/>
  <c r="D187" i="52"/>
  <c r="D188" i="52" s="1"/>
  <c r="D189" i="52" s="1"/>
  <c r="D190" i="52" s="1"/>
  <c r="D191" i="52" s="1"/>
  <c r="D192" i="52" s="1"/>
  <c r="D193" i="52" s="1"/>
  <c r="D63" i="52"/>
  <c r="D64" i="52" s="1"/>
  <c r="D65" i="52" s="1"/>
  <c r="D66" i="52" s="1"/>
  <c r="D67" i="52" s="1"/>
  <c r="D68" i="52" s="1"/>
  <c r="D69" i="52" s="1"/>
  <c r="D70" i="52" s="1"/>
  <c r="D71" i="52" s="1"/>
  <c r="D72" i="52" s="1"/>
  <c r="D73" i="52" s="1"/>
  <c r="D74" i="52" s="1"/>
  <c r="D75" i="52" s="1"/>
  <c r="D76" i="52" s="1"/>
  <c r="D77" i="52" s="1"/>
  <c r="D78" i="52" s="1"/>
  <c r="D79" i="52" s="1"/>
  <c r="D80" i="52" s="1"/>
  <c r="D81" i="52" s="1"/>
  <c r="D82" i="52" s="1"/>
  <c r="B63" i="52"/>
  <c r="C63" i="52"/>
  <c r="C64" i="52" s="1"/>
  <c r="C65" i="52" s="1"/>
  <c r="C66" i="52" s="1"/>
  <c r="C67" i="52" s="1"/>
  <c r="C68" i="52" s="1"/>
  <c r="C69" i="52" s="1"/>
  <c r="C70" i="52" s="1"/>
  <c r="C71" i="52" s="1"/>
  <c r="C72" i="52" s="1"/>
  <c r="C73" i="52" s="1"/>
  <c r="C74" i="52" s="1"/>
  <c r="C75" i="52" s="1"/>
  <c r="C76" i="52" s="1"/>
  <c r="C77" i="52" s="1"/>
  <c r="C78" i="52" s="1"/>
  <c r="C79" i="52" s="1"/>
  <c r="C80" i="52" s="1"/>
  <c r="C81" i="52" s="1"/>
  <c r="C82" i="52" s="1"/>
  <c r="B53" i="52"/>
  <c r="C155" i="52"/>
  <c r="C156" i="52" s="1"/>
  <c r="C157" i="52" s="1"/>
  <c r="C158" i="52" s="1"/>
  <c r="C159" i="52" s="1"/>
  <c r="C160" i="52" s="1"/>
  <c r="D178" i="52"/>
  <c r="D179" i="52" s="1"/>
  <c r="D180" i="52" s="1"/>
  <c r="D181" i="52" s="1"/>
  <c r="D182" i="52" s="1"/>
  <c r="D183" i="52" s="1"/>
  <c r="C178" i="52"/>
  <c r="C179" i="52" s="1"/>
  <c r="C180" i="52" s="1"/>
  <c r="C181" i="52" s="1"/>
  <c r="C182" i="52" s="1"/>
  <c r="C183" i="52" s="1"/>
  <c r="C145" i="52"/>
  <c r="D155" i="52"/>
  <c r="D156" i="52" s="1"/>
  <c r="D157" i="52" s="1"/>
  <c r="D158" i="52" s="1"/>
  <c r="D159" i="52" s="1"/>
  <c r="D160" i="52" s="1"/>
  <c r="D145" i="52"/>
  <c r="D146" i="52" s="1"/>
  <c r="D147" i="52" s="1"/>
  <c r="D148" i="52" s="1"/>
  <c r="D149" i="52" s="1"/>
  <c r="D150" i="52" s="1"/>
  <c r="B20" i="68"/>
  <c r="B69" i="68"/>
  <c r="B112" i="68"/>
  <c r="B152" i="68"/>
  <c r="B121" i="68"/>
  <c r="B162" i="68"/>
  <c r="B54" i="68"/>
  <c r="B103" i="68"/>
  <c r="B104" i="68" s="1"/>
  <c r="B142" i="68"/>
  <c r="B35" i="68"/>
  <c r="B78" i="68"/>
  <c r="B44" i="68"/>
  <c r="B88" i="68"/>
  <c r="B134" i="68"/>
  <c r="C10" i="66"/>
  <c r="C11" i="66" s="1"/>
  <c r="C12" i="66" s="1"/>
  <c r="C13" i="66" s="1"/>
  <c r="C14" i="66" s="1"/>
  <c r="C15" i="66" s="1"/>
  <c r="C16" i="66" s="1"/>
  <c r="C17" i="66" s="1"/>
  <c r="C43" i="66"/>
  <c r="C44" i="66" s="1"/>
  <c r="C45" i="66" s="1"/>
  <c r="C46" i="66" s="1"/>
  <c r="C47" i="66" s="1"/>
  <c r="C48" i="66" s="1"/>
  <c r="D43" i="66"/>
  <c r="D44" i="66" s="1"/>
  <c r="D45" i="66" s="1"/>
  <c r="D46" i="66" s="1"/>
  <c r="D47" i="66" s="1"/>
  <c r="D48" i="66" s="1"/>
  <c r="B136" i="66"/>
  <c r="B64" i="66"/>
  <c r="B125" i="66"/>
  <c r="B178" i="66"/>
  <c r="B22" i="66"/>
  <c r="B83" i="66"/>
  <c r="B52" i="66"/>
  <c r="B106" i="66"/>
  <c r="B167" i="66"/>
  <c r="B190" i="66"/>
  <c r="B41" i="66"/>
  <c r="B94" i="66"/>
  <c r="B202" i="66"/>
  <c r="B133" i="52"/>
  <c r="B214" i="52"/>
  <c r="B144" i="52"/>
  <c r="B43" i="52"/>
  <c r="B20" i="52"/>
  <c r="B96" i="52"/>
  <c r="B10" i="52"/>
  <c r="B10" i="68"/>
  <c r="B148" i="66"/>
  <c r="B10" i="66"/>
  <c r="C70" i="68"/>
  <c r="C71" i="68" s="1"/>
  <c r="C72" i="68" s="1"/>
  <c r="C73" i="68" s="1"/>
  <c r="C74" i="68" s="1"/>
  <c r="F4" i="68"/>
  <c r="H4" i="68"/>
  <c r="K4" i="68"/>
  <c r="Q4" i="68"/>
  <c r="J4" i="68"/>
  <c r="R4" i="68"/>
  <c r="O4" i="68"/>
  <c r="C135" i="52"/>
  <c r="C136" i="52" s="1"/>
  <c r="C137" i="52" s="1"/>
  <c r="C138" i="52" s="1"/>
  <c r="C139" i="52" s="1"/>
  <c r="C140" i="52" s="1"/>
  <c r="B177" i="52"/>
  <c r="B154" i="52"/>
  <c r="D137" i="52"/>
  <c r="D138" i="52" s="1"/>
  <c r="D139" i="52" s="1"/>
  <c r="D140" i="52" s="1"/>
  <c r="D111" i="52"/>
  <c r="D112" i="52" s="1"/>
  <c r="D113" i="52" s="1"/>
  <c r="D114" i="52" s="1"/>
  <c r="D115" i="52" s="1"/>
  <c r="D100" i="52"/>
  <c r="D101" i="52" s="1"/>
  <c r="D102" i="52" s="1"/>
  <c r="D103" i="52" s="1"/>
  <c r="C100" i="52"/>
  <c r="C111" i="52"/>
  <c r="B107" i="52"/>
  <c r="B97" i="52" l="1"/>
  <c r="B98" i="52" s="1"/>
  <c r="B134" i="52"/>
  <c r="B135" i="52" s="1"/>
  <c r="B155" i="52"/>
  <c r="B156" i="52" s="1"/>
  <c r="B145" i="52"/>
  <c r="B146" i="52" s="1"/>
  <c r="B178" i="52"/>
  <c r="B54" i="52"/>
  <c r="D161" i="52"/>
  <c r="D162" i="52" s="1"/>
  <c r="D163" i="52" s="1"/>
  <c r="D164" i="52" s="1"/>
  <c r="D165" i="52" s="1"/>
  <c r="D166" i="52" s="1"/>
  <c r="C161" i="52"/>
  <c r="C162" i="52" s="1"/>
  <c r="C163" i="52" s="1"/>
  <c r="C164" i="52" s="1"/>
  <c r="C165" i="52" s="1"/>
  <c r="C166" i="52" s="1"/>
  <c r="B179" i="52"/>
  <c r="C146" i="52"/>
  <c r="C147" i="52" s="1"/>
  <c r="C148" i="52" s="1"/>
  <c r="C149" i="52" s="1"/>
  <c r="C150" i="52" s="1"/>
  <c r="B163" i="68"/>
  <c r="B79" i="68"/>
  <c r="B55" i="68"/>
  <c r="B113" i="68"/>
  <c r="B36" i="68"/>
  <c r="B45" i="68"/>
  <c r="B153" i="68"/>
  <c r="B70" i="68"/>
  <c r="B135" i="68"/>
  <c r="B136" i="68" s="1"/>
  <c r="B89" i="68"/>
  <c r="B143" i="68"/>
  <c r="B122" i="68"/>
  <c r="B21" i="68"/>
  <c r="B126" i="66"/>
  <c r="B179" i="66"/>
  <c r="B168" i="66"/>
  <c r="B23" i="66"/>
  <c r="B149" i="66"/>
  <c r="B107" i="66"/>
  <c r="B191" i="66"/>
  <c r="B84" i="66"/>
  <c r="B65" i="66"/>
  <c r="B95" i="66"/>
  <c r="B203" i="66"/>
  <c r="B42" i="66"/>
  <c r="B53" i="66"/>
  <c r="B137" i="66"/>
  <c r="B188" i="52"/>
  <c r="B11" i="52"/>
  <c r="B21" i="52"/>
  <c r="B215" i="52"/>
  <c r="B44" i="52"/>
  <c r="B11" i="68"/>
  <c r="B11" i="66"/>
  <c r="B105" i="68"/>
  <c r="D116" i="52"/>
  <c r="D117" i="52" s="1"/>
  <c r="C112" i="52"/>
  <c r="C113" i="52" s="1"/>
  <c r="C114" i="52" s="1"/>
  <c r="C115" i="52" s="1"/>
  <c r="C116" i="52" s="1"/>
  <c r="C117" i="52" s="1"/>
  <c r="C101" i="52"/>
  <c r="C102" i="52" s="1"/>
  <c r="C103" i="52" s="1"/>
  <c r="B108" i="52"/>
  <c r="I136" i="68" l="1" a="1"/>
  <c r="I136" i="68" s="1"/>
  <c r="P136" i="68" a="1"/>
  <c r="P136" i="68" s="1"/>
  <c r="B55" i="52"/>
  <c r="C167" i="52"/>
  <c r="C168" i="52" s="1"/>
  <c r="C169" i="52" s="1"/>
  <c r="C170" i="52" s="1"/>
  <c r="C171" i="52" s="1"/>
  <c r="C172" i="52" s="1"/>
  <c r="C173" i="52" s="1"/>
  <c r="D167" i="52"/>
  <c r="D168" i="52" s="1"/>
  <c r="D169" i="52" s="1"/>
  <c r="D170" i="52" s="1"/>
  <c r="D171" i="52" s="1"/>
  <c r="D172" i="52" s="1"/>
  <c r="D173" i="52" s="1"/>
  <c r="B90" i="68"/>
  <c r="B144" i="68"/>
  <c r="B56" i="68"/>
  <c r="B46" i="68"/>
  <c r="B123" i="68"/>
  <c r="B71" i="68"/>
  <c r="B114" i="68"/>
  <c r="B80" i="68"/>
  <c r="B22" i="68"/>
  <c r="B154" i="68"/>
  <c r="B37" i="68"/>
  <c r="B164" i="68"/>
  <c r="B12" i="52"/>
  <c r="B54" i="66"/>
  <c r="B66" i="66"/>
  <c r="B150" i="66"/>
  <c r="B43" i="66"/>
  <c r="B85" i="66"/>
  <c r="B24" i="66"/>
  <c r="B204" i="66"/>
  <c r="B192" i="66"/>
  <c r="B169" i="66"/>
  <c r="B138" i="66"/>
  <c r="B96" i="66"/>
  <c r="B108" i="66"/>
  <c r="B180" i="66"/>
  <c r="B127" i="66"/>
  <c r="B12" i="66"/>
  <c r="B136" i="52"/>
  <c r="B198" i="52"/>
  <c r="B109" i="52"/>
  <c r="B45" i="52"/>
  <c r="B147" i="52"/>
  <c r="B22" i="52"/>
  <c r="B180" i="52"/>
  <c r="B64" i="52"/>
  <c r="B99" i="52"/>
  <c r="B216" i="52"/>
  <c r="B12" i="68"/>
  <c r="B137" i="68"/>
  <c r="B138" i="68" s="1"/>
  <c r="B106" i="68"/>
  <c r="B157" i="52"/>
  <c r="B189" i="52"/>
  <c r="D118" i="52"/>
  <c r="D119" i="52" s="1"/>
  <c r="D120" i="52" s="1"/>
  <c r="D121" i="52" s="1"/>
  <c r="D122" i="52" s="1"/>
  <c r="C118" i="52"/>
  <c r="C119" i="52" s="1"/>
  <c r="C120" i="52" s="1"/>
  <c r="C121" i="52" s="1"/>
  <c r="C122" i="52" s="1"/>
  <c r="C123" i="52" s="1"/>
  <c r="C124" i="52" s="1"/>
  <c r="P114" i="68" l="1" a="1"/>
  <c r="P114" i="68" s="1"/>
  <c r="I114" i="68" a="1"/>
  <c r="I114" i="68" s="1"/>
  <c r="P106" i="68" a="1"/>
  <c r="P106" i="68" s="1"/>
  <c r="I106" i="68" a="1"/>
  <c r="I106" i="68" s="1"/>
  <c r="P123" i="68" a="1"/>
  <c r="P123" i="68" s="1"/>
  <c r="I123" i="68" a="1"/>
  <c r="I123" i="68" s="1"/>
  <c r="B199" i="52"/>
  <c r="B56" i="52"/>
  <c r="B155" i="68"/>
  <c r="B124" i="68"/>
  <c r="B165" i="68"/>
  <c r="B81" i="68"/>
  <c r="B72" i="68"/>
  <c r="B47" i="68"/>
  <c r="B145" i="68"/>
  <c r="B38" i="68"/>
  <c r="B23" i="68"/>
  <c r="B115" i="68"/>
  <c r="B116" i="68" s="1"/>
  <c r="B57" i="68"/>
  <c r="B91" i="68"/>
  <c r="B13" i="52"/>
  <c r="B137" i="52"/>
  <c r="B139" i="66"/>
  <c r="B97" i="66"/>
  <c r="B205" i="66"/>
  <c r="B151" i="66"/>
  <c r="B128" i="66"/>
  <c r="B109" i="66"/>
  <c r="B193" i="66"/>
  <c r="B25" i="66"/>
  <c r="B67" i="66"/>
  <c r="B181" i="66"/>
  <c r="B170" i="66"/>
  <c r="B86" i="66"/>
  <c r="B55" i="66"/>
  <c r="B13" i="66"/>
  <c r="B100" i="52"/>
  <c r="B110" i="52"/>
  <c r="B46" i="52"/>
  <c r="B181" i="52"/>
  <c r="B217" i="52"/>
  <c r="B65" i="52"/>
  <c r="B148" i="52"/>
  <c r="B149" i="52" s="1"/>
  <c r="B150" i="52" s="1"/>
  <c r="B23" i="52"/>
  <c r="B13" i="68"/>
  <c r="B107" i="68"/>
  <c r="B108" i="68" s="1"/>
  <c r="B158" i="52"/>
  <c r="B190" i="52"/>
  <c r="B200" i="52"/>
  <c r="D123" i="52"/>
  <c r="D124" i="52" s="1"/>
  <c r="D125" i="52" s="1"/>
  <c r="D126" i="52" s="1"/>
  <c r="D127" i="52" s="1"/>
  <c r="D128" i="52" s="1"/>
  <c r="D129" i="52" s="1"/>
  <c r="C125" i="52"/>
  <c r="C126" i="52" s="1"/>
  <c r="C127" i="52" s="1"/>
  <c r="C128" i="52" s="1"/>
  <c r="C129" i="52" s="1"/>
  <c r="P47" i="68" l="1" a="1"/>
  <c r="P47" i="68" s="1"/>
  <c r="I47" i="68" a="1"/>
  <c r="I47" i="68" s="1"/>
  <c r="P13" i="68" a="1"/>
  <c r="P13" i="68" s="1"/>
  <c r="I13" i="68" a="1"/>
  <c r="I13" i="68" s="1"/>
  <c r="I23" i="68" a="1"/>
  <c r="I23" i="68" s="1"/>
  <c r="P23" i="68" a="1"/>
  <c r="P23" i="68" s="1"/>
  <c r="P72" i="68" a="1"/>
  <c r="P72" i="68" s="1"/>
  <c r="I72" i="68" a="1"/>
  <c r="I72" i="68" s="1"/>
  <c r="P155" i="68" a="1"/>
  <c r="P155" i="68" s="1"/>
  <c r="I155" i="68" a="1"/>
  <c r="I155" i="68" s="1"/>
  <c r="P91" i="68" a="1"/>
  <c r="P91" i="68" s="1"/>
  <c r="I91" i="68" a="1"/>
  <c r="I91" i="68" s="1"/>
  <c r="P38" i="68" a="1"/>
  <c r="P38" i="68" s="1"/>
  <c r="I38" i="68" a="1"/>
  <c r="I38" i="68" s="1"/>
  <c r="I81" i="68" a="1"/>
  <c r="I81" i="68" s="1"/>
  <c r="P81" i="68" a="1"/>
  <c r="P81" i="68" s="1"/>
  <c r="P57" i="68" a="1"/>
  <c r="P57" i="68" s="1"/>
  <c r="I57" i="68" a="1"/>
  <c r="I57" i="68" s="1"/>
  <c r="P145" i="68" a="1"/>
  <c r="P145" i="68" s="1"/>
  <c r="I145" i="68" a="1"/>
  <c r="I145" i="68" s="1"/>
  <c r="I165" i="68" a="1"/>
  <c r="I165" i="68" s="1"/>
  <c r="P165" i="68" a="1"/>
  <c r="P165" i="68" s="1"/>
  <c r="B138" i="52"/>
  <c r="B139" i="52" s="1"/>
  <c r="B140" i="52" s="1"/>
  <c r="B57" i="52"/>
  <c r="B58" i="52" s="1"/>
  <c r="B59" i="52" s="1"/>
  <c r="B14" i="52"/>
  <c r="B15" i="52" s="1"/>
  <c r="B16" i="52" s="1"/>
  <c r="B92" i="68"/>
  <c r="B82" i="68"/>
  <c r="B83" i="68" s="1"/>
  <c r="B24" i="68"/>
  <c r="B73" i="68"/>
  <c r="B74" i="68" s="1"/>
  <c r="B156" i="68"/>
  <c r="B157" i="68" s="1"/>
  <c r="B158" i="68" s="1"/>
  <c r="B48" i="68"/>
  <c r="B49" i="68" s="1"/>
  <c r="B39" i="68"/>
  <c r="B40" i="68" s="1"/>
  <c r="B125" i="68"/>
  <c r="B58" i="68"/>
  <c r="B146" i="68"/>
  <c r="B147" i="68" s="1"/>
  <c r="B166" i="68"/>
  <c r="B167" i="68" s="1"/>
  <c r="B110" i="66"/>
  <c r="B98" i="66"/>
  <c r="B56" i="66"/>
  <c r="B68" i="66"/>
  <c r="B194" i="66"/>
  <c r="B206" i="66"/>
  <c r="B87" i="66"/>
  <c r="B26" i="66"/>
  <c r="B182" i="66"/>
  <c r="B183" i="66" s="1"/>
  <c r="B152" i="66"/>
  <c r="B171" i="66"/>
  <c r="B129" i="66"/>
  <c r="B140" i="66"/>
  <c r="B141" i="66" s="1"/>
  <c r="B142" i="66" s="1"/>
  <c r="B143" i="66" s="1"/>
  <c r="B14" i="66"/>
  <c r="B111" i="52"/>
  <c r="B101" i="52"/>
  <c r="B102" i="52" s="1"/>
  <c r="B103" i="52" s="1"/>
  <c r="B24" i="52"/>
  <c r="B25" i="52" s="1"/>
  <c r="B218" i="52"/>
  <c r="B66" i="52"/>
  <c r="B47" i="52"/>
  <c r="B182" i="52"/>
  <c r="B183" i="52" s="1"/>
  <c r="B14" i="68"/>
  <c r="B159" i="52"/>
  <c r="B201" i="52"/>
  <c r="B191" i="52"/>
  <c r="B184" i="66" l="1"/>
  <c r="B185" i="66" s="1"/>
  <c r="B112" i="52"/>
  <c r="B113" i="52" s="1"/>
  <c r="B126" i="68"/>
  <c r="B59" i="68"/>
  <c r="B25" i="68"/>
  <c r="B93" i="68"/>
  <c r="B153" i="66"/>
  <c r="B99" i="66"/>
  <c r="B100" i="66" s="1"/>
  <c r="B101" i="66" s="1"/>
  <c r="B172" i="66"/>
  <c r="B88" i="66"/>
  <c r="B89" i="66" s="1"/>
  <c r="B90" i="66" s="1"/>
  <c r="B57" i="66"/>
  <c r="B58" i="66" s="1"/>
  <c r="B59" i="66" s="1"/>
  <c r="B207" i="66"/>
  <c r="B208" i="66" s="1"/>
  <c r="B209" i="66" s="1"/>
  <c r="B130" i="66"/>
  <c r="B131" i="66" s="1"/>
  <c r="B132" i="66" s="1"/>
  <c r="B27" i="66"/>
  <c r="B28" i="66" s="1"/>
  <c r="B69" i="66"/>
  <c r="B70" i="66" s="1"/>
  <c r="B195" i="66"/>
  <c r="B196" i="66" s="1"/>
  <c r="B197" i="66" s="1"/>
  <c r="B198" i="66" s="1"/>
  <c r="B111" i="66"/>
  <c r="B112" i="66" s="1"/>
  <c r="B15" i="66"/>
  <c r="B160" i="52"/>
  <c r="B48" i="52"/>
  <c r="B49" i="52" s="1"/>
  <c r="B67" i="52"/>
  <c r="B68" i="52" s="1"/>
  <c r="B219" i="52"/>
  <c r="B220" i="52" s="1"/>
  <c r="B26" i="52"/>
  <c r="B15" i="68"/>
  <c r="B202" i="52"/>
  <c r="B192" i="52"/>
  <c r="B193" i="52" s="1"/>
  <c r="B154" i="66" l="1"/>
  <c r="B173" i="66"/>
  <c r="B174" i="66" s="1"/>
  <c r="B161" i="52"/>
  <c r="B162" i="52" s="1"/>
  <c r="B16" i="66"/>
  <c r="B17" i="66" s="1"/>
  <c r="B26" i="68"/>
  <c r="B60" i="68"/>
  <c r="B94" i="68"/>
  <c r="B127" i="68"/>
  <c r="B155" i="66"/>
  <c r="B113" i="66"/>
  <c r="B71" i="66"/>
  <c r="B29" i="66"/>
  <c r="B44" i="66"/>
  <c r="B114" i="52"/>
  <c r="B27" i="52"/>
  <c r="B203" i="52"/>
  <c r="B69" i="52"/>
  <c r="P127" i="68" l="1" a="1"/>
  <c r="P127" i="68" s="1"/>
  <c r="I127" i="68" a="1"/>
  <c r="I127" i="68" s="1"/>
  <c r="B128" i="68"/>
  <c r="B129" i="68" s="1"/>
  <c r="B130" i="68" s="1"/>
  <c r="B95" i="68"/>
  <c r="B61" i="68"/>
  <c r="B27" i="68"/>
  <c r="B72" i="66"/>
  <c r="B114" i="66"/>
  <c r="B30" i="66"/>
  <c r="B45" i="66"/>
  <c r="B156" i="66"/>
  <c r="B115" i="52"/>
  <c r="B204" i="52"/>
  <c r="B70" i="52"/>
  <c r="B28" i="52"/>
  <c r="B163" i="52"/>
  <c r="B205" i="52" l="1"/>
  <c r="B206" i="52" s="1"/>
  <c r="B116" i="52"/>
  <c r="B117" i="52" s="1"/>
  <c r="B96" i="68"/>
  <c r="B62" i="68"/>
  <c r="B28" i="68"/>
  <c r="B115" i="66"/>
  <c r="B31" i="66"/>
  <c r="B46" i="66"/>
  <c r="B157" i="66"/>
  <c r="B73" i="66"/>
  <c r="B164" i="52"/>
  <c r="B165" i="52" s="1"/>
  <c r="B29" i="52"/>
  <c r="B71" i="52"/>
  <c r="B47" i="66" l="1"/>
  <c r="B48" i="66" s="1"/>
  <c r="I62" i="68" a="1"/>
  <c r="I62" i="68" s="1"/>
  <c r="P62" i="68" a="1"/>
  <c r="P62" i="68" s="1"/>
  <c r="P96" i="68" a="1"/>
  <c r="P96" i="68" s="1"/>
  <c r="I96" i="68" a="1"/>
  <c r="I96" i="68" s="1"/>
  <c r="P28" i="68" a="1"/>
  <c r="P28" i="68" s="1"/>
  <c r="I28" i="68" a="1"/>
  <c r="I28" i="68" s="1"/>
  <c r="B97" i="68"/>
  <c r="B98" i="68" s="1"/>
  <c r="B99" i="68" s="1"/>
  <c r="B63" i="68"/>
  <c r="B64" i="68" s="1"/>
  <c r="B65" i="68" s="1"/>
  <c r="B29" i="68"/>
  <c r="B30" i="68" s="1"/>
  <c r="B31" i="68" s="1"/>
  <c r="B32" i="66"/>
  <c r="B74" i="66"/>
  <c r="B158" i="66"/>
  <c r="B116" i="66"/>
  <c r="B118" i="52"/>
  <c r="B72" i="52"/>
  <c r="B30" i="52"/>
  <c r="B31" i="52" s="1"/>
  <c r="B166" i="52"/>
  <c r="B207" i="52"/>
  <c r="B167" i="52" l="1"/>
  <c r="B168" i="52" s="1"/>
  <c r="B75" i="66"/>
  <c r="B159" i="66"/>
  <c r="B160" i="66" s="1"/>
  <c r="B117" i="66"/>
  <c r="B33" i="66"/>
  <c r="B119" i="52"/>
  <c r="B120" i="52" s="1"/>
  <c r="B32" i="52"/>
  <c r="B73" i="52"/>
  <c r="B74" i="52" s="1"/>
  <c r="B208" i="52"/>
  <c r="B161" i="66" l="1"/>
  <c r="B162" i="66" s="1"/>
  <c r="B163" i="66" s="1"/>
  <c r="B118" i="66"/>
  <c r="B119" i="66" s="1"/>
  <c r="B120" i="66" s="1"/>
  <c r="B121" i="66" s="1"/>
  <c r="B34" i="66"/>
  <c r="B35" i="66" s="1"/>
  <c r="B36" i="66" s="1"/>
  <c r="B37" i="66" s="1"/>
  <c r="B76" i="66"/>
  <c r="B77" i="66" s="1"/>
  <c r="B78" i="66" s="1"/>
  <c r="B79" i="66" s="1"/>
  <c r="B169" i="52"/>
  <c r="B121" i="52"/>
  <c r="B75" i="52"/>
  <c r="B33" i="52"/>
  <c r="B209" i="52"/>
  <c r="B210" i="52" s="1"/>
  <c r="B122" i="52" l="1"/>
  <c r="B76" i="52"/>
  <c r="B170" i="52"/>
  <c r="B171" i="52" s="1"/>
  <c r="B172" i="52" s="1"/>
  <c r="B173" i="52" s="1"/>
  <c r="B34" i="52"/>
  <c r="B123" i="52" l="1"/>
  <c r="B35" i="52"/>
  <c r="B77" i="52"/>
  <c r="B124" i="52" l="1"/>
  <c r="B36" i="52"/>
  <c r="B37" i="52" s="1"/>
  <c r="B38" i="52" s="1"/>
  <c r="B39" i="52" s="1"/>
  <c r="B78" i="52"/>
  <c r="B125" i="52" l="1"/>
  <c r="B79" i="52"/>
  <c r="B80" i="52" s="1"/>
  <c r="B81" i="52" s="1"/>
  <c r="B82" i="52" s="1"/>
  <c r="B126" i="52" l="1"/>
  <c r="B127" i="52" s="1"/>
  <c r="B128" i="52" s="1"/>
  <c r="B129" i="52" s="1"/>
  <c r="M4" i="66" l="1"/>
  <c r="O3" i="66"/>
  <c r="P4" i="66" s="1"/>
  <c r="H3" i="66"/>
  <c r="J4" i="66" s="1"/>
  <c r="AA29" i="53"/>
  <c r="R29" i="53"/>
  <c r="I29" i="53"/>
  <c r="AD29" i="53"/>
  <c r="U29" i="53"/>
  <c r="P153" i="66" l="1" a="1"/>
  <c r="P153" i="66" s="1"/>
  <c r="P46" i="66" a="1"/>
  <c r="P46" i="66" s="1"/>
  <c r="P160" i="66" a="1"/>
  <c r="P160" i="66" s="1"/>
  <c r="P183" i="66" a="1"/>
  <c r="P183" i="66" s="1"/>
  <c r="P172" i="66" a="1"/>
  <c r="P172" i="66" s="1"/>
  <c r="P15" i="66" a="1"/>
  <c r="P15" i="66" s="1"/>
  <c r="P99" i="66" a="1"/>
  <c r="P99" i="66" s="1"/>
  <c r="P69" i="66" a="1"/>
  <c r="P69" i="66" s="1"/>
  <c r="P207" i="66" a="1"/>
  <c r="P207" i="66" s="1"/>
  <c r="P141" i="66" a="1"/>
  <c r="P141" i="66" s="1"/>
  <c r="P76" i="66" a="1"/>
  <c r="P76" i="66" s="1"/>
  <c r="P34" i="66" a="1"/>
  <c r="P34" i="66" s="1"/>
  <c r="P20" i="66" a="1"/>
  <c r="P20" i="66" s="1"/>
  <c r="P104" i="66" a="1"/>
  <c r="P104" i="66" s="1"/>
  <c r="P188" i="66" a="1"/>
  <c r="P188" i="66" s="1"/>
  <c r="P195" i="66" a="1"/>
  <c r="P195" i="66" s="1"/>
  <c r="P130" i="66" a="1"/>
  <c r="P130" i="66" s="1"/>
  <c r="P111" i="66" a="1"/>
  <c r="P111" i="66" s="1"/>
  <c r="P57" i="66" a="1"/>
  <c r="P57" i="66" s="1"/>
  <c r="P27" i="66" a="1"/>
  <c r="P27" i="66" s="1"/>
  <c r="P62" i="66" a="1"/>
  <c r="P62" i="66" s="1"/>
  <c r="P146" i="66" a="1"/>
  <c r="P146" i="66" s="1"/>
  <c r="P118" i="66" a="1"/>
  <c r="P118" i="66" s="1"/>
  <c r="P88" i="66" a="1"/>
  <c r="P88" i="66" s="1"/>
  <c r="W25" i="53"/>
  <c r="V25" i="53"/>
  <c r="X25" i="53"/>
  <c r="U25" i="53"/>
  <c r="AB25" i="53"/>
  <c r="AA25" i="53"/>
  <c r="AE25" i="53"/>
  <c r="AF25" i="53"/>
  <c r="AG25" i="53"/>
  <c r="AD25" i="53"/>
  <c r="I25" i="53"/>
  <c r="J25" i="53"/>
  <c r="S25" i="53"/>
  <c r="R25" i="53"/>
  <c r="O4" i="66"/>
  <c r="H4" i="66"/>
  <c r="I4" i="66"/>
  <c r="Q4" i="66"/>
  <c r="K4" i="66"/>
  <c r="R4" i="66"/>
  <c r="F4" i="66"/>
  <c r="I15" i="66" l="1" a="1"/>
  <c r="I15" i="66" s="1"/>
  <c r="I62" i="66" a="1"/>
  <c r="I62" i="66" s="1"/>
  <c r="I146" i="66" a="1"/>
  <c r="I146" i="66" s="1"/>
  <c r="I207" i="66" a="1"/>
  <c r="I207" i="66" s="1"/>
  <c r="I183" i="66" a="1"/>
  <c r="I183" i="66" s="1"/>
  <c r="I160" i="66" a="1"/>
  <c r="I160" i="66" s="1"/>
  <c r="I141" i="66" a="1"/>
  <c r="I141" i="66" s="1"/>
  <c r="I118" i="66" a="1"/>
  <c r="I118" i="66" s="1"/>
  <c r="I69" i="66" a="1"/>
  <c r="I69" i="66" s="1"/>
  <c r="I34" i="66" a="1"/>
  <c r="I34" i="66" s="1"/>
  <c r="I111" i="66" a="1"/>
  <c r="I111" i="66" s="1"/>
  <c r="I27" i="66" a="1"/>
  <c r="I27" i="66" s="1"/>
  <c r="I20" i="66" a="1"/>
  <c r="I20" i="66" s="1"/>
  <c r="I104" i="66" a="1"/>
  <c r="I104" i="66" s="1"/>
  <c r="I99" i="66" a="1"/>
  <c r="I99" i="66" s="1"/>
  <c r="I88" i="66" a="1"/>
  <c r="I88" i="66" s="1"/>
  <c r="I188" i="66" a="1"/>
  <c r="I188" i="66" s="1"/>
  <c r="I195" i="66" a="1"/>
  <c r="I195" i="66" s="1"/>
  <c r="I172" i="66" a="1"/>
  <c r="I172" i="66" s="1"/>
  <c r="I153" i="66" a="1"/>
  <c r="I153" i="66" s="1"/>
  <c r="I130" i="66" a="1"/>
  <c r="I130" i="66" s="1"/>
  <c r="I76" i="66" a="1"/>
  <c r="I76" i="66" s="1"/>
  <c r="I57" i="66" a="1"/>
  <c r="I57" i="66" s="1"/>
  <c r="I46" i="66" a="1"/>
  <c r="I46" i="66" s="1"/>
  <c r="M4" i="52"/>
  <c r="N245" i="58"/>
  <c r="N244" i="58"/>
  <c r="N243" i="58"/>
  <c r="N242" i="58"/>
  <c r="N241" i="58"/>
  <c r="N240" i="58"/>
  <c r="N239" i="58"/>
  <c r="N238" i="58"/>
  <c r="N237" i="58"/>
  <c r="N236" i="58"/>
  <c r="N235" i="58"/>
  <c r="N234" i="58"/>
  <c r="N233" i="58"/>
  <c r="N232" i="58"/>
  <c r="N231" i="58"/>
  <c r="N230" i="58"/>
  <c r="N229" i="58"/>
  <c r="N228" i="58"/>
  <c r="N227" i="58"/>
  <c r="N226" i="58"/>
  <c r="N225" i="58"/>
  <c r="N224" i="58"/>
  <c r="N223" i="58"/>
  <c r="N222" i="58"/>
  <c r="N221" i="58"/>
  <c r="N220" i="58"/>
  <c r="N219" i="58"/>
  <c r="H7" i="61" l="1"/>
  <c r="I7" i="61"/>
  <c r="M8" i="61"/>
  <c r="K8" i="61"/>
  <c r="J8" i="61"/>
  <c r="I8" i="61"/>
  <c r="H8" i="61"/>
  <c r="E8" i="61"/>
  <c r="C8" i="61"/>
  <c r="M7" i="61"/>
  <c r="K7" i="61"/>
  <c r="J7" i="61"/>
  <c r="F7" i="61"/>
  <c r="E7" i="61"/>
  <c r="C7" i="61"/>
  <c r="M6" i="61"/>
  <c r="K6" i="61"/>
  <c r="J6" i="61"/>
  <c r="I6" i="61"/>
  <c r="H6" i="61"/>
  <c r="F6" i="61"/>
  <c r="E6" i="61"/>
  <c r="C6" i="61"/>
  <c r="M5" i="61"/>
  <c r="K5" i="61"/>
  <c r="J5" i="61"/>
  <c r="I5" i="61"/>
  <c r="H5" i="61"/>
  <c r="F5" i="61"/>
  <c r="E5" i="61"/>
  <c r="C5" i="61"/>
  <c r="F178" i="52" l="1" a="1"/>
  <c r="F178" i="52" s="1"/>
  <c r="E12" i="80" a="1"/>
  <c r="E12" i="80" s="1"/>
  <c r="E11" i="80" s="1"/>
  <c r="E12" i="82" a="1"/>
  <c r="E12" i="82" s="1"/>
  <c r="E11" i="82" s="1"/>
  <c r="E12" i="81" a="1"/>
  <c r="E12" i="81" s="1"/>
  <c r="E11" i="81" s="1"/>
  <c r="E12" i="79" a="1"/>
  <c r="E12" i="79" s="1"/>
  <c r="E11" i="79" s="1"/>
  <c r="E12" i="53" a="1"/>
  <c r="E12" i="53" s="1"/>
  <c r="F91" i="52" a="1"/>
  <c r="F91" i="52" s="1"/>
  <c r="F90" i="52" a="1"/>
  <c r="F90" i="52" s="1"/>
  <c r="F138" i="52" a="1"/>
  <c r="F138" i="52" s="1"/>
  <c r="F181" i="52" a="1"/>
  <c r="F181" i="52" s="1"/>
  <c r="F47" i="52" a="1"/>
  <c r="F47" i="52" s="1"/>
  <c r="F218" i="52" a="1"/>
  <c r="F218" i="52" s="1"/>
  <c r="F72" i="68" a="1"/>
  <c r="F72" i="68" s="1"/>
  <c r="F130" i="66" a="1"/>
  <c r="F130" i="66" s="1"/>
  <c r="F172" i="66" a="1"/>
  <c r="F172" i="66" s="1"/>
  <c r="F165" i="68" a="1"/>
  <c r="F165" i="68" s="1"/>
  <c r="F38" i="68" a="1"/>
  <c r="F38" i="68" s="1"/>
  <c r="F88" i="66" a="1"/>
  <c r="F88" i="66" s="1"/>
  <c r="F136" i="68" a="1"/>
  <c r="F136" i="68" s="1"/>
  <c r="F207" i="66" a="1"/>
  <c r="F207" i="66" s="1"/>
  <c r="F46" i="66" a="1"/>
  <c r="F46" i="66" s="1"/>
  <c r="F106" i="68" a="1"/>
  <c r="F106" i="68" s="1"/>
  <c r="F161" i="68" a="1"/>
  <c r="F161" i="68" s="1"/>
  <c r="F102" i="68" a="1"/>
  <c r="F102" i="68" s="1"/>
  <c r="F162" i="68" a="1"/>
  <c r="F162" i="68" s="1"/>
  <c r="F35" i="68" a="1"/>
  <c r="F35" i="68" s="1"/>
  <c r="F84" i="66" a="1"/>
  <c r="F84" i="66" s="1"/>
  <c r="F133" i="68" a="1"/>
  <c r="F133" i="68" s="1"/>
  <c r="F34" i="68" a="1"/>
  <c r="F34" i="68" s="1"/>
  <c r="F134" i="68" a="1"/>
  <c r="F134" i="68" s="1"/>
  <c r="F103" i="68" a="1"/>
  <c r="F103" i="68" s="1"/>
  <c r="F68" i="68" a="1"/>
  <c r="F68" i="68" s="1"/>
  <c r="F203" i="66" a="1"/>
  <c r="F203" i="66" s="1"/>
  <c r="F126" i="66" a="1"/>
  <c r="F126" i="66" s="1"/>
  <c r="F163" i="68" a="1"/>
  <c r="F163" i="68" s="1"/>
  <c r="F69" i="68" a="1"/>
  <c r="F69" i="68" s="1"/>
  <c r="F42" i="66" a="1"/>
  <c r="F42" i="66" s="1"/>
  <c r="F36" i="68" a="1"/>
  <c r="F36" i="68" s="1"/>
  <c r="F168" i="66" a="1"/>
  <c r="F168" i="66" s="1"/>
  <c r="F70" i="68" a="1"/>
  <c r="F70" i="68" s="1"/>
  <c r="F135" i="68" a="1"/>
  <c r="F135" i="68" s="1"/>
  <c r="F164" i="68" a="1"/>
  <c r="F164" i="68" s="1"/>
  <c r="F37" i="68" a="1"/>
  <c r="F37" i="68" s="1"/>
  <c r="F71" i="68" a="1"/>
  <c r="F71" i="68" s="1"/>
  <c r="F104" i="68" a="1"/>
  <c r="F104" i="68" s="1"/>
  <c r="F105" i="68" a="1"/>
  <c r="F105" i="68" s="1"/>
  <c r="F216" i="52" a="1"/>
  <c r="F216" i="52" s="1"/>
  <c r="F213" i="52" a="1"/>
  <c r="F213" i="52" s="1"/>
  <c r="F215" i="52" a="1"/>
  <c r="F215" i="52" s="1"/>
  <c r="F214" i="52" a="1"/>
  <c r="F214" i="52" s="1"/>
  <c r="F217" i="52" a="1"/>
  <c r="F217" i="52" s="1"/>
  <c r="F176" i="52" a="1"/>
  <c r="F176" i="52" s="1"/>
  <c r="F133" i="52" a="1"/>
  <c r="F133" i="52" s="1"/>
  <c r="F132" i="52" a="1"/>
  <c r="F132" i="52" s="1"/>
  <c r="F135" i="52" a="1"/>
  <c r="F135" i="52" s="1"/>
  <c r="F177" i="52" a="1"/>
  <c r="F177" i="52" s="1"/>
  <c r="F134" i="52" a="1"/>
  <c r="F134" i="52" s="1"/>
  <c r="F136" i="52" a="1"/>
  <c r="F136" i="52" s="1"/>
  <c r="F179" i="52" a="1"/>
  <c r="F179" i="52" s="1"/>
  <c r="F180" i="52" a="1"/>
  <c r="F180" i="52" s="1"/>
  <c r="F137" i="52" a="1"/>
  <c r="F137" i="52" s="1"/>
  <c r="J4" i="61"/>
  <c r="H4" i="61"/>
  <c r="C4" i="61"/>
  <c r="F4" i="61"/>
  <c r="K4" i="61"/>
  <c r="E4" i="61"/>
  <c r="M4" i="61"/>
  <c r="I4" i="61"/>
  <c r="H21" i="57" a="1"/>
  <c r="H27" i="57" a="1"/>
  <c r="H15" i="57" a="1"/>
  <c r="H33" i="57" a="1"/>
  <c r="H27" i="57" l="1"/>
  <c r="H33" i="57"/>
  <c r="H15" i="57"/>
  <c r="H21" i="57"/>
  <c r="J207" i="66"/>
  <c r="Q207" i="66"/>
  <c r="J165" i="68"/>
  <c r="Q165" i="68"/>
  <c r="J136" i="68"/>
  <c r="Q136" i="68"/>
  <c r="J172" i="66"/>
  <c r="Q172" i="66"/>
  <c r="J106" i="68"/>
  <c r="Q106" i="68"/>
  <c r="Q88" i="66"/>
  <c r="J88" i="66"/>
  <c r="J130" i="66"/>
  <c r="Q130" i="66"/>
  <c r="Q46" i="66"/>
  <c r="J46" i="66"/>
  <c r="J38" i="68"/>
  <c r="Q38" i="68"/>
  <c r="J72" i="68"/>
  <c r="Q72" i="68"/>
  <c r="L29" i="53" l="1"/>
  <c r="E11" i="53"/>
  <c r="O3" i="52"/>
  <c r="R4" i="52" s="1"/>
  <c r="H3" i="52"/>
  <c r="K4" i="52" s="1"/>
  <c r="H9" i="57" a="1"/>
  <c r="H9" i="57" l="1"/>
  <c r="N25" i="53"/>
  <c r="M25" i="53"/>
  <c r="O25" i="53"/>
  <c r="L25" i="53"/>
  <c r="F4" i="52"/>
  <c r="I4" i="52"/>
  <c r="H4" i="52"/>
  <c r="H12" i="52" s="1" a="1"/>
  <c r="H12" i="52" s="1"/>
  <c r="J4" i="52"/>
  <c r="P4" i="52"/>
  <c r="O4" i="52"/>
  <c r="Q4" i="52"/>
  <c r="I189" i="52" l="1" a="1"/>
  <c r="I189" i="52" s="1"/>
  <c r="I99" i="52" a="1"/>
  <c r="I99" i="52" s="1"/>
  <c r="I136" i="52" a="1"/>
  <c r="I136" i="52" s="1"/>
  <c r="I216" i="52" a="1"/>
  <c r="I216" i="52" s="1"/>
  <c r="I110" i="52" a="1"/>
  <c r="I110" i="52" s="1"/>
  <c r="I199" i="52" a="1"/>
  <c r="I199" i="52" s="1"/>
  <c r="I117" i="52" a="1"/>
  <c r="I117" i="52" s="1"/>
  <c r="I205" i="52" a="1"/>
  <c r="I205" i="52" s="1"/>
  <c r="I124" i="52" a="1"/>
  <c r="I124" i="52" s="1"/>
  <c r="P216" i="52" a="1"/>
  <c r="P216" i="52" s="1"/>
  <c r="P99" i="52" a="1"/>
  <c r="P99" i="52" s="1"/>
  <c r="P136" i="52" a="1"/>
  <c r="P136" i="52" s="1"/>
  <c r="P189" i="52" a="1"/>
  <c r="P189" i="52" s="1"/>
  <c r="P110" i="52" a="1"/>
  <c r="P110" i="52" s="1"/>
  <c r="P199" i="52" a="1"/>
  <c r="P199" i="52" s="1"/>
  <c r="P117" i="52" a="1"/>
  <c r="P117" i="52" s="1"/>
  <c r="P205" i="52" a="1"/>
  <c r="P205" i="52" s="1"/>
  <c r="P124" i="52" a="1"/>
  <c r="P124" i="52" s="1"/>
  <c r="O99" i="52" a="1"/>
  <c r="O99" i="52" s="1"/>
  <c r="O136" i="52" a="1"/>
  <c r="O136" i="52" s="1"/>
  <c r="O216" i="52" a="1"/>
  <c r="O216" i="52" s="1"/>
  <c r="O189" i="52" a="1"/>
  <c r="O189" i="52" s="1"/>
  <c r="O110" i="52" a="1"/>
  <c r="O110" i="52" s="1"/>
  <c r="O200" i="52" a="1"/>
  <c r="O200" i="52" s="1"/>
  <c r="O137" i="52" a="1"/>
  <c r="O137" i="52" s="1"/>
  <c r="O199" i="52" a="1"/>
  <c r="O199" i="52" s="1"/>
  <c r="O217" i="52" a="1"/>
  <c r="O217" i="52" s="1"/>
  <c r="O100" i="52" a="1"/>
  <c r="O100" i="52" s="1"/>
  <c r="O190" i="52" a="1"/>
  <c r="O190" i="52" s="1"/>
  <c r="O111" i="52" a="1"/>
  <c r="O111" i="52" s="1"/>
  <c r="O205" i="52" a="1"/>
  <c r="O205" i="52" s="1"/>
  <c r="O206" i="52" a="1"/>
  <c r="O206" i="52" s="1"/>
  <c r="O117" i="52" a="1"/>
  <c r="O117" i="52" s="1"/>
  <c r="O118" i="52" a="1"/>
  <c r="O118" i="52" s="1"/>
  <c r="O124" i="52" a="1"/>
  <c r="O124" i="52" s="1"/>
  <c r="O125" i="52" a="1"/>
  <c r="O125" i="52" s="1"/>
  <c r="H216" i="52" a="1"/>
  <c r="H216" i="52" s="1"/>
  <c r="H189" i="52" a="1"/>
  <c r="H189" i="52" s="1"/>
  <c r="H99" i="52" a="1"/>
  <c r="H99" i="52" s="1"/>
  <c r="H136" i="52" a="1"/>
  <c r="H136" i="52" s="1"/>
  <c r="H199" i="52" a="1"/>
  <c r="H199" i="52" s="1"/>
  <c r="H137" i="52" a="1"/>
  <c r="H137" i="52" s="1"/>
  <c r="H217" i="52" a="1"/>
  <c r="H217" i="52" s="1"/>
  <c r="H200" i="52" a="1"/>
  <c r="H200" i="52" s="1"/>
  <c r="H100" i="52" a="1"/>
  <c r="H100" i="52" s="1"/>
  <c r="H190" i="52" a="1"/>
  <c r="H190" i="52" s="1"/>
  <c r="H110" i="52" a="1"/>
  <c r="H110" i="52" s="1"/>
  <c r="H111" i="52" a="1"/>
  <c r="H111" i="52" s="1"/>
  <c r="H206" i="52" a="1"/>
  <c r="H206" i="52" s="1"/>
  <c r="H205" i="52" a="1"/>
  <c r="H205" i="52" s="1"/>
  <c r="H117" i="52" a="1"/>
  <c r="H117" i="52" s="1"/>
  <c r="H118" i="52" a="1"/>
  <c r="H118" i="52" s="1"/>
  <c r="H124" i="52" a="1"/>
  <c r="H124" i="52" s="1"/>
  <c r="H125" i="52" a="1"/>
  <c r="H125" i="52" s="1"/>
  <c r="P88" i="52" a="1"/>
  <c r="P88" i="52" s="1"/>
  <c r="P179" i="52" a="1"/>
  <c r="P179" i="52" s="1"/>
  <c r="P146" i="52" a="1"/>
  <c r="P146" i="52" s="1"/>
  <c r="P156" i="52" a="1"/>
  <c r="P156" i="52" s="1"/>
  <c r="P55" i="52" a="1"/>
  <c r="P55" i="52" s="1"/>
  <c r="P65" i="52" a="1"/>
  <c r="P65" i="52" s="1"/>
  <c r="P162" i="52" a="1"/>
  <c r="P162" i="52" s="1"/>
  <c r="P71" i="52" a="1"/>
  <c r="P71" i="52" s="1"/>
  <c r="P168" i="52" a="1"/>
  <c r="P168" i="52" s="1"/>
  <c r="P77" i="52" a="1"/>
  <c r="P77" i="52" s="1"/>
  <c r="O89" i="52" a="1"/>
  <c r="O89" i="52" s="1"/>
  <c r="O88" i="52" a="1"/>
  <c r="O88" i="52" s="1"/>
  <c r="O156" i="52" a="1"/>
  <c r="O156" i="52" s="1"/>
  <c r="O179" i="52" a="1"/>
  <c r="O179" i="52" s="1"/>
  <c r="O146" i="52" a="1"/>
  <c r="O146" i="52" s="1"/>
  <c r="O147" i="52" a="1"/>
  <c r="O147" i="52" s="1"/>
  <c r="O180" i="52" a="1"/>
  <c r="O180" i="52" s="1"/>
  <c r="O157" i="52" a="1"/>
  <c r="O157" i="52" s="1"/>
  <c r="O55" i="52" a="1"/>
  <c r="O55" i="52" s="1"/>
  <c r="O56" i="52" a="1"/>
  <c r="O56" i="52" s="1"/>
  <c r="O65" i="52" a="1"/>
  <c r="O65" i="52" s="1"/>
  <c r="O66" i="52" a="1"/>
  <c r="O66" i="52" s="1"/>
  <c r="O162" i="52" a="1"/>
  <c r="O162" i="52" s="1"/>
  <c r="O163" i="52" a="1"/>
  <c r="O163" i="52" s="1"/>
  <c r="O71" i="52" a="1"/>
  <c r="O71" i="52" s="1"/>
  <c r="O72" i="52" a="1"/>
  <c r="O72" i="52" s="1"/>
  <c r="O168" i="52" a="1"/>
  <c r="O168" i="52" s="1"/>
  <c r="O169" i="52" a="1"/>
  <c r="O169" i="52" s="1"/>
  <c r="O77" i="52" a="1"/>
  <c r="O77" i="52" s="1"/>
  <c r="O78" i="52" a="1"/>
  <c r="O78" i="52" s="1"/>
  <c r="I88" i="52" a="1"/>
  <c r="I88" i="52" s="1"/>
  <c r="I156" i="52" a="1"/>
  <c r="I156" i="52" s="1"/>
  <c r="I179" i="52" a="1"/>
  <c r="I179" i="52" s="1"/>
  <c r="I146" i="52" a="1"/>
  <c r="I146" i="52" s="1"/>
  <c r="I55" i="52" a="1"/>
  <c r="I55" i="52" s="1"/>
  <c r="I65" i="52" a="1"/>
  <c r="I65" i="52" s="1"/>
  <c r="I162" i="52" a="1"/>
  <c r="I162" i="52" s="1"/>
  <c r="I71" i="52" a="1"/>
  <c r="I71" i="52" s="1"/>
  <c r="I168" i="52" a="1"/>
  <c r="I168" i="52" s="1"/>
  <c r="I77" i="52" a="1"/>
  <c r="I77" i="52" s="1"/>
  <c r="H89" i="52" a="1"/>
  <c r="H89" i="52" s="1"/>
  <c r="H88" i="52" a="1"/>
  <c r="H88" i="52" s="1"/>
  <c r="H179" i="52" a="1"/>
  <c r="H179" i="52" s="1"/>
  <c r="H146" i="52" a="1"/>
  <c r="H146" i="52" s="1"/>
  <c r="H156" i="52" a="1"/>
  <c r="H156" i="52" s="1"/>
  <c r="H180" i="52" a="1"/>
  <c r="H180" i="52" s="1"/>
  <c r="H147" i="52" a="1"/>
  <c r="H147" i="52" s="1"/>
  <c r="H157" i="52" a="1"/>
  <c r="H157" i="52" s="1"/>
  <c r="H55" i="52" a="1"/>
  <c r="H55" i="52" s="1"/>
  <c r="H65" i="52" a="1"/>
  <c r="H65" i="52" s="1"/>
  <c r="H56" i="52" a="1"/>
  <c r="H56" i="52" s="1"/>
  <c r="H66" i="52" a="1"/>
  <c r="H66" i="52" s="1"/>
  <c r="H162" i="52" a="1"/>
  <c r="H162" i="52" s="1"/>
  <c r="H163" i="52" a="1"/>
  <c r="H163" i="52" s="1"/>
  <c r="H71" i="52" a="1"/>
  <c r="H71" i="52" s="1"/>
  <c r="H72" i="52" a="1"/>
  <c r="H72" i="52" s="1"/>
  <c r="H168" i="52" a="1"/>
  <c r="H168" i="52" s="1"/>
  <c r="H169" i="52" a="1"/>
  <c r="H169" i="52" s="1"/>
  <c r="H77" i="52" a="1"/>
  <c r="H77" i="52" s="1"/>
  <c r="H78" i="52" a="1"/>
  <c r="H78" i="52" s="1"/>
  <c r="H45" i="52" a="1"/>
  <c r="H45" i="52" s="1"/>
  <c r="H22" i="52" a="1"/>
  <c r="H22" i="52" s="1"/>
  <c r="H46" i="52" a="1"/>
  <c r="H46" i="52" s="1"/>
  <c r="H34" i="52" a="1"/>
  <c r="H34" i="52" s="1"/>
  <c r="H35" i="52" a="1"/>
  <c r="H35" i="52" s="1"/>
  <c r="O45" i="52" a="1"/>
  <c r="O45" i="52" s="1"/>
  <c r="O46" i="52" a="1"/>
  <c r="O46" i="52" s="1"/>
  <c r="O34" i="52" a="1"/>
  <c r="O34" i="52" s="1"/>
  <c r="O35" i="52" a="1"/>
  <c r="O35" i="52" s="1"/>
  <c r="P45" i="52" a="1"/>
  <c r="P45" i="52" s="1"/>
  <c r="P34" i="52" a="1"/>
  <c r="P34" i="52" s="1"/>
  <c r="I45" i="52" a="1"/>
  <c r="I45" i="52" s="1"/>
  <c r="I31" i="52" a="1"/>
  <c r="I31" i="52" s="1"/>
  <c r="I34" i="52" a="1"/>
  <c r="I34" i="52" s="1"/>
  <c r="I12" i="52" a="1"/>
  <c r="I12" i="52" s="1"/>
  <c r="H13" i="52" a="1"/>
  <c r="H13" i="52" s="1"/>
  <c r="O12" i="52" a="1"/>
  <c r="O12" i="52" s="1"/>
  <c r="O22" i="52" a="1"/>
  <c r="O22" i="52" s="1"/>
  <c r="O23" i="52" a="1"/>
  <c r="O23" i="52" s="1"/>
  <c r="O13" i="52" a="1"/>
  <c r="O13" i="52" s="1"/>
  <c r="O28" i="52" a="1"/>
  <c r="O28" i="52" s="1"/>
  <c r="O29" i="52" a="1"/>
  <c r="O29" i="52" s="1"/>
  <c r="I22" i="52" a="1"/>
  <c r="I22" i="52" s="1"/>
  <c r="I28" i="52" a="1"/>
  <c r="I28" i="52" s="1"/>
  <c r="P12" i="52" a="1"/>
  <c r="P12" i="52" s="1"/>
  <c r="P22" i="52" a="1"/>
  <c r="P22" i="52" s="1"/>
  <c r="P28" i="52" a="1"/>
  <c r="P28" i="52" s="1"/>
  <c r="H23" i="52" a="1"/>
  <c r="H23" i="52" s="1"/>
  <c r="H28" i="52" a="1"/>
  <c r="H28" i="52" s="1"/>
  <c r="H29" i="52" a="1"/>
  <c r="H29" i="52" s="1"/>
  <c r="J3" i="58"/>
  <c r="I3" i="58"/>
  <c r="Q136" i="52" l="1"/>
  <c r="P147" i="66" a="1"/>
  <c r="P147" i="66" s="1"/>
  <c r="P40" i="66" a="1"/>
  <c r="P40" i="66" s="1"/>
  <c r="P154" i="66" a="1"/>
  <c r="P154" i="66" s="1"/>
  <c r="P135" i="66" a="1"/>
  <c r="P135" i="66" s="1"/>
  <c r="P177" i="66" a="1"/>
  <c r="P177" i="66" s="1"/>
  <c r="P166" i="66" a="1"/>
  <c r="P166" i="66" s="1"/>
  <c r="N38" i="79" a="1"/>
  <c r="N38" i="79" s="1"/>
  <c r="AF38" i="82" a="1"/>
  <c r="AF38" i="82" s="1"/>
  <c r="W38" i="82" a="1"/>
  <c r="W38" i="82" s="1"/>
  <c r="N38" i="82" a="1"/>
  <c r="N38" i="82" s="1"/>
  <c r="P163" i="52"/>
  <c r="P89" i="52"/>
  <c r="P23" i="52"/>
  <c r="I163" i="52"/>
  <c r="I89" i="52"/>
  <c r="I23" i="52"/>
  <c r="P157" i="52"/>
  <c r="P78" i="52"/>
  <c r="P13" i="52"/>
  <c r="I157" i="52"/>
  <c r="I78" i="52"/>
  <c r="P217" i="52"/>
  <c r="Q217" i="52" s="1"/>
  <c r="P147" i="52"/>
  <c r="P72" i="52"/>
  <c r="I217" i="52"/>
  <c r="J217" i="52" s="1"/>
  <c r="I147" i="52"/>
  <c r="I72" i="52"/>
  <c r="I200" i="52"/>
  <c r="I125" i="52"/>
  <c r="P190" i="52"/>
  <c r="I190" i="52"/>
  <c r="I46" i="52"/>
  <c r="I13" i="52"/>
  <c r="P206" i="52"/>
  <c r="P137" i="52"/>
  <c r="P66" i="52"/>
  <c r="I206" i="52"/>
  <c r="I137" i="52"/>
  <c r="J137" i="52" s="1"/>
  <c r="I66" i="52"/>
  <c r="P56" i="52"/>
  <c r="I56" i="52"/>
  <c r="P46" i="52"/>
  <c r="I29" i="52"/>
  <c r="P200" i="52"/>
  <c r="P125" i="52"/>
  <c r="P118" i="52"/>
  <c r="I118" i="52"/>
  <c r="P180" i="52"/>
  <c r="Q180" i="52" s="1"/>
  <c r="P111" i="52"/>
  <c r="P35" i="52"/>
  <c r="I180" i="52"/>
  <c r="I111" i="52"/>
  <c r="I35" i="52"/>
  <c r="P169" i="52"/>
  <c r="P100" i="52"/>
  <c r="P29" i="52"/>
  <c r="I169" i="52"/>
  <c r="I100" i="52"/>
  <c r="Q137" i="52"/>
  <c r="I38" i="81" a="1"/>
  <c r="I38" i="81" s="1"/>
  <c r="R38" i="82" a="1"/>
  <c r="R38" i="82" s="1"/>
  <c r="AA38" i="79" a="1"/>
  <c r="AA38" i="79" s="1"/>
  <c r="H32" i="80" a="1"/>
  <c r="H32" i="80" s="1"/>
  <c r="AA38" i="80" a="1"/>
  <c r="AA38" i="80" s="1"/>
  <c r="H32" i="82" a="1"/>
  <c r="H32" i="82" s="1"/>
  <c r="R38" i="81" a="1"/>
  <c r="R38" i="81" s="1"/>
  <c r="AA38" i="82" a="1"/>
  <c r="AA38" i="82" s="1"/>
  <c r="I38" i="80" a="1"/>
  <c r="I38" i="80" s="1"/>
  <c r="H32" i="81" a="1"/>
  <c r="H32" i="81" s="1"/>
  <c r="I38" i="82" a="1"/>
  <c r="I38" i="82" s="1"/>
  <c r="H32" i="79" a="1"/>
  <c r="H32" i="79" s="1"/>
  <c r="AA38" i="81" a="1"/>
  <c r="AA38" i="81" s="1"/>
  <c r="R38" i="79" a="1"/>
  <c r="R38" i="79" s="1"/>
  <c r="R38" i="80" a="1"/>
  <c r="R38" i="80" s="1"/>
  <c r="I38" i="79" a="1"/>
  <c r="I38" i="79" s="1"/>
  <c r="AA38" i="53" a="1"/>
  <c r="AA38" i="53" s="1"/>
  <c r="Q32" i="53" a="1"/>
  <c r="Q32" i="53" s="1"/>
  <c r="H32" i="53" a="1"/>
  <c r="H32" i="53" s="1"/>
  <c r="Z32" i="53" a="1"/>
  <c r="Z32" i="53" s="1"/>
  <c r="R38" i="53" a="1"/>
  <c r="R38" i="53" s="1"/>
  <c r="I38" i="53" a="1"/>
  <c r="I38" i="53" s="1"/>
  <c r="I153" i="52" a="1"/>
  <c r="I153" i="52" s="1"/>
  <c r="I154" i="66" a="1"/>
  <c r="I154" i="66" s="1"/>
  <c r="I44" i="52" a="1"/>
  <c r="I44" i="52" s="1"/>
  <c r="J179" i="52"/>
  <c r="I27" i="52" a="1"/>
  <c r="I27" i="52" s="1"/>
  <c r="I43" i="52" a="1"/>
  <c r="I43" i="52" s="1"/>
  <c r="I42" i="52" a="1"/>
  <c r="I42" i="52" s="1"/>
  <c r="H42" i="52" a="1"/>
  <c r="H42" i="52" s="1"/>
  <c r="H178" i="52" a="1"/>
  <c r="H178" i="52" s="1"/>
  <c r="P19" i="52" a="1"/>
  <c r="P19" i="52" s="1"/>
  <c r="I33" i="52" a="1"/>
  <c r="I33" i="52" s="1"/>
  <c r="H160" i="52" a="1"/>
  <c r="H160" i="52" s="1"/>
  <c r="P26" i="52" a="1"/>
  <c r="P26" i="52" s="1"/>
  <c r="I213" i="52" a="1"/>
  <c r="I213" i="52" s="1"/>
  <c r="I95" i="52" a="1"/>
  <c r="I95" i="52" s="1"/>
  <c r="I133" i="52" a="1"/>
  <c r="I133" i="52" s="1"/>
  <c r="I97" i="52" a="1"/>
  <c r="I97" i="52" s="1"/>
  <c r="I98" i="52" a="1"/>
  <c r="I98" i="52" s="1"/>
  <c r="I198" i="52" a="1"/>
  <c r="I198" i="52" s="1"/>
  <c r="I203" i="52" a="1"/>
  <c r="I203" i="52" s="1"/>
  <c r="I120" i="52" a="1"/>
  <c r="I120" i="52" s="1"/>
  <c r="P186" i="52" a="1"/>
  <c r="P186" i="52" s="1"/>
  <c r="P197" i="52" a="1"/>
  <c r="P197" i="52" s="1"/>
  <c r="P133" i="52" a="1"/>
  <c r="P133" i="52" s="1"/>
  <c r="P188" i="52" a="1"/>
  <c r="P188" i="52" s="1"/>
  <c r="P98" i="52" a="1"/>
  <c r="P98" i="52" s="1"/>
  <c r="P114" i="52" a="1"/>
  <c r="P114" i="52" s="1"/>
  <c r="P116" i="52" a="1"/>
  <c r="P116" i="52" s="1"/>
  <c r="P122" i="52" a="1"/>
  <c r="P122" i="52" s="1"/>
  <c r="O95" i="52" a="1"/>
  <c r="O95" i="52" s="1"/>
  <c r="O186" i="52" a="1"/>
  <c r="O186" i="52" s="1"/>
  <c r="O133" i="52" a="1"/>
  <c r="O133" i="52" s="1"/>
  <c r="Q133" i="52" s="1"/>
  <c r="O98" i="52" a="1"/>
  <c r="O98" i="52" s="1"/>
  <c r="O188" i="52" a="1"/>
  <c r="O188" i="52" s="1"/>
  <c r="O113" i="52" a="1"/>
  <c r="O113" i="52" s="1"/>
  <c r="O115" i="52" a="1"/>
  <c r="O115" i="52" s="1"/>
  <c r="O116" i="52" a="1"/>
  <c r="O116" i="52" s="1"/>
  <c r="O121" i="52" a="1"/>
  <c r="O121" i="52" s="1"/>
  <c r="H186" i="52" a="1"/>
  <c r="H186" i="52" s="1"/>
  <c r="H96" i="52" a="1"/>
  <c r="H96" i="52" s="1"/>
  <c r="H214" i="52" a="1"/>
  <c r="H214" i="52" s="1"/>
  <c r="H134" i="52" a="1"/>
  <c r="H134" i="52" s="1"/>
  <c r="H109" i="52" a="1"/>
  <c r="H109" i="52" s="1"/>
  <c r="H114" i="52" a="1"/>
  <c r="H114" i="52" s="1"/>
  <c r="H123" i="52" a="1"/>
  <c r="H123" i="52" s="1"/>
  <c r="P86" i="52" a="1"/>
  <c r="P86" i="52" s="1"/>
  <c r="P62" i="52" a="1"/>
  <c r="P62" i="52" s="1"/>
  <c r="P144" i="52" a="1"/>
  <c r="P144" i="52" s="1"/>
  <c r="P53" i="52" a="1"/>
  <c r="P53" i="52" s="1"/>
  <c r="P155" i="52" a="1"/>
  <c r="P155" i="52" s="1"/>
  <c r="P64" i="52" a="1"/>
  <c r="P64" i="52" s="1"/>
  <c r="P160" i="52" a="1"/>
  <c r="P160" i="52" s="1"/>
  <c r="P161" i="52" a="1"/>
  <c r="P161" i="52" s="1"/>
  <c r="P166" i="52" a="1"/>
  <c r="P166" i="52" s="1"/>
  <c r="P75" i="52" a="1"/>
  <c r="P75" i="52" s="1"/>
  <c r="O87" i="52" a="1"/>
  <c r="O87" i="52" s="1"/>
  <c r="O143" i="52" a="1"/>
  <c r="O143" i="52" s="1"/>
  <c r="O153" i="52" a="1"/>
  <c r="O153" i="52" s="1"/>
  <c r="O177" i="52" a="1"/>
  <c r="O177" i="52" s="1"/>
  <c r="O178" i="52" a="1"/>
  <c r="O178" i="52" s="1"/>
  <c r="O145" i="52" a="1"/>
  <c r="O145" i="52" s="1"/>
  <c r="O166" i="52" a="1"/>
  <c r="O166" i="52" s="1"/>
  <c r="I52" i="52" a="1"/>
  <c r="I52" i="52" s="1"/>
  <c r="I63" i="52" a="1"/>
  <c r="I63" i="52" s="1"/>
  <c r="I145" i="52" a="1"/>
  <c r="I145" i="52" s="1"/>
  <c r="J180" i="52"/>
  <c r="I160" i="52" a="1"/>
  <c r="I160" i="52" s="1"/>
  <c r="I69" i="52" a="1"/>
  <c r="I69" i="52" s="1"/>
  <c r="I165" i="52" a="1"/>
  <c r="I165" i="52" s="1"/>
  <c r="I74" i="52" a="1"/>
  <c r="I74" i="52" s="1"/>
  <c r="I76" i="52" a="1"/>
  <c r="I76" i="52" s="1"/>
  <c r="H87" i="52" a="1"/>
  <c r="H87" i="52" s="1"/>
  <c r="H176" i="52" a="1"/>
  <c r="H176" i="52" s="1"/>
  <c r="H62" i="52" a="1"/>
  <c r="H62" i="52" s="1"/>
  <c r="H177" i="52" a="1"/>
  <c r="H177" i="52" s="1"/>
  <c r="H69" i="52" a="1"/>
  <c r="H69" i="52" s="1"/>
  <c r="H70" i="52" a="1"/>
  <c r="H70" i="52" s="1"/>
  <c r="H43" i="52" a="1"/>
  <c r="H43" i="52" s="1"/>
  <c r="H27" i="52" a="1"/>
  <c r="H27" i="52" s="1"/>
  <c r="O20" i="52" a="1"/>
  <c r="O20" i="52" s="1"/>
  <c r="O27" i="52" a="1"/>
  <c r="O27" i="52" s="1"/>
  <c r="P20" i="52" a="1"/>
  <c r="P20" i="52" s="1"/>
  <c r="P31" i="52" a="1"/>
  <c r="P31" i="52" s="1"/>
  <c r="I19" i="52" a="1"/>
  <c r="I19" i="52" s="1"/>
  <c r="I21" i="52" a="1"/>
  <c r="I21" i="52" s="1"/>
  <c r="I25" i="52" a="1"/>
  <c r="I25" i="52" s="1"/>
  <c r="I32" i="52" a="1"/>
  <c r="I32" i="52" s="1"/>
  <c r="H21" i="52" a="1"/>
  <c r="H21" i="52" s="1"/>
  <c r="H31" i="52" a="1"/>
  <c r="H31" i="52" s="1"/>
  <c r="O43" i="52" a="1"/>
  <c r="O43" i="52" s="1"/>
  <c r="O31" i="52" a="1"/>
  <c r="O31" i="52" s="1"/>
  <c r="P43" i="52" a="1"/>
  <c r="P43" i="52" s="1"/>
  <c r="P25" i="52" a="1"/>
  <c r="P25" i="52" s="1"/>
  <c r="I186" i="52" a="1"/>
  <c r="I186" i="52" s="1"/>
  <c r="I196" i="52" a="1"/>
  <c r="I196" i="52" s="1"/>
  <c r="I107" i="52" a="1"/>
  <c r="I107" i="52" s="1"/>
  <c r="I135" i="52" a="1"/>
  <c r="I135" i="52" s="1"/>
  <c r="I215" i="52" a="1"/>
  <c r="I215" i="52" s="1"/>
  <c r="I202" i="52" a="1"/>
  <c r="I202" i="52" s="1"/>
  <c r="I115" i="52" a="1"/>
  <c r="I115" i="52" s="1"/>
  <c r="I116" i="52" a="1"/>
  <c r="I116" i="52" s="1"/>
  <c r="I121" i="52" a="1"/>
  <c r="I121" i="52" s="1"/>
  <c r="P106" i="52" a="1"/>
  <c r="P106" i="52" s="1"/>
  <c r="P187" i="52" a="1"/>
  <c r="P187" i="52" s="1"/>
  <c r="P107" i="52" a="1"/>
  <c r="P107" i="52" s="1"/>
  <c r="P108" i="52" a="1"/>
  <c r="P108" i="52" s="1"/>
  <c r="P202" i="52" a="1"/>
  <c r="P202" i="52" s="1"/>
  <c r="P204" i="52" a="1"/>
  <c r="P204" i="52" s="1"/>
  <c r="P123" i="52" a="1"/>
  <c r="P123" i="52" s="1"/>
  <c r="O132" i="52" a="1"/>
  <c r="O132" i="52" s="1"/>
  <c r="O214" i="52" a="1"/>
  <c r="O214" i="52" s="1"/>
  <c r="O107" i="52" a="1"/>
  <c r="O107" i="52" s="1"/>
  <c r="O215" i="52" a="1"/>
  <c r="O215" i="52" s="1"/>
  <c r="O97" i="52" a="1"/>
  <c r="O97" i="52" s="1"/>
  <c r="O109" i="52" a="1"/>
  <c r="O109" i="52" s="1"/>
  <c r="O202" i="52" a="1"/>
  <c r="O202" i="52" s="1"/>
  <c r="O204" i="52" a="1"/>
  <c r="O204" i="52" s="1"/>
  <c r="O122" i="52" a="1"/>
  <c r="O122" i="52" s="1"/>
  <c r="H132" i="52" a="1"/>
  <c r="H132" i="52" s="1"/>
  <c r="H106" i="52" a="1"/>
  <c r="H106" i="52" s="1"/>
  <c r="H133" i="52" a="1"/>
  <c r="H133" i="52" s="1"/>
  <c r="H215" i="52" a="1"/>
  <c r="H215" i="52" s="1"/>
  <c r="H188" i="52" a="1"/>
  <c r="H188" i="52" s="1"/>
  <c r="H203" i="52" a="1"/>
  <c r="H203" i="52" s="1"/>
  <c r="H116" i="52" a="1"/>
  <c r="H116" i="52" s="1"/>
  <c r="H120" i="52" a="1"/>
  <c r="H120" i="52" s="1"/>
  <c r="P85" i="52" a="1"/>
  <c r="P85" i="52" s="1"/>
  <c r="P153" i="52" a="1"/>
  <c r="P153" i="52" s="1"/>
  <c r="P177" i="52" a="1"/>
  <c r="P177" i="52" s="1"/>
  <c r="P178" i="52" a="1"/>
  <c r="P178" i="52" s="1"/>
  <c r="P145" i="52" a="1"/>
  <c r="P145" i="52" s="1"/>
  <c r="P68" i="52" a="1"/>
  <c r="P68" i="52" s="1"/>
  <c r="P70" i="52" a="1"/>
  <c r="P70" i="52" s="1"/>
  <c r="P74" i="52" a="1"/>
  <c r="P74" i="52" s="1"/>
  <c r="P76" i="52" a="1"/>
  <c r="P76" i="52" s="1"/>
  <c r="O52" i="52" a="1"/>
  <c r="O52" i="52" s="1"/>
  <c r="O154" i="52" a="1"/>
  <c r="O154" i="52" s="1"/>
  <c r="O53" i="52" a="1"/>
  <c r="O53" i="52" s="1"/>
  <c r="O159" i="52" a="1"/>
  <c r="O159" i="52" s="1"/>
  <c r="O161" i="52" a="1"/>
  <c r="O161" i="52" s="1"/>
  <c r="O165" i="52" a="1"/>
  <c r="O165" i="52" s="1"/>
  <c r="O75" i="52" a="1"/>
  <c r="O75" i="52" s="1"/>
  <c r="I86" i="52" a="1"/>
  <c r="I86" i="52" s="1"/>
  <c r="I62" i="52" a="1"/>
  <c r="I62" i="52" s="1"/>
  <c r="I154" i="52" a="1"/>
  <c r="I154" i="52" s="1"/>
  <c r="I54" i="52" a="1"/>
  <c r="I54" i="52" s="1"/>
  <c r="I155" i="52" a="1"/>
  <c r="I155" i="52" s="1"/>
  <c r="I68" i="52" a="1"/>
  <c r="I68" i="52" s="1"/>
  <c r="I70" i="52" a="1"/>
  <c r="I70" i="52" s="1"/>
  <c r="H143" i="52" a="1"/>
  <c r="H143" i="52" s="1"/>
  <c r="H63" i="52" a="1"/>
  <c r="H63" i="52" s="1"/>
  <c r="H154" i="52" a="1"/>
  <c r="H154" i="52" s="1"/>
  <c r="H155" i="52" a="1"/>
  <c r="H155" i="52" s="1"/>
  <c r="H159" i="52" a="1"/>
  <c r="H159" i="52" s="1"/>
  <c r="H74" i="52" a="1"/>
  <c r="H74" i="52" s="1"/>
  <c r="H75" i="52" a="1"/>
  <c r="H75" i="52" s="1"/>
  <c r="H19" i="52" a="1"/>
  <c r="H19" i="52" s="1"/>
  <c r="I132" i="52" a="1"/>
  <c r="I132" i="52" s="1"/>
  <c r="I214" i="52" a="1"/>
  <c r="I214" i="52" s="1"/>
  <c r="I187" i="52" a="1"/>
  <c r="I187" i="52" s="1"/>
  <c r="I134" i="52" a="1"/>
  <c r="I134" i="52" s="1"/>
  <c r="I108" i="52" a="1"/>
  <c r="I108" i="52" s="1"/>
  <c r="I113" i="52" a="1"/>
  <c r="I113" i="52" s="1"/>
  <c r="I204" i="52" a="1"/>
  <c r="I204" i="52" s="1"/>
  <c r="I122" i="52" a="1"/>
  <c r="I122" i="52" s="1"/>
  <c r="P196" i="52" a="1"/>
  <c r="P196" i="52" s="1"/>
  <c r="P95" i="52" a="1"/>
  <c r="P95" i="52" s="1"/>
  <c r="P214" i="52" a="1"/>
  <c r="P214" i="52" s="1"/>
  <c r="P134" i="52" a="1"/>
  <c r="P134" i="52" s="1"/>
  <c r="P97" i="52" a="1"/>
  <c r="P97" i="52" s="1"/>
  <c r="P198" i="52" a="1"/>
  <c r="P198" i="52" s="1"/>
  <c r="P109" i="52" a="1"/>
  <c r="P109" i="52" s="1"/>
  <c r="P113" i="52" a="1"/>
  <c r="P113" i="52" s="1"/>
  <c r="P115" i="52" a="1"/>
  <c r="P115" i="52" s="1"/>
  <c r="P120" i="52" a="1"/>
  <c r="P120" i="52" s="1"/>
  <c r="O196" i="52" a="1"/>
  <c r="O196" i="52" s="1"/>
  <c r="O187" i="52" a="1"/>
  <c r="O187" i="52" s="1"/>
  <c r="O197" i="52" a="1"/>
  <c r="O197" i="52" s="1"/>
  <c r="O108" i="52" a="1"/>
  <c r="O108" i="52" s="1"/>
  <c r="O198" i="52" a="1"/>
  <c r="O198" i="52" s="1"/>
  <c r="O114" i="52" a="1"/>
  <c r="O114" i="52" s="1"/>
  <c r="O123" i="52" a="1"/>
  <c r="O123" i="52" s="1"/>
  <c r="H196" i="52" a="1"/>
  <c r="H196" i="52" s="1"/>
  <c r="H95" i="52" a="1"/>
  <c r="H95" i="52" s="1"/>
  <c r="H107" i="52" a="1"/>
  <c r="H107" i="52" s="1"/>
  <c r="H108" i="52" a="1"/>
  <c r="H108" i="52" s="1"/>
  <c r="H97" i="52" a="1"/>
  <c r="H97" i="52" s="1"/>
  <c r="H202" i="52" a="1"/>
  <c r="H202" i="52" s="1"/>
  <c r="H204" i="52" a="1"/>
  <c r="H204" i="52" s="1"/>
  <c r="H121" i="52" a="1"/>
  <c r="H121" i="52" s="1"/>
  <c r="P87" i="52" a="1"/>
  <c r="P87" i="52" s="1"/>
  <c r="P143" i="52" a="1"/>
  <c r="P143" i="52" s="1"/>
  <c r="P63" i="52" a="1"/>
  <c r="P63" i="52" s="1"/>
  <c r="P54" i="52" a="1"/>
  <c r="P54" i="52" s="1"/>
  <c r="P69" i="52" a="1"/>
  <c r="P69" i="52" s="1"/>
  <c r="P165" i="52" a="1"/>
  <c r="P165" i="52" s="1"/>
  <c r="O176" i="52" a="1"/>
  <c r="O176" i="52" s="1"/>
  <c r="O63" i="52" a="1"/>
  <c r="O63" i="52" s="1"/>
  <c r="O64" i="52" a="1"/>
  <c r="O64" i="52" s="1"/>
  <c r="O68" i="52" a="1"/>
  <c r="O68" i="52" s="1"/>
  <c r="O69" i="52" a="1"/>
  <c r="O69" i="52" s="1"/>
  <c r="O74" i="52" a="1"/>
  <c r="O74" i="52" s="1"/>
  <c r="I106" i="52" a="1"/>
  <c r="I106" i="52" s="1"/>
  <c r="I96" i="52" a="1"/>
  <c r="I96" i="52" s="1"/>
  <c r="I197" i="52" a="1"/>
  <c r="I197" i="52" s="1"/>
  <c r="I188" i="52" a="1"/>
  <c r="I188" i="52" s="1"/>
  <c r="I109" i="52" a="1"/>
  <c r="I109" i="52" s="1"/>
  <c r="I114" i="52" a="1"/>
  <c r="I114" i="52" s="1"/>
  <c r="I123" i="52" a="1"/>
  <c r="I123" i="52" s="1"/>
  <c r="P213" i="52" a="1"/>
  <c r="P213" i="52" s="1"/>
  <c r="P132" i="52" a="1"/>
  <c r="P132" i="52" s="1"/>
  <c r="P96" i="52" a="1"/>
  <c r="P96" i="52" s="1"/>
  <c r="P215" i="52" a="1"/>
  <c r="P215" i="52" s="1"/>
  <c r="P135" i="52" a="1"/>
  <c r="P135" i="52" s="1"/>
  <c r="P203" i="52" a="1"/>
  <c r="P203" i="52" s="1"/>
  <c r="P121" i="52" a="1"/>
  <c r="P121" i="52" s="1"/>
  <c r="O106" i="52" a="1"/>
  <c r="O106" i="52" s="1"/>
  <c r="O213" i="52" a="1"/>
  <c r="O213" i="52" s="1"/>
  <c r="O96" i="52" a="1"/>
  <c r="O96" i="52" s="1"/>
  <c r="O135" i="52" a="1"/>
  <c r="O135" i="52" s="1"/>
  <c r="O134" i="52" a="1"/>
  <c r="O134" i="52" s="1"/>
  <c r="O203" i="52" a="1"/>
  <c r="O203" i="52" s="1"/>
  <c r="O120" i="52" a="1"/>
  <c r="O120" i="52" s="1"/>
  <c r="H213" i="52" a="1"/>
  <c r="H213" i="52" s="1"/>
  <c r="H187" i="52" a="1"/>
  <c r="H187" i="52" s="1"/>
  <c r="H197" i="52" a="1"/>
  <c r="H197" i="52" s="1"/>
  <c r="H98" i="52" a="1"/>
  <c r="H98" i="52" s="1"/>
  <c r="H135" i="52" a="1"/>
  <c r="H135" i="52" s="1"/>
  <c r="H198" i="52" a="1"/>
  <c r="H198" i="52" s="1"/>
  <c r="H113" i="52" a="1"/>
  <c r="H113" i="52" s="1"/>
  <c r="H115" i="52" a="1"/>
  <c r="H115" i="52" s="1"/>
  <c r="H122" i="52" a="1"/>
  <c r="H122" i="52" s="1"/>
  <c r="P176" i="52" a="1"/>
  <c r="P176" i="52" s="1"/>
  <c r="P52" i="52" a="1"/>
  <c r="P52" i="52" s="1"/>
  <c r="P154" i="52" a="1"/>
  <c r="P154" i="52" s="1"/>
  <c r="P159" i="52" a="1"/>
  <c r="P159" i="52" s="1"/>
  <c r="P167" i="52" a="1"/>
  <c r="P167" i="52" s="1"/>
  <c r="O85" i="52" a="1"/>
  <c r="O85" i="52" s="1"/>
  <c r="O86" i="52" a="1"/>
  <c r="O86" i="52" s="1"/>
  <c r="O62" i="52" a="1"/>
  <c r="O62" i="52" s="1"/>
  <c r="O144" i="52" a="1"/>
  <c r="O144" i="52" s="1"/>
  <c r="O54" i="52" a="1"/>
  <c r="O54" i="52" s="1"/>
  <c r="O155" i="52" a="1"/>
  <c r="O155" i="52" s="1"/>
  <c r="O160" i="52" a="1"/>
  <c r="O160" i="52" s="1"/>
  <c r="O70" i="52" a="1"/>
  <c r="O70" i="52" s="1"/>
  <c r="O167" i="52" a="1"/>
  <c r="O167" i="52" s="1"/>
  <c r="I85" i="52" a="1"/>
  <c r="I85" i="52" s="1"/>
  <c r="I143" i="52" a="1"/>
  <c r="I143" i="52" s="1"/>
  <c r="I53" i="52" a="1"/>
  <c r="I53" i="52" s="1"/>
  <c r="I144" i="52" a="1"/>
  <c r="I144" i="52" s="1"/>
  <c r="I64" i="52" a="1"/>
  <c r="I64" i="52" s="1"/>
  <c r="I161" i="52" a="1"/>
  <c r="I161" i="52" s="1"/>
  <c r="I167" i="52" a="1"/>
  <c r="I167" i="52" s="1"/>
  <c r="I75" i="52" a="1"/>
  <c r="I75" i="52" s="1"/>
  <c r="H86" i="52" a="1"/>
  <c r="H86" i="52" s="1"/>
  <c r="H153" i="52" a="1"/>
  <c r="H153" i="52" s="1"/>
  <c r="H144" i="52" a="1"/>
  <c r="H144" i="52" s="1"/>
  <c r="H54" i="52" a="1"/>
  <c r="H54" i="52" s="1"/>
  <c r="H64" i="52" a="1"/>
  <c r="H64" i="52" s="1"/>
  <c r="H68" i="52" a="1"/>
  <c r="H68" i="52" s="1"/>
  <c r="H166" i="52" a="1"/>
  <c r="H166" i="52" s="1"/>
  <c r="H167" i="52" a="1"/>
  <c r="H167" i="52" s="1"/>
  <c r="H20" i="52" a="1"/>
  <c r="H20" i="52" s="1"/>
  <c r="H26" i="52" a="1"/>
  <c r="H26" i="52" s="1"/>
  <c r="H33" i="52" a="1"/>
  <c r="H33" i="52" s="1"/>
  <c r="O42" i="52" a="1"/>
  <c r="O42" i="52" s="1"/>
  <c r="O21" i="52" a="1"/>
  <c r="O21" i="52" s="1"/>
  <c r="O26" i="52" a="1"/>
  <c r="O26" i="52" s="1"/>
  <c r="O33" i="52" a="1"/>
  <c r="O33" i="52" s="1"/>
  <c r="P42" i="52" a="1"/>
  <c r="P42" i="52" s="1"/>
  <c r="P21" i="52" a="1"/>
  <c r="P21" i="52" s="1"/>
  <c r="I26" i="52" a="1"/>
  <c r="I26" i="52" s="1"/>
  <c r="I20" i="52" a="1"/>
  <c r="I20" i="52" s="1"/>
  <c r="P33" i="52" a="1"/>
  <c r="P33" i="52" s="1"/>
  <c r="H145" i="52" a="1"/>
  <c r="H145" i="52" s="1"/>
  <c r="H53" i="52" a="1"/>
  <c r="H53" i="52" s="1"/>
  <c r="I87" i="52" a="1"/>
  <c r="I87" i="52" s="1"/>
  <c r="O76" i="52" a="1"/>
  <c r="O76" i="52" s="1"/>
  <c r="P32" i="52" a="1"/>
  <c r="P32" i="52" s="1"/>
  <c r="P44" i="52" a="1"/>
  <c r="P44" i="52" s="1"/>
  <c r="O32" i="52" a="1"/>
  <c r="O32" i="52" s="1"/>
  <c r="O44" i="52" a="1"/>
  <c r="O44" i="52" s="1"/>
  <c r="H32" i="52" a="1"/>
  <c r="H32" i="52" s="1"/>
  <c r="H161" i="52" a="1"/>
  <c r="H161" i="52" s="1"/>
  <c r="H52" i="52" a="1"/>
  <c r="H52" i="52" s="1"/>
  <c r="I166" i="52" a="1"/>
  <c r="I166" i="52" s="1"/>
  <c r="I159" i="52" a="1"/>
  <c r="I159" i="52" s="1"/>
  <c r="I178" i="52" a="1"/>
  <c r="I178" i="52" s="1"/>
  <c r="J178" i="52" s="1"/>
  <c r="I177" i="52" a="1"/>
  <c r="I177" i="52" s="1"/>
  <c r="P27" i="52" a="1"/>
  <c r="P27" i="52" s="1"/>
  <c r="O25" i="52" a="1"/>
  <c r="O25" i="52" s="1"/>
  <c r="O19" i="52" a="1"/>
  <c r="O19" i="52" s="1"/>
  <c r="H25" i="52" a="1"/>
  <c r="H25" i="52" s="1"/>
  <c r="H44" i="52" a="1"/>
  <c r="H44" i="52" s="1"/>
  <c r="H76" i="52" a="1"/>
  <c r="H76" i="52" s="1"/>
  <c r="H165" i="52" a="1"/>
  <c r="H165" i="52" s="1"/>
  <c r="H85" i="52" a="1"/>
  <c r="H85" i="52" s="1"/>
  <c r="I176" i="52" a="1"/>
  <c r="I176" i="52" s="1"/>
  <c r="J216" i="52"/>
  <c r="Q216" i="52"/>
  <c r="J136" i="52"/>
  <c r="Q179" i="52"/>
  <c r="P9" i="52" a="1"/>
  <c r="P9" i="52" s="1"/>
  <c r="H9" i="52" a="1"/>
  <c r="H9" i="52" s="1"/>
  <c r="P11" i="52" a="1"/>
  <c r="P11" i="52" s="1"/>
  <c r="H11" i="52" a="1"/>
  <c r="H11" i="52" s="1"/>
  <c r="I10" i="52" a="1"/>
  <c r="I10" i="52" s="1"/>
  <c r="O11" i="52" a="1"/>
  <c r="O11" i="52" s="1"/>
  <c r="P10" i="52" a="1"/>
  <c r="P10" i="52" s="1"/>
  <c r="I9" i="52" a="1"/>
  <c r="I9" i="52" s="1"/>
  <c r="I11" i="52" a="1"/>
  <c r="I11" i="52" s="1"/>
  <c r="O10" i="52" a="1"/>
  <c r="O10" i="52" s="1"/>
  <c r="H10" i="52" a="1"/>
  <c r="H10" i="52" s="1"/>
  <c r="O9" i="52" a="1"/>
  <c r="O9" i="52" s="1"/>
  <c r="F15" i="61" a="1"/>
  <c r="F15" i="61" s="1"/>
  <c r="G15" i="61" s="1"/>
  <c r="J16" i="61" a="1"/>
  <c r="J16" i="61" s="1"/>
  <c r="D13" i="81" s="1" a="1"/>
  <c r="D13" i="81" s="1"/>
  <c r="E17" i="61" a="1"/>
  <c r="E17" i="61" s="1"/>
  <c r="C18" i="61" a="1"/>
  <c r="C18" i="61" s="1"/>
  <c r="E15" i="61" a="1"/>
  <c r="E15" i="61" s="1"/>
  <c r="F18" i="61" a="1"/>
  <c r="F18" i="61" s="1"/>
  <c r="F14" i="61" a="1"/>
  <c r="F14" i="61" s="1"/>
  <c r="J15" i="61" a="1"/>
  <c r="J15" i="61" s="1"/>
  <c r="D13" i="79" s="1" a="1"/>
  <c r="D13" i="79" s="1"/>
  <c r="E16" i="61" a="1"/>
  <c r="E16" i="61" s="1"/>
  <c r="C17" i="61" a="1"/>
  <c r="C17" i="61" s="1"/>
  <c r="J14" i="61" a="1"/>
  <c r="J14" i="61" s="1"/>
  <c r="F17" i="61" a="1"/>
  <c r="F17" i="61" s="1"/>
  <c r="J18" i="61" a="1"/>
  <c r="J18" i="61" s="1"/>
  <c r="D13" i="82" s="1" a="1"/>
  <c r="D13" i="82" s="1"/>
  <c r="F16" i="61" a="1"/>
  <c r="F16" i="61" s="1"/>
  <c r="J17" i="61" a="1"/>
  <c r="J17" i="61" s="1"/>
  <c r="D13" i="80" s="1" a="1"/>
  <c r="D13" i="80" s="1"/>
  <c r="E18" i="61" a="1"/>
  <c r="E18" i="61" s="1"/>
  <c r="D12" i="82" s="1" a="1"/>
  <c r="D12" i="82" s="1"/>
  <c r="E14" i="61" a="1"/>
  <c r="E14" i="61" s="1"/>
  <c r="C15" i="61" a="1"/>
  <c r="C15" i="61" s="1"/>
  <c r="C12" i="79" s="1" a="1"/>
  <c r="C12" i="79" s="1"/>
  <c r="C11" i="79" s="1"/>
  <c r="C14" i="61" a="1"/>
  <c r="C14" i="61" s="1"/>
  <c r="C16" i="61" a="1"/>
  <c r="C16" i="61" s="1"/>
  <c r="P201" i="66" a="1"/>
  <c r="P201" i="66" s="1"/>
  <c r="W38" i="81" a="1"/>
  <c r="W38" i="81" s="1"/>
  <c r="W38" i="80" a="1"/>
  <c r="W38" i="80" s="1"/>
  <c r="N38" i="80" a="1"/>
  <c r="N38" i="80" s="1"/>
  <c r="N38" i="81" a="1"/>
  <c r="N38" i="81" s="1"/>
  <c r="W38" i="79" a="1"/>
  <c r="W38" i="79" s="1"/>
  <c r="AF38" i="79" a="1"/>
  <c r="AF38" i="79" s="1"/>
  <c r="AF38" i="80" a="1"/>
  <c r="AF38" i="80" s="1"/>
  <c r="AF38" i="81" a="1"/>
  <c r="AF38" i="81" s="1"/>
  <c r="W38" i="53" a="1"/>
  <c r="W38" i="53" s="1"/>
  <c r="AF38" i="53" a="1"/>
  <c r="AF38" i="53" s="1"/>
  <c r="N38" i="53" a="1"/>
  <c r="N38" i="53" s="1"/>
  <c r="P19" i="68" a="1"/>
  <c r="P19" i="68" s="1"/>
  <c r="I151" i="68" a="1"/>
  <c r="I151" i="68" s="1"/>
  <c r="I120" i="68" a="1"/>
  <c r="I120" i="68" s="1"/>
  <c r="I102" i="68" a="1"/>
  <c r="I102" i="68" s="1"/>
  <c r="I141" i="68" a="1"/>
  <c r="I141" i="68" s="1"/>
  <c r="P43" i="68" a="1"/>
  <c r="P43" i="68" s="1"/>
  <c r="P87" i="68" a="1"/>
  <c r="P87" i="68" s="1"/>
  <c r="P9" i="68" a="1"/>
  <c r="P9" i="68" s="1"/>
  <c r="P53" i="68" a="1"/>
  <c r="P53" i="68" s="1"/>
  <c r="P133" i="68" a="1"/>
  <c r="P133" i="68" s="1"/>
  <c r="P111" i="68" a="1"/>
  <c r="P111" i="68" s="1"/>
  <c r="P151" i="68" a="1"/>
  <c r="P151" i="68" s="1"/>
  <c r="I53" i="68" a="1"/>
  <c r="I53" i="68" s="1"/>
  <c r="P102" i="68" a="1"/>
  <c r="P102" i="68" s="1"/>
  <c r="P77" i="68" a="1"/>
  <c r="P77" i="68" s="1"/>
  <c r="I43" i="68" a="1"/>
  <c r="I43" i="68" s="1"/>
  <c r="I9" i="68" a="1"/>
  <c r="I9" i="68" s="1"/>
  <c r="P161" i="68" a="1"/>
  <c r="P161" i="68" s="1"/>
  <c r="I34" i="68" a="1"/>
  <c r="I34" i="68" s="1"/>
  <c r="I77" i="68" a="1"/>
  <c r="I77" i="68" s="1"/>
  <c r="I68" i="68" a="1"/>
  <c r="I68" i="68" s="1"/>
  <c r="I111" i="68" a="1"/>
  <c r="I111" i="68" s="1"/>
  <c r="I19" i="68" a="1"/>
  <c r="I19" i="68" s="1"/>
  <c r="P68" i="68" a="1"/>
  <c r="P68" i="68" s="1"/>
  <c r="P120" i="68" a="1"/>
  <c r="P120" i="68" s="1"/>
  <c r="I161" i="68" a="1"/>
  <c r="I161" i="68" s="1"/>
  <c r="P141" i="68" a="1"/>
  <c r="P141" i="68" s="1"/>
  <c r="P34" i="68" a="1"/>
  <c r="P34" i="68" s="1"/>
  <c r="I87" i="68" a="1"/>
  <c r="I87" i="68" s="1"/>
  <c r="I133" i="68" a="1"/>
  <c r="I133" i="68" s="1"/>
  <c r="I78" i="68" a="1"/>
  <c r="I78" i="68" s="1"/>
  <c r="I54" i="68" a="1"/>
  <c r="I54" i="68" s="1"/>
  <c r="I44" i="68" a="1"/>
  <c r="I44" i="68" s="1"/>
  <c r="P134" i="68" a="1"/>
  <c r="P134" i="68" s="1"/>
  <c r="P135" i="68" s="1" a="1"/>
  <c r="P135" i="68" s="1"/>
  <c r="P104" i="68" a="1"/>
  <c r="P104" i="68" s="1"/>
  <c r="P88" i="68" a="1"/>
  <c r="P88" i="68" s="1"/>
  <c r="P142" i="68" a="1"/>
  <c r="P142" i="68" s="1"/>
  <c r="I104" i="68" a="1"/>
  <c r="I104" i="68" s="1"/>
  <c r="P20" i="68" a="1"/>
  <c r="P20" i="68" s="1"/>
  <c r="I142" i="68" a="1"/>
  <c r="I142" i="68" s="1"/>
  <c r="I162" i="68" a="1"/>
  <c r="I162" i="68" s="1"/>
  <c r="P78" i="68" a="1"/>
  <c r="P78" i="68" s="1"/>
  <c r="P35" i="68" a="1"/>
  <c r="P35" i="68" s="1"/>
  <c r="P44" i="68" a="1"/>
  <c r="P44" i="68" s="1"/>
  <c r="P152" i="68" a="1"/>
  <c r="P152" i="68" s="1"/>
  <c r="I88" i="68" a="1"/>
  <c r="I88" i="68" s="1"/>
  <c r="I10" i="68" a="1"/>
  <c r="I10" i="68" s="1"/>
  <c r="P162" i="68" a="1"/>
  <c r="P162" i="68" s="1"/>
  <c r="I112" i="68" a="1"/>
  <c r="I112" i="68" s="1"/>
  <c r="I35" i="68" a="1"/>
  <c r="I35" i="68" s="1"/>
  <c r="P103" i="68" a="1"/>
  <c r="P103" i="68" s="1"/>
  <c r="I152" i="68" a="1"/>
  <c r="I152" i="68" s="1"/>
  <c r="P69" i="68" a="1"/>
  <c r="P69" i="68" s="1"/>
  <c r="I121" i="68" a="1"/>
  <c r="I121" i="68" s="1"/>
  <c r="I20" i="68" a="1"/>
  <c r="I20" i="68" s="1"/>
  <c r="P10" i="68" a="1"/>
  <c r="P10" i="68" s="1"/>
  <c r="I69" i="68" a="1"/>
  <c r="I69" i="68" s="1"/>
  <c r="P54" i="68" a="1"/>
  <c r="P54" i="68" s="1"/>
  <c r="P112" i="68" a="1"/>
  <c r="P112" i="68" s="1"/>
  <c r="P113" i="68" s="1" a="1"/>
  <c r="P113" i="68" s="1"/>
  <c r="I103" i="68" a="1"/>
  <c r="I103" i="68" s="1"/>
  <c r="I134" i="68" a="1"/>
  <c r="I134" i="68" s="1"/>
  <c r="P121" i="68" a="1"/>
  <c r="P121" i="68" s="1"/>
  <c r="P143" i="68" a="1"/>
  <c r="P143" i="68" s="1"/>
  <c r="I70" i="68" a="1"/>
  <c r="I70" i="68" s="1"/>
  <c r="P89" i="68" a="1"/>
  <c r="P89" i="68" s="1"/>
  <c r="I143" i="68" a="1"/>
  <c r="I143" i="68" s="1"/>
  <c r="P55" i="68" a="1"/>
  <c r="P55" i="68" s="1"/>
  <c r="P21" i="68" a="1"/>
  <c r="P21" i="68" s="1"/>
  <c r="I153" i="68" a="1"/>
  <c r="I153" i="68" s="1"/>
  <c r="P163" i="68" a="1"/>
  <c r="P163" i="68" s="1"/>
  <c r="P11" i="68" a="1"/>
  <c r="P11" i="68" s="1"/>
  <c r="I163" i="68" a="1"/>
  <c r="I163" i="68" s="1"/>
  <c r="P153" i="68" a="1"/>
  <c r="P153" i="68" s="1"/>
  <c r="I89" i="68" a="1"/>
  <c r="I89" i="68" s="1"/>
  <c r="I55" i="68" a="1"/>
  <c r="I55" i="68" s="1"/>
  <c r="P45" i="68" a="1"/>
  <c r="P45" i="68" s="1"/>
  <c r="P79" i="68" a="1"/>
  <c r="P79" i="68" s="1"/>
  <c r="I21" i="68" a="1"/>
  <c r="I21" i="68" s="1"/>
  <c r="P36" i="68" a="1"/>
  <c r="P36" i="68" s="1"/>
  <c r="I11" i="68" a="1"/>
  <c r="I11" i="68" s="1"/>
  <c r="I45" i="68" a="1"/>
  <c r="I45" i="68" s="1"/>
  <c r="P70" i="68" a="1"/>
  <c r="P70" i="68" s="1"/>
  <c r="I79" i="68" a="1"/>
  <c r="I79" i="68" s="1"/>
  <c r="I36" i="68" a="1"/>
  <c r="I36" i="68" s="1"/>
  <c r="P124" i="68" a="1"/>
  <c r="P124" i="68" s="1"/>
  <c r="I124" i="68" a="1"/>
  <c r="I124" i="68" s="1"/>
  <c r="P58" i="68" a="1"/>
  <c r="P58" i="68" s="1"/>
  <c r="P125" i="68" a="1"/>
  <c r="P125" i="68" s="1"/>
  <c r="I58" i="68" a="1"/>
  <c r="I58" i="68" s="1"/>
  <c r="I125" i="68" a="1"/>
  <c r="I125" i="68" s="1"/>
  <c r="P92" i="68" a="1"/>
  <c r="P92" i="68" s="1"/>
  <c r="P24" i="68" a="1"/>
  <c r="P24" i="68" s="1"/>
  <c r="I92" i="68" a="1"/>
  <c r="I92" i="68" s="1"/>
  <c r="I24" i="68" a="1"/>
  <c r="I24" i="68" s="1"/>
  <c r="I59" i="68" a="1"/>
  <c r="I59" i="68" s="1"/>
  <c r="P93" i="68" a="1"/>
  <c r="P93" i="68" s="1"/>
  <c r="I25" i="68" a="1"/>
  <c r="I25" i="68" s="1"/>
  <c r="P59" i="68" a="1"/>
  <c r="P59" i="68" s="1"/>
  <c r="P25" i="68" a="1"/>
  <c r="P25" i="68" s="1"/>
  <c r="I93" i="68" a="1"/>
  <c r="I93" i="68" s="1"/>
  <c r="P26" i="68" a="1"/>
  <c r="P26" i="68" s="1"/>
  <c r="I60" i="68" a="1"/>
  <c r="I60" i="68" s="1"/>
  <c r="P60" i="68" a="1"/>
  <c r="P60" i="68" s="1"/>
  <c r="I26" i="68" a="1"/>
  <c r="I26" i="68" s="1"/>
  <c r="P94" i="68" a="1"/>
  <c r="P94" i="68" s="1"/>
  <c r="I94" i="68" a="1"/>
  <c r="I94" i="68" s="1"/>
  <c r="P189" i="66" a="1"/>
  <c r="P189" i="66" s="1"/>
  <c r="P105" i="66" a="1"/>
  <c r="P105" i="66" s="1"/>
  <c r="P136" i="66" a="1"/>
  <c r="P136" i="66" s="1"/>
  <c r="P83" i="66" a="1"/>
  <c r="P83" i="66" s="1"/>
  <c r="P64" i="66" a="1"/>
  <c r="P64" i="66" s="1"/>
  <c r="P149" i="66" a="1"/>
  <c r="P149" i="66" s="1"/>
  <c r="P107" i="66" a="1"/>
  <c r="P107" i="66" s="1"/>
  <c r="P179" i="66" a="1"/>
  <c r="P179" i="66" s="1"/>
  <c r="P84" i="66" a="1"/>
  <c r="P84" i="66" s="1"/>
  <c r="P108" i="66" a="1"/>
  <c r="P108" i="66" s="1"/>
  <c r="P12" i="66" a="1"/>
  <c r="P12" i="66" s="1"/>
  <c r="P169" i="66" a="1"/>
  <c r="P169" i="66" s="1"/>
  <c r="P192" i="66" a="1"/>
  <c r="P192" i="66" s="1"/>
  <c r="P86" i="66" a="1"/>
  <c r="P86" i="66" s="1"/>
  <c r="P25" i="66" a="1"/>
  <c r="P25" i="66" s="1"/>
  <c r="P128" i="66" a="1"/>
  <c r="P128" i="66" s="1"/>
  <c r="P112" i="66" a="1"/>
  <c r="P112" i="66" s="1"/>
  <c r="P29" i="66" a="1"/>
  <c r="P29" i="66" s="1"/>
  <c r="P71" i="66" a="1"/>
  <c r="P71" i="66" s="1"/>
  <c r="P156" i="66" a="1"/>
  <c r="P156" i="66" s="1"/>
  <c r="P115" i="66" a="1"/>
  <c r="P115" i="66" s="1"/>
  <c r="P151" i="66" a="1"/>
  <c r="P151" i="66" s="1"/>
  <c r="P72" i="66" a="1"/>
  <c r="P72" i="66" s="1"/>
  <c r="P124" i="66" a="1"/>
  <c r="P124" i="66" s="1"/>
  <c r="P148" i="66" a="1"/>
  <c r="P148" i="66" s="1"/>
  <c r="P94" i="66" a="1"/>
  <c r="P94" i="66" s="1"/>
  <c r="P22" i="66" a="1"/>
  <c r="P22" i="66" s="1"/>
  <c r="P202" i="66" a="1"/>
  <c r="P202" i="66" s="1"/>
  <c r="P137" i="66" a="1"/>
  <c r="P137" i="66" s="1"/>
  <c r="P53" i="66" a="1"/>
  <c r="P53" i="66" s="1"/>
  <c r="P126" i="66" a="1"/>
  <c r="P126" i="66" s="1"/>
  <c r="P168" i="66" a="1"/>
  <c r="P168" i="66" s="1"/>
  <c r="P24" i="66" a="1"/>
  <c r="P24" i="66" s="1"/>
  <c r="P96" i="66" a="1"/>
  <c r="P96" i="66" s="1"/>
  <c r="P66" i="66" a="1"/>
  <c r="P66" i="66" s="1"/>
  <c r="P180" i="66" a="1"/>
  <c r="P180" i="66" s="1"/>
  <c r="P170" i="66" a="1"/>
  <c r="P170" i="66" s="1"/>
  <c r="P181" i="66" a="1"/>
  <c r="P181" i="66" s="1"/>
  <c r="P109" i="66" a="1"/>
  <c r="P109" i="66" s="1"/>
  <c r="P155" i="66" a="1"/>
  <c r="P155" i="66" s="1"/>
  <c r="P30" i="66" a="1"/>
  <c r="P30" i="66" s="1"/>
  <c r="P157" i="66" a="1"/>
  <c r="P157" i="66" s="1"/>
  <c r="P158" i="66" a="1"/>
  <c r="P158" i="66" s="1"/>
  <c r="P193" i="66" a="1"/>
  <c r="P193" i="66" s="1"/>
  <c r="P73" i="66" a="1"/>
  <c r="P73" i="66" s="1"/>
  <c r="P51" i="66" a="1"/>
  <c r="P51" i="66" s="1"/>
  <c r="P63" i="66" a="1"/>
  <c r="P63" i="66" s="1"/>
  <c r="P93" i="66" a="1"/>
  <c r="P93" i="66" s="1"/>
  <c r="P106" i="66" a="1"/>
  <c r="P106" i="66" s="1"/>
  <c r="P190" i="66" a="1"/>
  <c r="P190" i="66" s="1"/>
  <c r="P10" i="66" a="1"/>
  <c r="P10" i="66" s="1"/>
  <c r="P52" i="66" a="1"/>
  <c r="P52" i="66" s="1"/>
  <c r="P11" i="66" a="1"/>
  <c r="P11" i="66" s="1"/>
  <c r="P65" i="66" a="1"/>
  <c r="P65" i="66" s="1"/>
  <c r="P42" i="66" a="1"/>
  <c r="P42" i="66" s="1"/>
  <c r="P95" i="66" a="1"/>
  <c r="P95" i="66" s="1"/>
  <c r="P85" i="66" a="1"/>
  <c r="P85" i="66" s="1"/>
  <c r="P127" i="66" a="1"/>
  <c r="P127" i="66" s="1"/>
  <c r="P138" i="66" a="1"/>
  <c r="P138" i="66" s="1"/>
  <c r="P97" i="66" a="1"/>
  <c r="P97" i="66" s="1"/>
  <c r="P70" i="66" a="1"/>
  <c r="P70" i="66" s="1"/>
  <c r="P21" i="66" a="1"/>
  <c r="P21" i="66" s="1"/>
  <c r="P82" i="66" a="1"/>
  <c r="P82" i="66" s="1"/>
  <c r="P9" i="66" a="1"/>
  <c r="P9" i="66" s="1"/>
  <c r="P41" i="66" a="1"/>
  <c r="P41" i="66" s="1"/>
  <c r="P125" i="66" a="1"/>
  <c r="P125" i="66" s="1"/>
  <c r="P178" i="66" a="1"/>
  <c r="P178" i="66" s="1"/>
  <c r="P167" i="66" a="1"/>
  <c r="P167" i="66" s="1"/>
  <c r="P203" i="66" a="1"/>
  <c r="P203" i="66" s="1"/>
  <c r="P23" i="66" a="1"/>
  <c r="P23" i="66" s="1"/>
  <c r="P191" i="66" a="1"/>
  <c r="P191" i="66" s="1"/>
  <c r="P204" i="66" a="1"/>
  <c r="P204" i="66" s="1"/>
  <c r="P54" i="66" a="1"/>
  <c r="P54" i="66" s="1"/>
  <c r="P43" i="66" a="1"/>
  <c r="P43" i="66" s="1"/>
  <c r="P150" i="66" a="1"/>
  <c r="P150" i="66" s="1"/>
  <c r="P205" i="66" a="1"/>
  <c r="P205" i="66" s="1"/>
  <c r="P67" i="66" a="1"/>
  <c r="P67" i="66" s="1"/>
  <c r="P139" i="66" a="1"/>
  <c r="P139" i="66" s="1"/>
  <c r="P55" i="66" a="1"/>
  <c r="P55" i="66" s="1"/>
  <c r="P28" i="66" a="1"/>
  <c r="P28" i="66" s="1"/>
  <c r="P44" i="66" a="1"/>
  <c r="P44" i="66" s="1"/>
  <c r="P114" i="66" a="1"/>
  <c r="P114" i="66" s="1"/>
  <c r="P31" i="66" a="1"/>
  <c r="P31" i="66" s="1"/>
  <c r="P116" i="66" a="1"/>
  <c r="P116" i="66" s="1"/>
  <c r="P32" i="66" a="1"/>
  <c r="P32" i="66" s="1"/>
  <c r="P13" i="66" a="1"/>
  <c r="P13" i="66" s="1"/>
  <c r="P113" i="66" a="1"/>
  <c r="P113" i="66" s="1"/>
  <c r="P74" i="66" a="1"/>
  <c r="P74" i="66" s="1"/>
  <c r="I166" i="66" a="1"/>
  <c r="I166" i="66" s="1"/>
  <c r="I9" i="66" a="1"/>
  <c r="I9" i="66" s="1"/>
  <c r="I135" i="66" a="1"/>
  <c r="I135" i="66" s="1"/>
  <c r="I93" i="66" a="1"/>
  <c r="I93" i="66" s="1"/>
  <c r="I22" i="66" a="1"/>
  <c r="I22" i="66" s="1"/>
  <c r="I41" i="66" a="1"/>
  <c r="I41" i="66" s="1"/>
  <c r="I52" i="66" a="1"/>
  <c r="I52" i="66" s="1"/>
  <c r="I65" i="66" a="1"/>
  <c r="I65" i="66" s="1"/>
  <c r="I126" i="66" a="1"/>
  <c r="I126" i="66" s="1"/>
  <c r="J126" i="66" s="1"/>
  <c r="I137" i="66" a="1"/>
  <c r="I137" i="66" s="1"/>
  <c r="I191" i="66" a="1"/>
  <c r="I191" i="66" s="1"/>
  <c r="I192" i="66" a="1"/>
  <c r="I192" i="66" s="1"/>
  <c r="I108" i="66" a="1"/>
  <c r="I108" i="66" s="1"/>
  <c r="I127" i="66" a="1"/>
  <c r="I127" i="66" s="1"/>
  <c r="I204" i="66" a="1"/>
  <c r="I204" i="66" s="1"/>
  <c r="I13" i="66" a="1"/>
  <c r="I13" i="66" s="1"/>
  <c r="I205" i="66" a="1"/>
  <c r="I205" i="66" s="1"/>
  <c r="I181" i="66" a="1"/>
  <c r="I181" i="66" s="1"/>
  <c r="I70" i="66" a="1"/>
  <c r="I70" i="66" s="1"/>
  <c r="I113" i="66" a="1"/>
  <c r="I113" i="66" s="1"/>
  <c r="I29" i="66" a="1"/>
  <c r="I29" i="66" s="1"/>
  <c r="I156" i="66" a="1"/>
  <c r="I156" i="66" s="1"/>
  <c r="I157" i="66" a="1"/>
  <c r="I157" i="66" s="1"/>
  <c r="I74" i="66" a="1"/>
  <c r="I74" i="66" s="1"/>
  <c r="I53" i="66" a="1"/>
  <c r="I53" i="66" s="1"/>
  <c r="I85" i="66" a="1"/>
  <c r="I85" i="66" s="1"/>
  <c r="I55" i="66" a="1"/>
  <c r="I55" i="66" s="1"/>
  <c r="I67" i="66" a="1"/>
  <c r="I67" i="66" s="1"/>
  <c r="I28" i="66" a="1"/>
  <c r="I28" i="66" s="1"/>
  <c r="I32" i="66" a="1"/>
  <c r="I32" i="66" s="1"/>
  <c r="I178" i="66" a="1"/>
  <c r="I178" i="66" s="1"/>
  <c r="I96" i="66" a="1"/>
  <c r="I96" i="66" s="1"/>
  <c r="I151" i="66" a="1"/>
  <c r="I151" i="66" s="1"/>
  <c r="I25" i="66" a="1"/>
  <c r="I25" i="66" s="1"/>
  <c r="I44" i="66" a="1"/>
  <c r="I44" i="66" s="1"/>
  <c r="I158" i="66" a="1"/>
  <c r="I158" i="66" s="1"/>
  <c r="I82" i="66" a="1"/>
  <c r="I82" i="66" s="1"/>
  <c r="I201" i="66" a="1"/>
  <c r="I201" i="66" s="1"/>
  <c r="I63" i="66" a="1"/>
  <c r="I63" i="66" s="1"/>
  <c r="I190" i="66" a="1"/>
  <c r="I190" i="66" s="1"/>
  <c r="I136" i="66" a="1"/>
  <c r="I136" i="66" s="1"/>
  <c r="I202" i="66" a="1"/>
  <c r="I202" i="66" s="1"/>
  <c r="I125" i="66" a="1"/>
  <c r="I125" i="66" s="1"/>
  <c r="I23" i="66" a="1"/>
  <c r="I23" i="66" s="1"/>
  <c r="I149" i="66" a="1"/>
  <c r="I149" i="66" s="1"/>
  <c r="I11" i="66" a="1"/>
  <c r="I11" i="66" s="1"/>
  <c r="I107" i="66" a="1"/>
  <c r="I107" i="66" s="1"/>
  <c r="I66" i="66" a="1"/>
  <c r="I66" i="66" s="1"/>
  <c r="I24" i="66" a="1"/>
  <c r="I24" i="66" s="1"/>
  <c r="I43" i="66" a="1"/>
  <c r="I43" i="66" s="1"/>
  <c r="I150" i="66" a="1"/>
  <c r="I150" i="66" s="1"/>
  <c r="I109" i="66" a="1"/>
  <c r="I109" i="66" s="1"/>
  <c r="I86" i="66" a="1"/>
  <c r="I86" i="66" s="1"/>
  <c r="I128" i="66" a="1"/>
  <c r="I128" i="66" s="1"/>
  <c r="I112" i="66" a="1"/>
  <c r="I112" i="66" s="1"/>
  <c r="I71" i="66" a="1"/>
  <c r="I71" i="66" s="1"/>
  <c r="I72" i="66" a="1"/>
  <c r="I72" i="66" s="1"/>
  <c r="I73" i="66" a="1"/>
  <c r="I73" i="66" s="1"/>
  <c r="I116" i="66" a="1"/>
  <c r="I116" i="66" s="1"/>
  <c r="I83" i="66" a="1"/>
  <c r="I83" i="66" s="1"/>
  <c r="I203" i="66" a="1"/>
  <c r="I203" i="66" s="1"/>
  <c r="I84" i="66" a="1"/>
  <c r="I84" i="66" s="1"/>
  <c r="I12" i="66" a="1"/>
  <c r="I12" i="66" s="1"/>
  <c r="I180" i="66" a="1"/>
  <c r="I180" i="66" s="1"/>
  <c r="I97" i="66" a="1"/>
  <c r="I97" i="66" s="1"/>
  <c r="I155" i="66" a="1"/>
  <c r="I155" i="66" s="1"/>
  <c r="I115" i="66" a="1"/>
  <c r="I115" i="66" s="1"/>
  <c r="I106" i="66" a="1"/>
  <c r="I106" i="66" s="1"/>
  <c r="I10" i="66" a="1"/>
  <c r="I10" i="66" s="1"/>
  <c r="I42" i="66" a="1"/>
  <c r="I42" i="66" s="1"/>
  <c r="I169" i="66" a="1"/>
  <c r="I169" i="66" s="1"/>
  <c r="I170" i="66" a="1"/>
  <c r="I170" i="66" s="1"/>
  <c r="I114" i="66" a="1"/>
  <c r="I114" i="66" s="1"/>
  <c r="I189" i="66" a="1"/>
  <c r="I189" i="66" s="1"/>
  <c r="I40" i="66" a="1"/>
  <c r="I40" i="66" s="1"/>
  <c r="I51" i="66" a="1"/>
  <c r="I51" i="66" s="1"/>
  <c r="I105" i="66" a="1"/>
  <c r="I105" i="66" s="1"/>
  <c r="I64" i="66" a="1"/>
  <c r="I64" i="66" s="1"/>
  <c r="I148" i="66" a="1"/>
  <c r="I148" i="66" s="1"/>
  <c r="I94" i="66" a="1"/>
  <c r="I94" i="66" s="1"/>
  <c r="I179" i="66" a="1"/>
  <c r="I179" i="66" s="1"/>
  <c r="I139" i="66" a="1"/>
  <c r="I139" i="66" s="1"/>
  <c r="I30" i="66" a="1"/>
  <c r="I30" i="66" s="1"/>
  <c r="I168" i="66" a="1"/>
  <c r="I168" i="66" s="1"/>
  <c r="J168" i="66" s="1"/>
  <c r="I54" i="66" a="1"/>
  <c r="I54" i="66" s="1"/>
  <c r="I193" i="66" a="1"/>
  <c r="I193" i="66" s="1"/>
  <c r="I31" i="66" a="1"/>
  <c r="I31" i="66" s="1"/>
  <c r="I124" i="66" a="1"/>
  <c r="I124" i="66" s="1"/>
  <c r="I147" i="66" a="1"/>
  <c r="I147" i="66" s="1"/>
  <c r="I177" i="66" a="1"/>
  <c r="I177" i="66" s="1"/>
  <c r="I21" i="66" a="1"/>
  <c r="I21" i="66" s="1"/>
  <c r="I167" i="66" a="1"/>
  <c r="I167" i="66" s="1"/>
  <c r="I95" i="66" a="1"/>
  <c r="I95" i="66" s="1"/>
  <c r="I138" i="66" a="1"/>
  <c r="I138" i="66" s="1"/>
  <c r="Z32" i="82" a="1"/>
  <c r="Z32" i="82" s="1"/>
  <c r="Q32" i="82" a="1"/>
  <c r="Q32" i="82" s="1"/>
  <c r="S38" i="82" s="1"/>
  <c r="Q32" i="80" a="1"/>
  <c r="Q32" i="80" s="1"/>
  <c r="S38" i="80" s="1"/>
  <c r="Z32" i="81" a="1"/>
  <c r="Z32" i="81" s="1"/>
  <c r="Q32" i="81" a="1"/>
  <c r="Q32" i="81" s="1"/>
  <c r="S38" i="81" s="1"/>
  <c r="Z32" i="80" a="1"/>
  <c r="Z32" i="80" s="1"/>
  <c r="Z32" i="79" a="1"/>
  <c r="Z32" i="79" s="1"/>
  <c r="AB38" i="79" s="1"/>
  <c r="Q32" i="79" a="1"/>
  <c r="Q32" i="79" s="1"/>
  <c r="S38" i="79" s="1"/>
  <c r="J64" i="84" a="1"/>
  <c r="D50" i="84" a="1"/>
  <c r="D15" i="57" a="1"/>
  <c r="D57" i="84" a="1"/>
  <c r="F33" i="57" a="1"/>
  <c r="J64" i="83" a="1"/>
  <c r="D78" i="84" a="1"/>
  <c r="D78" i="83" a="1"/>
  <c r="F34" i="57" a="1"/>
  <c r="D57" i="83" a="1"/>
  <c r="J71" i="83" a="1"/>
  <c r="J57" i="84" a="1"/>
  <c r="J50" i="83" a="1"/>
  <c r="D71" i="85" a="1"/>
  <c r="D71" i="83" a="1"/>
  <c r="D50" i="85" a="1"/>
  <c r="J78" i="83" a="1"/>
  <c r="D64" i="85" a="1"/>
  <c r="J71" i="85" a="1"/>
  <c r="D78" i="85" a="1"/>
  <c r="D64" i="84" a="1"/>
  <c r="F22" i="57" a="1"/>
  <c r="D57" i="85" a="1"/>
  <c r="J64" i="85" a="1"/>
  <c r="D71" i="84" a="1"/>
  <c r="F16" i="57" a="1"/>
  <c r="D50" i="83" a="1"/>
  <c r="F28" i="57" a="1"/>
  <c r="J57" i="83" a="1"/>
  <c r="J50" i="85" a="1"/>
  <c r="J57" i="85" a="1"/>
  <c r="J78" i="85" a="1"/>
  <c r="D64" i="83" a="1"/>
  <c r="J50" i="84" a="1"/>
  <c r="J78" i="84" a="1"/>
  <c r="J71" i="84" a="1"/>
  <c r="R133" i="52" l="1"/>
  <c r="AB38" i="80"/>
  <c r="AB38" i="81"/>
  <c r="AB38" i="82"/>
  <c r="Q134" i="52"/>
  <c r="R134" i="52" s="1"/>
  <c r="M38" i="82"/>
  <c r="M137" i="52"/>
  <c r="V38" i="82"/>
  <c r="AE38" i="82"/>
  <c r="J78" i="85"/>
  <c r="J50" i="85"/>
  <c r="J64" i="84"/>
  <c r="D50" i="84"/>
  <c r="D71" i="85"/>
  <c r="D64" i="85"/>
  <c r="J50" i="84"/>
  <c r="J57" i="83"/>
  <c r="D78" i="83"/>
  <c r="D57" i="85"/>
  <c r="J64" i="85"/>
  <c r="J78" i="84"/>
  <c r="D78" i="84"/>
  <c r="J57" i="85"/>
  <c r="J71" i="84"/>
  <c r="D50" i="85"/>
  <c r="D64" i="83"/>
  <c r="D71" i="83"/>
  <c r="J57" i="84"/>
  <c r="J78" i="83"/>
  <c r="D57" i="83"/>
  <c r="D78" i="85"/>
  <c r="J71" i="85"/>
  <c r="J71" i="83"/>
  <c r="D64" i="84"/>
  <c r="D71" i="84"/>
  <c r="J50" i="83"/>
  <c r="J64" i="83"/>
  <c r="D50" i="83"/>
  <c r="D57" i="84"/>
  <c r="AE38" i="53"/>
  <c r="V38" i="53"/>
  <c r="M38" i="79"/>
  <c r="Q218" i="52"/>
  <c r="Q219" i="52" s="1"/>
  <c r="Q220" i="52" s="1"/>
  <c r="M217" i="52"/>
  <c r="M38" i="81"/>
  <c r="M38" i="53"/>
  <c r="M38" i="80"/>
  <c r="Q181" i="52"/>
  <c r="Q182" i="52" s="1"/>
  <c r="Q183" i="52" s="1"/>
  <c r="J38" i="79"/>
  <c r="J38" i="82"/>
  <c r="AE38" i="81"/>
  <c r="AE38" i="80"/>
  <c r="AE38" i="79"/>
  <c r="V38" i="80"/>
  <c r="V38" i="81"/>
  <c r="J38" i="53"/>
  <c r="V38" i="79"/>
  <c r="S38" i="53"/>
  <c r="AB38" i="53"/>
  <c r="J38" i="80"/>
  <c r="J38" i="81"/>
  <c r="J177" i="52"/>
  <c r="K177" i="52" s="1"/>
  <c r="J176" i="52"/>
  <c r="K176" i="52" s="1"/>
  <c r="J213" i="52"/>
  <c r="K213" i="52" s="1"/>
  <c r="Q213" i="52"/>
  <c r="J181" i="52"/>
  <c r="J182" i="52" s="1"/>
  <c r="K178" i="52"/>
  <c r="M136" i="52"/>
  <c r="J215" i="52"/>
  <c r="K215" i="52" s="1"/>
  <c r="J133" i="52"/>
  <c r="M133" i="52" s="1"/>
  <c r="M180" i="52"/>
  <c r="J135" i="52"/>
  <c r="K135" i="52" s="1"/>
  <c r="Q135" i="52"/>
  <c r="R135" i="52" s="1"/>
  <c r="Q132" i="52"/>
  <c r="R132" i="52" s="1"/>
  <c r="Q176" i="52"/>
  <c r="J132" i="52"/>
  <c r="K132" i="52" s="1"/>
  <c r="Q214" i="52"/>
  <c r="Q177" i="52"/>
  <c r="J134" i="52"/>
  <c r="K134" i="52" s="1"/>
  <c r="Q215" i="52"/>
  <c r="J214" i="52"/>
  <c r="K214" i="52" s="1"/>
  <c r="Q178" i="52"/>
  <c r="M178" i="52" s="1"/>
  <c r="J218" i="52"/>
  <c r="M216" i="52"/>
  <c r="M179" i="52"/>
  <c r="K14" i="61"/>
  <c r="K15" i="61"/>
  <c r="F80" i="52" s="1" a="1"/>
  <c r="F80" i="52" s="1"/>
  <c r="K16" i="61"/>
  <c r="K18" i="61"/>
  <c r="K17" i="61"/>
  <c r="F190" i="52" a="1"/>
  <c r="F190" i="52" s="1"/>
  <c r="F189" i="52" a="1"/>
  <c r="F189" i="52" s="1"/>
  <c r="F188" i="52" a="1"/>
  <c r="F188" i="52" s="1"/>
  <c r="F186" i="52" a="1"/>
  <c r="F186" i="52" s="1"/>
  <c r="F191" i="52" a="1"/>
  <c r="F191" i="52" s="1"/>
  <c r="F187" i="52" a="1"/>
  <c r="F187" i="52" s="1"/>
  <c r="F54" i="52" a="1"/>
  <c r="F54" i="52" s="1"/>
  <c r="F52" i="52" a="1"/>
  <c r="F52" i="52" s="1"/>
  <c r="F56" i="52" a="1"/>
  <c r="F56" i="52" s="1"/>
  <c r="F55" i="52" a="1"/>
  <c r="F55" i="52" s="1"/>
  <c r="F53" i="52" a="1"/>
  <c r="F53" i="52" s="1"/>
  <c r="F57" i="52" a="1"/>
  <c r="F57" i="52" s="1"/>
  <c r="F200" i="52" a="1"/>
  <c r="F200" i="52" s="1"/>
  <c r="F199" i="52" a="1"/>
  <c r="F199" i="52" s="1"/>
  <c r="F198" i="52" a="1"/>
  <c r="F198" i="52" s="1"/>
  <c r="F196" i="52" a="1"/>
  <c r="F196" i="52" s="1"/>
  <c r="F201" i="52" a="1"/>
  <c r="F201" i="52" s="1"/>
  <c r="F197" i="52" a="1"/>
  <c r="F197" i="52" s="1"/>
  <c r="P164" i="68" a="1"/>
  <c r="P164" i="68" s="1"/>
  <c r="I46" i="68" a="1"/>
  <c r="I46" i="68" s="1"/>
  <c r="G16" i="61"/>
  <c r="I144" i="68" a="1"/>
  <c r="I144" i="68" s="1"/>
  <c r="I56" i="68" a="1"/>
  <c r="I56" i="68" s="1"/>
  <c r="S57" i="68" s="1"/>
  <c r="P122" i="68" a="1"/>
  <c r="P122" i="68" s="1"/>
  <c r="T123" i="68" s="1"/>
  <c r="I71" i="68" a="1"/>
  <c r="I71" i="68" s="1"/>
  <c r="S72" i="68" s="1"/>
  <c r="P14" i="66" a="1"/>
  <c r="P14" i="66" s="1"/>
  <c r="P110" i="66" a="1"/>
  <c r="P110" i="66" s="1"/>
  <c r="T111" i="66" s="1"/>
  <c r="P26" i="66" a="1"/>
  <c r="P26" i="66" s="1"/>
  <c r="T27" i="66" s="1"/>
  <c r="P46" i="68" a="1"/>
  <c r="P46" i="68" s="1"/>
  <c r="I135" i="68" a="1"/>
  <c r="I135" i="68" s="1"/>
  <c r="S136" i="68" s="1"/>
  <c r="I113" i="68" a="1"/>
  <c r="I113" i="68" s="1"/>
  <c r="I154" i="68" a="1"/>
  <c r="I154" i="68" s="1"/>
  <c r="S155" i="68" s="1"/>
  <c r="P12" i="68" a="1"/>
  <c r="P12" i="68" s="1"/>
  <c r="P71" i="68" a="1"/>
  <c r="P71" i="68" s="1"/>
  <c r="T72" i="68" s="1"/>
  <c r="P154" i="68" a="1"/>
  <c r="P154" i="68" s="1"/>
  <c r="T155" i="68" s="1"/>
  <c r="I90" i="68" a="1"/>
  <c r="I90" i="68" s="1"/>
  <c r="S91" i="68" s="1"/>
  <c r="P68" i="66" a="1"/>
  <c r="P68" i="66" s="1"/>
  <c r="T69" i="66" s="1"/>
  <c r="I37" i="68" a="1"/>
  <c r="I37" i="68" s="1"/>
  <c r="S38" i="68" s="1"/>
  <c r="I110" i="66" a="1"/>
  <c r="I110" i="66" s="1"/>
  <c r="S111" i="66" s="1"/>
  <c r="I45" i="66" a="1"/>
  <c r="I45" i="66" s="1"/>
  <c r="S46" i="66" s="1"/>
  <c r="P98" i="66" a="1"/>
  <c r="P98" i="66" s="1"/>
  <c r="P75" i="66" a="1"/>
  <c r="P75" i="66" s="1"/>
  <c r="T76" i="66" s="1"/>
  <c r="P152" i="66" a="1"/>
  <c r="P152" i="66" s="1"/>
  <c r="T153" i="66" s="1"/>
  <c r="I61" i="68" a="1"/>
  <c r="I61" i="68" s="1"/>
  <c r="S62" i="68" s="1"/>
  <c r="I159" i="66" a="1"/>
  <c r="I159" i="66" s="1"/>
  <c r="S160" i="66" s="1"/>
  <c r="I95" i="68" a="1"/>
  <c r="I95" i="68" s="1"/>
  <c r="S96" i="68" s="1"/>
  <c r="I126" i="68" a="1"/>
  <c r="I126" i="68" s="1"/>
  <c r="S127" i="68" s="1"/>
  <c r="P105" i="68" a="1"/>
  <c r="P105" i="68" s="1"/>
  <c r="T106" i="68" s="1"/>
  <c r="I12" i="68" a="1"/>
  <c r="I12" i="68" s="1"/>
  <c r="P22" i="68" a="1"/>
  <c r="P22" i="68" s="1"/>
  <c r="T23" i="68" s="1"/>
  <c r="P117" i="66" a="1"/>
  <c r="P117" i="66" s="1"/>
  <c r="T118" i="66" s="1"/>
  <c r="I194" i="66" a="1"/>
  <c r="I194" i="66" s="1"/>
  <c r="S195" i="66" s="1"/>
  <c r="P33" i="66" a="1"/>
  <c r="P33" i="66" s="1"/>
  <c r="T34" i="66" s="1"/>
  <c r="P56" i="66" a="1"/>
  <c r="P56" i="66" s="1"/>
  <c r="P129" i="66" a="1"/>
  <c r="P129" i="66" s="1"/>
  <c r="T130" i="66" s="1"/>
  <c r="P194" i="66" a="1"/>
  <c r="P194" i="66" s="1"/>
  <c r="T195" i="66" s="1"/>
  <c r="P171" i="66" a="1"/>
  <c r="P171" i="66" s="1"/>
  <c r="T172" i="66" s="1"/>
  <c r="P140" i="66" a="1"/>
  <c r="P140" i="66" s="1"/>
  <c r="P87" i="66" a="1"/>
  <c r="P87" i="66" s="1"/>
  <c r="T88" i="66" s="1"/>
  <c r="P61" i="68" a="1"/>
  <c r="P61" i="68" s="1"/>
  <c r="T62" i="68" s="1"/>
  <c r="P95" i="68" a="1"/>
  <c r="P95" i="68" s="1"/>
  <c r="T96" i="68" s="1"/>
  <c r="P27" i="68" a="1"/>
  <c r="P27" i="68" s="1"/>
  <c r="T28" i="68" s="1"/>
  <c r="I164" i="68" a="1"/>
  <c r="I164" i="68" s="1"/>
  <c r="S165" i="68" s="1"/>
  <c r="I152" i="66" a="1"/>
  <c r="I152" i="66" s="1"/>
  <c r="S153" i="66" s="1"/>
  <c r="I129" i="66" a="1"/>
  <c r="I129" i="66" s="1"/>
  <c r="S130" i="66" s="1"/>
  <c r="P56" i="68" a="1"/>
  <c r="P56" i="68" s="1"/>
  <c r="T57" i="68" s="1"/>
  <c r="I80" i="68" a="1"/>
  <c r="I80" i="68" s="1"/>
  <c r="S81" i="68" s="1"/>
  <c r="P80" i="68" a="1"/>
  <c r="P80" i="68" s="1"/>
  <c r="I56" i="66" a="1"/>
  <c r="I56" i="66" s="1"/>
  <c r="S57" i="66" s="1"/>
  <c r="I206" i="66" a="1"/>
  <c r="I206" i="66" s="1"/>
  <c r="S207" i="66" s="1"/>
  <c r="I105" i="68" a="1"/>
  <c r="I105" i="68" s="1"/>
  <c r="S106" i="68" s="1"/>
  <c r="I171" i="66" a="1"/>
  <c r="I171" i="66" s="1"/>
  <c r="S172" i="66" s="1"/>
  <c r="I75" i="66" a="1"/>
  <c r="I75" i="66" s="1"/>
  <c r="S76" i="66" s="1"/>
  <c r="P90" i="68" a="1"/>
  <c r="P90" i="68" s="1"/>
  <c r="T91" i="68" s="1"/>
  <c r="P37" i="68" a="1"/>
  <c r="P37" i="68" s="1"/>
  <c r="T38" i="68" s="1"/>
  <c r="P45" i="66" a="1"/>
  <c r="P45" i="66" s="1"/>
  <c r="T46" i="66" s="1"/>
  <c r="I27" i="68" a="1"/>
  <c r="I27" i="68" s="1"/>
  <c r="S28" i="68" s="1"/>
  <c r="P126" i="68" a="1"/>
  <c r="P126" i="68" s="1"/>
  <c r="T127" i="68" s="1"/>
  <c r="P159" i="66" a="1"/>
  <c r="P159" i="66" s="1"/>
  <c r="T160" i="66" s="1"/>
  <c r="P206" i="66" a="1"/>
  <c r="P206" i="66" s="1"/>
  <c r="T207" i="66" s="1"/>
  <c r="P182" i="66" a="1"/>
  <c r="P182" i="66" s="1"/>
  <c r="T183" i="66" s="1"/>
  <c r="I117" i="66" a="1"/>
  <c r="I117" i="66" s="1"/>
  <c r="S118" i="66" s="1"/>
  <c r="I98" i="66" a="1"/>
  <c r="I98" i="66" s="1"/>
  <c r="I87" i="66" a="1"/>
  <c r="I87" i="66" s="1"/>
  <c r="S88" i="66" s="1"/>
  <c r="I26" i="66" a="1"/>
  <c r="I26" i="66" s="1"/>
  <c r="S27" i="66" s="1"/>
  <c r="I68" i="66" a="1"/>
  <c r="I68" i="66" s="1"/>
  <c r="S69" i="66" s="1"/>
  <c r="I14" i="66" a="1"/>
  <c r="I14" i="66" s="1"/>
  <c r="I22" i="68" a="1"/>
  <c r="I22" i="68" s="1"/>
  <c r="S23" i="68" s="1"/>
  <c r="P144" i="68" a="1"/>
  <c r="P144" i="68" s="1"/>
  <c r="I122" i="68" a="1"/>
  <c r="I122" i="68" s="1"/>
  <c r="S123" i="68" s="1"/>
  <c r="I140" i="66" a="1"/>
  <c r="I140" i="66" s="1"/>
  <c r="S141" i="66" s="1"/>
  <c r="I182" i="66" a="1"/>
  <c r="I182" i="66" s="1"/>
  <c r="I33" i="66" a="1"/>
  <c r="I33" i="66" s="1"/>
  <c r="S34" i="66" s="1"/>
  <c r="D13" i="53" a="1"/>
  <c r="D13" i="53" s="1"/>
  <c r="G18" i="61"/>
  <c r="F16" i="57"/>
  <c r="F28" i="57"/>
  <c r="F34" i="57"/>
  <c r="F22" i="57"/>
  <c r="D15" i="57"/>
  <c r="F33" i="57"/>
  <c r="C12" i="80" a="1"/>
  <c r="C12" i="80" s="1"/>
  <c r="C11" i="80" s="1"/>
  <c r="D12" i="80" a="1"/>
  <c r="D12" i="80" s="1"/>
  <c r="D11" i="80" s="1"/>
  <c r="F9" i="52" a="1"/>
  <c r="F9" i="52" s="1"/>
  <c r="J9" i="52" s="1"/>
  <c r="F111" i="68" a="1"/>
  <c r="F111" i="68" s="1"/>
  <c r="C12" i="81" a="1"/>
  <c r="C12" i="81" s="1"/>
  <c r="C11" i="81" s="1"/>
  <c r="C12" i="82" a="1"/>
  <c r="C12" i="82" s="1"/>
  <c r="C11" i="82" s="1"/>
  <c r="D12" i="53" a="1"/>
  <c r="D12" i="53" s="1"/>
  <c r="D12" i="81" a="1"/>
  <c r="D12" i="81" s="1"/>
  <c r="D11" i="81" s="1"/>
  <c r="D11" i="82"/>
  <c r="Q68" i="68"/>
  <c r="G17" i="61"/>
  <c r="G14" i="61"/>
  <c r="F119" i="68" a="1"/>
  <c r="F119" i="68" s="1"/>
  <c r="F114" i="68" a="1"/>
  <c r="F114" i="68" s="1"/>
  <c r="F141" i="66" a="1"/>
  <c r="F141" i="66" s="1"/>
  <c r="F81" i="68" a="1"/>
  <c r="F81" i="68" s="1"/>
  <c r="F183" i="66" a="1"/>
  <c r="F183" i="66" s="1"/>
  <c r="F145" i="68" a="1"/>
  <c r="F145" i="68" s="1"/>
  <c r="F47" i="68" a="1"/>
  <c r="F47" i="68" s="1"/>
  <c r="F57" i="66" a="1"/>
  <c r="F57" i="66" s="1"/>
  <c r="Q133" i="68"/>
  <c r="Q34" i="68"/>
  <c r="J68" i="68"/>
  <c r="J133" i="68"/>
  <c r="J161" i="68"/>
  <c r="J34" i="68"/>
  <c r="Q161" i="68"/>
  <c r="Q102" i="68"/>
  <c r="J102" i="68"/>
  <c r="Q203" i="66"/>
  <c r="Q84" i="66"/>
  <c r="J162" i="68"/>
  <c r="J84" i="66"/>
  <c r="Q168" i="66"/>
  <c r="M168" i="66" s="1"/>
  <c r="J42" i="66"/>
  <c r="J203" i="66"/>
  <c r="Q70" i="68"/>
  <c r="Q163" i="68"/>
  <c r="Q35" i="68"/>
  <c r="Q36" i="68"/>
  <c r="I52" i="68"/>
  <c r="J134" i="68"/>
  <c r="P52" i="68"/>
  <c r="J70" i="68"/>
  <c r="Q104" i="68"/>
  <c r="Q69" i="68"/>
  <c r="P150" i="68"/>
  <c r="Q103" i="68"/>
  <c r="Q134" i="68"/>
  <c r="T165" i="68"/>
  <c r="I150" i="68"/>
  <c r="P86" i="68"/>
  <c r="P119" i="68"/>
  <c r="T136" i="68"/>
  <c r="J103" i="68"/>
  <c r="Q162" i="68"/>
  <c r="P18" i="68"/>
  <c r="F12" i="68" a="1"/>
  <c r="F12" i="68" s="1"/>
  <c r="F9" i="68" a="1"/>
  <c r="F9" i="68" s="1"/>
  <c r="F20" i="66" a="1"/>
  <c r="F20" i="66" s="1"/>
  <c r="F188" i="66" a="1"/>
  <c r="F188" i="66" s="1"/>
  <c r="F150" i="68" a="1"/>
  <c r="F150" i="68" s="1"/>
  <c r="Q126" i="66"/>
  <c r="M126" i="66" s="1"/>
  <c r="I119" i="68"/>
  <c r="J69" i="68"/>
  <c r="J104" i="68"/>
  <c r="F137" i="66" a="1"/>
  <c r="F137" i="66" s="1"/>
  <c r="Q137" i="66" s="1"/>
  <c r="F113" i="68" a="1"/>
  <c r="F113" i="68" s="1"/>
  <c r="F112" i="68" a="1"/>
  <c r="F112" i="68" s="1"/>
  <c r="J112" i="68" s="1"/>
  <c r="F53" i="66" a="1"/>
  <c r="F53" i="66" s="1"/>
  <c r="J53" i="66" s="1"/>
  <c r="F46" i="68" a="1"/>
  <c r="F46" i="68" s="1"/>
  <c r="F43" i="68" a="1"/>
  <c r="F43" i="68" s="1"/>
  <c r="F44" i="68" a="1"/>
  <c r="F44" i="68" s="1"/>
  <c r="J44" i="68" s="1"/>
  <c r="F45" i="68" a="1"/>
  <c r="F45" i="68" s="1"/>
  <c r="Q45" i="68" s="1"/>
  <c r="J163" i="68"/>
  <c r="J36" i="68"/>
  <c r="I18" i="68"/>
  <c r="I29" i="68" s="1"/>
  <c r="F62" i="66" a="1"/>
  <c r="F62" i="66" s="1"/>
  <c r="F52" i="68" a="1"/>
  <c r="F52" i="68" s="1"/>
  <c r="F104" i="66" a="1"/>
  <c r="F104" i="66" s="1"/>
  <c r="F86" i="68" a="1"/>
  <c r="F86" i="68" s="1"/>
  <c r="F95" i="66" a="1"/>
  <c r="F95" i="66" s="1"/>
  <c r="Q95" i="66" s="1"/>
  <c r="F80" i="68" a="1"/>
  <c r="F80" i="68" s="1"/>
  <c r="F78" i="68" a="1"/>
  <c r="F78" i="68" s="1"/>
  <c r="Q78" i="68" s="1"/>
  <c r="F79" i="68" a="1"/>
  <c r="F79" i="68" s="1"/>
  <c r="J79" i="68" s="1"/>
  <c r="F77" i="68" a="1"/>
  <c r="F77" i="68" s="1"/>
  <c r="F179" i="66" a="1"/>
  <c r="F179" i="66" s="1"/>
  <c r="J179" i="66" s="1"/>
  <c r="F144" i="68" a="1"/>
  <c r="F144" i="68" s="1"/>
  <c r="F142" i="68" a="1"/>
  <c r="F142" i="68" s="1"/>
  <c r="Q142" i="68" s="1"/>
  <c r="F143" i="68" a="1"/>
  <c r="F143" i="68" s="1"/>
  <c r="J143" i="68" s="1"/>
  <c r="F141" i="68" a="1"/>
  <c r="F141" i="68" s="1"/>
  <c r="Q42" i="66"/>
  <c r="J35" i="68"/>
  <c r="F96" i="66" a="1"/>
  <c r="F96" i="66" s="1"/>
  <c r="F93" i="66" a="1"/>
  <c r="F93" i="66" s="1"/>
  <c r="F97" i="66" a="1"/>
  <c r="F97" i="66" s="1"/>
  <c r="F94" i="66" a="1"/>
  <c r="F94" i="66" s="1"/>
  <c r="F98" i="66" a="1"/>
  <c r="F98" i="66" s="1"/>
  <c r="F181" i="66" a="1"/>
  <c r="F181" i="66" s="1"/>
  <c r="F178" i="66" a="1"/>
  <c r="F178" i="66" s="1"/>
  <c r="F182" i="66" a="1"/>
  <c r="F182" i="66" s="1"/>
  <c r="F180" i="66" a="1"/>
  <c r="F180" i="66" s="1"/>
  <c r="F177" i="66" a="1"/>
  <c r="F177" i="66" s="1"/>
  <c r="F13" i="66" a="1"/>
  <c r="F13" i="66" s="1"/>
  <c r="J13" i="66" s="1"/>
  <c r="F14" i="66" a="1"/>
  <c r="F14" i="66" s="1"/>
  <c r="F10" i="66" a="1"/>
  <c r="F10" i="66" s="1"/>
  <c r="J10" i="66" s="1"/>
  <c r="F12" i="66" a="1"/>
  <c r="F12" i="66" s="1"/>
  <c r="Q12" i="66" s="1"/>
  <c r="F146" i="66" a="1"/>
  <c r="F146" i="66" s="1"/>
  <c r="F138" i="66" a="1"/>
  <c r="F138" i="66" s="1"/>
  <c r="F136" i="66" a="1"/>
  <c r="F136" i="66" s="1"/>
  <c r="F140" i="66" a="1"/>
  <c r="F140" i="66" s="1"/>
  <c r="F139" i="66" a="1"/>
  <c r="F139" i="66" s="1"/>
  <c r="F135" i="66" a="1"/>
  <c r="F135" i="66" s="1"/>
  <c r="F54" i="66" a="1"/>
  <c r="F54" i="66" s="1"/>
  <c r="F52" i="66" a="1"/>
  <c r="F52" i="66" s="1"/>
  <c r="F55" i="66" a="1"/>
  <c r="F55" i="66" s="1"/>
  <c r="F51" i="66" a="1"/>
  <c r="F51" i="66" s="1"/>
  <c r="F56" i="66" a="1"/>
  <c r="F56" i="66" s="1"/>
  <c r="F88" i="52" a="1"/>
  <c r="F88" i="52" s="1"/>
  <c r="F86" i="52" a="1"/>
  <c r="F86" i="52" s="1"/>
  <c r="F87" i="52" a="1"/>
  <c r="F87" i="52" s="1"/>
  <c r="F85" i="52" a="1"/>
  <c r="F85" i="52" s="1"/>
  <c r="F89" i="52" a="1"/>
  <c r="F89" i="52" s="1"/>
  <c r="F42" i="52" a="1"/>
  <c r="F42" i="52" s="1"/>
  <c r="F45" i="52" a="1"/>
  <c r="F45" i="52" s="1"/>
  <c r="F43" i="52" a="1"/>
  <c r="F43" i="52" s="1"/>
  <c r="F46" i="52" a="1"/>
  <c r="F46" i="52" s="1"/>
  <c r="F44" i="52" a="1"/>
  <c r="F44" i="52" s="1"/>
  <c r="F206" i="66" a="1"/>
  <c r="F206" i="66" s="1"/>
  <c r="F201" i="66" a="1"/>
  <c r="F201" i="66" s="1"/>
  <c r="F202" i="66" a="1"/>
  <c r="F202" i="66" s="1"/>
  <c r="F204" i="66" a="1"/>
  <c r="F204" i="66" s="1"/>
  <c r="F205" i="66" a="1"/>
  <c r="F205" i="66" s="1"/>
  <c r="F129" i="66" a="1"/>
  <c r="F129" i="66" s="1"/>
  <c r="F124" i="66" a="1"/>
  <c r="F124" i="66" s="1"/>
  <c r="F125" i="66" a="1"/>
  <c r="F125" i="66" s="1"/>
  <c r="F128" i="66" a="1"/>
  <c r="F128" i="66" s="1"/>
  <c r="F127" i="66" a="1"/>
  <c r="F127" i="66" s="1"/>
  <c r="F87" i="66" a="1"/>
  <c r="F87" i="66" s="1"/>
  <c r="F82" i="66" a="1"/>
  <c r="F82" i="66" s="1"/>
  <c r="F86" i="66" a="1"/>
  <c r="F86" i="66" s="1"/>
  <c r="F85" i="66" a="1"/>
  <c r="F85" i="66" s="1"/>
  <c r="F83" i="66" a="1"/>
  <c r="F83" i="66" s="1"/>
  <c r="F171" i="66" a="1"/>
  <c r="F171" i="66" s="1"/>
  <c r="F166" i="66" a="1"/>
  <c r="F166" i="66" s="1"/>
  <c r="F169" i="66" a="1"/>
  <c r="F169" i="66" s="1"/>
  <c r="F170" i="66" a="1"/>
  <c r="F170" i="66" s="1"/>
  <c r="F167" i="66" a="1"/>
  <c r="F167" i="66" s="1"/>
  <c r="F41" i="66" a="1"/>
  <c r="F41" i="66" s="1"/>
  <c r="F40" i="66" a="1"/>
  <c r="F40" i="66" s="1"/>
  <c r="F43" i="66" a="1"/>
  <c r="F43" i="66" s="1"/>
  <c r="F44" i="66" a="1"/>
  <c r="F44" i="66" s="1"/>
  <c r="F45" i="66" a="1"/>
  <c r="F45" i="66" s="1"/>
  <c r="H14" i="61"/>
  <c r="H15" i="61"/>
  <c r="F171" i="52" a="1"/>
  <c r="F171" i="52" s="1"/>
  <c r="F37" i="52" a="1"/>
  <c r="F37" i="52" s="1"/>
  <c r="F208" i="52" a="1"/>
  <c r="F208" i="52" s="1"/>
  <c r="H16" i="61"/>
  <c r="H17" i="61"/>
  <c r="F127" i="52" a="1"/>
  <c r="F127" i="52" s="1"/>
  <c r="H18" i="61"/>
  <c r="D33" i="57" a="1"/>
  <c r="F27" i="57" a="1"/>
  <c r="D27" i="57" a="1"/>
  <c r="F10" i="57" a="1"/>
  <c r="D21" i="57" a="1"/>
  <c r="F21" i="57" a="1"/>
  <c r="F9" i="57" a="1"/>
  <c r="M213" i="52" l="1"/>
  <c r="I71" i="83"/>
  <c r="K71" i="83"/>
  <c r="K57" i="83"/>
  <c r="I57" i="83"/>
  <c r="K71" i="85"/>
  <c r="I71" i="85"/>
  <c r="I71" i="84"/>
  <c r="K71" i="84"/>
  <c r="I50" i="84"/>
  <c r="K50" i="84"/>
  <c r="I57" i="85"/>
  <c r="K57" i="85"/>
  <c r="K64" i="83"/>
  <c r="I64" i="83"/>
  <c r="K78" i="83"/>
  <c r="I78" i="83"/>
  <c r="K78" i="84"/>
  <c r="I78" i="84"/>
  <c r="K50" i="83"/>
  <c r="I50" i="83"/>
  <c r="K57" i="84"/>
  <c r="I57" i="84"/>
  <c r="I64" i="85"/>
  <c r="K64" i="85"/>
  <c r="K64" i="84"/>
  <c r="I64" i="84"/>
  <c r="I50" i="85"/>
  <c r="K50" i="85"/>
  <c r="M177" i="52"/>
  <c r="K78" i="85"/>
  <c r="I78" i="85"/>
  <c r="M176" i="52"/>
  <c r="M181" i="52"/>
  <c r="K179" i="52"/>
  <c r="K180" i="52"/>
  <c r="M215" i="52"/>
  <c r="K133" i="52"/>
  <c r="M135" i="52"/>
  <c r="M214" i="52"/>
  <c r="M132" i="52"/>
  <c r="M134" i="52"/>
  <c r="K216" i="52"/>
  <c r="M218" i="52"/>
  <c r="J219" i="52"/>
  <c r="M219" i="52" s="1"/>
  <c r="K217" i="52"/>
  <c r="J200" i="52"/>
  <c r="Q200" i="52"/>
  <c r="J190" i="52"/>
  <c r="Q190" i="52"/>
  <c r="M182" i="52"/>
  <c r="J196" i="52"/>
  <c r="Q196" i="52"/>
  <c r="J186" i="52"/>
  <c r="Q186" i="52"/>
  <c r="J198" i="52"/>
  <c r="Q198" i="52"/>
  <c r="Q188" i="52"/>
  <c r="J188" i="52"/>
  <c r="Q197" i="52"/>
  <c r="J197" i="52"/>
  <c r="Q199" i="52"/>
  <c r="J199" i="52"/>
  <c r="J187" i="52"/>
  <c r="Q187" i="52"/>
  <c r="J189" i="52"/>
  <c r="Q189" i="52"/>
  <c r="Q52" i="52"/>
  <c r="J52" i="52"/>
  <c r="J86" i="52"/>
  <c r="Q86" i="52"/>
  <c r="J53" i="52"/>
  <c r="Q53" i="52"/>
  <c r="Q54" i="52"/>
  <c r="J54" i="52"/>
  <c r="J87" i="52"/>
  <c r="Q87" i="52"/>
  <c r="Q89" i="52"/>
  <c r="J89" i="52"/>
  <c r="Q88" i="52"/>
  <c r="J88" i="52"/>
  <c r="Q55" i="52"/>
  <c r="J55" i="52"/>
  <c r="Q85" i="52"/>
  <c r="J85" i="52"/>
  <c r="Q56" i="52"/>
  <c r="J56" i="52"/>
  <c r="J183" i="52"/>
  <c r="M183" i="52" s="1"/>
  <c r="J44" i="52"/>
  <c r="Q44" i="52"/>
  <c r="Q42" i="52"/>
  <c r="J42" i="52"/>
  <c r="J43" i="52"/>
  <c r="Q43" i="52"/>
  <c r="J46" i="52"/>
  <c r="Q46" i="52"/>
  <c r="J45" i="52"/>
  <c r="Q45" i="52"/>
  <c r="Q9" i="52"/>
  <c r="F21" i="57"/>
  <c r="F9" i="57"/>
  <c r="F18" i="68" a="1"/>
  <c r="F18" i="68" s="1"/>
  <c r="Q18" i="68" s="1"/>
  <c r="D11" i="53"/>
  <c r="F64" i="52" a="1"/>
  <c r="F64" i="52" s="1"/>
  <c r="D12" i="79" a="1"/>
  <c r="D12" i="79" s="1"/>
  <c r="F11" i="68" a="1"/>
  <c r="F11" i="68" s="1"/>
  <c r="J11" i="68" s="1"/>
  <c r="F11" i="66" a="1"/>
  <c r="F11" i="66" s="1"/>
  <c r="J11" i="66" s="1"/>
  <c r="F13" i="68" a="1"/>
  <c r="F13" i="68" s="1"/>
  <c r="J13" i="68" s="1"/>
  <c r="F9" i="66" a="1"/>
  <c r="F9" i="66" s="1"/>
  <c r="J9" i="66" s="1"/>
  <c r="F10" i="68" a="1"/>
  <c r="F10" i="68" s="1"/>
  <c r="J10" i="68" s="1"/>
  <c r="F15" i="66" a="1"/>
  <c r="F15" i="66" s="1"/>
  <c r="J15" i="66" s="1"/>
  <c r="F99" i="66" a="1"/>
  <c r="F99" i="66" s="1"/>
  <c r="J99" i="66" s="1"/>
  <c r="C12" i="53" a="1"/>
  <c r="C12" i="53" s="1"/>
  <c r="C11" i="53" s="1"/>
  <c r="F67" i="52" a="1"/>
  <c r="F67" i="52" s="1"/>
  <c r="F66" i="52" a="1"/>
  <c r="F66" i="52" s="1"/>
  <c r="F63" i="52" a="1"/>
  <c r="F63" i="52" s="1"/>
  <c r="F65" i="52" a="1"/>
  <c r="F65" i="52" s="1"/>
  <c r="F62" i="52" a="1"/>
  <c r="F62" i="52" s="1"/>
  <c r="F14" i="52" a="1"/>
  <c r="F14" i="52" s="1"/>
  <c r="F10" i="52" a="1"/>
  <c r="F10" i="52" s="1"/>
  <c r="F12" i="52" a="1"/>
  <c r="F12" i="52" s="1"/>
  <c r="F11" i="52" a="1"/>
  <c r="F11" i="52" s="1"/>
  <c r="F13" i="52" a="1"/>
  <c r="F13" i="52" s="1"/>
  <c r="J13" i="52" s="1"/>
  <c r="S15" i="66"/>
  <c r="J14" i="66"/>
  <c r="F204" i="52" a="1"/>
  <c r="F204" i="52" s="1"/>
  <c r="F203" i="52" a="1"/>
  <c r="F203" i="52" s="1"/>
  <c r="F207" i="52" a="1"/>
  <c r="F207" i="52" s="1"/>
  <c r="F206" i="52" a="1"/>
  <c r="F206" i="52" s="1"/>
  <c r="F202" i="52" a="1"/>
  <c r="F202" i="52" s="1"/>
  <c r="F205" i="52" a="1"/>
  <c r="F205" i="52" s="1"/>
  <c r="F30" i="52" a="1"/>
  <c r="F30" i="52" s="1"/>
  <c r="F26" i="52" a="1"/>
  <c r="F26" i="52" s="1"/>
  <c r="F25" i="52" a="1"/>
  <c r="F25" i="52" s="1"/>
  <c r="F28" i="52" a="1"/>
  <c r="F28" i="52" s="1"/>
  <c r="F29" i="52" a="1"/>
  <c r="F29" i="52" s="1"/>
  <c r="F27" i="52" a="1"/>
  <c r="F27" i="52" s="1"/>
  <c r="F22" i="52" a="1"/>
  <c r="F22" i="52" s="1"/>
  <c r="J22" i="52" s="1"/>
  <c r="F24" i="52" a="1"/>
  <c r="F24" i="52" s="1"/>
  <c r="F20" i="52" a="1"/>
  <c r="F20" i="52" s="1"/>
  <c r="F23" i="52" a="1"/>
  <c r="F23" i="52" s="1"/>
  <c r="J23" i="52" s="1"/>
  <c r="F19" i="52" a="1"/>
  <c r="F19" i="52" s="1"/>
  <c r="F21" i="52" a="1"/>
  <c r="F21" i="52" s="1"/>
  <c r="Q10" i="66"/>
  <c r="J12" i="66"/>
  <c r="Q13" i="66"/>
  <c r="F98" i="52" a="1"/>
  <c r="F98" i="52" s="1"/>
  <c r="F97" i="52" a="1"/>
  <c r="F97" i="52" s="1"/>
  <c r="F100" i="52" a="1"/>
  <c r="F100" i="52" s="1"/>
  <c r="F96" i="52" a="1"/>
  <c r="F96" i="52" s="1"/>
  <c r="F101" i="52" a="1"/>
  <c r="F101" i="52" s="1"/>
  <c r="F99" i="52" a="1"/>
  <c r="F99" i="52" s="1"/>
  <c r="F95" i="52" a="1"/>
  <c r="F95" i="52" s="1"/>
  <c r="F118" i="52" a="1"/>
  <c r="F118" i="52" s="1"/>
  <c r="F114" i="52" a="1"/>
  <c r="F114" i="52" s="1"/>
  <c r="F113" i="52" a="1"/>
  <c r="F113" i="52" s="1"/>
  <c r="F116" i="52" a="1"/>
  <c r="F116" i="52" s="1"/>
  <c r="F117" i="52" a="1"/>
  <c r="F117" i="52" s="1"/>
  <c r="F119" i="52" a="1"/>
  <c r="F119" i="52" s="1"/>
  <c r="F115" i="52" a="1"/>
  <c r="F115" i="52" s="1"/>
  <c r="F163" i="52" a="1"/>
  <c r="F163" i="52" s="1"/>
  <c r="F161" i="52" a="1"/>
  <c r="F161" i="52" s="1"/>
  <c r="F159" i="52" a="1"/>
  <c r="F159" i="52" s="1"/>
  <c r="F164" i="52" a="1"/>
  <c r="F164" i="52" s="1"/>
  <c r="F162" i="52" a="1"/>
  <c r="F162" i="52" s="1"/>
  <c r="F160" i="52" a="1"/>
  <c r="F160" i="52" s="1"/>
  <c r="F72" i="52" a="1"/>
  <c r="F72" i="52" s="1"/>
  <c r="F68" i="52" a="1"/>
  <c r="F68" i="52" s="1"/>
  <c r="F71" i="52" a="1"/>
  <c r="F71" i="52" s="1"/>
  <c r="F70" i="52" a="1"/>
  <c r="F70" i="52" s="1"/>
  <c r="F73" i="52" a="1"/>
  <c r="F73" i="52" s="1"/>
  <c r="F69" i="52" a="1"/>
  <c r="F69" i="52" s="1"/>
  <c r="F157" i="52" a="1"/>
  <c r="F157" i="52" s="1"/>
  <c r="F155" i="52" a="1"/>
  <c r="F155" i="52" s="1"/>
  <c r="F153" i="52" a="1"/>
  <c r="F153" i="52" s="1"/>
  <c r="F158" i="52" a="1"/>
  <c r="F158" i="52" s="1"/>
  <c r="F156" i="52" a="1"/>
  <c r="F156" i="52" s="1"/>
  <c r="F154" i="52" a="1"/>
  <c r="F154" i="52" s="1"/>
  <c r="F145" i="52" a="1"/>
  <c r="F145" i="52" s="1"/>
  <c r="F147" i="52" a="1"/>
  <c r="F147" i="52" s="1"/>
  <c r="F143" i="52" a="1"/>
  <c r="F143" i="52" s="1"/>
  <c r="F144" i="52" a="1"/>
  <c r="F144" i="52" s="1"/>
  <c r="F146" i="52" a="1"/>
  <c r="F146" i="52" s="1"/>
  <c r="F148" i="52" a="1"/>
  <c r="F148" i="52" s="1"/>
  <c r="F110" i="52" a="1"/>
  <c r="F110" i="52" s="1"/>
  <c r="F106" i="52" a="1"/>
  <c r="F106" i="52" s="1"/>
  <c r="F112" i="52" a="1"/>
  <c r="F112" i="52" s="1"/>
  <c r="F108" i="52" a="1"/>
  <c r="F108" i="52" s="1"/>
  <c r="F111" i="52" a="1"/>
  <c r="F111" i="52" s="1"/>
  <c r="F107" i="52" a="1"/>
  <c r="F107" i="52" s="1"/>
  <c r="F109" i="52" a="1"/>
  <c r="F109" i="52" s="1"/>
  <c r="Q14" i="66"/>
  <c r="F27" i="57"/>
  <c r="R215" i="52"/>
  <c r="F10" i="57"/>
  <c r="D27" i="57"/>
  <c r="D33" i="57"/>
  <c r="D21" i="57"/>
  <c r="M68" i="68"/>
  <c r="T47" i="68"/>
  <c r="T145" i="68"/>
  <c r="S99" i="66"/>
  <c r="T141" i="66"/>
  <c r="T81" i="68"/>
  <c r="T57" i="66"/>
  <c r="S145" i="68"/>
  <c r="T99" i="66"/>
  <c r="T15" i="66"/>
  <c r="T114" i="68"/>
  <c r="S114" i="68"/>
  <c r="S47" i="68"/>
  <c r="S183" i="66"/>
  <c r="S13" i="68"/>
  <c r="T13" i="68"/>
  <c r="F161" i="66" a="1"/>
  <c r="F161" i="66" s="1"/>
  <c r="F128" i="68" a="1"/>
  <c r="F128" i="68" s="1"/>
  <c r="F97" i="68" a="1"/>
  <c r="F97" i="68" s="1"/>
  <c r="F119" i="66" a="1"/>
  <c r="F119" i="66" s="1"/>
  <c r="F35" i="66" a="1"/>
  <c r="F35" i="66" s="1"/>
  <c r="F29" i="68" a="1"/>
  <c r="F29" i="68" s="1"/>
  <c r="F63" i="68" a="1"/>
  <c r="F63" i="68" s="1"/>
  <c r="F77" i="66" a="1"/>
  <c r="F77" i="66" s="1"/>
  <c r="F156" i="68" a="1"/>
  <c r="F156" i="68" s="1"/>
  <c r="F196" i="66" a="1"/>
  <c r="F196" i="66" s="1"/>
  <c r="F155" i="68" a="1"/>
  <c r="F155" i="68" s="1"/>
  <c r="F195" i="66" a="1"/>
  <c r="F195" i="66" s="1"/>
  <c r="F23" i="68" a="1"/>
  <c r="F23" i="68" s="1"/>
  <c r="F27" i="66" a="1"/>
  <c r="F27" i="66" s="1"/>
  <c r="J81" i="68"/>
  <c r="Q81" i="68"/>
  <c r="F91" i="68" a="1"/>
  <c r="F91" i="68" s="1"/>
  <c r="F111" i="66" a="1"/>
  <c r="F111" i="66" s="1"/>
  <c r="J57" i="66"/>
  <c r="Q57" i="66"/>
  <c r="J145" i="68"/>
  <c r="Q145" i="68"/>
  <c r="Q141" i="66"/>
  <c r="J141" i="66"/>
  <c r="F123" i="68" a="1"/>
  <c r="F123" i="68" s="1"/>
  <c r="F153" i="66" a="1"/>
  <c r="F153" i="66" s="1"/>
  <c r="F57" i="68" a="1"/>
  <c r="F57" i="68" s="1"/>
  <c r="F69" i="66" a="1"/>
  <c r="F69" i="66" s="1"/>
  <c r="J47" i="68"/>
  <c r="Q47" i="68"/>
  <c r="Q183" i="66"/>
  <c r="J183" i="66"/>
  <c r="Q114" i="68"/>
  <c r="J114" i="68"/>
  <c r="M161" i="68"/>
  <c r="M84" i="66"/>
  <c r="Q179" i="66"/>
  <c r="M179" i="66" s="1"/>
  <c r="M34" i="68"/>
  <c r="M133" i="68"/>
  <c r="M102" i="68"/>
  <c r="M162" i="68"/>
  <c r="Q141" i="68"/>
  <c r="J141" i="68"/>
  <c r="Q77" i="68"/>
  <c r="J77" i="68"/>
  <c r="J43" i="68"/>
  <c r="Q43" i="68"/>
  <c r="J111" i="68"/>
  <c r="Q111" i="68"/>
  <c r="Q9" i="68"/>
  <c r="J9" i="68"/>
  <c r="M42" i="66"/>
  <c r="P161" i="66"/>
  <c r="M203" i="66"/>
  <c r="J137" i="66"/>
  <c r="M137" i="66" s="1"/>
  <c r="M70" i="68"/>
  <c r="P119" i="66"/>
  <c r="J95" i="66"/>
  <c r="M95" i="66" s="1"/>
  <c r="Q53" i="66"/>
  <c r="M53" i="66" s="1"/>
  <c r="J71" i="68"/>
  <c r="Q112" i="68"/>
  <c r="M112" i="68" s="1"/>
  <c r="M134" i="68"/>
  <c r="M103" i="68"/>
  <c r="J80" i="68"/>
  <c r="Q44" i="68"/>
  <c r="M44" i="68" s="1"/>
  <c r="J45" i="68"/>
  <c r="M45" i="68" s="1"/>
  <c r="Q164" i="68"/>
  <c r="Q166" i="68" s="1"/>
  <c r="J164" i="68"/>
  <c r="Q144" i="68"/>
  <c r="Q135" i="68"/>
  <c r="J135" i="68"/>
  <c r="Q113" i="68"/>
  <c r="J105" i="68"/>
  <c r="Q105" i="68"/>
  <c r="Q80" i="68"/>
  <c r="Q71" i="68"/>
  <c r="J46" i="68"/>
  <c r="Q37" i="68"/>
  <c r="J37" i="68"/>
  <c r="I156" i="68"/>
  <c r="Q79" i="68"/>
  <c r="M79" i="68" s="1"/>
  <c r="J78" i="68"/>
  <c r="M78" i="68" s="1"/>
  <c r="Q143" i="68"/>
  <c r="M143" i="68" s="1"/>
  <c r="Q12" i="68"/>
  <c r="I128" i="68"/>
  <c r="M35" i="68"/>
  <c r="J12" i="68"/>
  <c r="P128" i="68"/>
  <c r="M104" i="68"/>
  <c r="I86" i="68"/>
  <c r="I97" i="68" s="1"/>
  <c r="Q46" i="68"/>
  <c r="F149" i="66" a="1"/>
  <c r="F149" i="66" s="1"/>
  <c r="J149" i="66" s="1"/>
  <c r="F121" i="68" a="1"/>
  <c r="F121" i="68" s="1"/>
  <c r="F120" i="68" a="1"/>
  <c r="F120" i="68" s="1"/>
  <c r="F122" i="68" a="1"/>
  <c r="F122" i="68" s="1"/>
  <c r="J122" i="68" s="1"/>
  <c r="F65" i="66" a="1"/>
  <c r="F65" i="66" s="1"/>
  <c r="J65" i="66" s="1"/>
  <c r="F56" i="68" a="1"/>
  <c r="F56" i="68" s="1"/>
  <c r="Q56" i="68" s="1"/>
  <c r="F53" i="68" a="1"/>
  <c r="F53" i="68" s="1"/>
  <c r="F54" i="68" a="1"/>
  <c r="F54" i="68" s="1"/>
  <c r="F55" i="68" a="1"/>
  <c r="F55" i="68" s="1"/>
  <c r="I63" i="68"/>
  <c r="J52" i="68"/>
  <c r="M36" i="68"/>
  <c r="P156" i="68"/>
  <c r="J150" i="68"/>
  <c r="J142" i="68"/>
  <c r="J144" i="68"/>
  <c r="F107" i="66" a="1"/>
  <c r="F107" i="66" s="1"/>
  <c r="Q107" i="66" s="1"/>
  <c r="F90" i="68" a="1"/>
  <c r="F90" i="68" s="1"/>
  <c r="J90" i="68" s="1"/>
  <c r="F88" i="68" a="1"/>
  <c r="F88" i="68" s="1"/>
  <c r="F89" i="68" a="1"/>
  <c r="F89" i="68" s="1"/>
  <c r="F87" i="68" a="1"/>
  <c r="F87" i="68" s="1"/>
  <c r="F191" i="66" a="1"/>
  <c r="F191" i="66" s="1"/>
  <c r="J191" i="66" s="1"/>
  <c r="F154" i="68" a="1"/>
  <c r="F154" i="68" s="1"/>
  <c r="J154" i="68" s="1"/>
  <c r="F152" i="68" a="1"/>
  <c r="F152" i="68" s="1"/>
  <c r="F153" i="68" a="1"/>
  <c r="F153" i="68" s="1"/>
  <c r="F151" i="68" a="1"/>
  <c r="F151" i="68" s="1"/>
  <c r="F19" i="68" a="1"/>
  <c r="F19" i="68" s="1"/>
  <c r="F22" i="68" a="1"/>
  <c r="F22" i="68" s="1"/>
  <c r="J22" i="68" s="1"/>
  <c r="F20" i="68" a="1"/>
  <c r="F20" i="68" s="1"/>
  <c r="F21" i="68" a="1"/>
  <c r="F21" i="68" s="1"/>
  <c r="Q86" i="68"/>
  <c r="P63" i="68"/>
  <c r="Q119" i="68"/>
  <c r="M69" i="68"/>
  <c r="P29" i="68"/>
  <c r="J113" i="68"/>
  <c r="J119" i="68"/>
  <c r="M163" i="68"/>
  <c r="Q150" i="68"/>
  <c r="P97" i="68"/>
  <c r="J182" i="66"/>
  <c r="Q182" i="66"/>
  <c r="J140" i="66"/>
  <c r="J56" i="66"/>
  <c r="Q140" i="66"/>
  <c r="Q56" i="66"/>
  <c r="Q45" i="66"/>
  <c r="J206" i="66"/>
  <c r="Q129" i="66"/>
  <c r="J129" i="66"/>
  <c r="J45" i="66"/>
  <c r="J171" i="66"/>
  <c r="P35" i="66"/>
  <c r="J98" i="66"/>
  <c r="J87" i="66"/>
  <c r="Q171" i="66"/>
  <c r="Q87" i="66"/>
  <c r="I119" i="66"/>
  <c r="Q206" i="66"/>
  <c r="Q98" i="66"/>
  <c r="I161" i="66"/>
  <c r="I77" i="66"/>
  <c r="Q62" i="66"/>
  <c r="F21" i="66" a="1"/>
  <c r="F21" i="66" s="1"/>
  <c r="J21" i="66" s="1"/>
  <c r="F23" i="66" a="1"/>
  <c r="F23" i="66" s="1"/>
  <c r="J44" i="66"/>
  <c r="Q44" i="66"/>
  <c r="Q86" i="66"/>
  <c r="J86" i="66"/>
  <c r="Q128" i="66"/>
  <c r="J128" i="66"/>
  <c r="J124" i="66"/>
  <c r="Q124" i="66"/>
  <c r="J205" i="66"/>
  <c r="Q205" i="66"/>
  <c r="Q202" i="66"/>
  <c r="J202" i="66"/>
  <c r="Q54" i="66"/>
  <c r="J54" i="66"/>
  <c r="J139" i="66"/>
  <c r="Q139" i="66"/>
  <c r="J136" i="66"/>
  <c r="Q136" i="66"/>
  <c r="Q180" i="66"/>
  <c r="J180" i="66"/>
  <c r="J181" i="66"/>
  <c r="Q181" i="66"/>
  <c r="J94" i="66"/>
  <c r="Q94" i="66"/>
  <c r="Q167" i="66"/>
  <c r="J167" i="66"/>
  <c r="Q40" i="66"/>
  <c r="J40" i="66"/>
  <c r="J169" i="66"/>
  <c r="Q169" i="66"/>
  <c r="Q83" i="66"/>
  <c r="J83" i="66"/>
  <c r="J125" i="66"/>
  <c r="Q125" i="66"/>
  <c r="J204" i="66"/>
  <c r="Q204" i="66"/>
  <c r="J201" i="66"/>
  <c r="Q201" i="66"/>
  <c r="J138" i="66"/>
  <c r="Q138" i="66"/>
  <c r="Q97" i="66"/>
  <c r="J97" i="66"/>
  <c r="J43" i="66"/>
  <c r="Q43" i="66"/>
  <c r="Q170" i="66"/>
  <c r="J170" i="66"/>
  <c r="Q166" i="66"/>
  <c r="J166" i="66"/>
  <c r="Q85" i="66"/>
  <c r="J85" i="66"/>
  <c r="J127" i="66"/>
  <c r="Q127" i="66"/>
  <c r="J51" i="66"/>
  <c r="Q51" i="66"/>
  <c r="Q93" i="66"/>
  <c r="J93" i="66"/>
  <c r="Q41" i="66"/>
  <c r="J41" i="66"/>
  <c r="Q82" i="66"/>
  <c r="J82" i="66"/>
  <c r="J55" i="66"/>
  <c r="Q55" i="66"/>
  <c r="J52" i="66"/>
  <c r="Q52" i="66"/>
  <c r="J135" i="66"/>
  <c r="Q135" i="66"/>
  <c r="Q177" i="66"/>
  <c r="J177" i="66"/>
  <c r="Q178" i="66"/>
  <c r="J178" i="66"/>
  <c r="Q96" i="66"/>
  <c r="J96" i="66"/>
  <c r="P196" i="66"/>
  <c r="I196" i="66"/>
  <c r="J188" i="66"/>
  <c r="Q188" i="66"/>
  <c r="J104" i="66"/>
  <c r="Q104" i="66"/>
  <c r="P77" i="66"/>
  <c r="Q20" i="66"/>
  <c r="I16" i="61"/>
  <c r="F152" i="66" a="1"/>
  <c r="F152" i="66" s="1"/>
  <c r="F147" i="66" a="1"/>
  <c r="F147" i="66" s="1"/>
  <c r="F148" i="66" a="1"/>
  <c r="F148" i="66" s="1"/>
  <c r="F150" i="66" a="1"/>
  <c r="F150" i="66" s="1"/>
  <c r="F151" i="66" a="1"/>
  <c r="F151" i="66" s="1"/>
  <c r="I15" i="61"/>
  <c r="F68" i="66" a="1"/>
  <c r="F68" i="66" s="1"/>
  <c r="J68" i="66" s="1"/>
  <c r="F63" i="66" a="1"/>
  <c r="F63" i="66" s="1"/>
  <c r="F67" i="66" a="1"/>
  <c r="F67" i="66" s="1"/>
  <c r="F64" i="66" a="1"/>
  <c r="F64" i="66" s="1"/>
  <c r="F66" i="66" a="1"/>
  <c r="F66" i="66" s="1"/>
  <c r="I18" i="61"/>
  <c r="F194" i="66" a="1"/>
  <c r="F194" i="66" s="1"/>
  <c r="Q194" i="66" s="1"/>
  <c r="F189" i="66" a="1"/>
  <c r="F189" i="66" s="1"/>
  <c r="F190" i="66" a="1"/>
  <c r="F190" i="66" s="1"/>
  <c r="F193" i="66" a="1"/>
  <c r="F193" i="66" s="1"/>
  <c r="F192" i="66" a="1"/>
  <c r="F192" i="66" s="1"/>
  <c r="I17" i="61"/>
  <c r="F110" i="66" a="1"/>
  <c r="F110" i="66" s="1"/>
  <c r="J110" i="66" s="1"/>
  <c r="F105" i="66" a="1"/>
  <c r="F105" i="66" s="1"/>
  <c r="F109" i="66" a="1"/>
  <c r="F109" i="66" s="1"/>
  <c r="F108" i="66" a="1"/>
  <c r="F108" i="66" s="1"/>
  <c r="F106" i="66" a="1"/>
  <c r="F106" i="66" s="1"/>
  <c r="F24" i="66" a="1"/>
  <c r="F24" i="66" s="1"/>
  <c r="F26" i="66" a="1"/>
  <c r="F26" i="66" s="1"/>
  <c r="Q26" i="66" s="1"/>
  <c r="F25" i="66" a="1"/>
  <c r="F25" i="66" s="1"/>
  <c r="F22" i="66" a="1"/>
  <c r="F22" i="66" s="1"/>
  <c r="I14" i="61"/>
  <c r="F15" i="57" a="1"/>
  <c r="D9" i="57" a="1"/>
  <c r="J25" i="52" l="1"/>
  <c r="M25" i="52" s="1"/>
  <c r="Q25" i="52"/>
  <c r="T7" i="66"/>
  <c r="R85" i="52"/>
  <c r="Q11" i="66"/>
  <c r="M11" i="66" s="1"/>
  <c r="K87" i="52"/>
  <c r="K86" i="52"/>
  <c r="K85" i="52"/>
  <c r="K188" i="52"/>
  <c r="K187" i="52"/>
  <c r="K186" i="52"/>
  <c r="K54" i="52"/>
  <c r="K53" i="52"/>
  <c r="K196" i="52"/>
  <c r="K198" i="52"/>
  <c r="K197" i="52"/>
  <c r="M186" i="52"/>
  <c r="Q99" i="66"/>
  <c r="Q13" i="68"/>
  <c r="J220" i="52"/>
  <c r="M220" i="52" s="1"/>
  <c r="Q191" i="52"/>
  <c r="Q192" i="52" s="1"/>
  <c r="Q193" i="52" s="1"/>
  <c r="Q201" i="52"/>
  <c r="M187" i="52"/>
  <c r="J111" i="52"/>
  <c r="Q111" i="52"/>
  <c r="J110" i="52"/>
  <c r="Q110" i="52"/>
  <c r="Q116" i="52"/>
  <c r="J116" i="52"/>
  <c r="J95" i="52"/>
  <c r="Q95" i="52"/>
  <c r="Q100" i="52"/>
  <c r="J100" i="52"/>
  <c r="Q206" i="52"/>
  <c r="J206" i="52"/>
  <c r="M189" i="52"/>
  <c r="J191" i="52"/>
  <c r="Q108" i="52"/>
  <c r="J108" i="52"/>
  <c r="Q115" i="52"/>
  <c r="J115" i="52"/>
  <c r="Q113" i="52"/>
  <c r="J113" i="52"/>
  <c r="Q99" i="52"/>
  <c r="J99" i="52"/>
  <c r="Q97" i="52"/>
  <c r="J97" i="52"/>
  <c r="M197" i="52"/>
  <c r="M190" i="52"/>
  <c r="Q107" i="52"/>
  <c r="J107" i="52"/>
  <c r="J109" i="52"/>
  <c r="Q109" i="52"/>
  <c r="Q114" i="52"/>
  <c r="J114" i="52"/>
  <c r="Q98" i="52"/>
  <c r="J98" i="52"/>
  <c r="Q205" i="52"/>
  <c r="J205" i="52"/>
  <c r="Q203" i="52"/>
  <c r="J203" i="52"/>
  <c r="M198" i="52"/>
  <c r="M196" i="52"/>
  <c r="Q106" i="52"/>
  <c r="J106" i="52"/>
  <c r="J117" i="52"/>
  <c r="Q117" i="52"/>
  <c r="J118" i="52"/>
  <c r="Q118" i="52"/>
  <c r="J96" i="52"/>
  <c r="Q96" i="52"/>
  <c r="Q202" i="52"/>
  <c r="J202" i="52"/>
  <c r="J204" i="52"/>
  <c r="Q204" i="52"/>
  <c r="J201" i="52"/>
  <c r="K200" i="52" s="1"/>
  <c r="M199" i="52"/>
  <c r="M188" i="52"/>
  <c r="M200" i="52"/>
  <c r="R43" i="52"/>
  <c r="R86" i="52"/>
  <c r="J146" i="52"/>
  <c r="Q146" i="52"/>
  <c r="M56" i="52"/>
  <c r="J57" i="52"/>
  <c r="K55" i="52" s="1"/>
  <c r="M55" i="52"/>
  <c r="M89" i="52"/>
  <c r="M54" i="52"/>
  <c r="J144" i="52"/>
  <c r="Q144" i="52"/>
  <c r="J154" i="52"/>
  <c r="Q154" i="52"/>
  <c r="J155" i="52"/>
  <c r="Q155" i="52"/>
  <c r="J70" i="52"/>
  <c r="Q70" i="52"/>
  <c r="Q160" i="52"/>
  <c r="J160" i="52"/>
  <c r="Q161" i="52"/>
  <c r="J161" i="52"/>
  <c r="Q62" i="52"/>
  <c r="J62" i="52"/>
  <c r="J66" i="52"/>
  <c r="Q66" i="52"/>
  <c r="Q57" i="52"/>
  <c r="R56" i="52" s="1"/>
  <c r="M86" i="52"/>
  <c r="J145" i="52"/>
  <c r="Q145" i="52"/>
  <c r="J72" i="52"/>
  <c r="Q72" i="52"/>
  <c r="J157" i="52"/>
  <c r="Q157" i="52"/>
  <c r="Q71" i="52"/>
  <c r="J71" i="52"/>
  <c r="Q162" i="52"/>
  <c r="J162" i="52"/>
  <c r="J163" i="52"/>
  <c r="Q163" i="52"/>
  <c r="Q65" i="52"/>
  <c r="J65" i="52"/>
  <c r="Q64" i="52"/>
  <c r="J64" i="52"/>
  <c r="M85" i="52"/>
  <c r="J90" i="52"/>
  <c r="K89" i="52" s="1"/>
  <c r="M88" i="52"/>
  <c r="R53" i="52"/>
  <c r="K52" i="52"/>
  <c r="M52" i="52"/>
  <c r="Q153" i="52"/>
  <c r="J153" i="52"/>
  <c r="J159" i="52"/>
  <c r="Q159" i="52"/>
  <c r="Q143" i="52"/>
  <c r="J143" i="52"/>
  <c r="Q156" i="52"/>
  <c r="J156" i="52"/>
  <c r="J147" i="52"/>
  <c r="Q147" i="52"/>
  <c r="Q69" i="52"/>
  <c r="J69" i="52"/>
  <c r="Q68" i="52"/>
  <c r="J68" i="52"/>
  <c r="J63" i="52"/>
  <c r="Q63" i="52"/>
  <c r="Q90" i="52"/>
  <c r="Q91" i="52" s="1"/>
  <c r="Q92" i="52" s="1"/>
  <c r="M87" i="52"/>
  <c r="M53" i="52"/>
  <c r="R52" i="52"/>
  <c r="M42" i="52"/>
  <c r="K42" i="52"/>
  <c r="J47" i="52"/>
  <c r="K46" i="52" s="1"/>
  <c r="M46" i="52"/>
  <c r="R42" i="52"/>
  <c r="Q47" i="52"/>
  <c r="R44" i="52" s="1"/>
  <c r="M45" i="52"/>
  <c r="M43" i="52"/>
  <c r="K43" i="52"/>
  <c r="M44" i="52"/>
  <c r="Q28" i="52"/>
  <c r="J28" i="52"/>
  <c r="Q27" i="52"/>
  <c r="J27" i="52"/>
  <c r="J26" i="52"/>
  <c r="Q26" i="52"/>
  <c r="Q29" i="52"/>
  <c r="J29" i="52"/>
  <c r="J21" i="52"/>
  <c r="Q21" i="52"/>
  <c r="Q19" i="52"/>
  <c r="J19" i="52"/>
  <c r="K19" i="52" s="1"/>
  <c r="Q20" i="52"/>
  <c r="J20" i="52"/>
  <c r="Q10" i="52"/>
  <c r="J10" i="52"/>
  <c r="K10" i="52" s="1"/>
  <c r="Q11" i="52"/>
  <c r="J11" i="52"/>
  <c r="J24" i="52"/>
  <c r="Q15" i="66"/>
  <c r="Q9" i="66"/>
  <c r="M9" i="66" s="1"/>
  <c r="Q11" i="68"/>
  <c r="M11" i="68" s="1"/>
  <c r="Q10" i="68"/>
  <c r="M10" i="68" s="1"/>
  <c r="F15" i="57"/>
  <c r="D11" i="79"/>
  <c r="F76" i="52" a="1"/>
  <c r="F76" i="52" s="1"/>
  <c r="F78" i="52" a="1"/>
  <c r="F78" i="52" s="1"/>
  <c r="F74" i="52" a="1"/>
  <c r="F74" i="52" s="1"/>
  <c r="F79" i="52" a="1"/>
  <c r="F79" i="52" s="1"/>
  <c r="F77" i="52" a="1"/>
  <c r="F77" i="52" s="1"/>
  <c r="F75" i="52" a="1"/>
  <c r="F75" i="52" s="1"/>
  <c r="F34" i="52" a="1"/>
  <c r="F34" i="52" s="1"/>
  <c r="F36" i="52" a="1"/>
  <c r="F36" i="52" s="1"/>
  <c r="F32" i="52" a="1"/>
  <c r="F32" i="52" s="1"/>
  <c r="F35" i="52" a="1"/>
  <c r="F35" i="52" s="1"/>
  <c r="F31" i="52" a="1"/>
  <c r="F31" i="52" s="1"/>
  <c r="F33" i="52" a="1"/>
  <c r="F33" i="52" s="1"/>
  <c r="F126" i="52" a="1"/>
  <c r="F126" i="52" s="1"/>
  <c r="F122" i="52" a="1"/>
  <c r="F122" i="52" s="1"/>
  <c r="F125" i="52" a="1"/>
  <c r="F125" i="52" s="1"/>
  <c r="F124" i="52" a="1"/>
  <c r="F124" i="52" s="1"/>
  <c r="F120" i="52" a="1"/>
  <c r="F120" i="52" s="1"/>
  <c r="F123" i="52" a="1"/>
  <c r="F123" i="52" s="1"/>
  <c r="F121" i="52" a="1"/>
  <c r="F121" i="52" s="1"/>
  <c r="J12" i="52"/>
  <c r="Q12" i="52"/>
  <c r="R9" i="52" s="1"/>
  <c r="Q22" i="52"/>
  <c r="M22" i="52" s="1"/>
  <c r="Q23" i="52"/>
  <c r="M23" i="52" s="1"/>
  <c r="Q13" i="52"/>
  <c r="F169" i="52" a="1"/>
  <c r="F169" i="52" s="1"/>
  <c r="F167" i="52" a="1"/>
  <c r="F167" i="52" s="1"/>
  <c r="F165" i="52" a="1"/>
  <c r="F165" i="52" s="1"/>
  <c r="F170" i="52" a="1"/>
  <c r="F170" i="52" s="1"/>
  <c r="F168" i="52" a="1"/>
  <c r="F168" i="52" s="1"/>
  <c r="F166" i="52" a="1"/>
  <c r="F166" i="52" s="1"/>
  <c r="R176" i="52"/>
  <c r="R178" i="52"/>
  <c r="R214" i="52"/>
  <c r="R213" i="52"/>
  <c r="R197" i="52"/>
  <c r="R196" i="52"/>
  <c r="S7" i="66"/>
  <c r="D9" i="57"/>
  <c r="R177" i="52"/>
  <c r="S7" i="68"/>
  <c r="T7" i="68"/>
  <c r="Q153" i="66"/>
  <c r="J153" i="66"/>
  <c r="Q111" i="66"/>
  <c r="J111" i="66"/>
  <c r="Q27" i="66"/>
  <c r="J27" i="66"/>
  <c r="F62" i="68" a="1"/>
  <c r="F62" i="68" s="1"/>
  <c r="F76" i="66" a="1"/>
  <c r="F76" i="66" s="1"/>
  <c r="Q123" i="68"/>
  <c r="J123" i="68"/>
  <c r="Q91" i="68"/>
  <c r="J91" i="68"/>
  <c r="Q23" i="68"/>
  <c r="J23" i="68"/>
  <c r="Q69" i="66"/>
  <c r="J69" i="66"/>
  <c r="Q195" i="66"/>
  <c r="J195" i="66"/>
  <c r="F28" i="68" a="1"/>
  <c r="F28" i="68" s="1"/>
  <c r="F34" i="66" a="1"/>
  <c r="F34" i="66" s="1"/>
  <c r="F96" i="68" a="1"/>
  <c r="F96" i="68" s="1"/>
  <c r="F118" i="66" a="1"/>
  <c r="F118" i="66" s="1"/>
  <c r="F127" i="68" a="1"/>
  <c r="F127" i="68" s="1"/>
  <c r="F160" i="66" a="1"/>
  <c r="F160" i="66" s="1"/>
  <c r="J57" i="68"/>
  <c r="Q57" i="68"/>
  <c r="J155" i="68"/>
  <c r="Q155" i="68"/>
  <c r="I35" i="66"/>
  <c r="J20" i="66"/>
  <c r="J138" i="52"/>
  <c r="J121" i="68"/>
  <c r="Q121" i="68"/>
  <c r="R68" i="68"/>
  <c r="Q73" i="68"/>
  <c r="Q74" i="68" s="1"/>
  <c r="K34" i="68"/>
  <c r="J39" i="68"/>
  <c r="J40" i="68" s="1"/>
  <c r="K161" i="68"/>
  <c r="J166" i="68"/>
  <c r="J167" i="68" s="1"/>
  <c r="R34" i="68"/>
  <c r="Q39" i="68"/>
  <c r="Q40" i="68" s="1"/>
  <c r="Q167" i="68"/>
  <c r="R167" i="68" s="1"/>
  <c r="R166" i="68"/>
  <c r="R102" i="68"/>
  <c r="Q107" i="68"/>
  <c r="Q108" i="68" s="1"/>
  <c r="K68" i="68"/>
  <c r="J73" i="68"/>
  <c r="J74" i="68" s="1"/>
  <c r="M9" i="68"/>
  <c r="M77" i="68"/>
  <c r="M141" i="68"/>
  <c r="Q19" i="68"/>
  <c r="J19" i="68"/>
  <c r="J151" i="68"/>
  <c r="Q151" i="68"/>
  <c r="M111" i="68"/>
  <c r="J87" i="68"/>
  <c r="Q87" i="68"/>
  <c r="J53" i="68"/>
  <c r="Q53" i="68"/>
  <c r="J120" i="68"/>
  <c r="Q120" i="68"/>
  <c r="M105" i="68"/>
  <c r="M43" i="68"/>
  <c r="Q151" i="66"/>
  <c r="J151" i="66"/>
  <c r="Q148" i="66"/>
  <c r="J148" i="66"/>
  <c r="Q150" i="66"/>
  <c r="J150" i="66"/>
  <c r="J147" i="66"/>
  <c r="Q147" i="66"/>
  <c r="R164" i="68"/>
  <c r="R161" i="68"/>
  <c r="M106" i="68"/>
  <c r="Q149" i="66"/>
  <c r="M149" i="66" s="1"/>
  <c r="M71" i="68"/>
  <c r="Q122" i="68"/>
  <c r="M122" i="68" s="1"/>
  <c r="J107" i="66"/>
  <c r="M107" i="66" s="1"/>
  <c r="Q191" i="66"/>
  <c r="M191" i="66" s="1"/>
  <c r="J86" i="68"/>
  <c r="M86" i="68" s="1"/>
  <c r="R105" i="68"/>
  <c r="Q65" i="66"/>
  <c r="M65" i="66" s="1"/>
  <c r="M135" i="68"/>
  <c r="J137" i="68"/>
  <c r="J138" i="68" s="1"/>
  <c r="M37" i="68"/>
  <c r="M80" i="68"/>
  <c r="Q82" i="68"/>
  <c r="Q83" i="68" s="1"/>
  <c r="Q90" i="68"/>
  <c r="M90" i="68" s="1"/>
  <c r="K163" i="68"/>
  <c r="M164" i="68"/>
  <c r="R71" i="68"/>
  <c r="F72" i="66" a="1"/>
  <c r="F72" i="66" s="1"/>
  <c r="Q72" i="66" s="1"/>
  <c r="F58" i="68" a="1"/>
  <c r="F58" i="68" s="1"/>
  <c r="F61" i="68" a="1"/>
  <c r="F61" i="68" s="1"/>
  <c r="F60" i="68" a="1"/>
  <c r="F60" i="68" s="1"/>
  <c r="F59" i="68" a="1"/>
  <c r="F59" i="68" s="1"/>
  <c r="M38" i="68"/>
  <c r="R163" i="68"/>
  <c r="R162" i="68"/>
  <c r="R35" i="68"/>
  <c r="R36" i="68"/>
  <c r="J21" i="68"/>
  <c r="Q21" i="68"/>
  <c r="Q152" i="68"/>
  <c r="J152" i="68"/>
  <c r="Q88" i="68"/>
  <c r="J88" i="68"/>
  <c r="K36" i="68"/>
  <c r="J18" i="68"/>
  <c r="K71" i="68"/>
  <c r="M150" i="68"/>
  <c r="R37" i="68"/>
  <c r="Q54" i="68"/>
  <c r="J54" i="68"/>
  <c r="Q154" i="68"/>
  <c r="M154" i="68" s="1"/>
  <c r="M12" i="68"/>
  <c r="K35" i="68"/>
  <c r="M46" i="68"/>
  <c r="Q22" i="68"/>
  <c r="F30" i="66" a="1"/>
  <c r="F30" i="66" s="1"/>
  <c r="Q30" i="66" s="1"/>
  <c r="F24" i="68" a="1"/>
  <c r="F24" i="68" s="1"/>
  <c r="F27" i="68" a="1"/>
  <c r="F27" i="68" s="1"/>
  <c r="F25" i="68" a="1"/>
  <c r="F25" i="68" s="1"/>
  <c r="F26" i="68" a="1"/>
  <c r="F26" i="68" s="1"/>
  <c r="F114" i="66" a="1"/>
  <c r="F114" i="66" s="1"/>
  <c r="Q114" i="66" s="1"/>
  <c r="F95" i="68" a="1"/>
  <c r="F95" i="68" s="1"/>
  <c r="F93" i="68" a="1"/>
  <c r="F93" i="68" s="1"/>
  <c r="F94" i="68" a="1"/>
  <c r="F94" i="68" s="1"/>
  <c r="F92" i="68" a="1"/>
  <c r="F92" i="68" s="1"/>
  <c r="F156" i="66" a="1"/>
  <c r="F156" i="66" s="1"/>
  <c r="Q156" i="66" s="1"/>
  <c r="F126" i="68" a="1"/>
  <c r="F126" i="68" s="1"/>
  <c r="F125" i="68" a="1"/>
  <c r="F125" i="68" s="1"/>
  <c r="F124" i="68" a="1"/>
  <c r="F124" i="68" s="1"/>
  <c r="K37" i="68"/>
  <c r="M119" i="68"/>
  <c r="K69" i="68"/>
  <c r="Q153" i="68"/>
  <c r="J153" i="68"/>
  <c r="Q89" i="68"/>
  <c r="J89" i="68"/>
  <c r="M142" i="68"/>
  <c r="R70" i="68"/>
  <c r="R69" i="68"/>
  <c r="M72" i="68"/>
  <c r="K70" i="68"/>
  <c r="M113" i="68"/>
  <c r="J20" i="68"/>
  <c r="Q20" i="68"/>
  <c r="M144" i="68"/>
  <c r="Q55" i="68"/>
  <c r="J55" i="68"/>
  <c r="Q52" i="68"/>
  <c r="M165" i="68"/>
  <c r="K164" i="68"/>
  <c r="K162" i="68"/>
  <c r="J56" i="68"/>
  <c r="R104" i="68"/>
  <c r="R103" i="68"/>
  <c r="M182" i="66"/>
  <c r="Q146" i="66"/>
  <c r="J62" i="66"/>
  <c r="M62" i="66" s="1"/>
  <c r="J194" i="66"/>
  <c r="M87" i="66"/>
  <c r="Q184" i="66"/>
  <c r="Q185" i="66" s="1"/>
  <c r="M98" i="66"/>
  <c r="M129" i="66"/>
  <c r="M56" i="66"/>
  <c r="Q68" i="66"/>
  <c r="J26" i="66"/>
  <c r="Q110" i="66"/>
  <c r="M171" i="66"/>
  <c r="M140" i="66"/>
  <c r="Q152" i="66"/>
  <c r="J152" i="66"/>
  <c r="M45" i="66"/>
  <c r="J146" i="66"/>
  <c r="M206" i="66"/>
  <c r="Q21" i="66"/>
  <c r="J23" i="66"/>
  <c r="Q23" i="66"/>
  <c r="M10" i="66"/>
  <c r="M14" i="66"/>
  <c r="M13" i="66"/>
  <c r="M55" i="66"/>
  <c r="M139" i="66"/>
  <c r="Q109" i="66"/>
  <c r="J109" i="66"/>
  <c r="J64" i="66"/>
  <c r="Q64" i="66"/>
  <c r="M178" i="66"/>
  <c r="M166" i="66"/>
  <c r="M97" i="66"/>
  <c r="M83" i="66"/>
  <c r="M180" i="66"/>
  <c r="M54" i="66"/>
  <c r="M52" i="66"/>
  <c r="M51" i="66"/>
  <c r="M138" i="66"/>
  <c r="M201" i="66"/>
  <c r="M94" i="66"/>
  <c r="M205" i="66"/>
  <c r="M128" i="66"/>
  <c r="M86" i="66"/>
  <c r="J106" i="66"/>
  <c r="Q106" i="66"/>
  <c r="Q189" i="66"/>
  <c r="J189" i="66"/>
  <c r="Q22" i="66"/>
  <c r="J22" i="66"/>
  <c r="J25" i="66"/>
  <c r="Q25" i="66"/>
  <c r="J108" i="66"/>
  <c r="Q108" i="66"/>
  <c r="J190" i="66"/>
  <c r="Q190" i="66"/>
  <c r="J67" i="66"/>
  <c r="Q67" i="66"/>
  <c r="M96" i="66"/>
  <c r="M177" i="66"/>
  <c r="M82" i="66"/>
  <c r="M41" i="66"/>
  <c r="M93" i="66"/>
  <c r="M85" i="66"/>
  <c r="M170" i="66"/>
  <c r="M40" i="66"/>
  <c r="M167" i="66"/>
  <c r="M202" i="66"/>
  <c r="Q24" i="66"/>
  <c r="J24" i="66"/>
  <c r="J193" i="66"/>
  <c r="Q193" i="66"/>
  <c r="Q63" i="66"/>
  <c r="J63" i="66"/>
  <c r="J105" i="66"/>
  <c r="Q105" i="66"/>
  <c r="J192" i="66"/>
  <c r="Q192" i="66"/>
  <c r="J66" i="66"/>
  <c r="Q66" i="66"/>
  <c r="M135" i="66"/>
  <c r="M127" i="66"/>
  <c r="M43" i="66"/>
  <c r="M204" i="66"/>
  <c r="M125" i="66"/>
  <c r="M169" i="66"/>
  <c r="M181" i="66"/>
  <c r="M136" i="66"/>
  <c r="M124" i="66"/>
  <c r="M44" i="66"/>
  <c r="M188" i="66"/>
  <c r="M104" i="66"/>
  <c r="M12" i="66"/>
  <c r="F116" i="66" a="1"/>
  <c r="F116" i="66" s="1"/>
  <c r="F115" i="66" a="1"/>
  <c r="F115" i="66" s="1"/>
  <c r="F113" i="66" a="1"/>
  <c r="F113" i="66" s="1"/>
  <c r="F117" i="66" a="1"/>
  <c r="F117" i="66" s="1"/>
  <c r="F112" i="66" a="1"/>
  <c r="F112" i="66" s="1"/>
  <c r="F74" i="66" a="1"/>
  <c r="F74" i="66" s="1"/>
  <c r="F73" i="66" a="1"/>
  <c r="F73" i="66" s="1"/>
  <c r="F71" i="66" a="1"/>
  <c r="F71" i="66" s="1"/>
  <c r="F75" i="66" a="1"/>
  <c r="F75" i="66" s="1"/>
  <c r="F70" i="66" a="1"/>
  <c r="F70" i="66" s="1"/>
  <c r="F158" i="66" a="1"/>
  <c r="F158" i="66" s="1"/>
  <c r="F157" i="66" a="1"/>
  <c r="F157" i="66" s="1"/>
  <c r="F155" i="66" a="1"/>
  <c r="F155" i="66" s="1"/>
  <c r="F159" i="66" a="1"/>
  <c r="F159" i="66" s="1"/>
  <c r="F154" i="66" a="1"/>
  <c r="F154" i="66" s="1"/>
  <c r="F32" i="66" a="1"/>
  <c r="F32" i="66" s="1"/>
  <c r="F29" i="66" a="1"/>
  <c r="F29" i="66" s="1"/>
  <c r="F28" i="66" a="1"/>
  <c r="F28" i="66" s="1"/>
  <c r="F31" i="66" a="1"/>
  <c r="F31" i="66" s="1"/>
  <c r="F33" i="66" a="1"/>
  <c r="F33" i="66" s="1"/>
  <c r="AA35" i="81" a="1"/>
  <c r="AA35" i="53" a="1"/>
  <c r="AF35" i="53" a="1"/>
  <c r="AA35" i="79" a="1"/>
  <c r="AF35" i="79" a="1"/>
  <c r="AA35" i="82" a="1"/>
  <c r="AF35" i="80" a="1"/>
  <c r="J31" i="52" l="1"/>
  <c r="M31" i="52" s="1"/>
  <c r="Q31" i="52"/>
  <c r="K44" i="52"/>
  <c r="Q158" i="52"/>
  <c r="Q154" i="66"/>
  <c r="J154" i="66"/>
  <c r="R113" i="52"/>
  <c r="K95" i="52"/>
  <c r="K98" i="52"/>
  <c r="K97" i="52"/>
  <c r="K155" i="52"/>
  <c r="K154" i="52"/>
  <c r="K153" i="52"/>
  <c r="K62" i="52"/>
  <c r="K64" i="52"/>
  <c r="K63" i="52"/>
  <c r="K159" i="52"/>
  <c r="K161" i="52"/>
  <c r="K160" i="52"/>
  <c r="K203" i="52"/>
  <c r="K202" i="52"/>
  <c r="K204" i="52"/>
  <c r="K69" i="52"/>
  <c r="K68" i="52"/>
  <c r="K70" i="52"/>
  <c r="K145" i="52"/>
  <c r="K144" i="52"/>
  <c r="K114" i="52"/>
  <c r="K113" i="52"/>
  <c r="K116" i="52"/>
  <c r="K115" i="52"/>
  <c r="K107" i="52"/>
  <c r="K106" i="52"/>
  <c r="K109" i="52"/>
  <c r="K108" i="52"/>
  <c r="M116" i="52"/>
  <c r="R143" i="52"/>
  <c r="R204" i="52"/>
  <c r="R153" i="52"/>
  <c r="K190" i="52"/>
  <c r="R63" i="52"/>
  <c r="M110" i="52"/>
  <c r="R144" i="52"/>
  <c r="R145" i="52"/>
  <c r="K143" i="52"/>
  <c r="Q207" i="52"/>
  <c r="Q208" i="52" s="1"/>
  <c r="Q209" i="52" s="1"/>
  <c r="Q210" i="52" s="1"/>
  <c r="M100" i="52"/>
  <c r="M107" i="52"/>
  <c r="M118" i="52"/>
  <c r="M109" i="52"/>
  <c r="R69" i="52"/>
  <c r="J121" i="52"/>
  <c r="Q121" i="52"/>
  <c r="J125" i="52"/>
  <c r="Q125" i="52"/>
  <c r="M21" i="52"/>
  <c r="M201" i="52"/>
  <c r="M206" i="52"/>
  <c r="J123" i="52"/>
  <c r="Q123" i="52"/>
  <c r="J122" i="52"/>
  <c r="Q122" i="52"/>
  <c r="K45" i="52"/>
  <c r="M203" i="52"/>
  <c r="M98" i="52"/>
  <c r="M97" i="52"/>
  <c r="M113" i="52"/>
  <c r="M108" i="52"/>
  <c r="J192" i="52"/>
  <c r="M192" i="52" s="1"/>
  <c r="M191" i="52"/>
  <c r="M95" i="52"/>
  <c r="Q120" i="52"/>
  <c r="J120" i="52"/>
  <c r="M204" i="52"/>
  <c r="M96" i="52"/>
  <c r="K96" i="52"/>
  <c r="M117" i="52"/>
  <c r="J124" i="52"/>
  <c r="Q124" i="52"/>
  <c r="Q73" i="52"/>
  <c r="R71" i="52" s="1"/>
  <c r="K199" i="52"/>
  <c r="M202" i="52"/>
  <c r="M106" i="52"/>
  <c r="J207" i="52"/>
  <c r="M205" i="52"/>
  <c r="M114" i="52"/>
  <c r="M99" i="52"/>
  <c r="M115" i="52"/>
  <c r="K189" i="52"/>
  <c r="M111" i="52"/>
  <c r="K137" i="52"/>
  <c r="K136" i="52"/>
  <c r="R88" i="52"/>
  <c r="M147" i="52"/>
  <c r="R55" i="52"/>
  <c r="R62" i="52"/>
  <c r="J168" i="52"/>
  <c r="Q168" i="52"/>
  <c r="M68" i="52"/>
  <c r="M153" i="52"/>
  <c r="M163" i="52"/>
  <c r="M72" i="52"/>
  <c r="M155" i="52"/>
  <c r="J74" i="52"/>
  <c r="Q74" i="52"/>
  <c r="R68" i="52"/>
  <c r="M143" i="52"/>
  <c r="R87" i="52"/>
  <c r="J67" i="52"/>
  <c r="M162" i="52"/>
  <c r="J164" i="52"/>
  <c r="R89" i="52"/>
  <c r="M161" i="52"/>
  <c r="K56" i="52"/>
  <c r="J91" i="52"/>
  <c r="M91" i="52" s="1"/>
  <c r="M90" i="52"/>
  <c r="M144" i="52"/>
  <c r="J165" i="52"/>
  <c r="Q165" i="52"/>
  <c r="J75" i="52"/>
  <c r="Q75" i="52"/>
  <c r="Q78" i="52"/>
  <c r="J78" i="52"/>
  <c r="R45" i="52"/>
  <c r="M69" i="52"/>
  <c r="J158" i="52"/>
  <c r="K157" i="52" s="1"/>
  <c r="M156" i="52"/>
  <c r="K88" i="52"/>
  <c r="M65" i="52"/>
  <c r="Q67" i="52"/>
  <c r="R64" i="52" s="1"/>
  <c r="Q164" i="52"/>
  <c r="M157" i="52"/>
  <c r="M145" i="52"/>
  <c r="R54" i="52"/>
  <c r="Q58" i="52"/>
  <c r="Q59" i="52" s="1"/>
  <c r="M66" i="52"/>
  <c r="M70" i="52"/>
  <c r="M154" i="52"/>
  <c r="Q148" i="52"/>
  <c r="Q149" i="52" s="1"/>
  <c r="Q150" i="52" s="1"/>
  <c r="Q169" i="52"/>
  <c r="J169" i="52"/>
  <c r="J166" i="52"/>
  <c r="Q166" i="52"/>
  <c r="J167" i="52"/>
  <c r="Q167" i="52"/>
  <c r="Q77" i="52"/>
  <c r="J77" i="52"/>
  <c r="J76" i="52"/>
  <c r="Q76" i="52"/>
  <c r="M63" i="52"/>
  <c r="M159" i="52"/>
  <c r="M64" i="52"/>
  <c r="J73" i="52"/>
  <c r="M71" i="52"/>
  <c r="M62" i="52"/>
  <c r="M160" i="52"/>
  <c r="J58" i="52"/>
  <c r="M57" i="52"/>
  <c r="M146" i="52"/>
  <c r="J148" i="52"/>
  <c r="M28" i="52"/>
  <c r="M29" i="52"/>
  <c r="M27" i="52"/>
  <c r="R46" i="52"/>
  <c r="Q48" i="52"/>
  <c r="Q49" i="52" s="1"/>
  <c r="J48" i="52"/>
  <c r="J49" i="52" s="1"/>
  <c r="M47" i="52"/>
  <c r="M26" i="52"/>
  <c r="J33" i="52"/>
  <c r="Q33" i="52"/>
  <c r="M11" i="52"/>
  <c r="Q34" i="52"/>
  <c r="J34" i="52"/>
  <c r="J35" i="52"/>
  <c r="Q35" i="52"/>
  <c r="R26" i="52"/>
  <c r="J32" i="52"/>
  <c r="Q32" i="52"/>
  <c r="R19" i="52"/>
  <c r="K26" i="52"/>
  <c r="R10" i="52"/>
  <c r="M12" i="52"/>
  <c r="R20" i="52"/>
  <c r="M19" i="52"/>
  <c r="K20" i="52"/>
  <c r="M20" i="52"/>
  <c r="K21" i="52"/>
  <c r="M10" i="52"/>
  <c r="M13" i="52"/>
  <c r="J101" i="52"/>
  <c r="Q101" i="52"/>
  <c r="Q102" i="52" s="1"/>
  <c r="Q24" i="52"/>
  <c r="R21" i="52" s="1"/>
  <c r="Q14" i="52"/>
  <c r="R11" i="52" s="1"/>
  <c r="J30" i="52"/>
  <c r="Q30" i="52"/>
  <c r="R27" i="52" s="1"/>
  <c r="R114" i="52"/>
  <c r="R198" i="52"/>
  <c r="R115" i="52"/>
  <c r="R116" i="52"/>
  <c r="R95" i="52"/>
  <c r="R96" i="52"/>
  <c r="R97" i="52"/>
  <c r="R98" i="52"/>
  <c r="R109" i="52"/>
  <c r="R108" i="52"/>
  <c r="R107" i="52"/>
  <c r="R106" i="52"/>
  <c r="R155" i="52"/>
  <c r="R154" i="52"/>
  <c r="R160" i="52"/>
  <c r="R203" i="52"/>
  <c r="R202" i="52"/>
  <c r="R186" i="52"/>
  <c r="K9" i="52"/>
  <c r="AA35" i="82"/>
  <c r="AA35" i="81"/>
  <c r="AF35" i="80"/>
  <c r="AF35" i="79"/>
  <c r="AA35" i="79"/>
  <c r="Q160" i="66"/>
  <c r="J160" i="66"/>
  <c r="Q34" i="66"/>
  <c r="J34" i="66"/>
  <c r="Q76" i="66"/>
  <c r="J76" i="66"/>
  <c r="Q127" i="68"/>
  <c r="J127" i="68"/>
  <c r="Q28" i="68"/>
  <c r="J28" i="68"/>
  <c r="J29" i="68" s="1"/>
  <c r="Q62" i="68"/>
  <c r="J62" i="68"/>
  <c r="Q118" i="66"/>
  <c r="J118" i="66"/>
  <c r="J96" i="68"/>
  <c r="Q96" i="68"/>
  <c r="J139" i="52"/>
  <c r="J140" i="52" s="1"/>
  <c r="AF35" i="53"/>
  <c r="M120" i="68"/>
  <c r="M74" i="68"/>
  <c r="M121" i="68"/>
  <c r="K105" i="68"/>
  <c r="K104" i="68"/>
  <c r="K103" i="68"/>
  <c r="K135" i="68"/>
  <c r="AA35" i="53"/>
  <c r="M40" i="68"/>
  <c r="R166" i="66"/>
  <c r="Q173" i="66"/>
  <c r="Q174" i="66" s="1"/>
  <c r="R203" i="66"/>
  <c r="Q208" i="66"/>
  <c r="K11" i="66"/>
  <c r="J16" i="66"/>
  <c r="J17" i="66" s="1"/>
  <c r="K77" i="68"/>
  <c r="J82" i="68"/>
  <c r="J83" i="68" s="1"/>
  <c r="K203" i="66"/>
  <c r="J208" i="66"/>
  <c r="J209" i="66" s="1"/>
  <c r="R53" i="66"/>
  <c r="Q58" i="66"/>
  <c r="Q59" i="66" s="1"/>
  <c r="K42" i="66"/>
  <c r="J47" i="66"/>
  <c r="J48" i="66" s="1"/>
  <c r="R126" i="66"/>
  <c r="Q131" i="66"/>
  <c r="Q132" i="66" s="1"/>
  <c r="K84" i="66"/>
  <c r="J89" i="66"/>
  <c r="J90" i="66" s="1"/>
  <c r="R11" i="66"/>
  <c r="Q16" i="66"/>
  <c r="Q17" i="66" s="1"/>
  <c r="K137" i="66"/>
  <c r="J142" i="66"/>
  <c r="J143" i="66" s="1"/>
  <c r="K141" i="68"/>
  <c r="J146" i="68"/>
  <c r="J147" i="68" s="1"/>
  <c r="R135" i="68"/>
  <c r="Q137" i="68"/>
  <c r="Q138" i="68" s="1"/>
  <c r="R140" i="66"/>
  <c r="Q142" i="66"/>
  <c r="Q143" i="66" s="1"/>
  <c r="K53" i="66"/>
  <c r="J58" i="66"/>
  <c r="J59" i="66" s="1"/>
  <c r="R95" i="66"/>
  <c r="Q100" i="66"/>
  <c r="Q101" i="66" s="1"/>
  <c r="K168" i="66"/>
  <c r="J173" i="66"/>
  <c r="J174" i="66" s="1"/>
  <c r="K43" i="68"/>
  <c r="J48" i="68"/>
  <c r="J49" i="68" s="1"/>
  <c r="R43" i="68"/>
  <c r="Q48" i="68"/>
  <c r="Q49" i="68" s="1"/>
  <c r="R10" i="68"/>
  <c r="Q14" i="68"/>
  <c r="Q15" i="68" s="1"/>
  <c r="K9" i="68"/>
  <c r="J14" i="68"/>
  <c r="J15" i="68" s="1"/>
  <c r="K95" i="66"/>
  <c r="J100" i="66"/>
  <c r="J101" i="66" s="1"/>
  <c r="R84" i="66"/>
  <c r="Q89" i="66"/>
  <c r="Q90" i="66" s="1"/>
  <c r="K126" i="66"/>
  <c r="J131" i="66"/>
  <c r="J132" i="66" s="1"/>
  <c r="R42" i="66"/>
  <c r="Q47" i="66"/>
  <c r="Q48" i="66" s="1"/>
  <c r="J184" i="66"/>
  <c r="J185" i="66" s="1"/>
  <c r="M185" i="66" s="1"/>
  <c r="R141" i="68"/>
  <c r="Q146" i="68"/>
  <c r="Q147" i="68" s="1"/>
  <c r="K113" i="68"/>
  <c r="J115" i="68"/>
  <c r="J116" i="68" s="1"/>
  <c r="R111" i="68"/>
  <c r="Q115" i="68"/>
  <c r="Q116" i="68" s="1"/>
  <c r="K102" i="68"/>
  <c r="J107" i="68"/>
  <c r="J108" i="68" s="1"/>
  <c r="M167" i="68"/>
  <c r="J58" i="68"/>
  <c r="Q58" i="68"/>
  <c r="M53" i="68"/>
  <c r="M87" i="68"/>
  <c r="M151" i="68"/>
  <c r="J124" i="68"/>
  <c r="Q124" i="68"/>
  <c r="R120" i="68" s="1"/>
  <c r="Q92" i="68"/>
  <c r="J92" i="68"/>
  <c r="Q24" i="68"/>
  <c r="J24" i="68"/>
  <c r="R133" i="68"/>
  <c r="R134" i="68"/>
  <c r="K111" i="68"/>
  <c r="M19" i="68"/>
  <c r="M136" i="68"/>
  <c r="K133" i="68"/>
  <c r="M150" i="66"/>
  <c r="M151" i="66"/>
  <c r="M148" i="66"/>
  <c r="Q155" i="66"/>
  <c r="J155" i="66"/>
  <c r="M147" i="66"/>
  <c r="R80" i="68"/>
  <c r="R77" i="68"/>
  <c r="J72" i="66"/>
  <c r="M72" i="66" s="1"/>
  <c r="J114" i="66"/>
  <c r="M114" i="66" s="1"/>
  <c r="J156" i="66"/>
  <c r="M156" i="66" s="1"/>
  <c r="K134" i="68"/>
  <c r="R79" i="68"/>
  <c r="K10" i="68"/>
  <c r="R12" i="68"/>
  <c r="K12" i="68"/>
  <c r="R11" i="68"/>
  <c r="K11" i="68"/>
  <c r="R9" i="68"/>
  <c r="J30" i="66"/>
  <c r="M30" i="66" s="1"/>
  <c r="M13" i="68"/>
  <c r="K144" i="68"/>
  <c r="K142" i="68"/>
  <c r="R78" i="68"/>
  <c r="R113" i="68"/>
  <c r="R112" i="68"/>
  <c r="M114" i="68"/>
  <c r="R46" i="68"/>
  <c r="R45" i="68"/>
  <c r="R44" i="68"/>
  <c r="K112" i="68"/>
  <c r="M81" i="68"/>
  <c r="K80" i="68"/>
  <c r="K78" i="68"/>
  <c r="K79" i="68"/>
  <c r="M55" i="68"/>
  <c r="R205" i="66"/>
  <c r="M89" i="68"/>
  <c r="M153" i="68"/>
  <c r="K204" i="66"/>
  <c r="Q126" i="68"/>
  <c r="J126" i="68"/>
  <c r="K202" i="66"/>
  <c r="M88" i="68"/>
  <c r="M152" i="68"/>
  <c r="K201" i="66"/>
  <c r="K171" i="66"/>
  <c r="R201" i="66"/>
  <c r="R19" i="68"/>
  <c r="J93" i="68"/>
  <c r="Q93" i="68"/>
  <c r="J26" i="68"/>
  <c r="Q26" i="68"/>
  <c r="Q27" i="68"/>
  <c r="J27" i="68"/>
  <c r="M22" i="68"/>
  <c r="R204" i="66"/>
  <c r="M21" i="68"/>
  <c r="J60" i="68"/>
  <c r="Q60" i="68"/>
  <c r="Q61" i="68"/>
  <c r="J61" i="68"/>
  <c r="M146" i="66"/>
  <c r="M56" i="68"/>
  <c r="M52" i="68"/>
  <c r="K206" i="66"/>
  <c r="Q125" i="68"/>
  <c r="J125" i="68"/>
  <c r="R87" i="68"/>
  <c r="R206" i="66"/>
  <c r="M20" i="68"/>
  <c r="M47" i="68"/>
  <c r="K45" i="68"/>
  <c r="K46" i="68"/>
  <c r="K44" i="68"/>
  <c r="R202" i="66"/>
  <c r="Q94" i="68"/>
  <c r="J94" i="68"/>
  <c r="Q95" i="68"/>
  <c r="J95" i="68"/>
  <c r="Q25" i="68"/>
  <c r="J25" i="68"/>
  <c r="M54" i="68"/>
  <c r="R142" i="68"/>
  <c r="R143" i="68"/>
  <c r="R144" i="68"/>
  <c r="M18" i="68"/>
  <c r="M145" i="68"/>
  <c r="K143" i="68"/>
  <c r="K205" i="66"/>
  <c r="J59" i="68"/>
  <c r="Q59" i="68"/>
  <c r="R152" i="66"/>
  <c r="R56" i="66"/>
  <c r="R128" i="66"/>
  <c r="K94" i="66"/>
  <c r="R85" i="66"/>
  <c r="K140" i="66"/>
  <c r="R98" i="66"/>
  <c r="K86" i="66"/>
  <c r="R9" i="66"/>
  <c r="R169" i="66"/>
  <c r="R12" i="66"/>
  <c r="K170" i="66"/>
  <c r="R41" i="66"/>
  <c r="K52" i="66"/>
  <c r="K98" i="66"/>
  <c r="K124" i="66"/>
  <c r="R13" i="66"/>
  <c r="R83" i="66"/>
  <c r="K10" i="66"/>
  <c r="K41" i="66"/>
  <c r="R52" i="66"/>
  <c r="R124" i="66"/>
  <c r="K13" i="66"/>
  <c r="K83" i="66"/>
  <c r="R10" i="66"/>
  <c r="K166" i="66"/>
  <c r="M172" i="66"/>
  <c r="R168" i="66"/>
  <c r="R129" i="66"/>
  <c r="R54" i="66"/>
  <c r="R167" i="66"/>
  <c r="K127" i="66"/>
  <c r="K93" i="66"/>
  <c r="K96" i="66"/>
  <c r="R45" i="66"/>
  <c r="K128" i="66"/>
  <c r="R94" i="66"/>
  <c r="K85" i="66"/>
  <c r="R87" i="66"/>
  <c r="K125" i="66"/>
  <c r="R97" i="66"/>
  <c r="K14" i="66"/>
  <c r="R125" i="66"/>
  <c r="K97" i="66"/>
  <c r="R93" i="66"/>
  <c r="R96" i="66"/>
  <c r="M21" i="66"/>
  <c r="M68" i="66"/>
  <c r="K44" i="66"/>
  <c r="K139" i="66"/>
  <c r="R40" i="66"/>
  <c r="K43" i="66"/>
  <c r="K51" i="66"/>
  <c r="R55" i="66"/>
  <c r="K129" i="66"/>
  <c r="K54" i="66"/>
  <c r="K167" i="66"/>
  <c r="R127" i="66"/>
  <c r="R82" i="66"/>
  <c r="R14" i="66"/>
  <c r="K82" i="66"/>
  <c r="K55" i="66"/>
  <c r="M141" i="66"/>
  <c r="R137" i="66"/>
  <c r="K152" i="66"/>
  <c r="K87" i="66"/>
  <c r="R86" i="66"/>
  <c r="K9" i="66"/>
  <c r="K169" i="66"/>
  <c r="K12" i="66"/>
  <c r="R170" i="66"/>
  <c r="R135" i="66"/>
  <c r="R171" i="66"/>
  <c r="R44" i="66"/>
  <c r="R139" i="66"/>
  <c r="K40" i="66"/>
  <c r="R43" i="66"/>
  <c r="R51" i="66"/>
  <c r="K56" i="66"/>
  <c r="K136" i="66"/>
  <c r="K138" i="66"/>
  <c r="K45" i="66"/>
  <c r="R136" i="66"/>
  <c r="R138" i="66"/>
  <c r="K135" i="66"/>
  <c r="K177" i="66"/>
  <c r="K181" i="66"/>
  <c r="K178" i="66"/>
  <c r="K180" i="66"/>
  <c r="K179" i="66"/>
  <c r="K182" i="66"/>
  <c r="R178" i="66"/>
  <c r="R177" i="66"/>
  <c r="R180" i="66"/>
  <c r="R179" i="66"/>
  <c r="R181" i="66"/>
  <c r="R182" i="66"/>
  <c r="M183" i="66"/>
  <c r="K105" i="66"/>
  <c r="K21" i="66"/>
  <c r="M88" i="66"/>
  <c r="R26" i="66"/>
  <c r="J33" i="66"/>
  <c r="Q33" i="66"/>
  <c r="K66" i="66"/>
  <c r="M207" i="66"/>
  <c r="R107" i="66"/>
  <c r="M110" i="66"/>
  <c r="Q75" i="66"/>
  <c r="J75" i="66"/>
  <c r="M57" i="66"/>
  <c r="M152" i="66"/>
  <c r="M26" i="66"/>
  <c r="M130" i="66"/>
  <c r="Q159" i="66"/>
  <c r="J159" i="66"/>
  <c r="J117" i="66"/>
  <c r="Q117" i="66"/>
  <c r="K191" i="66"/>
  <c r="M99" i="66"/>
  <c r="M46" i="66"/>
  <c r="R65" i="66"/>
  <c r="M194" i="66"/>
  <c r="M23" i="66"/>
  <c r="M25" i="66"/>
  <c r="M106" i="66"/>
  <c r="Q28" i="66"/>
  <c r="J28" i="66"/>
  <c r="Q157" i="66"/>
  <c r="J157" i="66"/>
  <c r="Q70" i="66"/>
  <c r="J70" i="66"/>
  <c r="Q73" i="66"/>
  <c r="J73" i="66"/>
  <c r="M63" i="66"/>
  <c r="M24" i="66"/>
  <c r="M190" i="66"/>
  <c r="M108" i="66"/>
  <c r="J113" i="66"/>
  <c r="Q113" i="66"/>
  <c r="J116" i="66"/>
  <c r="Q116" i="66"/>
  <c r="M192" i="66"/>
  <c r="M193" i="66"/>
  <c r="M189" i="66"/>
  <c r="J31" i="66"/>
  <c r="Q31" i="66"/>
  <c r="J29" i="66"/>
  <c r="Q29" i="66"/>
  <c r="J74" i="66"/>
  <c r="Q74" i="66"/>
  <c r="J112" i="66"/>
  <c r="Q112" i="66"/>
  <c r="J115" i="66"/>
  <c r="Q115" i="66"/>
  <c r="M67" i="66"/>
  <c r="M109" i="66"/>
  <c r="J32" i="66"/>
  <c r="Q32" i="66"/>
  <c r="Q158" i="66"/>
  <c r="J158" i="66"/>
  <c r="J71" i="66"/>
  <c r="Q71" i="66"/>
  <c r="M66" i="66"/>
  <c r="M105" i="66"/>
  <c r="M22" i="66"/>
  <c r="M64" i="66"/>
  <c r="K22" i="52"/>
  <c r="J14" i="52"/>
  <c r="K13" i="52" s="1"/>
  <c r="K23" i="52"/>
  <c r="I35" i="81" a="1"/>
  <c r="I35" i="82" a="1"/>
  <c r="D55" i="85" a="1"/>
  <c r="I35" i="53" a="1"/>
  <c r="I34" i="53" a="1"/>
  <c r="I34" i="80" a="1"/>
  <c r="I35" i="79" a="1"/>
  <c r="D69" i="85" a="1"/>
  <c r="AA34" i="81" a="1"/>
  <c r="N34" i="80" a="1"/>
  <c r="AD35" i="79" a="1"/>
  <c r="N34" i="53" a="1"/>
  <c r="AF34" i="81" a="1"/>
  <c r="N35" i="81" a="1"/>
  <c r="AA35" i="80" a="1"/>
  <c r="AA33" i="81" a="1"/>
  <c r="AF34" i="80" a="1"/>
  <c r="I34" i="81" a="1"/>
  <c r="I34" i="82" a="1"/>
  <c r="AA34" i="80" a="1"/>
  <c r="N34" i="79" a="1"/>
  <c r="J62" i="85" a="1"/>
  <c r="AA34" i="82" a="1"/>
  <c r="I34" i="79" a="1"/>
  <c r="N35" i="53" a="1"/>
  <c r="D76" i="85" a="1"/>
  <c r="J48" i="85" a="1"/>
  <c r="AA33" i="80" a="1"/>
  <c r="N35" i="79" a="1"/>
  <c r="AF35" i="82" a="1"/>
  <c r="AA34" i="53" a="1"/>
  <c r="AF34" i="53" a="1"/>
  <c r="N35" i="80" a="1"/>
  <c r="AF35" i="81" a="1"/>
  <c r="N35" i="82" a="1"/>
  <c r="AD35" i="82" a="1"/>
  <c r="D48" i="85" a="1"/>
  <c r="AA34" i="79" a="1"/>
  <c r="J55" i="85" a="1"/>
  <c r="N34" i="82" a="1"/>
  <c r="AD35" i="53" a="1"/>
  <c r="I35" i="80" a="1"/>
  <c r="AA33" i="82" a="1"/>
  <c r="N34" i="81" a="1"/>
  <c r="AF34" i="79" a="1"/>
  <c r="K12" i="52" l="1"/>
  <c r="R123" i="52"/>
  <c r="K76" i="52"/>
  <c r="K75" i="52"/>
  <c r="K74" i="52"/>
  <c r="K121" i="52"/>
  <c r="K120" i="52"/>
  <c r="K123" i="52"/>
  <c r="K122" i="52"/>
  <c r="K166" i="52"/>
  <c r="K165" i="52"/>
  <c r="K167" i="52"/>
  <c r="M121" i="52"/>
  <c r="M166" i="52"/>
  <c r="M125" i="52"/>
  <c r="M73" i="52"/>
  <c r="M207" i="52"/>
  <c r="K205" i="52"/>
  <c r="J208" i="52"/>
  <c r="J209" i="52" s="1"/>
  <c r="M209" i="52" s="1"/>
  <c r="R76" i="52"/>
  <c r="J193" i="52"/>
  <c r="M193" i="52" s="1"/>
  <c r="M123" i="52"/>
  <c r="M120" i="52"/>
  <c r="K71" i="52"/>
  <c r="R70" i="52"/>
  <c r="M124" i="52"/>
  <c r="K206" i="52"/>
  <c r="R72" i="52"/>
  <c r="M122" i="52"/>
  <c r="K99" i="52"/>
  <c r="K100" i="52"/>
  <c r="M58" i="52"/>
  <c r="M164" i="52"/>
  <c r="M158" i="52"/>
  <c r="M67" i="52"/>
  <c r="M167" i="52"/>
  <c r="M33" i="52"/>
  <c r="J59" i="52"/>
  <c r="M59" i="52" s="1"/>
  <c r="M77" i="52"/>
  <c r="J79" i="52"/>
  <c r="J80" i="52" s="1"/>
  <c r="K156" i="52"/>
  <c r="M75" i="52"/>
  <c r="K162" i="52"/>
  <c r="R74" i="52"/>
  <c r="K72" i="52"/>
  <c r="M76" i="52"/>
  <c r="R75" i="52"/>
  <c r="Q79" i="52"/>
  <c r="R78" i="52" s="1"/>
  <c r="K66" i="52"/>
  <c r="M78" i="52"/>
  <c r="J92" i="52"/>
  <c r="M92" i="52" s="1"/>
  <c r="R66" i="52"/>
  <c r="M74" i="52"/>
  <c r="Q170" i="52"/>
  <c r="Q171" i="52" s="1"/>
  <c r="Q172" i="52" s="1"/>
  <c r="Q173" i="52" s="1"/>
  <c r="K146" i="52"/>
  <c r="M148" i="52"/>
  <c r="J149" i="52"/>
  <c r="M149" i="52" s="1"/>
  <c r="M169" i="52"/>
  <c r="R65" i="52"/>
  <c r="M165" i="52"/>
  <c r="K65" i="52"/>
  <c r="K147" i="52"/>
  <c r="K163" i="52"/>
  <c r="J170" i="52"/>
  <c r="M168" i="52"/>
  <c r="M35" i="52"/>
  <c r="M34" i="52"/>
  <c r="M48" i="52"/>
  <c r="M49" i="52"/>
  <c r="K27" i="52"/>
  <c r="M30" i="52"/>
  <c r="K32" i="52"/>
  <c r="M32" i="52"/>
  <c r="K31" i="52"/>
  <c r="M24" i="52"/>
  <c r="M14" i="52"/>
  <c r="K11" i="52"/>
  <c r="R99" i="52"/>
  <c r="J102" i="52"/>
  <c r="M101" i="52"/>
  <c r="J36" i="52"/>
  <c r="Q36" i="52"/>
  <c r="Q37" i="52" s="1"/>
  <c r="J112" i="52"/>
  <c r="R31" i="52"/>
  <c r="R25" i="52"/>
  <c r="R121" i="52"/>
  <c r="R122" i="52"/>
  <c r="R120" i="52"/>
  <c r="R161" i="52"/>
  <c r="R159" i="52"/>
  <c r="R166" i="52"/>
  <c r="D55" i="85"/>
  <c r="J55" i="85"/>
  <c r="J62" i="85"/>
  <c r="J48" i="85"/>
  <c r="D76" i="85"/>
  <c r="D48" i="85"/>
  <c r="D69" i="85"/>
  <c r="R187" i="52"/>
  <c r="R188" i="52"/>
  <c r="AB35" i="82"/>
  <c r="AB35" i="53"/>
  <c r="AB35" i="81"/>
  <c r="K25" i="52"/>
  <c r="J119" i="52"/>
  <c r="K118" i="52" s="1"/>
  <c r="AD35" i="82"/>
  <c r="AD35" i="53"/>
  <c r="AD35" i="79"/>
  <c r="AB35" i="79"/>
  <c r="AA33" i="82"/>
  <c r="N34" i="82"/>
  <c r="N35" i="82"/>
  <c r="AA34" i="82"/>
  <c r="AA35" i="80"/>
  <c r="I35" i="82"/>
  <c r="AF35" i="82"/>
  <c r="AF35" i="81"/>
  <c r="I34" i="82"/>
  <c r="I35" i="80"/>
  <c r="N35" i="81"/>
  <c r="I34" i="81"/>
  <c r="AA34" i="81"/>
  <c r="AA34" i="80"/>
  <c r="AF34" i="80"/>
  <c r="AF34" i="81"/>
  <c r="N35" i="80"/>
  <c r="I35" i="81"/>
  <c r="AA33" i="80"/>
  <c r="AA33" i="81"/>
  <c r="N34" i="80"/>
  <c r="N34" i="81"/>
  <c r="I34" i="80"/>
  <c r="I35" i="79"/>
  <c r="AA34" i="79"/>
  <c r="AF34" i="79"/>
  <c r="N35" i="79"/>
  <c r="N34" i="79"/>
  <c r="I34" i="79"/>
  <c r="M138" i="68"/>
  <c r="N34" i="53"/>
  <c r="AF34" i="53"/>
  <c r="N35" i="53"/>
  <c r="M126" i="68"/>
  <c r="M108" i="68"/>
  <c r="M83" i="68"/>
  <c r="M124" i="68"/>
  <c r="M125" i="68"/>
  <c r="K120" i="68"/>
  <c r="M123" i="68"/>
  <c r="M174" i="66"/>
  <c r="M132" i="66"/>
  <c r="M101" i="66"/>
  <c r="M59" i="66"/>
  <c r="M116" i="68"/>
  <c r="I35" i="53"/>
  <c r="AA34" i="53"/>
  <c r="I34" i="53"/>
  <c r="M15" i="68"/>
  <c r="M48" i="66"/>
  <c r="M17" i="66"/>
  <c r="M147" i="68"/>
  <c r="Q209" i="66"/>
  <c r="R208" i="66"/>
  <c r="M49" i="68"/>
  <c r="M143" i="66"/>
  <c r="M90" i="66"/>
  <c r="M24" i="68"/>
  <c r="M92" i="68"/>
  <c r="M58" i="68"/>
  <c r="M155" i="66"/>
  <c r="J15" i="52"/>
  <c r="K153" i="68"/>
  <c r="K151" i="68"/>
  <c r="Q156" i="68"/>
  <c r="Q157" i="68" s="1"/>
  <c r="Q158" i="68" s="1"/>
  <c r="R151" i="68"/>
  <c r="K89" i="68"/>
  <c r="K87" i="68"/>
  <c r="K54" i="68"/>
  <c r="K53" i="68"/>
  <c r="R56" i="68"/>
  <c r="R53" i="68"/>
  <c r="K21" i="68"/>
  <c r="K19" i="68"/>
  <c r="M153" i="66"/>
  <c r="R154" i="68"/>
  <c r="K20" i="68"/>
  <c r="R20" i="68"/>
  <c r="M59" i="68"/>
  <c r="M95" i="68"/>
  <c r="K56" i="68"/>
  <c r="R152" i="68"/>
  <c r="M93" i="68"/>
  <c r="R21" i="68"/>
  <c r="K88" i="68"/>
  <c r="M91" i="68"/>
  <c r="K90" i="68"/>
  <c r="R92" i="68"/>
  <c r="R88" i="68"/>
  <c r="R55" i="68"/>
  <c r="R54" i="68"/>
  <c r="K55" i="68"/>
  <c r="M25" i="68"/>
  <c r="M94" i="68"/>
  <c r="K121" i="68"/>
  <c r="K122" i="68"/>
  <c r="R90" i="68"/>
  <c r="K92" i="68"/>
  <c r="M60" i="68"/>
  <c r="M26" i="68"/>
  <c r="R153" i="68"/>
  <c r="K152" i="68"/>
  <c r="R125" i="68"/>
  <c r="M155" i="68"/>
  <c r="K154" i="68"/>
  <c r="J156" i="68"/>
  <c r="J157" i="68" s="1"/>
  <c r="J158" i="68" s="1"/>
  <c r="M57" i="68"/>
  <c r="R121" i="68"/>
  <c r="R122" i="68"/>
  <c r="M61" i="68"/>
  <c r="M27" i="68"/>
  <c r="R89" i="68"/>
  <c r="R22" i="68"/>
  <c r="M23" i="68"/>
  <c r="K22" i="68"/>
  <c r="R22" i="66"/>
  <c r="R193" i="66"/>
  <c r="R192" i="66"/>
  <c r="R105" i="66"/>
  <c r="R24" i="66"/>
  <c r="R108" i="66"/>
  <c r="R66" i="66"/>
  <c r="R190" i="66"/>
  <c r="R68" i="66"/>
  <c r="K23" i="66"/>
  <c r="K26" i="66"/>
  <c r="K25" i="66"/>
  <c r="R25" i="66"/>
  <c r="K108" i="66"/>
  <c r="K193" i="66"/>
  <c r="K192" i="66"/>
  <c r="R106" i="66"/>
  <c r="K67" i="66"/>
  <c r="R110" i="66"/>
  <c r="R23" i="66"/>
  <c r="R194" i="66"/>
  <c r="R191" i="66"/>
  <c r="K150" i="66"/>
  <c r="K147" i="66"/>
  <c r="K151" i="66"/>
  <c r="K148" i="66"/>
  <c r="K149" i="66"/>
  <c r="R64" i="66"/>
  <c r="R21" i="66"/>
  <c r="K190" i="66"/>
  <c r="R63" i="66"/>
  <c r="K22" i="66"/>
  <c r="K24" i="66"/>
  <c r="R109" i="66"/>
  <c r="R189" i="66"/>
  <c r="R67" i="66"/>
  <c r="K68" i="66"/>
  <c r="K65" i="66"/>
  <c r="K110" i="66"/>
  <c r="K107" i="66"/>
  <c r="K106" i="66"/>
  <c r="K194" i="66"/>
  <c r="R150" i="66"/>
  <c r="R151" i="66"/>
  <c r="R148" i="66"/>
  <c r="R147" i="66"/>
  <c r="R149" i="66"/>
  <c r="K109" i="66"/>
  <c r="K189" i="66"/>
  <c r="K63" i="66"/>
  <c r="K64" i="66"/>
  <c r="Q196" i="66"/>
  <c r="Q197" i="66" s="1"/>
  <c r="Q198" i="66" s="1"/>
  <c r="M27" i="66"/>
  <c r="K156" i="66"/>
  <c r="M159" i="66"/>
  <c r="M69" i="66"/>
  <c r="K114" i="66"/>
  <c r="K30" i="66"/>
  <c r="M195" i="66"/>
  <c r="J196" i="66"/>
  <c r="J197" i="66" s="1"/>
  <c r="J198" i="66" s="1"/>
  <c r="R156" i="66"/>
  <c r="R30" i="66"/>
  <c r="M111" i="66"/>
  <c r="R114" i="66"/>
  <c r="M75" i="66"/>
  <c r="M33" i="66"/>
  <c r="K72" i="66"/>
  <c r="M117" i="66"/>
  <c r="R72" i="66"/>
  <c r="M113" i="66"/>
  <c r="M70" i="66"/>
  <c r="M157" i="66"/>
  <c r="M158" i="66"/>
  <c r="M32" i="66"/>
  <c r="M112" i="66"/>
  <c r="M29" i="66"/>
  <c r="M116" i="66"/>
  <c r="M71" i="66"/>
  <c r="M74" i="66"/>
  <c r="M73" i="66"/>
  <c r="M28" i="66"/>
  <c r="M115" i="66"/>
  <c r="M31" i="66"/>
  <c r="M154" i="66"/>
  <c r="M15" i="66"/>
  <c r="J55" i="83" a="1"/>
  <c r="L35" i="81" a="1"/>
  <c r="J69" i="83" a="1"/>
  <c r="L34" i="80" a="1"/>
  <c r="D68" i="83" a="1"/>
  <c r="L34" i="53" a="1"/>
  <c r="L35" i="82" a="1"/>
  <c r="L34" i="82" a="1"/>
  <c r="AA33" i="79" a="1"/>
  <c r="W21" i="57" a="1"/>
  <c r="D55" i="83" a="1"/>
  <c r="W22" i="57" a="1"/>
  <c r="D47" i="83" a="1"/>
  <c r="J62" i="83" a="1"/>
  <c r="AD35" i="80" a="1"/>
  <c r="D61" i="85" a="1"/>
  <c r="O25" i="57" a="1"/>
  <c r="L35" i="53" a="1"/>
  <c r="L34" i="79" a="1"/>
  <c r="AD34" i="53" a="1"/>
  <c r="D69" i="83" a="1"/>
  <c r="J54" i="83" a="1"/>
  <c r="L35" i="80" a="1"/>
  <c r="J76" i="83" a="1"/>
  <c r="W25" i="57" a="1"/>
  <c r="D61" i="83" a="1"/>
  <c r="W24" i="57" a="1"/>
  <c r="O22" i="57" a="1"/>
  <c r="D62" i="83" a="1"/>
  <c r="D68" i="85" a="1"/>
  <c r="J48" i="83" a="1"/>
  <c r="D48" i="83" a="1"/>
  <c r="J69" i="85" a="1"/>
  <c r="J68" i="85" a="1"/>
  <c r="D54" i="85" a="1"/>
  <c r="D62" i="85" a="1"/>
  <c r="D76" i="83" a="1"/>
  <c r="J75" i="83" a="1"/>
  <c r="AD35" i="81" a="1"/>
  <c r="J54" i="85" a="1"/>
  <c r="D60" i="85" a="1"/>
  <c r="J61" i="83" a="1"/>
  <c r="AD34" i="80" a="1"/>
  <c r="J47" i="85" a="1"/>
  <c r="D74" i="85" a="1"/>
  <c r="J61" i="85" a="1"/>
  <c r="O21" i="57" a="1"/>
  <c r="D47" i="85" a="1"/>
  <c r="AF34" i="82" a="1"/>
  <c r="D75" i="83" a="1"/>
  <c r="D54" i="83" a="1"/>
  <c r="L35" i="79" a="1"/>
  <c r="AD34" i="79" a="1"/>
  <c r="J47" i="83" a="1"/>
  <c r="AD34" i="81" a="1"/>
  <c r="J68" i="83" a="1"/>
  <c r="AA33" i="53" a="1"/>
  <c r="L34" i="81" a="1"/>
  <c r="J76" i="85" a="1"/>
  <c r="D75" i="85" a="1"/>
  <c r="D67" i="85" a="1"/>
  <c r="AA36" i="82" l="1"/>
  <c r="AA36" i="81"/>
  <c r="AA36" i="80"/>
  <c r="M208" i="52"/>
  <c r="M170" i="52"/>
  <c r="J210" i="52"/>
  <c r="M210" i="52" s="1"/>
  <c r="K117" i="52"/>
  <c r="K111" i="52"/>
  <c r="K110" i="52"/>
  <c r="K169" i="52"/>
  <c r="M79" i="52"/>
  <c r="J81" i="52"/>
  <c r="J82" i="52" s="1"/>
  <c r="Q80" i="52"/>
  <c r="M80" i="52" s="1"/>
  <c r="J171" i="52"/>
  <c r="K168" i="52"/>
  <c r="J150" i="52"/>
  <c r="M150" i="52" s="1"/>
  <c r="K78" i="52"/>
  <c r="R77" i="52"/>
  <c r="K77" i="52"/>
  <c r="M36" i="52"/>
  <c r="J37" i="52"/>
  <c r="M37" i="52" s="1"/>
  <c r="K34" i="52"/>
  <c r="K35" i="52"/>
  <c r="K33" i="52"/>
  <c r="J16" i="52"/>
  <c r="M102" i="52"/>
  <c r="J103" i="52"/>
  <c r="W25" i="57"/>
  <c r="W22" i="57"/>
  <c r="W24" i="57"/>
  <c r="W21" i="57"/>
  <c r="O22" i="57"/>
  <c r="O21" i="57"/>
  <c r="O25" i="57"/>
  <c r="R33" i="52"/>
  <c r="R32" i="52"/>
  <c r="AA33" i="53"/>
  <c r="R167" i="52"/>
  <c r="R165" i="52"/>
  <c r="J47" i="85"/>
  <c r="D67" i="85"/>
  <c r="J68" i="85"/>
  <c r="J69" i="85"/>
  <c r="D75" i="85"/>
  <c r="D47" i="85"/>
  <c r="D60" i="85"/>
  <c r="J61" i="85"/>
  <c r="J76" i="85"/>
  <c r="J54" i="85"/>
  <c r="D61" i="85"/>
  <c r="D54" i="85"/>
  <c r="D68" i="85"/>
  <c r="D62" i="85"/>
  <c r="D74" i="85"/>
  <c r="D68" i="83"/>
  <c r="D47" i="83"/>
  <c r="J54" i="83"/>
  <c r="D55" i="83"/>
  <c r="J47" i="83"/>
  <c r="J55" i="83"/>
  <c r="D61" i="83"/>
  <c r="J69" i="83"/>
  <c r="J76" i="83"/>
  <c r="D48" i="83"/>
  <c r="J68" i="83"/>
  <c r="D69" i="83"/>
  <c r="D62" i="83"/>
  <c r="D76" i="83"/>
  <c r="J75" i="83"/>
  <c r="J48" i="83"/>
  <c r="D54" i="83"/>
  <c r="J61" i="83"/>
  <c r="J62" i="83"/>
  <c r="D75" i="83"/>
  <c r="AE35" i="82"/>
  <c r="AB34" i="80"/>
  <c r="AE35" i="53"/>
  <c r="AB34" i="81"/>
  <c r="AB35" i="80"/>
  <c r="AB34" i="82"/>
  <c r="AA33" i="79"/>
  <c r="J35" i="81"/>
  <c r="J34" i="81"/>
  <c r="J35" i="82"/>
  <c r="J34" i="82"/>
  <c r="J35" i="80"/>
  <c r="J35" i="79"/>
  <c r="J34" i="79"/>
  <c r="J34" i="80"/>
  <c r="J126" i="52"/>
  <c r="K125" i="52" s="1"/>
  <c r="AE35" i="79"/>
  <c r="AD35" i="80"/>
  <c r="AD35" i="81"/>
  <c r="AD34" i="79"/>
  <c r="AD34" i="81"/>
  <c r="AD34" i="53"/>
  <c r="AD34" i="80"/>
  <c r="AB34" i="79"/>
  <c r="AF34" i="82"/>
  <c r="L35" i="82"/>
  <c r="L34" i="82"/>
  <c r="AB33" i="82"/>
  <c r="L35" i="81"/>
  <c r="L35" i="80"/>
  <c r="L34" i="80"/>
  <c r="L34" i="81"/>
  <c r="AB33" i="80"/>
  <c r="AB33" i="81"/>
  <c r="L34" i="79"/>
  <c r="L35" i="79"/>
  <c r="J35" i="66"/>
  <c r="J36" i="66" s="1"/>
  <c r="J37" i="66" s="1"/>
  <c r="R209" i="66"/>
  <c r="J128" i="68"/>
  <c r="J129" i="68" s="1"/>
  <c r="J130" i="68" s="1"/>
  <c r="M127" i="68"/>
  <c r="M198" i="66"/>
  <c r="M158" i="68"/>
  <c r="L34" i="53"/>
  <c r="L35" i="53"/>
  <c r="M209" i="66"/>
  <c r="K124" i="68"/>
  <c r="M156" i="68"/>
  <c r="K61" i="68"/>
  <c r="K58" i="68"/>
  <c r="R60" i="68"/>
  <c r="R58" i="68"/>
  <c r="J63" i="68"/>
  <c r="K25" i="68"/>
  <c r="K24" i="68"/>
  <c r="Q29" i="68"/>
  <c r="R24" i="68"/>
  <c r="Q97" i="68"/>
  <c r="Q98" i="68" s="1"/>
  <c r="Q99" i="68" s="1"/>
  <c r="R59" i="68"/>
  <c r="R94" i="68"/>
  <c r="K27" i="68"/>
  <c r="K126" i="68"/>
  <c r="K60" i="68"/>
  <c r="R93" i="68"/>
  <c r="M96" i="68"/>
  <c r="R61" i="68"/>
  <c r="Q63" i="68"/>
  <c r="Q64" i="68" s="1"/>
  <c r="Q65" i="68" s="1"/>
  <c r="M62" i="68"/>
  <c r="R25" i="68"/>
  <c r="R26" i="68"/>
  <c r="R126" i="68"/>
  <c r="Q128" i="68"/>
  <c r="Q129" i="68" s="1"/>
  <c r="Q130" i="68" s="1"/>
  <c r="K26" i="68"/>
  <c r="M28" i="68"/>
  <c r="J30" i="68"/>
  <c r="J31" i="68" s="1"/>
  <c r="K94" i="68"/>
  <c r="R95" i="68"/>
  <c r="J97" i="68"/>
  <c r="J98" i="68" s="1"/>
  <c r="J99" i="68" s="1"/>
  <c r="R27" i="68"/>
  <c r="K125" i="68"/>
  <c r="K59" i="68"/>
  <c r="K93" i="68"/>
  <c r="K95" i="68"/>
  <c r="K113" i="66"/>
  <c r="K154" i="66"/>
  <c r="K115" i="66"/>
  <c r="R116" i="66"/>
  <c r="K159" i="66"/>
  <c r="R117" i="66"/>
  <c r="R115" i="66"/>
  <c r="K116" i="66"/>
  <c r="R155" i="66"/>
  <c r="R31" i="66"/>
  <c r="R158" i="66"/>
  <c r="R74" i="66"/>
  <c r="R28" i="66"/>
  <c r="K29" i="66"/>
  <c r="R33" i="66"/>
  <c r="Q77" i="66"/>
  <c r="Q78" i="66" s="1"/>
  <c r="Q79" i="66" s="1"/>
  <c r="R159" i="66"/>
  <c r="K75" i="66"/>
  <c r="K157" i="66"/>
  <c r="K71" i="66"/>
  <c r="K73" i="66"/>
  <c r="K158" i="66"/>
  <c r="K28" i="66"/>
  <c r="K155" i="66"/>
  <c r="R70" i="66"/>
  <c r="K31" i="66"/>
  <c r="R32" i="66"/>
  <c r="R154" i="66"/>
  <c r="Q35" i="66"/>
  <c r="Q36" i="66" s="1"/>
  <c r="Q37" i="66" s="1"/>
  <c r="K112" i="66"/>
  <c r="R75" i="66"/>
  <c r="R157" i="66"/>
  <c r="K117" i="66"/>
  <c r="K70" i="66"/>
  <c r="R113" i="66"/>
  <c r="R112" i="66"/>
  <c r="K33" i="66"/>
  <c r="K74" i="66"/>
  <c r="R71" i="66"/>
  <c r="K32" i="66"/>
  <c r="R73" i="66"/>
  <c r="R29" i="66"/>
  <c r="J161" i="66"/>
  <c r="M196" i="66"/>
  <c r="Q119" i="66"/>
  <c r="Q120" i="66" s="1"/>
  <c r="Q121" i="66" s="1"/>
  <c r="Q161" i="66"/>
  <c r="Q162" i="66" s="1"/>
  <c r="Q163" i="66" s="1"/>
  <c r="M34" i="66"/>
  <c r="M160" i="66"/>
  <c r="M76" i="66"/>
  <c r="J77" i="66"/>
  <c r="M118" i="66"/>
  <c r="J119" i="66"/>
  <c r="J120" i="66" s="1"/>
  <c r="J121" i="66" s="1"/>
  <c r="K29" i="52"/>
  <c r="K28" i="52"/>
  <c r="J34" i="53"/>
  <c r="J35" i="53"/>
  <c r="V22" i="57" a="1"/>
  <c r="N24" i="57" a="1"/>
  <c r="O13" i="57" a="1"/>
  <c r="O23" i="57" a="1"/>
  <c r="V13" i="57" a="1"/>
  <c r="V9" i="57" a="1"/>
  <c r="W13" i="57" a="1"/>
  <c r="D70" i="85" a="1"/>
  <c r="W35" i="82" a="1"/>
  <c r="R35" i="80" a="1"/>
  <c r="R34" i="80" a="1"/>
  <c r="I33" i="53" a="1"/>
  <c r="D63" i="85" a="1"/>
  <c r="N9" i="57" a="1"/>
  <c r="V24" i="57" a="1"/>
  <c r="O10" i="57" a="1"/>
  <c r="U24" i="57" a="1"/>
  <c r="R34" i="53" a="1"/>
  <c r="D53" i="85" a="1"/>
  <c r="N23" i="57" a="1"/>
  <c r="W34" i="80" a="1"/>
  <c r="D77" i="85" a="1"/>
  <c r="N21" i="57" a="1"/>
  <c r="O9" i="57" a="1"/>
  <c r="V25" i="57" a="1"/>
  <c r="W34" i="53" a="1"/>
  <c r="R35" i="82" a="1"/>
  <c r="N10" i="57" a="1"/>
  <c r="U25" i="57" a="1"/>
  <c r="N22" i="57" a="1"/>
  <c r="V11" i="57" a="1"/>
  <c r="O11" i="57" a="1"/>
  <c r="W11" i="57" a="1"/>
  <c r="R35" i="53" a="1"/>
  <c r="N12" i="57" a="1"/>
  <c r="N11" i="57" a="1"/>
  <c r="W10" i="57" a="1"/>
  <c r="W34" i="82" a="1"/>
  <c r="O24" i="57" a="1"/>
  <c r="I33" i="80" a="1"/>
  <c r="D46" i="85" a="1"/>
  <c r="AD34" i="82" a="1"/>
  <c r="J75" i="85" a="1"/>
  <c r="V10" i="57" a="1"/>
  <c r="V23" i="57" a="1"/>
  <c r="W35" i="81" a="1"/>
  <c r="W34" i="79" a="1"/>
  <c r="U23" i="57" a="1"/>
  <c r="O12" i="57" a="1"/>
  <c r="N13" i="57" a="1"/>
  <c r="V12" i="57" a="1"/>
  <c r="W34" i="81" a="1"/>
  <c r="W23" i="57" a="1"/>
  <c r="W12" i="57" a="1"/>
  <c r="W9" i="57" a="1"/>
  <c r="AB36" i="81" l="1"/>
  <c r="AB44" i="81" s="1"/>
  <c r="AB36" i="80"/>
  <c r="AB44" i="80" s="1"/>
  <c r="AB36" i="82"/>
  <c r="AB44" i="82" s="1"/>
  <c r="AA36" i="53"/>
  <c r="AA36" i="79"/>
  <c r="K124" i="52"/>
  <c r="M171" i="52"/>
  <c r="J172" i="52"/>
  <c r="M172" i="52" s="1"/>
  <c r="Q81" i="52"/>
  <c r="M81" i="52" s="1"/>
  <c r="I33" i="53"/>
  <c r="I33" i="80"/>
  <c r="U25" i="57"/>
  <c r="V25" i="57"/>
  <c r="V12" i="57"/>
  <c r="V22" i="57"/>
  <c r="W12" i="57"/>
  <c r="V23" i="57"/>
  <c r="V13" i="57"/>
  <c r="W23" i="57"/>
  <c r="U24" i="57"/>
  <c r="U23" i="57"/>
  <c r="W13" i="57"/>
  <c r="V24" i="57"/>
  <c r="W11" i="57"/>
  <c r="V11" i="57"/>
  <c r="W10" i="57"/>
  <c r="V10" i="57"/>
  <c r="W9" i="57"/>
  <c r="V9" i="57"/>
  <c r="N24" i="57"/>
  <c r="N22" i="57"/>
  <c r="N23" i="57"/>
  <c r="O24" i="57"/>
  <c r="N21" i="57"/>
  <c r="O23" i="57"/>
  <c r="N11" i="57"/>
  <c r="N9" i="57"/>
  <c r="O10" i="57"/>
  <c r="N10" i="57"/>
  <c r="O11" i="57"/>
  <c r="N13" i="57"/>
  <c r="O9" i="57"/>
  <c r="N12" i="57"/>
  <c r="O12" i="57"/>
  <c r="O13" i="57"/>
  <c r="AB33" i="53"/>
  <c r="D46" i="85"/>
  <c r="D70" i="85"/>
  <c r="D77" i="85"/>
  <c r="J75" i="85"/>
  <c r="D63" i="85"/>
  <c r="D53" i="85"/>
  <c r="AE35" i="81"/>
  <c r="AE35" i="80"/>
  <c r="AE34" i="80"/>
  <c r="AE34" i="81"/>
  <c r="AB33" i="79"/>
  <c r="J127" i="52"/>
  <c r="J128" i="52" s="1"/>
  <c r="J129" i="52" s="1"/>
  <c r="K75" i="83"/>
  <c r="F75" i="83"/>
  <c r="G76" i="83"/>
  <c r="K76" i="83"/>
  <c r="F68" i="83"/>
  <c r="K68" i="83"/>
  <c r="K69" i="83"/>
  <c r="G69" i="83"/>
  <c r="G62" i="83"/>
  <c r="K62" i="83"/>
  <c r="K61" i="83"/>
  <c r="F61" i="83"/>
  <c r="F54" i="83"/>
  <c r="K54" i="83"/>
  <c r="K55" i="83"/>
  <c r="G55" i="83"/>
  <c r="K47" i="83"/>
  <c r="K48" i="83"/>
  <c r="F47" i="83"/>
  <c r="G48" i="83"/>
  <c r="M35" i="81"/>
  <c r="M34" i="82"/>
  <c r="M34" i="80"/>
  <c r="M35" i="79"/>
  <c r="M34" i="81"/>
  <c r="M35" i="82"/>
  <c r="M34" i="79"/>
  <c r="M35" i="80"/>
  <c r="AE34" i="79"/>
  <c r="AD34" i="82"/>
  <c r="W34" i="82"/>
  <c r="W35" i="82"/>
  <c r="R35" i="82"/>
  <c r="R35" i="80"/>
  <c r="W35" i="81"/>
  <c r="R34" i="80"/>
  <c r="W34" i="80"/>
  <c r="W34" i="81"/>
  <c r="W34" i="79"/>
  <c r="W34" i="53"/>
  <c r="M121" i="66"/>
  <c r="M99" i="68"/>
  <c r="M130" i="68"/>
  <c r="M128" i="68"/>
  <c r="R34" i="53"/>
  <c r="R35" i="53"/>
  <c r="M37" i="66"/>
  <c r="Q30" i="68"/>
  <c r="Q31" i="68" s="1"/>
  <c r="J78" i="66"/>
  <c r="J79" i="66" s="1"/>
  <c r="J162" i="66"/>
  <c r="J163" i="66" s="1"/>
  <c r="J64" i="68"/>
  <c r="J65" i="68" s="1"/>
  <c r="R124" i="68"/>
  <c r="M63" i="68"/>
  <c r="M29" i="68"/>
  <c r="M97" i="68"/>
  <c r="M77" i="66"/>
  <c r="M35" i="66"/>
  <c r="M119" i="66"/>
  <c r="M161" i="66"/>
  <c r="M35" i="53"/>
  <c r="M34" i="53"/>
  <c r="R34" i="82" a="1"/>
  <c r="U34" i="80" a="1"/>
  <c r="X24" i="57" a="1"/>
  <c r="I33" i="82" a="1"/>
  <c r="X25" i="57" a="1"/>
  <c r="D46" i="83" a="1"/>
  <c r="R35" i="81" a="1"/>
  <c r="J69" i="84" a="1"/>
  <c r="I33" i="79" a="1"/>
  <c r="U35" i="82" a="1"/>
  <c r="D62" i="84" a="1"/>
  <c r="R33" i="82" a="1"/>
  <c r="J54" i="84" a="1"/>
  <c r="N25" i="57" a="1"/>
  <c r="D49" i="85" a="1"/>
  <c r="W35" i="80" a="1"/>
  <c r="U22" i="57" a="1"/>
  <c r="W35" i="53" a="1"/>
  <c r="R34" i="79" a="1"/>
  <c r="W35" i="79" a="1"/>
  <c r="J75" i="84" a="1"/>
  <c r="J76" i="84" a="1"/>
  <c r="D47" i="84" a="1"/>
  <c r="D76" i="84" a="1"/>
  <c r="D61" i="84" a="1"/>
  <c r="X23" i="57" a="1"/>
  <c r="D56" i="85" a="1"/>
  <c r="R34" i="81" a="1"/>
  <c r="J61" i="84" a="1"/>
  <c r="I33" i="81" a="1"/>
  <c r="R35" i="79" a="1"/>
  <c r="J68" i="84" a="1"/>
  <c r="U34" i="53" a="1"/>
  <c r="J47" i="84" a="1"/>
  <c r="U21" i="57" a="1"/>
  <c r="D60" i="83" a="1"/>
  <c r="D48" i="84" a="1"/>
  <c r="AB36" i="79" l="1"/>
  <c r="AB44" i="79" s="1"/>
  <c r="D49" i="85"/>
  <c r="AB36" i="53"/>
  <c r="J33" i="80"/>
  <c r="I36" i="80"/>
  <c r="J33" i="53"/>
  <c r="I36" i="53"/>
  <c r="J173" i="52"/>
  <c r="M173" i="52" s="1"/>
  <c r="Q82" i="52"/>
  <c r="M82" i="52" s="1"/>
  <c r="D46" i="83"/>
  <c r="D60" i="83"/>
  <c r="X25" i="57"/>
  <c r="AE36" i="82"/>
  <c r="X24" i="57"/>
  <c r="X23" i="57"/>
  <c r="U22" i="57"/>
  <c r="U21" i="57"/>
  <c r="AE36" i="81"/>
  <c r="AE36" i="80"/>
  <c r="N25" i="57"/>
  <c r="I33" i="82"/>
  <c r="I36" i="82" s="1"/>
  <c r="D56" i="85"/>
  <c r="J61" i="84"/>
  <c r="D48" i="84"/>
  <c r="J47" i="84"/>
  <c r="D61" i="84"/>
  <c r="D76" i="84"/>
  <c r="D47" i="84"/>
  <c r="J54" i="84"/>
  <c r="J69" i="84"/>
  <c r="J76" i="84"/>
  <c r="J68" i="84"/>
  <c r="D62" i="84"/>
  <c r="J75" i="84"/>
  <c r="AE34" i="82"/>
  <c r="S35" i="53"/>
  <c r="S35" i="80"/>
  <c r="S34" i="53"/>
  <c r="S34" i="80"/>
  <c r="S35" i="82"/>
  <c r="R34" i="82"/>
  <c r="R33" i="82"/>
  <c r="U35" i="82"/>
  <c r="R35" i="81"/>
  <c r="R35" i="79"/>
  <c r="R34" i="81"/>
  <c r="R34" i="79"/>
  <c r="I33" i="81"/>
  <c r="I33" i="79"/>
  <c r="W35" i="80"/>
  <c r="U34" i="80"/>
  <c r="W35" i="79"/>
  <c r="W35" i="53"/>
  <c r="M31" i="68"/>
  <c r="M163" i="66"/>
  <c r="M65" i="68"/>
  <c r="M79" i="66"/>
  <c r="U34" i="53"/>
  <c r="J38" i="52"/>
  <c r="U35" i="53" a="1"/>
  <c r="U34" i="79" a="1"/>
  <c r="D54" i="84" a="1"/>
  <c r="U35" i="81" a="1"/>
  <c r="U35" i="79" a="1"/>
  <c r="U35" i="80" a="1"/>
  <c r="D75" i="84" a="1"/>
  <c r="R33" i="80" a="1"/>
  <c r="N15" i="57" a="1"/>
  <c r="U34" i="81" a="1"/>
  <c r="U11" i="57" a="1"/>
  <c r="D53" i="83" a="1"/>
  <c r="X22" i="57" a="1"/>
  <c r="J48" i="84" a="1"/>
  <c r="J55" i="84" a="1"/>
  <c r="D55" i="84" a="1"/>
  <c r="N17" i="57" a="1"/>
  <c r="D67" i="83" a="1"/>
  <c r="W17" i="57" a="1"/>
  <c r="W15" i="57" a="1"/>
  <c r="W19" i="57" a="1"/>
  <c r="V15" i="57" a="1"/>
  <c r="J62" i="84" a="1"/>
  <c r="D49" i="83" a="1"/>
  <c r="D63" i="83" a="1"/>
  <c r="D74" i="84" a="1"/>
  <c r="U9" i="57" a="1"/>
  <c r="V17" i="57" a="1"/>
  <c r="D68" i="84" a="1"/>
  <c r="O19" i="57" a="1"/>
  <c r="D69" i="84" a="1"/>
  <c r="U34" i="82" a="1"/>
  <c r="D74" i="83" a="1"/>
  <c r="R33" i="81" a="1"/>
  <c r="J36" i="80" l="1"/>
  <c r="M36" i="80" s="1"/>
  <c r="J36" i="53"/>
  <c r="J44" i="53" s="1"/>
  <c r="I36" i="79"/>
  <c r="I36" i="81"/>
  <c r="R36" i="82"/>
  <c r="U9" i="57"/>
  <c r="U11" i="57"/>
  <c r="J33" i="82"/>
  <c r="J39" i="52"/>
  <c r="D49" i="83"/>
  <c r="D51" i="83" s="1"/>
  <c r="D63" i="83"/>
  <c r="D65" i="83" s="1"/>
  <c r="V17" i="57"/>
  <c r="X22" i="57"/>
  <c r="W17" i="57"/>
  <c r="W19" i="57"/>
  <c r="W15" i="57"/>
  <c r="V15" i="57"/>
  <c r="AE36" i="79"/>
  <c r="N17" i="57"/>
  <c r="N15" i="57"/>
  <c r="O19" i="57"/>
  <c r="D74" i="83"/>
  <c r="J55" i="84"/>
  <c r="J62" i="84"/>
  <c r="D68" i="84"/>
  <c r="F68" i="84" s="1"/>
  <c r="D55" i="84"/>
  <c r="J48" i="84"/>
  <c r="D69" i="84"/>
  <c r="K69" i="84" s="1"/>
  <c r="D74" i="84"/>
  <c r="D54" i="84"/>
  <c r="K54" i="84" s="1"/>
  <c r="D75" i="84"/>
  <c r="F75" i="84" s="1"/>
  <c r="D53" i="83"/>
  <c r="D67" i="83"/>
  <c r="V35" i="82"/>
  <c r="K68" i="85"/>
  <c r="K75" i="85"/>
  <c r="F54" i="85"/>
  <c r="K69" i="85"/>
  <c r="F47" i="85"/>
  <c r="K47" i="85"/>
  <c r="F61" i="85"/>
  <c r="K61" i="85"/>
  <c r="G76" i="85"/>
  <c r="K76" i="85"/>
  <c r="V34" i="80"/>
  <c r="S34" i="82"/>
  <c r="F61" i="84"/>
  <c r="K61" i="84"/>
  <c r="S35" i="81"/>
  <c r="F47" i="84"/>
  <c r="K47" i="84"/>
  <c r="G76" i="84"/>
  <c r="K76" i="84"/>
  <c r="S34" i="81"/>
  <c r="S35" i="79"/>
  <c r="S34" i="79"/>
  <c r="U34" i="82"/>
  <c r="S33" i="82"/>
  <c r="U34" i="81"/>
  <c r="U34" i="79"/>
  <c r="R33" i="81"/>
  <c r="U35" i="81"/>
  <c r="U35" i="80"/>
  <c r="R33" i="80"/>
  <c r="J33" i="81"/>
  <c r="J33" i="79"/>
  <c r="U35" i="79"/>
  <c r="U35" i="53"/>
  <c r="D70" i="83" a="1"/>
  <c r="D77" i="83" a="1"/>
  <c r="O16" i="57" a="1"/>
  <c r="D56" i="83" a="1"/>
  <c r="O17" i="57" a="1"/>
  <c r="X9" i="57" a="1"/>
  <c r="W18" i="57" a="1"/>
  <c r="R33" i="53" a="1"/>
  <c r="U10" i="57" a="1"/>
  <c r="D67" i="84" a="1"/>
  <c r="O15" i="57" a="1"/>
  <c r="W16" i="57" a="1"/>
  <c r="V16" i="57" a="1"/>
  <c r="U19" i="57" a="1"/>
  <c r="N19" i="57" a="1"/>
  <c r="D60" i="84" a="1"/>
  <c r="D77" i="84" a="1"/>
  <c r="U12" i="57" a="1"/>
  <c r="N16" i="57" a="1"/>
  <c r="V19" i="57" a="1"/>
  <c r="N18" i="57" a="1"/>
  <c r="U13" i="57" a="1"/>
  <c r="X11" i="57" a="1"/>
  <c r="V18" i="57" a="1"/>
  <c r="O18" i="57" a="1"/>
  <c r="R33" i="79" a="1"/>
  <c r="J44" i="80" l="1"/>
  <c r="S36" i="82"/>
  <c r="X11" i="57"/>
  <c r="X9" i="57"/>
  <c r="J36" i="81"/>
  <c r="J44" i="81" s="1"/>
  <c r="J36" i="82"/>
  <c r="M36" i="82" s="1"/>
  <c r="J36" i="79"/>
  <c r="J44" i="79" s="1"/>
  <c r="R36" i="81"/>
  <c r="R36" i="80"/>
  <c r="U13" i="57"/>
  <c r="R33" i="79"/>
  <c r="R33" i="53"/>
  <c r="V18" i="57"/>
  <c r="V19" i="57"/>
  <c r="U19" i="57"/>
  <c r="U12" i="57"/>
  <c r="V16" i="57"/>
  <c r="W18" i="57"/>
  <c r="W16" i="57"/>
  <c r="U10" i="57"/>
  <c r="O15" i="57"/>
  <c r="N16" i="57"/>
  <c r="O17" i="57"/>
  <c r="N18" i="57"/>
  <c r="N19" i="57"/>
  <c r="O16" i="57"/>
  <c r="O18" i="57"/>
  <c r="D77" i="83"/>
  <c r="D79" i="83" s="1"/>
  <c r="D67" i="84"/>
  <c r="D77" i="84"/>
  <c r="D79" i="84" s="1"/>
  <c r="D60" i="84"/>
  <c r="D70" i="83"/>
  <c r="D72" i="83" s="1"/>
  <c r="D56" i="83"/>
  <c r="D58" i="83" s="1"/>
  <c r="V35" i="53"/>
  <c r="V35" i="80"/>
  <c r="F54" i="84"/>
  <c r="F68" i="85"/>
  <c r="G69" i="85"/>
  <c r="K54" i="85"/>
  <c r="F75" i="85"/>
  <c r="D79" i="85"/>
  <c r="G55" i="85"/>
  <c r="K55" i="85"/>
  <c r="G48" i="85"/>
  <c r="K48" i="85"/>
  <c r="V34" i="81"/>
  <c r="G69" i="84"/>
  <c r="V35" i="81"/>
  <c r="G62" i="85"/>
  <c r="K62" i="85"/>
  <c r="V34" i="82"/>
  <c r="K68" i="84"/>
  <c r="K62" i="84"/>
  <c r="G62" i="84"/>
  <c r="K75" i="84"/>
  <c r="G55" i="84"/>
  <c r="K55" i="84"/>
  <c r="G48" i="84"/>
  <c r="K48" i="84"/>
  <c r="V35" i="79"/>
  <c r="V34" i="79"/>
  <c r="S33" i="81"/>
  <c r="S33" i="80"/>
  <c r="U17" i="57" a="1"/>
  <c r="D70" i="84" a="1"/>
  <c r="D53" i="84" a="1"/>
  <c r="D63" i="84" a="1"/>
  <c r="D46" i="84" a="1"/>
  <c r="U18" i="57" a="1"/>
  <c r="X19" i="57" a="1"/>
  <c r="X10" i="57" a="1"/>
  <c r="X13" i="57" a="1"/>
  <c r="X12" i="57" a="1"/>
  <c r="S36" i="80" l="1"/>
  <c r="S36" i="81"/>
  <c r="X13" i="57"/>
  <c r="J44" i="82"/>
  <c r="S33" i="53"/>
  <c r="R36" i="53"/>
  <c r="S33" i="79"/>
  <c r="R36" i="79"/>
  <c r="D53" i="84"/>
  <c r="D46" i="84"/>
  <c r="U18" i="57"/>
  <c r="X12" i="57"/>
  <c r="X19" i="57"/>
  <c r="U17" i="57"/>
  <c r="M36" i="81"/>
  <c r="V36" i="82"/>
  <c r="X10" i="57"/>
  <c r="D70" i="84"/>
  <c r="D72" i="84" s="1"/>
  <c r="D63" i="84"/>
  <c r="D65" i="84" s="1"/>
  <c r="D51" i="85"/>
  <c r="D58" i="85"/>
  <c r="D72" i="85"/>
  <c r="D65" i="85"/>
  <c r="S44" i="82"/>
  <c r="M36" i="79"/>
  <c r="M20" i="66"/>
  <c r="X17" i="57" a="1"/>
  <c r="D49" i="84" a="1"/>
  <c r="X18" i="57" a="1"/>
  <c r="U16" i="57" a="1"/>
  <c r="U15" i="57" a="1"/>
  <c r="D56" i="84" a="1"/>
  <c r="S36" i="79" l="1"/>
  <c r="S36" i="53"/>
  <c r="U16" i="57"/>
  <c r="U15" i="57"/>
  <c r="D56" i="84"/>
  <c r="D58" i="84" s="1"/>
  <c r="D49" i="84"/>
  <c r="D51" i="84" s="1"/>
  <c r="X17" i="57"/>
  <c r="X18" i="57"/>
  <c r="V36" i="80"/>
  <c r="V36" i="81"/>
  <c r="S44" i="81"/>
  <c r="S44" i="80"/>
  <c r="V34" i="53"/>
  <c r="X15" i="57" a="1"/>
  <c r="X16" i="57" a="1"/>
  <c r="V36" i="53" l="1"/>
  <c r="V36" i="79"/>
  <c r="S44" i="79"/>
  <c r="X15" i="57"/>
  <c r="X16" i="57"/>
  <c r="S44" i="53"/>
  <c r="AB34" i="53"/>
  <c r="AB44" i="53" s="1"/>
  <c r="V21" i="57" a="1"/>
  <c r="V21" i="57" l="1"/>
  <c r="AE34" i="53"/>
  <c r="X21" i="57" a="1"/>
  <c r="X21" i="57" l="1"/>
  <c r="AE36" i="53"/>
  <c r="AF33" i="79" a="1"/>
  <c r="AF33" i="79" l="1"/>
  <c r="AD33" i="79" a="1"/>
  <c r="J53" i="85" a="1"/>
  <c r="AD33" i="79" l="1"/>
  <c r="J53" i="85"/>
  <c r="M22" i="57" a="1"/>
  <c r="K53" i="85" l="1"/>
  <c r="E52" i="85" s="1"/>
  <c r="M22" i="57"/>
  <c r="AD37" i="79"/>
  <c r="F52" i="85" l="1"/>
  <c r="G52" i="85" s="1"/>
  <c r="Z39" i="79"/>
  <c r="AD39" i="79" l="1"/>
  <c r="AD44" i="79" s="1"/>
  <c r="AG38" i="79"/>
  <c r="AG35" i="79"/>
  <c r="AG34" i="79"/>
  <c r="AG33" i="79"/>
  <c r="AF36" i="79"/>
  <c r="J56" i="85" a="1"/>
  <c r="W33" i="79" a="1"/>
  <c r="AF44" i="79" l="1"/>
  <c r="AG36" i="79"/>
  <c r="AG44" i="79" s="1"/>
  <c r="J56" i="85"/>
  <c r="W33" i="79"/>
  <c r="U33" i="79" a="1"/>
  <c r="J53" i="84" a="1"/>
  <c r="K56" i="85" l="1"/>
  <c r="H52" i="85" s="1"/>
  <c r="I52" i="85" s="1"/>
  <c r="J58" i="85"/>
  <c r="H56" i="85"/>
  <c r="U33" i="79"/>
  <c r="V33" i="79" s="1"/>
  <c r="J53" i="84"/>
  <c r="E53" i="85"/>
  <c r="M16" i="57" a="1"/>
  <c r="M58" i="85" l="1"/>
  <c r="K53" i="84"/>
  <c r="E52" i="84" s="1"/>
  <c r="F52" i="84" s="1"/>
  <c r="G52" i="84" s="1"/>
  <c r="E53" i="84"/>
  <c r="M16" i="57"/>
  <c r="U37" i="79"/>
  <c r="V44" i="79" s="1"/>
  <c r="Q39" i="79" l="1"/>
  <c r="N33" i="79" a="1"/>
  <c r="X34" i="79" l="1"/>
  <c r="U39" i="79"/>
  <c r="U44" i="79" s="1"/>
  <c r="D9" i="79"/>
  <c r="D16" i="79" s="1"/>
  <c r="X33" i="79"/>
  <c r="X38" i="79"/>
  <c r="W36" i="79"/>
  <c r="X35" i="79"/>
  <c r="N33" i="79"/>
  <c r="F14" i="57" a="1"/>
  <c r="J53" i="83" a="1"/>
  <c r="L33" i="79" a="1"/>
  <c r="Q16" i="57" a="1"/>
  <c r="J56" i="84" a="1"/>
  <c r="G18" i="57" a="1"/>
  <c r="X36" i="79" l="1"/>
  <c r="X44" i="79" s="1"/>
  <c r="D15" i="79"/>
  <c r="F14" i="57"/>
  <c r="J56" i="84"/>
  <c r="J58" i="84" s="1"/>
  <c r="W44" i="79"/>
  <c r="Q16" i="57"/>
  <c r="G18" i="57"/>
  <c r="L33" i="79"/>
  <c r="J53" i="83"/>
  <c r="F18" i="57" a="1"/>
  <c r="M10" i="57" a="1"/>
  <c r="K53" i="83" l="1"/>
  <c r="E52" i="83" s="1"/>
  <c r="F52" i="83" s="1"/>
  <c r="G52" i="83" s="1"/>
  <c r="F18" i="57"/>
  <c r="H56" i="84"/>
  <c r="K56" i="84"/>
  <c r="M10" i="57"/>
  <c r="L37" i="79"/>
  <c r="M33" i="79"/>
  <c r="E53" i="83"/>
  <c r="E9" i="79"/>
  <c r="H14" i="57" a="1"/>
  <c r="H52" i="84" l="1"/>
  <c r="I52" i="84" s="1"/>
  <c r="M44" i="79"/>
  <c r="H39" i="79"/>
  <c r="L39" i="79" s="1"/>
  <c r="L44" i="79" s="1"/>
  <c r="H14" i="57"/>
  <c r="E15" i="79"/>
  <c r="E16" i="79"/>
  <c r="AE33" i="79"/>
  <c r="AE44" i="79" s="1"/>
  <c r="H18" i="57" a="1"/>
  <c r="I18" i="57" a="1"/>
  <c r="Q22" i="57" a="1"/>
  <c r="M58" i="84" l="1"/>
  <c r="O35" i="79"/>
  <c r="O38" i="79"/>
  <c r="O33" i="79"/>
  <c r="O34" i="79"/>
  <c r="N36" i="79"/>
  <c r="C9" i="79"/>
  <c r="C15" i="79" s="1"/>
  <c r="Q22" i="57"/>
  <c r="H18" i="57"/>
  <c r="I18" i="57"/>
  <c r="D18" i="57" a="1"/>
  <c r="D14" i="57" a="1"/>
  <c r="J56" i="83" a="1"/>
  <c r="N44" i="79" l="1"/>
  <c r="O36" i="79"/>
  <c r="C16" i="79"/>
  <c r="D14" i="57"/>
  <c r="J56" i="83"/>
  <c r="J58" i="83" s="1"/>
  <c r="D18" i="57"/>
  <c r="E18" i="57" a="1"/>
  <c r="Q10" i="57" a="1"/>
  <c r="O44" i="79" l="1"/>
  <c r="Q10" i="57"/>
  <c r="E18" i="57"/>
  <c r="K56" i="83"/>
  <c r="H56" i="83"/>
  <c r="Q15" i="52"/>
  <c r="M15" i="52" s="1"/>
  <c r="H52" i="83" l="1"/>
  <c r="I52" i="83" s="1"/>
  <c r="M58" i="83" s="1"/>
  <c r="Q16" i="52"/>
  <c r="M16" i="52" s="1"/>
  <c r="N33" i="53" a="1"/>
  <c r="N33" i="53" l="1"/>
  <c r="L33" i="53" a="1"/>
  <c r="J46" i="83" a="1"/>
  <c r="L33" i="53" l="1"/>
  <c r="J46" i="83"/>
  <c r="M9" i="57" a="1"/>
  <c r="K46" i="83" l="1"/>
  <c r="E45" i="83" s="1"/>
  <c r="F45" i="83" s="1"/>
  <c r="G45" i="83" s="1"/>
  <c r="M9" i="57"/>
  <c r="AF33" i="53" a="1"/>
  <c r="AF33" i="53" l="1"/>
  <c r="J46" i="85" a="1"/>
  <c r="AD33" i="53" a="1"/>
  <c r="AD33" i="53" l="1"/>
  <c r="J46" i="85"/>
  <c r="M21" i="57" a="1"/>
  <c r="K46" i="85" l="1"/>
  <c r="E45" i="85" s="1"/>
  <c r="F45" i="85" s="1"/>
  <c r="G45" i="85" s="1"/>
  <c r="M21" i="57"/>
  <c r="AD37" i="53"/>
  <c r="Z39" i="53" l="1"/>
  <c r="E46" i="83"/>
  <c r="M33" i="53"/>
  <c r="AE33" i="53"/>
  <c r="E46" i="85"/>
  <c r="R22" i="52"/>
  <c r="R23" i="52"/>
  <c r="R34" i="52"/>
  <c r="R35" i="52"/>
  <c r="R13" i="52"/>
  <c r="R12" i="52"/>
  <c r="Q112" i="52"/>
  <c r="M112" i="52" s="1"/>
  <c r="Q119" i="52"/>
  <c r="M119" i="52" s="1"/>
  <c r="Q126" i="52"/>
  <c r="M126" i="52" s="1"/>
  <c r="AE44" i="53" l="1"/>
  <c r="AD39" i="53"/>
  <c r="AD44" i="53" s="1"/>
  <c r="AG38" i="53"/>
  <c r="AG35" i="53"/>
  <c r="AG34" i="53"/>
  <c r="AG33" i="53"/>
  <c r="AF36" i="53"/>
  <c r="E9" i="53"/>
  <c r="E15" i="53" s="1"/>
  <c r="Q127" i="52"/>
  <c r="M127" i="52" s="1"/>
  <c r="H8" i="57" a="1"/>
  <c r="H12" i="57" a="1"/>
  <c r="J49" i="85" a="1"/>
  <c r="AF44" i="53" l="1"/>
  <c r="AG36" i="53"/>
  <c r="AG44" i="53" s="1"/>
  <c r="J49" i="85"/>
  <c r="J51" i="85" s="1"/>
  <c r="H8" i="57"/>
  <c r="E16" i="53"/>
  <c r="Q128" i="52"/>
  <c r="M128" i="52" s="1"/>
  <c r="H12" i="57"/>
  <c r="I12" i="57" a="1"/>
  <c r="Q21" i="57" a="1"/>
  <c r="I12" i="57" l="1"/>
  <c r="Q21" i="57"/>
  <c r="K49" i="85"/>
  <c r="H49" i="85"/>
  <c r="Q129" i="52"/>
  <c r="M129" i="52" s="1"/>
  <c r="W33" i="80" a="1"/>
  <c r="H45" i="85" l="1"/>
  <c r="W33" i="80"/>
  <c r="Q138" i="52"/>
  <c r="J60" i="84" a="1"/>
  <c r="U33" i="80" a="1"/>
  <c r="I45" i="85" l="1"/>
  <c r="M51" i="85" s="1"/>
  <c r="M138" i="52"/>
  <c r="R137" i="52"/>
  <c r="R136" i="52"/>
  <c r="U33" i="80"/>
  <c r="J60" i="84"/>
  <c r="Q139" i="52"/>
  <c r="M139" i="52" s="1"/>
  <c r="M17" i="57" a="1"/>
  <c r="K60" i="84" l="1"/>
  <c r="E59" i="84" s="1"/>
  <c r="F59" i="84" s="1"/>
  <c r="G59" i="84" s="1"/>
  <c r="M17" i="57"/>
  <c r="Q140" i="52"/>
  <c r="M140" i="52" s="1"/>
  <c r="U37" i="80"/>
  <c r="AF33" i="80" a="1"/>
  <c r="Q39" i="80" l="1"/>
  <c r="U39" i="80" s="1"/>
  <c r="U44" i="80" s="1"/>
  <c r="AF33" i="80"/>
  <c r="J60" i="85" a="1"/>
  <c r="AD33" i="80" a="1"/>
  <c r="X38" i="80" l="1"/>
  <c r="X34" i="80"/>
  <c r="X35" i="80"/>
  <c r="X33" i="80"/>
  <c r="W36" i="80"/>
  <c r="J60" i="85"/>
  <c r="AD33" i="80"/>
  <c r="D9" i="80"/>
  <c r="J63" i="84" a="1"/>
  <c r="F20" i="57" a="1"/>
  <c r="M23" i="57" a="1"/>
  <c r="K60" i="85" l="1"/>
  <c r="E59" i="85" s="1"/>
  <c r="F59" i="85" s="1"/>
  <c r="G59" i="85" s="1"/>
  <c r="W44" i="80"/>
  <c r="X36" i="80"/>
  <c r="X44" i="80" s="1"/>
  <c r="J63" i="84"/>
  <c r="M23" i="57"/>
  <c r="AD37" i="80"/>
  <c r="F20" i="57"/>
  <c r="D15" i="80"/>
  <c r="D16" i="80"/>
  <c r="E60" i="84"/>
  <c r="V33" i="80"/>
  <c r="V44" i="80" s="1"/>
  <c r="E60" i="85"/>
  <c r="G24" i="57" a="1"/>
  <c r="F24" i="57" a="1"/>
  <c r="Q17" i="57" a="1"/>
  <c r="K63" i="84" l="1"/>
  <c r="J65" i="84"/>
  <c r="H63" i="84"/>
  <c r="Z39" i="80"/>
  <c r="Q17" i="57"/>
  <c r="G24" i="57"/>
  <c r="F24" i="57"/>
  <c r="H59" i="84" l="1"/>
  <c r="I59" i="84" s="1"/>
  <c r="M65" i="84" s="1"/>
  <c r="AD39" i="80"/>
  <c r="AD44" i="80" s="1"/>
  <c r="AG38" i="80"/>
  <c r="AG35" i="80"/>
  <c r="AG34" i="80"/>
  <c r="AG33" i="80"/>
  <c r="AF36" i="80"/>
  <c r="Q103" i="52"/>
  <c r="M103" i="52" s="1"/>
  <c r="J63" i="85" a="1"/>
  <c r="N33" i="80" a="1"/>
  <c r="AF44" i="80" l="1"/>
  <c r="AG36" i="80"/>
  <c r="AG44" i="80" s="1"/>
  <c r="J63" i="85"/>
  <c r="N33" i="80"/>
  <c r="L33" i="80" a="1"/>
  <c r="J60" i="83" a="1"/>
  <c r="H63" i="85" l="1"/>
  <c r="J65" i="85"/>
  <c r="K63" i="85"/>
  <c r="L33" i="80"/>
  <c r="J60" i="83"/>
  <c r="M11" i="57" a="1"/>
  <c r="H59" i="85" l="1"/>
  <c r="I59" i="85" s="1"/>
  <c r="M65" i="85" s="1"/>
  <c r="K60" i="83"/>
  <c r="E59" i="83" s="1"/>
  <c r="M11" i="57"/>
  <c r="L37" i="80"/>
  <c r="E9" i="80"/>
  <c r="H20" i="57" a="1"/>
  <c r="F59" i="83" l="1"/>
  <c r="G59" i="83" s="1"/>
  <c r="H39" i="80"/>
  <c r="L39" i="80" s="1"/>
  <c r="L44" i="80" s="1"/>
  <c r="H20" i="57"/>
  <c r="E15" i="80"/>
  <c r="E16" i="80"/>
  <c r="M33" i="80"/>
  <c r="AE33" i="80"/>
  <c r="AE44" i="80" s="1"/>
  <c r="E60" i="83"/>
  <c r="R124" i="52"/>
  <c r="R125" i="52"/>
  <c r="R117" i="52"/>
  <c r="R118" i="52"/>
  <c r="R100" i="52"/>
  <c r="R110" i="52"/>
  <c r="R111" i="52"/>
  <c r="I24" i="57" a="1"/>
  <c r="Q23" i="57" a="1"/>
  <c r="H24" i="57" a="1"/>
  <c r="M44" i="80" l="1"/>
  <c r="O35" i="80"/>
  <c r="O38" i="80"/>
  <c r="O33" i="80"/>
  <c r="O34" i="80"/>
  <c r="N36" i="80"/>
  <c r="C9" i="80"/>
  <c r="Q23" i="57"/>
  <c r="I24" i="57"/>
  <c r="H24" i="57"/>
  <c r="D20" i="57" a="1"/>
  <c r="J63" i="83" a="1"/>
  <c r="N44" i="80" l="1"/>
  <c r="O36" i="80"/>
  <c r="D20" i="57"/>
  <c r="J63" i="83"/>
  <c r="J65" i="83" s="1"/>
  <c r="C15" i="80"/>
  <c r="C16" i="80"/>
  <c r="Q11" i="57" a="1"/>
  <c r="E24" i="57" a="1"/>
  <c r="D24" i="57" a="1"/>
  <c r="W33" i="81" a="1"/>
  <c r="O44" i="80" l="1"/>
  <c r="E24" i="57"/>
  <c r="Q11" i="57"/>
  <c r="D24" i="57"/>
  <c r="H63" i="83"/>
  <c r="K63" i="83"/>
  <c r="W33" i="81"/>
  <c r="U33" i="81" a="1"/>
  <c r="J67" i="84" a="1"/>
  <c r="H59" i="83" l="1"/>
  <c r="U33" i="81"/>
  <c r="J67" i="84"/>
  <c r="M18" i="57" a="1"/>
  <c r="I59" i="83" l="1"/>
  <c r="M65" i="83" s="1"/>
  <c r="M18" i="57"/>
  <c r="U37" i="81"/>
  <c r="K67" i="84"/>
  <c r="E66" i="84" s="1"/>
  <c r="Q39" i="81" l="1"/>
  <c r="F66" i="84"/>
  <c r="G66" i="84" s="1"/>
  <c r="X38" i="81" l="1"/>
  <c r="U39" i="81"/>
  <c r="U44" i="81" s="1"/>
  <c r="X34" i="81"/>
  <c r="X33" i="81"/>
  <c r="W36" i="81"/>
  <c r="X35" i="81"/>
  <c r="D9" i="81"/>
  <c r="AF33" i="81" a="1"/>
  <c r="J70" i="84" a="1"/>
  <c r="X36" i="81" l="1"/>
  <c r="X44" i="81" s="1"/>
  <c r="J70" i="84"/>
  <c r="J72" i="84" s="1"/>
  <c r="W44" i="81"/>
  <c r="AF33" i="81"/>
  <c r="AD33" i="81" a="1"/>
  <c r="J67" i="85" a="1"/>
  <c r="K70" i="84" l="1"/>
  <c r="AD33" i="81"/>
  <c r="AD37" i="81" s="1"/>
  <c r="J67" i="85"/>
  <c r="H70" i="84"/>
  <c r="M24" i="57" a="1"/>
  <c r="K67" i="85" l="1"/>
  <c r="E66" i="85" s="1"/>
  <c r="H66" i="84"/>
  <c r="I66" i="84" s="1"/>
  <c r="M72" i="84" s="1"/>
  <c r="Z39" i="81"/>
  <c r="M24" i="57"/>
  <c r="F66" i="85" l="1"/>
  <c r="G66" i="85" s="1"/>
  <c r="AF36" i="81"/>
  <c r="AD39" i="81"/>
  <c r="AD44" i="81" s="1"/>
  <c r="AG34" i="81"/>
  <c r="AG35" i="81"/>
  <c r="AG38" i="81"/>
  <c r="AG33" i="81"/>
  <c r="E9" i="81"/>
  <c r="N33" i="81" a="1"/>
  <c r="J70" i="85" a="1"/>
  <c r="AF44" i="81" l="1"/>
  <c r="AG36" i="81"/>
  <c r="AG44" i="81" s="1"/>
  <c r="N33" i="81"/>
  <c r="J70" i="85"/>
  <c r="J72" i="85" s="1"/>
  <c r="L33" i="81" a="1"/>
  <c r="J67" i="83" a="1"/>
  <c r="L33" i="81" l="1"/>
  <c r="L37" i="81" s="1"/>
  <c r="J67" i="83"/>
  <c r="H70" i="85"/>
  <c r="K70" i="85"/>
  <c r="D15" i="81"/>
  <c r="F30" i="57" a="1"/>
  <c r="M12" i="57" a="1"/>
  <c r="H66" i="85" l="1"/>
  <c r="K67" i="83"/>
  <c r="E66" i="83" s="1"/>
  <c r="F66" i="83" s="1"/>
  <c r="G66" i="83" s="1"/>
  <c r="H39" i="81"/>
  <c r="M12" i="57"/>
  <c r="F30" i="57"/>
  <c r="D16" i="81"/>
  <c r="E16" i="81"/>
  <c r="Q24" i="57" a="1"/>
  <c r="Q18" i="57" a="1"/>
  <c r="F26" i="57" a="1"/>
  <c r="I30" i="57" a="1"/>
  <c r="G30" i="57" a="1"/>
  <c r="I66" i="85" l="1"/>
  <c r="M72" i="85" s="1"/>
  <c r="O38" i="81"/>
  <c r="L39" i="81"/>
  <c r="L44" i="81" s="1"/>
  <c r="O34" i="81"/>
  <c r="N36" i="81"/>
  <c r="O35" i="81"/>
  <c r="O33" i="81"/>
  <c r="Q24" i="57"/>
  <c r="Q18" i="57"/>
  <c r="C9" i="81"/>
  <c r="I30" i="57"/>
  <c r="F26" i="57"/>
  <c r="G30" i="57"/>
  <c r="J70" i="83" a="1"/>
  <c r="O36" i="81" l="1"/>
  <c r="O44" i="81" s="1"/>
  <c r="N44" i="81"/>
  <c r="C16" i="81"/>
  <c r="J70" i="83"/>
  <c r="Q12" i="57" a="1"/>
  <c r="E30" i="57" a="1"/>
  <c r="H70" i="83" l="1"/>
  <c r="J72" i="83"/>
  <c r="K70" i="83"/>
  <c r="Q12" i="57"/>
  <c r="E30" i="57"/>
  <c r="H26" i="57" a="1"/>
  <c r="H66" i="83" l="1"/>
  <c r="I66" i="83" s="1"/>
  <c r="M72" i="83" s="1"/>
  <c r="H26" i="57"/>
  <c r="E15" i="81"/>
  <c r="C15" i="81"/>
  <c r="E67" i="84"/>
  <c r="V33" i="81"/>
  <c r="V44" i="81" s="1"/>
  <c r="E67" i="85"/>
  <c r="E67" i="83"/>
  <c r="M33" i="81"/>
  <c r="AE33" i="81"/>
  <c r="AE44" i="81" s="1"/>
  <c r="R146" i="52"/>
  <c r="R147" i="52"/>
  <c r="R168" i="52"/>
  <c r="R169" i="52"/>
  <c r="R157" i="52"/>
  <c r="R156" i="52"/>
  <c r="R179" i="52"/>
  <c r="R180" i="52"/>
  <c r="R162" i="52"/>
  <c r="R163" i="52"/>
  <c r="D30" i="57" a="1"/>
  <c r="H30" i="57" a="1"/>
  <c r="D26" i="57" a="1"/>
  <c r="M44" i="81" l="1"/>
  <c r="H30" i="57"/>
  <c r="D30" i="57"/>
  <c r="D26" i="57"/>
  <c r="N33" i="82" a="1"/>
  <c r="N33" i="82" l="1"/>
  <c r="L33" i="82" a="1"/>
  <c r="J74" i="83" a="1"/>
  <c r="L33" i="82" l="1"/>
  <c r="J74" i="83"/>
  <c r="M13" i="57" a="1"/>
  <c r="M13" i="57" l="1"/>
  <c r="L37" i="82"/>
  <c r="H39" i="82" l="1"/>
  <c r="O38" i="82" l="1"/>
  <c r="L39" i="82"/>
  <c r="L44" i="82" s="1"/>
  <c r="O35" i="82"/>
  <c r="O34" i="82"/>
  <c r="O33" i="82"/>
  <c r="C9" i="82"/>
  <c r="C15" i="82" s="1"/>
  <c r="N36" i="82"/>
  <c r="O36" i="82" s="1"/>
  <c r="K74" i="83"/>
  <c r="E73" i="83" s="1"/>
  <c r="J77" i="83" a="1"/>
  <c r="D36" i="57" a="1"/>
  <c r="N44" i="82" l="1"/>
  <c r="J77" i="83"/>
  <c r="F73" i="83"/>
  <c r="G73" i="83" s="1"/>
  <c r="D36" i="57"/>
  <c r="C16" i="82"/>
  <c r="Q13" i="57" a="1"/>
  <c r="E36" i="57" a="1"/>
  <c r="K77" i="83" l="1"/>
  <c r="J79" i="83"/>
  <c r="O44" i="82"/>
  <c r="H77" i="83"/>
  <c r="Q13" i="57"/>
  <c r="E36" i="57"/>
  <c r="H73" i="83" l="1"/>
  <c r="I73" i="83" s="1"/>
  <c r="M79" i="83" s="1"/>
  <c r="D32" i="57" a="1"/>
  <c r="U33" i="82" a="1"/>
  <c r="U33" i="82" l="1"/>
  <c r="D32" i="57"/>
  <c r="W33" i="82" a="1"/>
  <c r="M19" i="57" a="1"/>
  <c r="M19" i="57" l="1"/>
  <c r="U37" i="82"/>
  <c r="W33" i="82"/>
  <c r="J74" i="84" a="1"/>
  <c r="Q39" i="82" l="1"/>
  <c r="J74" i="84"/>
  <c r="U39" i="82" l="1"/>
  <c r="U44" i="82" s="1"/>
  <c r="X38" i="82"/>
  <c r="K74" i="84"/>
  <c r="E73" i="84" s="1"/>
  <c r="F73" i="84" s="1"/>
  <c r="G73" i="84" s="1"/>
  <c r="X35" i="82"/>
  <c r="X34" i="82"/>
  <c r="X33" i="82"/>
  <c r="D9" i="82"/>
  <c r="D16" i="82" s="1"/>
  <c r="W36" i="82"/>
  <c r="Q19" i="57" a="1"/>
  <c r="G36" i="57" a="1"/>
  <c r="J77" i="84" a="1"/>
  <c r="W44" i="82" l="1"/>
  <c r="X36" i="82"/>
  <c r="X44" i="82" s="1"/>
  <c r="D15" i="82"/>
  <c r="J77" i="84"/>
  <c r="Q19" i="57"/>
  <c r="G36" i="57"/>
  <c r="F36" i="57" a="1"/>
  <c r="K77" i="84" l="1"/>
  <c r="J79" i="84"/>
  <c r="F36" i="57"/>
  <c r="F32" i="57" a="1"/>
  <c r="H73" i="84" l="1"/>
  <c r="I73" i="84" s="1"/>
  <c r="M79" i="84" s="1"/>
  <c r="F32" i="57"/>
  <c r="H77" i="84"/>
  <c r="E74" i="83"/>
  <c r="E74" i="84"/>
  <c r="M33" i="82" l="1"/>
  <c r="V33" i="82"/>
  <c r="V44" i="82" s="1"/>
  <c r="R189" i="52"/>
  <c r="R190" i="52"/>
  <c r="AF33" i="82" a="1"/>
  <c r="M44" i="82" l="1"/>
  <c r="AF33" i="82"/>
  <c r="AD33" i="82" a="1"/>
  <c r="J74" i="85" a="1"/>
  <c r="AD33" i="82" l="1"/>
  <c r="J74" i="85"/>
  <c r="M25" i="57" a="1"/>
  <c r="M25" i="57" l="1"/>
  <c r="AD37" i="82"/>
  <c r="Z39" i="82" l="1"/>
  <c r="AG33" i="82" l="1"/>
  <c r="AG38" i="82"/>
  <c r="AF36" i="82"/>
  <c r="AD39" i="82"/>
  <c r="AD44" i="82" s="1"/>
  <c r="E9" i="82"/>
  <c r="E16" i="82" s="1"/>
  <c r="AG34" i="82"/>
  <c r="AG35" i="82"/>
  <c r="J77" i="85" a="1"/>
  <c r="Q25" i="57" a="1"/>
  <c r="I36" i="57" a="1"/>
  <c r="J77" i="85" l="1"/>
  <c r="AF44" i="82"/>
  <c r="AG36" i="82"/>
  <c r="AG44" i="82" s="1"/>
  <c r="Q25" i="57"/>
  <c r="K74" i="85"/>
  <c r="E73" i="85" s="1"/>
  <c r="I36" i="57"/>
  <c r="E15" i="82"/>
  <c r="H36" i="57" a="1"/>
  <c r="H77" i="85" l="1"/>
  <c r="J79" i="85"/>
  <c r="K77" i="85"/>
  <c r="F73" i="85"/>
  <c r="G73" i="85" s="1"/>
  <c r="H36" i="57"/>
  <c r="R200" i="52"/>
  <c r="R199" i="52"/>
  <c r="E74" i="85"/>
  <c r="AE33" i="82"/>
  <c r="AE44" i="82" s="1"/>
  <c r="R217" i="52"/>
  <c r="R216" i="52"/>
  <c r="R205" i="52"/>
  <c r="R206" i="52"/>
  <c r="H32" i="57" a="1"/>
  <c r="H73" i="85" l="1"/>
  <c r="H32" i="57"/>
  <c r="I73" i="85" l="1"/>
  <c r="M79" i="85" s="1"/>
  <c r="M36" i="53"/>
  <c r="L37" i="53"/>
  <c r="H39" i="53" l="1"/>
  <c r="L39" i="53" s="1"/>
  <c r="L44" i="53" s="1"/>
  <c r="M44" i="53"/>
  <c r="N36" i="53" l="1"/>
  <c r="O34" i="53"/>
  <c r="O35" i="53"/>
  <c r="C9" i="53"/>
  <c r="C15" i="53" s="1"/>
  <c r="O33" i="53"/>
  <c r="O38" i="53"/>
  <c r="D12" i="57" a="1"/>
  <c r="D8" i="57" a="1"/>
  <c r="J49" i="83" a="1"/>
  <c r="N44" i="53" l="1"/>
  <c r="O36" i="53"/>
  <c r="J49" i="83"/>
  <c r="J51" i="83" s="1"/>
  <c r="D8" i="57"/>
  <c r="C16" i="53"/>
  <c r="D12" i="57"/>
  <c r="E12" i="57" a="1"/>
  <c r="Q9" i="57" a="1"/>
  <c r="H49" i="83" l="1"/>
  <c r="K49" i="83"/>
  <c r="O44" i="53"/>
  <c r="E12" i="57"/>
  <c r="Q9" i="57"/>
  <c r="H45" i="83" l="1"/>
  <c r="I45" i="83" s="1"/>
  <c r="M51" i="83" s="1"/>
  <c r="Q38" i="52"/>
  <c r="M38" i="52" s="1"/>
  <c r="R29" i="52"/>
  <c r="R28" i="52"/>
  <c r="Q39" i="52" l="1"/>
  <c r="M39" i="52" s="1"/>
  <c r="W33" i="53" a="1"/>
  <c r="W33" i="53" l="1"/>
  <c r="J46" i="84" a="1"/>
  <c r="U33" i="53" a="1"/>
  <c r="U33" i="53" l="1"/>
  <c r="J46" i="84"/>
  <c r="M15" i="57" a="1"/>
  <c r="M15" i="57" l="1"/>
  <c r="E46" i="84"/>
  <c r="K46" i="84"/>
  <c r="V33" i="53"/>
  <c r="U37" i="53"/>
  <c r="Q39" i="53" l="1"/>
  <c r="U39" i="53" s="1"/>
  <c r="U44" i="53" s="1"/>
  <c r="V44" i="53"/>
  <c r="E45" i="84"/>
  <c r="F45" i="84" s="1"/>
  <c r="G45" i="84" s="1"/>
  <c r="X34" i="53" l="1"/>
  <c r="D9" i="53"/>
  <c r="D16" i="53" s="1"/>
  <c r="X38" i="53"/>
  <c r="X33" i="53"/>
  <c r="W36" i="53"/>
  <c r="X35" i="53"/>
  <c r="Q15" i="57" a="1"/>
  <c r="G12" i="57" a="1"/>
  <c r="J49" i="84" a="1"/>
  <c r="F8" i="57" a="1"/>
  <c r="D15" i="53" l="1"/>
  <c r="J49" i="84"/>
  <c r="H49" i="84" s="1"/>
  <c r="F8" i="57"/>
  <c r="W44" i="53"/>
  <c r="X36" i="53"/>
  <c r="X44" i="53" s="1"/>
  <c r="G12" i="57"/>
  <c r="Q15" i="57"/>
  <c r="F12" i="57" a="1"/>
  <c r="J51" i="84" l="1"/>
  <c r="K49" i="84"/>
  <c r="F12" i="57"/>
  <c r="H45" i="84" l="1"/>
  <c r="I45" i="84" s="1"/>
  <c r="M51" i="84" s="1"/>
  <c r="M9" i="52"/>
</calcChain>
</file>

<file path=xl/comments1.xml><?xml version="1.0" encoding="utf-8"?>
<comments xmlns="http://schemas.openxmlformats.org/spreadsheetml/2006/main">
  <authors>
    <author>Author</author>
  </authors>
  <commentList>
    <comment ref="E18" authorId="0" shapeId="0">
      <text>
        <r>
          <rPr>
            <b/>
            <sz val="9"/>
            <color indexed="81"/>
            <rFont val="Tahoma"/>
            <family val="2"/>
          </rPr>
          <t>AER:</t>
        </r>
        <r>
          <rPr>
            <sz val="9"/>
            <color indexed="81"/>
            <rFont val="Tahoma"/>
            <family val="2"/>
          </rPr>
          <t xml:space="preserve">
2020-21 network tariffs are the same as used for DMO2 Final Determination. These have not been altered to reflect the actual network tariffs, as discussed in the decision (and agreed by stakeholders).</t>
        </r>
      </text>
    </comment>
    <comment ref="G18" authorId="0" shapeId="0">
      <text>
        <r>
          <rPr>
            <b/>
            <sz val="9"/>
            <color indexed="81"/>
            <rFont val="Tahoma"/>
            <family val="2"/>
          </rPr>
          <t>AER:</t>
        </r>
        <r>
          <rPr>
            <sz val="9"/>
            <color indexed="81"/>
            <rFont val="Tahoma"/>
            <family val="2"/>
          </rPr>
          <t xml:space="preserve">
2020-21 network tariffs are the same as used for DMO2 Final Determination. These have not been altered to reflect the actual network tariffs, as discussed in the decision (and agreed by stakeholders).</t>
        </r>
      </text>
    </comment>
    <comment ref="I18" authorId="0" shapeId="0">
      <text>
        <r>
          <rPr>
            <b/>
            <sz val="9"/>
            <color indexed="81"/>
            <rFont val="Tahoma"/>
            <family val="2"/>
          </rPr>
          <t>AER:</t>
        </r>
        <r>
          <rPr>
            <sz val="9"/>
            <color indexed="81"/>
            <rFont val="Tahoma"/>
            <family val="2"/>
          </rPr>
          <t xml:space="preserve">
2020-21 network tariffs are the same as used for DMO2 Final Determination. These have not been altered to reflect the actual network tariffs, as discussed in the decision (and agreed by stakeholders).</t>
        </r>
      </text>
    </comment>
  </commentList>
</comments>
</file>

<file path=xl/sharedStrings.xml><?xml version="1.0" encoding="utf-8"?>
<sst xmlns="http://schemas.openxmlformats.org/spreadsheetml/2006/main" count="3070" uniqueCount="214">
  <si>
    <t>Energex</t>
  </si>
  <si>
    <t>Distribution zone</t>
  </si>
  <si>
    <t>Ausgrid</t>
  </si>
  <si>
    <t>Essential</t>
  </si>
  <si>
    <t>Endeavour</t>
  </si>
  <si>
    <t>SAPN</t>
  </si>
  <si>
    <t>Residential</t>
  </si>
  <si>
    <t>Contents</t>
  </si>
  <si>
    <t>Network costs</t>
  </si>
  <si>
    <t>Wholesale costs</t>
  </si>
  <si>
    <t>Index</t>
  </si>
  <si>
    <t>S. No.</t>
  </si>
  <si>
    <t>Customer type</t>
  </si>
  <si>
    <t>Tariff type</t>
  </si>
  <si>
    <t>Flat rate with CL</t>
  </si>
  <si>
    <t>Small business</t>
  </si>
  <si>
    <t>CL1</t>
  </si>
  <si>
    <t>CL2</t>
  </si>
  <si>
    <t>CL</t>
  </si>
  <si>
    <t>2020-21</t>
  </si>
  <si>
    <t>Environmental costs</t>
  </si>
  <si>
    <t>Summary</t>
  </si>
  <si>
    <t>&lt;&lt;Back to Index</t>
  </si>
  <si>
    <t>Flat rate</t>
  </si>
  <si>
    <t>Change</t>
  </si>
  <si>
    <t>Cost</t>
  </si>
  <si>
    <t>Tariff</t>
  </si>
  <si>
    <t>Proportion</t>
  </si>
  <si>
    <t>Usage</t>
  </si>
  <si>
    <t>kWh/yr</t>
  </si>
  <si>
    <t>Units</t>
  </si>
  <si>
    <t>%</t>
  </si>
  <si>
    <t>Value</t>
  </si>
  <si>
    <t>Assumption</t>
  </si>
  <si>
    <t>CPI</t>
  </si>
  <si>
    <t>Days in year</t>
  </si>
  <si>
    <t>Description</t>
  </si>
  <si>
    <t>Yes</t>
  </si>
  <si>
    <t>No</t>
  </si>
  <si>
    <t>Yes/No</t>
  </si>
  <si>
    <t>Customer</t>
  </si>
  <si>
    <t>Distribution zones</t>
  </si>
  <si>
    <t>GST</t>
  </si>
  <si>
    <t>TOU</t>
  </si>
  <si>
    <t>Flat rate without CL</t>
  </si>
  <si>
    <t>Base year</t>
  </si>
  <si>
    <t>Determination year</t>
  </si>
  <si>
    <t>Index assessment</t>
  </si>
  <si>
    <t>$/MWh</t>
  </si>
  <si>
    <t>$</t>
  </si>
  <si>
    <t>Fixed</t>
  </si>
  <si>
    <t>Variable</t>
  </si>
  <si>
    <t>Annual usage (kWh)</t>
  </si>
  <si>
    <t>% change</t>
  </si>
  <si>
    <t>Contribution 
to change</t>
  </si>
  <si>
    <t>Controlled load usage (kWh)</t>
  </si>
  <si>
    <t>Flat rate usage (kWh)</t>
  </si>
  <si>
    <t>DUOS</t>
  </si>
  <si>
    <t>TUOS</t>
  </si>
  <si>
    <t>CCF</t>
  </si>
  <si>
    <t>kWh</t>
  </si>
  <si>
    <t>% y-o-y check</t>
  </si>
  <si>
    <t>Total</t>
  </si>
  <si>
    <t>CL1 Proportion</t>
  </si>
  <si>
    <t>NUOS</t>
  </si>
  <si>
    <t>x-factor</t>
  </si>
  <si>
    <t>NA</t>
  </si>
  <si>
    <t>Rate of change</t>
  </si>
  <si>
    <t>ACS</t>
  </si>
  <si>
    <t>Network cost</t>
  </si>
  <si>
    <t>Wholesale cost</t>
  </si>
  <si>
    <t>Environmental cost</t>
  </si>
  <si>
    <t>Residual cost</t>
  </si>
  <si>
    <t>Network Cost</t>
  </si>
  <si>
    <t>Description2</t>
  </si>
  <si>
    <t>DMO price</t>
  </si>
  <si>
    <t>Step change</t>
  </si>
  <si>
    <t>$ pa</t>
  </si>
  <si>
    <t>Overall change in costs (%)</t>
  </si>
  <si>
    <t>WEC</t>
  </si>
  <si>
    <t>Ancillary</t>
  </si>
  <si>
    <t>RERT</t>
  </si>
  <si>
    <t>Losses</t>
  </si>
  <si>
    <t>LRET</t>
  </si>
  <si>
    <t>SRES</t>
  </si>
  <si>
    <t>ESS</t>
  </si>
  <si>
    <t>Small Business</t>
  </si>
  <si>
    <t>JSO</t>
  </si>
  <si>
    <t>NEM fee</t>
  </si>
  <si>
    <t>REES</t>
  </si>
  <si>
    <t>Total inc GST</t>
  </si>
  <si>
    <t>Wholesale Cost</t>
  </si>
  <si>
    <t>Environmental Cost</t>
  </si>
  <si>
    <t>DMO Price</t>
  </si>
  <si>
    <t>Click on each box to go to the sheet</t>
  </si>
  <si>
    <t>Tariff level 1</t>
  </si>
  <si>
    <t>Tariff level 2</t>
  </si>
  <si>
    <t>Tariff level 3</t>
  </si>
  <si>
    <t>All costs excl GST</t>
  </si>
  <si>
    <t>CL2 Proportion</t>
  </si>
  <si>
    <t>Note: DMO prices have been rounded to the nearest integer</t>
  </si>
  <si>
    <t>Cost stacks</t>
  </si>
  <si>
    <t>Check</t>
  </si>
  <si>
    <t>Detail inputs</t>
  </si>
  <si>
    <t>Key inputs</t>
  </si>
  <si>
    <t>Structure</t>
  </si>
  <si>
    <t>Model Structure and Acronyms</t>
  </si>
  <si>
    <t>Distribution Use of System</t>
  </si>
  <si>
    <t>Transmission Use of System</t>
  </si>
  <si>
    <t>Network Use of System</t>
  </si>
  <si>
    <t>Climate Change Fund</t>
  </si>
  <si>
    <t>Jurisdictional Scheme Obligations</t>
  </si>
  <si>
    <t>Alternative Control Services</t>
  </si>
  <si>
    <t>Wholesale Energy Cost</t>
  </si>
  <si>
    <t>Ancillary Charges</t>
  </si>
  <si>
    <t>ECA</t>
  </si>
  <si>
    <t>FRC</t>
  </si>
  <si>
    <t>NTP</t>
  </si>
  <si>
    <t>Full Retail Contestability</t>
  </si>
  <si>
    <t>National Transmission Planner</t>
  </si>
  <si>
    <t>Prudential fee</t>
  </si>
  <si>
    <t>RPP</t>
  </si>
  <si>
    <t>STP</t>
  </si>
  <si>
    <t>LGC</t>
  </si>
  <si>
    <t>STC</t>
  </si>
  <si>
    <t>DLF</t>
  </si>
  <si>
    <t>MLF</t>
  </si>
  <si>
    <t>Network losses, combined loss factor of DLF and MLF</t>
  </si>
  <si>
    <t>Renewable Power Percentage</t>
  </si>
  <si>
    <t>Small-scale Technology Percentage</t>
  </si>
  <si>
    <t>Large-scale Generation Certificate</t>
  </si>
  <si>
    <t>Small-scale Generation Certificate</t>
  </si>
  <si>
    <t>Large-scale Renewable Energy Target</t>
  </si>
  <si>
    <t>Small-scale Renewable Energy Scheme</t>
  </si>
  <si>
    <t>Retail Energy Efficiency Scheme (South Australia)</t>
  </si>
  <si>
    <t>Energy Savings Scheme (New South Wales)</t>
  </si>
  <si>
    <t>Controlled Load</t>
  </si>
  <si>
    <t>Time Of Use</t>
  </si>
  <si>
    <t>DMO</t>
  </si>
  <si>
    <t>Default Market Offer</t>
  </si>
  <si>
    <t>MWh</t>
  </si>
  <si>
    <t>Mega Watt hour</t>
  </si>
  <si>
    <t>pa</t>
  </si>
  <si>
    <t>per annum</t>
  </si>
  <si>
    <t>All prices inc GST</t>
  </si>
  <si>
    <t>Key Inputs and Assumptions</t>
  </si>
  <si>
    <t>General inputs</t>
  </si>
  <si>
    <t>Cost inputs - wholesale and environmental costs</t>
  </si>
  <si>
    <t>Determination</t>
  </si>
  <si>
    <t>Note: Residual costs include step changes, if any</t>
  </si>
  <si>
    <t>without CL</t>
  </si>
  <si>
    <t>with CL</t>
  </si>
  <si>
    <t>All prices and costs incl GST</t>
  </si>
  <si>
    <t>All cell values that are to be updated in blue</t>
  </si>
  <si>
    <t>List of acronyms</t>
  </si>
  <si>
    <t>APP</t>
  </si>
  <si>
    <t>Annual Pricing Proposal</t>
  </si>
  <si>
    <t>Consultant report</t>
  </si>
  <si>
    <t>DMO 2020-21 Determination</t>
  </si>
  <si>
    <t>Change y-o-y</t>
  </si>
  <si>
    <t>Decimal</t>
  </si>
  <si>
    <t>Prudential</t>
  </si>
  <si>
    <t>Reliability and Emergency Reserve Trader</t>
  </si>
  <si>
    <t>Energy Consumers Australia</t>
  </si>
  <si>
    <t>Queensland Solar Bonus Scheme</t>
  </si>
  <si>
    <t>SA Power Networks</t>
  </si>
  <si>
    <t>Residential without CL</t>
  </si>
  <si>
    <t>Residential with CL</t>
  </si>
  <si>
    <t>Small business without CL</t>
  </si>
  <si>
    <t>Residential without Controlled Load</t>
  </si>
  <si>
    <t>Residential with Controlled Load</t>
  </si>
  <si>
    <t>Small Business without Controlled Load</t>
  </si>
  <si>
    <t>National Electricity Market fees, which includes AEMO, ECA, FRC and NTP fees</t>
  </si>
  <si>
    <t>Distribution Loss Factor</t>
  </si>
  <si>
    <t>Marginal Loss Factor</t>
  </si>
  <si>
    <t>for annual usage of</t>
  </si>
  <si>
    <t>Note: Overall change in costs include step changes and all adjustments to residual, including inflation</t>
  </si>
  <si>
    <t>Ausgrid adjustment (internal)</t>
  </si>
  <si>
    <t>Residual cross check (internal)</t>
  </si>
  <si>
    <t>Overview</t>
  </si>
  <si>
    <t>Index Assessment to Determine DMO Prices</t>
  </si>
  <si>
    <t>Cost Calculations for DMO Prices</t>
  </si>
  <si>
    <t>Inputs and Assumptions</t>
  </si>
  <si>
    <t>Section 1: Overview</t>
  </si>
  <si>
    <t>Section 3: Index Assessment to Determine DMO Prices</t>
  </si>
  <si>
    <t>By distribution zone</t>
  </si>
  <si>
    <t>Section 4: Cost Calculations for DMO Prices</t>
  </si>
  <si>
    <t>By cost type</t>
  </si>
  <si>
    <t>Section 5: Inputs and Assumptions</t>
  </si>
  <si>
    <t>Other resources</t>
  </si>
  <si>
    <t>By tariff type</t>
  </si>
  <si>
    <t>Base</t>
  </si>
  <si>
    <t>QSBS</t>
  </si>
  <si>
    <t>2020-25 revenue decision RRP</t>
  </si>
  <si>
    <t>AER</t>
  </si>
  <si>
    <t>2020-21 APP (as submitted)</t>
  </si>
  <si>
    <t>$/yr</t>
  </si>
  <si>
    <t>2021-22</t>
  </si>
  <si>
    <t>CL1 %</t>
  </si>
  <si>
    <t>CL2 %</t>
  </si>
  <si>
    <t>Contribution to change</t>
  </si>
  <si>
    <t>Default Market Offer 3 (DMO 3)</t>
  </si>
  <si>
    <t>Note</t>
  </si>
  <si>
    <t>Source for wholesale and environmental costs: Consultant report</t>
  </si>
  <si>
    <t>Indicative (APP 2019-20)</t>
  </si>
  <si>
    <t>RRP</t>
  </si>
  <si>
    <t>Revised Regulatory Proposal</t>
  </si>
  <si>
    <t>Source</t>
  </si>
  <si>
    <t>Section 2: Cost Stacks with Changes in Underlying Costs</t>
  </si>
  <si>
    <t>Cost Stacks with Changes in Underlying Costs</t>
  </si>
  <si>
    <t>DMO 2021-22 Determination</t>
  </si>
  <si>
    <t>2021-22 APP (as submitted)</t>
  </si>
  <si>
    <t>RBA February 2021 forecast for year ending Jun 2022</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</si>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</sst>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
    <numFmt numFmtId="166" formatCode="&quot;$&quot;#,##0"/>
    <numFmt numFmtId="167" formatCode="#,##0.0"/>
    <numFmt numFmtId="168" formatCode="\+0.0;\-0.0;0.0"/>
    <numFmt numFmtId="169" formatCode="#,##0.0000000"/>
    <numFmt numFmtId="170" formatCode="\+&quot;$&quot;0;\-&quot;$&quot;0;&quot;$&quot;0"/>
    <numFmt numFmtId="171" formatCode="\+0.0%;\-0.0%;0.0%"/>
    <numFmt numFmtId="172" formatCode="0.00000"/>
    <numFmt numFmtId="173" formatCode="\+0.00%;\-0.00%;0.00%"/>
    <numFmt numFmtId="174" formatCode="#,##0.000"/>
  </numFmts>
  <fonts count="69"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0"/>
      <color theme="1"/>
      <name val="Arial"/>
      <family val="2"/>
    </font>
    <font>
      <b/>
      <sz val="10"/>
      <color theme="1"/>
      <name val="Arial"/>
      <family val="2"/>
    </font>
    <font>
      <u/>
      <sz val="11"/>
      <color theme="10"/>
      <name val="Calibri"/>
      <family val="2"/>
      <scheme val="minor"/>
    </font>
    <font>
      <b/>
      <sz val="28"/>
      <color theme="1"/>
      <name val="Calibri"/>
      <family val="2"/>
      <scheme val="minor"/>
    </font>
    <font>
      <b/>
      <sz val="18"/>
      <color theme="1"/>
      <name val="Calibri"/>
      <family val="2"/>
      <scheme val="minor"/>
    </font>
    <font>
      <b/>
      <sz val="12"/>
      <color rgb="FF076A92"/>
      <name val="Arial"/>
      <family val="2"/>
    </font>
    <font>
      <b/>
      <sz val="14"/>
      <color theme="1"/>
      <name val="Calibri"/>
      <family val="2"/>
      <scheme val="minor"/>
    </font>
    <font>
      <b/>
      <sz val="14"/>
      <color theme="1"/>
      <name val="Arial"/>
      <family val="2"/>
    </font>
    <font>
      <u/>
      <sz val="8"/>
      <color theme="10"/>
      <name val="Calibri"/>
      <family val="2"/>
      <scheme val="minor"/>
    </font>
    <font>
      <sz val="11"/>
      <color theme="1"/>
      <name val="Calibri"/>
      <family val="2"/>
      <scheme val="minor"/>
    </font>
    <font>
      <b/>
      <sz val="11"/>
      <color rgb="FFFF0000"/>
      <name val="Calibri"/>
      <family val="2"/>
      <scheme val="minor"/>
    </font>
    <font>
      <b/>
      <sz val="10"/>
      <color theme="0"/>
      <name val="Calibri"/>
      <family val="2"/>
      <scheme val="minor"/>
    </font>
    <font>
      <sz val="10"/>
      <color rgb="FF076A92"/>
      <name val="Calibri"/>
      <family val="2"/>
      <scheme val="minor"/>
    </font>
    <font>
      <b/>
      <sz val="12"/>
      <color theme="1"/>
      <name val="Calibri"/>
      <family val="2"/>
      <scheme val="minor"/>
    </font>
    <font>
      <sz val="11"/>
      <color rgb="FFFFFF00"/>
      <name val="Calibri"/>
      <family val="2"/>
      <scheme val="minor"/>
    </font>
    <font>
      <b/>
      <sz val="10"/>
      <color rgb="FFFFFF66"/>
      <name val="Calibri"/>
      <family val="2"/>
      <scheme val="minor"/>
    </font>
    <font>
      <b/>
      <sz val="11"/>
      <color rgb="FFFFFF66"/>
      <name val="Calibri"/>
      <family val="2"/>
      <scheme val="minor"/>
    </font>
    <font>
      <b/>
      <sz val="11"/>
      <color theme="1" tint="0.34998626667073579"/>
      <name val="Calibri"/>
      <family val="2"/>
      <scheme val="minor"/>
    </font>
    <font>
      <b/>
      <sz val="10"/>
      <color rgb="FF076A92"/>
      <name val="Calibri"/>
      <family val="2"/>
      <scheme val="minor"/>
    </font>
    <font>
      <b/>
      <sz val="12"/>
      <color rgb="FF076A92"/>
      <name val="Calibri"/>
      <family val="2"/>
      <scheme val="minor"/>
    </font>
    <font>
      <sz val="12"/>
      <color theme="1"/>
      <name val="Calibri"/>
      <family val="2"/>
      <scheme val="minor"/>
    </font>
    <font>
      <b/>
      <sz val="16"/>
      <color theme="0"/>
      <name val="Calibri"/>
      <family val="2"/>
      <scheme val="minor"/>
    </font>
    <font>
      <b/>
      <sz val="10"/>
      <name val="Calibri"/>
      <family val="2"/>
      <scheme val="minor"/>
    </font>
    <font>
      <sz val="10"/>
      <name val="Calibri"/>
      <family val="2"/>
      <scheme val="minor"/>
    </font>
    <font>
      <sz val="11"/>
      <color rgb="FF076A92"/>
      <name val="Calibri"/>
      <family val="2"/>
      <scheme val="minor"/>
    </font>
    <font>
      <b/>
      <sz val="10"/>
      <color theme="1" tint="0.34998626667073579"/>
      <name val="Calibri"/>
      <family val="2"/>
      <scheme val="minor"/>
    </font>
    <font>
      <sz val="11"/>
      <name val="Calibri"/>
      <family val="2"/>
      <scheme val="minor"/>
    </font>
    <font>
      <sz val="11"/>
      <color theme="0"/>
      <name val="Calibri"/>
      <family val="2"/>
      <scheme val="minor"/>
    </font>
    <font>
      <b/>
      <sz val="11"/>
      <name val="Calibri"/>
      <family val="2"/>
      <scheme val="minor"/>
    </font>
    <font>
      <b/>
      <sz val="12"/>
      <color theme="0"/>
      <name val="Calibri"/>
      <family val="2"/>
      <scheme val="minor"/>
    </font>
    <font>
      <b/>
      <sz val="10"/>
      <color theme="0" tint="-0.14999847407452621"/>
      <name val="Calibri"/>
      <family val="2"/>
      <scheme val="minor"/>
    </font>
    <font>
      <u/>
      <sz val="10"/>
      <color theme="10"/>
      <name val="Arial"/>
      <family val="2"/>
    </font>
    <font>
      <i/>
      <sz val="8"/>
      <color theme="1" tint="0.499984740745262"/>
      <name val="Calibri"/>
      <family val="2"/>
      <scheme val="minor"/>
    </font>
    <font>
      <sz val="8"/>
      <color theme="1" tint="0.499984740745262"/>
      <name val="Calibri"/>
      <family val="2"/>
      <scheme val="minor"/>
    </font>
    <font>
      <i/>
      <sz val="9"/>
      <color theme="1"/>
      <name val="Calibri"/>
      <family val="2"/>
      <scheme val="minor"/>
    </font>
    <font>
      <i/>
      <sz val="9"/>
      <color theme="0" tint="-0.34998626667073579"/>
      <name val="Calibri"/>
      <family val="2"/>
      <scheme val="minor"/>
    </font>
    <font>
      <sz val="11"/>
      <color theme="0" tint="-0.34998626667073579"/>
      <name val="Calibri"/>
      <family val="2"/>
      <scheme val="minor"/>
    </font>
    <font>
      <b/>
      <i/>
      <sz val="9"/>
      <color theme="0" tint="-0.34998626667073579"/>
      <name val="Calibri"/>
      <family val="2"/>
      <scheme val="minor"/>
    </font>
    <font>
      <b/>
      <sz val="11"/>
      <color theme="0" tint="-0.34998626667073579"/>
      <name val="Calibri"/>
      <family val="2"/>
      <scheme val="minor"/>
    </font>
    <font>
      <i/>
      <sz val="9"/>
      <color theme="1" tint="0.499984740745262"/>
      <name val="Calibri"/>
      <family val="2"/>
      <scheme val="minor"/>
    </font>
    <font>
      <b/>
      <sz val="11"/>
      <color theme="4" tint="0.59999389629810485"/>
      <name val="Calibri"/>
      <family val="2"/>
      <scheme val="minor"/>
    </font>
    <font>
      <i/>
      <sz val="9"/>
      <color theme="1" tint="0.34998626667073579"/>
      <name val="Calibri"/>
      <family val="2"/>
      <scheme val="minor"/>
    </font>
    <font>
      <sz val="11"/>
      <color rgb="FF0070C0"/>
      <name val="Calibri"/>
      <family val="2"/>
      <scheme val="minor"/>
    </font>
    <font>
      <sz val="8"/>
      <color theme="1"/>
      <name val="Calibri"/>
      <family val="2"/>
      <scheme val="minor"/>
    </font>
    <font>
      <i/>
      <sz val="9"/>
      <name val="Calibri"/>
      <family val="2"/>
      <scheme val="minor"/>
    </font>
    <font>
      <i/>
      <sz val="9"/>
      <color indexed="8"/>
      <name val="Calibri"/>
      <family val="2"/>
      <scheme val="minor"/>
    </font>
    <font>
      <i/>
      <sz val="11"/>
      <color theme="0" tint="-4.9989318521683403E-2"/>
      <name val="Calibri"/>
      <family val="2"/>
      <scheme val="minor"/>
    </font>
    <font>
      <i/>
      <sz val="10"/>
      <color theme="0" tint="-4.9989318521683403E-2"/>
      <name val="Calibri"/>
      <family val="2"/>
      <scheme val="minor"/>
    </font>
    <font>
      <i/>
      <sz val="8"/>
      <color theme="0" tint="-0.249977111117893"/>
      <name val="Calibri"/>
      <family val="2"/>
      <scheme val="minor"/>
    </font>
    <font>
      <i/>
      <sz val="8"/>
      <color indexed="55" tint="-0.249977111117893"/>
      <name val="Calibri"/>
      <family val="2"/>
      <scheme val="minor"/>
    </font>
    <font>
      <b/>
      <sz val="10"/>
      <color theme="9" tint="-0.249977111117893"/>
      <name val="Calibri"/>
      <family val="2"/>
      <scheme val="minor"/>
    </font>
    <font>
      <b/>
      <sz val="11"/>
      <color theme="9" tint="-0.249977111117893"/>
      <name val="Calibri"/>
      <family val="2"/>
      <scheme val="minor"/>
    </font>
    <font>
      <i/>
      <sz val="9"/>
      <color theme="0" tint="-0.14999847407452621"/>
      <name val="Calibri"/>
      <family val="2"/>
      <scheme val="minor"/>
    </font>
    <font>
      <i/>
      <sz val="11"/>
      <color theme="0" tint="-0.34998626667073579"/>
      <name val="Calibri"/>
      <family val="2"/>
      <scheme val="minor"/>
    </font>
    <font>
      <i/>
      <sz val="9"/>
      <color rgb="FF0070C0"/>
      <name val="Calibri"/>
      <family val="2"/>
      <scheme val="minor"/>
    </font>
    <font>
      <sz val="11"/>
      <color theme="0" tint="-4.9989318521683403E-2"/>
      <name val="Calibri"/>
      <family val="2"/>
      <scheme val="minor"/>
    </font>
    <font>
      <i/>
      <sz val="8"/>
      <color theme="1"/>
      <name val="Calibri"/>
      <family val="2"/>
      <scheme val="minor"/>
    </font>
    <font>
      <sz val="11"/>
      <color rgb="FFFF0000"/>
      <name val="Calibri"/>
      <family val="2"/>
      <scheme val="minor"/>
    </font>
    <font>
      <sz val="12"/>
      <color theme="0"/>
      <name val="Calibri"/>
      <family val="2"/>
      <scheme val="minor"/>
    </font>
    <font>
      <sz val="9"/>
      <color indexed="81"/>
      <name val="Tahoma"/>
      <family val="2"/>
    </font>
    <font>
      <b/>
      <sz val="9"/>
      <color indexed="81"/>
      <name val="Tahoma"/>
      <family val="2"/>
    </font>
    <font>
      <u/>
      <sz val="11"/>
      <name val="Calibri"/>
      <family val="2"/>
      <scheme val="minor"/>
    </font>
    <font>
      <sz val="9"/>
      <name val="Calibri"/>
      <family val="2"/>
      <scheme val="minor"/>
    </font>
    <font>
      <sz val="11"/>
      <color rgb="FF009900"/>
      <name val="Calibri"/>
      <family val="2"/>
      <scheme val="minor"/>
    </font>
    <font>
      <u/>
      <sz val="11"/>
      <color rgb="FF0099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76A92"/>
        <bgColor indexed="64"/>
      </patternFill>
    </fill>
    <fill>
      <patternFill patternType="solid">
        <fgColor theme="1" tint="0.34998626667073579"/>
        <bgColor indexed="64"/>
      </patternFill>
    </fill>
    <fill>
      <patternFill patternType="solid">
        <fgColor rgb="FF595959"/>
        <bgColor indexed="64"/>
      </patternFill>
    </fill>
    <fill>
      <patternFill patternType="solid">
        <fgColor rgb="FFC14E00"/>
        <bgColor indexed="64"/>
      </patternFill>
    </fill>
    <fill>
      <patternFill patternType="solid">
        <fgColor theme="0" tint="-0.14999847407452621"/>
        <bgColor indexed="64"/>
      </patternFill>
    </fill>
    <fill>
      <patternFill patternType="solid">
        <fgColor theme="1" tint="0.14999847407452621"/>
        <bgColor indexed="64"/>
      </patternFill>
    </fill>
  </fills>
  <borders count="35">
    <border>
      <left/>
      <right/>
      <top/>
      <bottom/>
      <diagonal/>
    </border>
    <border>
      <left/>
      <right/>
      <top/>
      <bottom style="thin">
        <color theme="0"/>
      </bottom>
      <diagonal/>
    </border>
    <border>
      <left/>
      <right/>
      <top/>
      <bottom style="thick">
        <color rgb="FF076A92"/>
      </bottom>
      <diagonal/>
    </border>
    <border>
      <left/>
      <right/>
      <top/>
      <bottom style="thick">
        <color theme="0"/>
      </bottom>
      <diagonal/>
    </border>
    <border>
      <left/>
      <right/>
      <top style="thin">
        <color theme="0"/>
      </top>
      <bottom/>
      <diagonal/>
    </border>
    <border>
      <left/>
      <right/>
      <top style="thick">
        <color theme="0"/>
      </top>
      <bottom style="thin">
        <color theme="0"/>
      </bottom>
      <diagonal/>
    </border>
    <border>
      <left/>
      <right/>
      <top/>
      <bottom style="medium">
        <color rgb="FF076A92"/>
      </bottom>
      <diagonal/>
    </border>
    <border>
      <left/>
      <right/>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medium">
        <color rgb="FF076A92"/>
      </bottom>
      <diagonal/>
    </border>
    <border>
      <left style="thin">
        <color theme="0" tint="-0.24994659260841701"/>
      </left>
      <right/>
      <top/>
      <bottom style="medium">
        <color rgb="FF076A92"/>
      </bottom>
      <diagonal/>
    </border>
  </borders>
  <cellStyleXfs count="4">
    <xf numFmtId="0" fontId="0" fillId="0" borderId="0"/>
    <xf numFmtId="0" fontId="3" fillId="0" borderId="0"/>
    <xf numFmtId="0" fontId="6" fillId="0" borderId="0" applyNumberFormat="0" applyFill="0" applyBorder="0" applyAlignment="0" applyProtection="0"/>
    <xf numFmtId="9" fontId="13" fillId="0" borderId="0" applyFont="0" applyFill="0" applyBorder="0" applyAlignment="0" applyProtection="0"/>
  </cellStyleXfs>
  <cellXfs count="322">
    <xf numFmtId="0" fontId="0" fillId="0" borderId="0" xfId="0"/>
    <xf numFmtId="0" fontId="4" fillId="2"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9" fillId="2" borderId="0" xfId="0" applyFont="1" applyFill="1" applyAlignment="1">
      <alignment horizontal="left" vertical="center"/>
    </xf>
    <xf numFmtId="0" fontId="1" fillId="5" borderId="0" xfId="0" applyFont="1" applyFill="1" applyBorder="1" applyAlignment="1">
      <alignment horizontal="center" vertical="center"/>
    </xf>
    <xf numFmtId="3" fontId="0" fillId="2" borderId="0" xfId="0" applyNumberFormat="1" applyFill="1" applyBorder="1" applyAlignment="1">
      <alignment horizontal="center" vertical="center"/>
    </xf>
    <xf numFmtId="0" fontId="0" fillId="3" borderId="0" xfId="0" applyFill="1" applyAlignment="1">
      <alignment vertical="center"/>
    </xf>
    <xf numFmtId="0" fontId="10" fillId="3" borderId="0" xfId="0" applyFont="1" applyFill="1" applyAlignment="1">
      <alignment vertical="center"/>
    </xf>
    <xf numFmtId="0" fontId="9" fillId="2" borderId="0" xfId="0" applyFont="1" applyFill="1" applyAlignment="1">
      <alignment horizontal="center" vertical="center"/>
    </xf>
    <xf numFmtId="164" fontId="4" fillId="2" borderId="0" xfId="0" applyNumberFormat="1" applyFont="1" applyFill="1" applyAlignment="1">
      <alignment horizontal="center" vertical="center"/>
    </xf>
    <xf numFmtId="0" fontId="5" fillId="2" borderId="0" xfId="0" applyNumberFormat="1" applyFont="1" applyFill="1" applyAlignment="1">
      <alignment horizontal="center" vertical="center"/>
    </xf>
    <xf numFmtId="0" fontId="11" fillId="3" borderId="0" xfId="0" applyFont="1" applyFill="1" applyAlignment="1">
      <alignment horizontal="left" vertical="center"/>
    </xf>
    <xf numFmtId="9" fontId="0" fillId="2" borderId="0" xfId="3" applyFont="1" applyFill="1" applyBorder="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left" vertical="center"/>
    </xf>
    <xf numFmtId="0" fontId="0" fillId="3" borderId="0" xfId="0" applyFill="1" applyAlignment="1">
      <alignment horizontal="left" vertical="center"/>
    </xf>
    <xf numFmtId="0" fontId="1" fillId="5"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Alignment="1">
      <alignment horizontal="center" vertical="center"/>
    </xf>
    <xf numFmtId="165" fontId="0" fillId="2" borderId="0" xfId="0" applyNumberFormat="1" applyFill="1" applyAlignment="1">
      <alignment horizontal="center" vertical="center"/>
    </xf>
    <xf numFmtId="3" fontId="0" fillId="2" borderId="0" xfId="0" applyNumberFormat="1" applyFill="1" applyBorder="1" applyAlignment="1">
      <alignment horizontal="left" vertical="center"/>
    </xf>
    <xf numFmtId="0" fontId="10" fillId="3" borderId="0" xfId="0" applyFont="1" applyFill="1" applyAlignment="1">
      <alignment horizontal="left" vertical="center"/>
    </xf>
    <xf numFmtId="0" fontId="2" fillId="2" borderId="0" xfId="0" applyFont="1" applyFill="1" applyAlignment="1"/>
    <xf numFmtId="0" fontId="1" fillId="5" borderId="0" xfId="0" applyFont="1" applyFill="1" applyBorder="1" applyAlignment="1">
      <alignment horizontal="left"/>
    </xf>
    <xf numFmtId="0" fontId="0" fillId="2" borderId="0" xfId="0" applyFill="1" applyAlignment="1">
      <alignment vertical="top"/>
    </xf>
    <xf numFmtId="0" fontId="0" fillId="6" borderId="0" xfId="0" applyFill="1" applyAlignment="1">
      <alignment vertical="top"/>
    </xf>
    <xf numFmtId="0" fontId="1" fillId="5" borderId="0" xfId="0" applyFont="1" applyFill="1" applyBorder="1" applyAlignment="1">
      <alignment horizontal="center" vertical="top"/>
    </xf>
    <xf numFmtId="0" fontId="0" fillId="2" borderId="0" xfId="0" applyFill="1" applyBorder="1" applyAlignment="1">
      <alignment vertical="center"/>
    </xf>
    <xf numFmtId="0" fontId="0" fillId="2" borderId="0" xfId="0" applyFont="1" applyFill="1" applyBorder="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1" fillId="5" borderId="0" xfId="0" applyFont="1" applyFill="1" applyBorder="1" applyAlignment="1">
      <alignment horizontal="center"/>
    </xf>
    <xf numFmtId="9" fontId="0" fillId="2" borderId="0" xfId="3" applyFont="1" applyFill="1" applyAlignment="1">
      <alignment horizontal="center" vertical="center"/>
    </xf>
    <xf numFmtId="0" fontId="20" fillId="7" borderId="0" xfId="0" applyFont="1" applyFill="1" applyBorder="1" applyAlignment="1">
      <alignment horizontal="left" vertical="center"/>
    </xf>
    <xf numFmtId="0" fontId="2" fillId="2" borderId="0" xfId="0" applyFont="1" applyFill="1" applyAlignment="1">
      <alignment horizontal="left" vertical="center"/>
    </xf>
    <xf numFmtId="0" fontId="21" fillId="5" borderId="0" xfId="0" applyFont="1" applyFill="1" applyBorder="1" applyAlignment="1">
      <alignment horizontal="center"/>
    </xf>
    <xf numFmtId="0" fontId="1" fillId="5" borderId="1" xfId="0" applyFont="1" applyFill="1" applyBorder="1" applyAlignment="1">
      <alignment horizontal="center" vertical="center"/>
    </xf>
    <xf numFmtId="165" fontId="0" fillId="2" borderId="0" xfId="3" applyNumberFormat="1" applyFont="1" applyFill="1" applyAlignment="1">
      <alignment horizontal="center" vertical="center"/>
    </xf>
    <xf numFmtId="0" fontId="15" fillId="5" borderId="0" xfId="0" applyFont="1" applyFill="1" applyBorder="1" applyAlignment="1">
      <alignment horizontal="center" vertical="center"/>
    </xf>
    <xf numFmtId="0" fontId="15" fillId="5" borderId="0" xfId="0" applyFont="1" applyFill="1" applyAlignment="1">
      <alignment horizontal="center" vertical="center"/>
    </xf>
    <xf numFmtId="0" fontId="15" fillId="5" borderId="0" xfId="0" applyFont="1" applyFill="1" applyAlignment="1">
      <alignment horizontal="center" vertical="center"/>
    </xf>
    <xf numFmtId="0" fontId="15" fillId="5" borderId="0" xfId="0" applyFont="1" applyFill="1" applyAlignment="1">
      <alignment horizontal="center" vertical="center" wrapText="1"/>
    </xf>
    <xf numFmtId="0" fontId="24" fillId="2" borderId="0" xfId="0" applyFont="1" applyFill="1" applyAlignment="1">
      <alignment vertical="center"/>
    </xf>
    <xf numFmtId="0" fontId="1" fillId="5" borderId="0" xfId="0" applyFont="1" applyFill="1" applyBorder="1" applyAlignment="1"/>
    <xf numFmtId="0" fontId="1" fillId="4" borderId="0" xfId="0" applyFont="1" applyFill="1" applyBorder="1" applyAlignment="1">
      <alignment horizontal="center"/>
    </xf>
    <xf numFmtId="0" fontId="1" fillId="4" borderId="0" xfId="0" applyFont="1" applyFill="1" applyBorder="1" applyAlignment="1">
      <alignment horizontal="center" vertical="top" wrapText="1"/>
    </xf>
    <xf numFmtId="0" fontId="27" fillId="2" borderId="0" xfId="0" applyFont="1" applyFill="1" applyAlignment="1">
      <alignment horizontal="left" vertical="center"/>
    </xf>
    <xf numFmtId="4" fontId="27"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0" fontId="27" fillId="2" borderId="0" xfId="0" applyFont="1" applyFill="1" applyAlignment="1">
      <alignment vertical="center"/>
    </xf>
    <xf numFmtId="0" fontId="27" fillId="2" borderId="0" xfId="0" applyFont="1" applyFill="1" applyAlignment="1">
      <alignment horizontal="right" vertical="center"/>
    </xf>
    <xf numFmtId="0" fontId="23" fillId="8" borderId="0" xfId="0" applyFont="1" applyFill="1" applyBorder="1" applyAlignment="1">
      <alignment vertical="center"/>
    </xf>
    <xf numFmtId="0" fontId="22" fillId="2" borderId="0" xfId="0" applyFont="1" applyFill="1" applyBorder="1" applyAlignment="1">
      <alignment vertical="center"/>
    </xf>
    <xf numFmtId="3" fontId="22" fillId="2" borderId="0" xfId="0" applyNumberFormat="1" applyFont="1" applyFill="1" applyBorder="1" applyAlignment="1">
      <alignment horizontal="center" vertical="center"/>
    </xf>
    <xf numFmtId="0" fontId="22" fillId="8" borderId="0" xfId="0" applyFont="1" applyFill="1" applyBorder="1" applyAlignment="1">
      <alignment vertical="center"/>
    </xf>
    <xf numFmtId="3" fontId="22" fillId="8" borderId="0" xfId="0" applyNumberFormat="1" applyFont="1" applyFill="1" applyBorder="1" applyAlignment="1">
      <alignment horizontal="center" vertical="center"/>
    </xf>
    <xf numFmtId="0" fontId="16" fillId="8" borderId="0" xfId="0" applyFont="1" applyFill="1" applyBorder="1" applyAlignment="1">
      <alignment vertical="center"/>
    </xf>
    <xf numFmtId="3" fontId="16" fillId="8" borderId="0" xfId="0" applyNumberFormat="1" applyFont="1" applyFill="1" applyBorder="1" applyAlignment="1">
      <alignment horizontal="center" vertical="center"/>
    </xf>
    <xf numFmtId="0" fontId="28" fillId="2" borderId="0" xfId="0" applyFont="1" applyFill="1" applyBorder="1" applyAlignment="1">
      <alignment vertical="center"/>
    </xf>
    <xf numFmtId="0" fontId="16" fillId="8" borderId="2" xfId="0" applyFont="1" applyFill="1" applyBorder="1" applyAlignment="1">
      <alignment vertical="center"/>
    </xf>
    <xf numFmtId="165" fontId="27" fillId="2" borderId="0" xfId="3" applyNumberFormat="1" applyFont="1" applyFill="1" applyAlignment="1">
      <alignment horizontal="center" vertical="center"/>
    </xf>
    <xf numFmtId="0" fontId="29" fillId="5" borderId="0" xfId="0" applyFont="1" applyFill="1" applyBorder="1" applyAlignment="1">
      <alignment horizontal="center" vertical="center"/>
    </xf>
    <xf numFmtId="0" fontId="30" fillId="2" borderId="0" xfId="0" applyFont="1" applyFill="1" applyAlignment="1">
      <alignment vertical="center"/>
    </xf>
    <xf numFmtId="3" fontId="2" fillId="2" borderId="0" xfId="0" applyNumberFormat="1" applyFont="1" applyFill="1" applyAlignment="1">
      <alignment horizontal="center" vertical="center"/>
    </xf>
    <xf numFmtId="9" fontId="2" fillId="2" borderId="0" xfId="3" applyFont="1" applyFill="1" applyAlignment="1">
      <alignment horizontal="center" vertical="center"/>
    </xf>
    <xf numFmtId="165" fontId="2" fillId="2" borderId="0" xfId="3" applyNumberFormat="1" applyFont="1" applyFill="1" applyAlignment="1">
      <alignment horizontal="center" vertical="center"/>
    </xf>
    <xf numFmtId="0" fontId="0" fillId="2" borderId="0" xfId="0" applyFont="1" applyFill="1" applyAlignment="1">
      <alignment vertical="center"/>
    </xf>
    <xf numFmtId="3" fontId="0" fillId="2" borderId="0" xfId="0" applyNumberFormat="1" applyFont="1" applyFill="1" applyAlignment="1">
      <alignment horizontal="center" vertical="center"/>
    </xf>
    <xf numFmtId="165" fontId="13" fillId="2" borderId="0" xfId="3" applyNumberFormat="1" applyFont="1" applyFill="1" applyAlignment="1">
      <alignment horizontal="center" vertical="center"/>
    </xf>
    <xf numFmtId="0" fontId="15" fillId="4" borderId="0" xfId="0" applyFont="1" applyFill="1" applyBorder="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horizontal="center" vertical="center" wrapText="1"/>
    </xf>
    <xf numFmtId="0" fontId="32" fillId="2" borderId="0" xfId="0" applyFont="1" applyFill="1" applyBorder="1" applyAlignment="1">
      <alignment vertical="center"/>
    </xf>
    <xf numFmtId="3" fontId="30" fillId="2" borderId="0" xfId="0" applyNumberFormat="1" applyFont="1" applyFill="1" applyAlignment="1">
      <alignment horizontal="center" vertical="center"/>
    </xf>
    <xf numFmtId="0" fontId="30" fillId="2" borderId="0" xfId="0" applyFont="1" applyFill="1" applyAlignment="1">
      <alignment horizontal="center" vertical="center"/>
    </xf>
    <xf numFmtId="9" fontId="30" fillId="2" borderId="0" xfId="3" applyFont="1" applyFill="1" applyAlignment="1">
      <alignment horizontal="center" vertical="center"/>
    </xf>
    <xf numFmtId="9" fontId="13" fillId="2" borderId="0" xfId="3" applyFont="1" applyFill="1" applyAlignment="1">
      <alignment horizontal="center" vertical="center"/>
    </xf>
    <xf numFmtId="0" fontId="0" fillId="2" borderId="0" xfId="0" applyFont="1" applyFill="1" applyAlignment="1">
      <alignment horizontal="center" vertical="center"/>
    </xf>
    <xf numFmtId="4" fontId="0" fillId="2" borderId="0" xfId="0" applyNumberFormat="1" applyFill="1" applyAlignment="1">
      <alignment horizontal="center" vertical="center"/>
    </xf>
    <xf numFmtId="4" fontId="0" fillId="3" borderId="0" xfId="0" applyNumberFormat="1" applyFill="1" applyAlignment="1">
      <alignment horizontal="center" vertical="center"/>
    </xf>
    <xf numFmtId="4" fontId="21" fillId="5" borderId="0" xfId="0" applyNumberFormat="1" applyFont="1" applyFill="1" applyBorder="1" applyAlignment="1">
      <alignment horizontal="center"/>
    </xf>
    <xf numFmtId="4" fontId="1" fillId="5" borderId="0" xfId="0" applyNumberFormat="1" applyFont="1" applyFill="1" applyBorder="1" applyAlignment="1">
      <alignment horizontal="center" vertical="center"/>
    </xf>
    <xf numFmtId="4" fontId="1" fillId="5" borderId="0" xfId="0" applyNumberFormat="1" applyFont="1" applyFill="1" applyBorder="1" applyAlignment="1">
      <alignment horizontal="center" vertical="top"/>
    </xf>
    <xf numFmtId="4" fontId="2" fillId="2" borderId="0" xfId="0" applyNumberFormat="1" applyFont="1" applyFill="1" applyAlignment="1">
      <alignment horizontal="center" vertical="center"/>
    </xf>
    <xf numFmtId="4" fontId="0" fillId="2" borderId="0" xfId="0" applyNumberFormat="1" applyFont="1" applyFill="1" applyAlignment="1">
      <alignment horizontal="center" vertical="center"/>
    </xf>
    <xf numFmtId="0" fontId="0" fillId="2" borderId="0" xfId="0" applyFill="1"/>
    <xf numFmtId="0" fontId="31" fillId="2" borderId="0" xfId="0" applyFont="1" applyFill="1" applyAlignment="1">
      <alignment vertical="center"/>
    </xf>
    <xf numFmtId="0" fontId="34" fillId="8" borderId="0" xfId="0" applyFont="1" applyFill="1" applyBorder="1" applyAlignment="1">
      <alignment vertical="center"/>
    </xf>
    <xf numFmtId="0" fontId="24" fillId="2" borderId="0" xfId="0" applyFont="1" applyFill="1"/>
    <xf numFmtId="0" fontId="23" fillId="2" borderId="0" xfId="0" applyFont="1" applyFill="1" applyBorder="1" applyAlignment="1">
      <alignment vertical="center"/>
    </xf>
    <xf numFmtId="0" fontId="15" fillId="2" borderId="0" xfId="0" applyFont="1" applyFill="1" applyBorder="1" applyAlignment="1">
      <alignment vertical="center"/>
    </xf>
    <xf numFmtId="0" fontId="34" fillId="8" borderId="6" xfId="0" applyFont="1" applyFill="1" applyBorder="1" applyAlignment="1">
      <alignment vertical="center"/>
    </xf>
    <xf numFmtId="0" fontId="35" fillId="2" borderId="0" xfId="2" applyFont="1" applyFill="1" applyAlignment="1">
      <alignment horizontal="left" vertical="center"/>
    </xf>
    <xf numFmtId="0" fontId="26" fillId="2" borderId="7" xfId="0" applyFont="1" applyFill="1" applyBorder="1" applyAlignment="1">
      <alignment horizontal="left" vertical="center"/>
    </xf>
    <xf numFmtId="4" fontId="26" fillId="2" borderId="7" xfId="0" applyNumberFormat="1" applyFont="1" applyFill="1" applyBorder="1" applyAlignment="1">
      <alignment horizontal="center" vertical="center"/>
    </xf>
    <xf numFmtId="165" fontId="26" fillId="2" borderId="7" xfId="0" applyNumberFormat="1" applyFont="1" applyFill="1" applyBorder="1" applyAlignment="1">
      <alignment horizontal="center" vertical="center"/>
    </xf>
    <xf numFmtId="0" fontId="26" fillId="2" borderId="7" xfId="0" applyFont="1" applyFill="1" applyBorder="1" applyAlignment="1">
      <alignment vertical="center"/>
    </xf>
    <xf numFmtId="0" fontId="15" fillId="5" borderId="0" xfId="0" applyFont="1" applyFill="1" applyBorder="1" applyAlignment="1">
      <alignment horizontal="center" vertical="center"/>
    </xf>
    <xf numFmtId="0" fontId="1" fillId="5" borderId="0" xfId="0" applyFont="1" applyFill="1" applyBorder="1" applyAlignment="1">
      <alignment horizontal="center" vertical="center"/>
    </xf>
    <xf numFmtId="2" fontId="0" fillId="2" borderId="0" xfId="0" applyNumberFormat="1" applyFill="1" applyAlignment="1">
      <alignment vertical="center"/>
    </xf>
    <xf numFmtId="0" fontId="21" fillId="5" borderId="0" xfId="0" applyFont="1" applyFill="1" applyBorder="1" applyAlignment="1">
      <alignment horizontal="center" vertical="center"/>
    </xf>
    <xf numFmtId="0" fontId="36" fillId="2" borderId="0" xfId="0" applyFont="1" applyFill="1" applyAlignment="1">
      <alignment vertical="center"/>
    </xf>
    <xf numFmtId="0" fontId="18" fillId="5" borderId="0" xfId="0" applyFont="1" applyFill="1" applyAlignment="1">
      <alignment vertical="center"/>
    </xf>
    <xf numFmtId="0" fontId="0" fillId="5" borderId="0" xfId="0" applyFill="1" applyAlignment="1">
      <alignment vertical="center"/>
    </xf>
    <xf numFmtId="0" fontId="37" fillId="2" borderId="0" xfId="0" applyFont="1" applyFill="1" applyAlignment="1">
      <alignment vertical="center"/>
    </xf>
    <xf numFmtId="0" fontId="17" fillId="2" borderId="8"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14" fillId="2" borderId="0" xfId="0" applyFont="1" applyFill="1" applyBorder="1" applyAlignment="1">
      <alignment vertical="center"/>
    </xf>
    <xf numFmtId="0" fontId="0" fillId="2" borderId="12" xfId="0" applyFill="1" applyBorder="1" applyAlignment="1">
      <alignment vertical="center"/>
    </xf>
    <xf numFmtId="0" fontId="24" fillId="2" borderId="12" xfId="0" applyFont="1" applyFill="1" applyBorder="1" applyAlignment="1">
      <alignment vertical="center"/>
    </xf>
    <xf numFmtId="0" fontId="24" fillId="2" borderId="11" xfId="0" applyFont="1" applyFill="1" applyBorder="1" applyAlignment="1">
      <alignment vertical="center"/>
    </xf>
    <xf numFmtId="0" fontId="24" fillId="2" borderId="0" xfId="0" applyFont="1"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4" fontId="0" fillId="2" borderId="0" xfId="0" applyNumberFormat="1" applyFont="1" applyFill="1" applyAlignment="1">
      <alignment vertical="center"/>
    </xf>
    <xf numFmtId="0" fontId="39" fillId="2" borderId="0" xfId="0" applyFont="1" applyFill="1" applyAlignment="1">
      <alignment horizontal="center" vertical="center"/>
    </xf>
    <xf numFmtId="0" fontId="40" fillId="2" borderId="0" xfId="0" applyFont="1" applyFill="1" applyAlignment="1">
      <alignment horizontal="center" vertical="center"/>
    </xf>
    <xf numFmtId="0" fontId="39" fillId="3" borderId="0" xfId="0" applyFont="1" applyFill="1" applyAlignment="1">
      <alignment horizontal="center" vertical="center"/>
    </xf>
    <xf numFmtId="0" fontId="40" fillId="3" borderId="0" xfId="0" applyFont="1" applyFill="1" applyAlignment="1">
      <alignment horizontal="center" vertical="center"/>
    </xf>
    <xf numFmtId="0" fontId="41" fillId="2" borderId="0" xfId="0" applyFont="1" applyFill="1" applyAlignment="1">
      <alignment horizontal="center"/>
    </xf>
    <xf numFmtId="0" fontId="42" fillId="2" borderId="0" xfId="0" applyFont="1" applyFill="1" applyAlignment="1">
      <alignment horizontal="center"/>
    </xf>
    <xf numFmtId="0" fontId="39" fillId="2" borderId="0" xfId="0" applyFont="1" applyFill="1" applyBorder="1" applyAlignment="1">
      <alignment horizontal="center"/>
    </xf>
    <xf numFmtId="0" fontId="38" fillId="2" borderId="0" xfId="0" applyFont="1" applyFill="1"/>
    <xf numFmtId="0" fontId="43" fillId="2" borderId="0" xfId="0" applyFont="1" applyFill="1" applyAlignment="1">
      <alignment vertical="center"/>
    </xf>
    <xf numFmtId="4" fontId="43" fillId="2" borderId="0" xfId="0" applyNumberFormat="1" applyFont="1" applyFill="1" applyAlignment="1">
      <alignment vertical="center"/>
    </xf>
    <xf numFmtId="0" fontId="38" fillId="2" borderId="0" xfId="0" applyFont="1" applyFill="1" applyAlignment="1">
      <alignment vertical="center"/>
    </xf>
    <xf numFmtId="165" fontId="16" fillId="8" borderId="2" xfId="0" applyNumberFormat="1" applyFont="1" applyFill="1" applyBorder="1" applyAlignment="1">
      <alignment horizontal="center" vertical="center"/>
    </xf>
    <xf numFmtId="169" fontId="0" fillId="2" borderId="0" xfId="0" applyNumberFormat="1" applyFill="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3" fontId="0" fillId="2" borderId="18" xfId="0" applyNumberForma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167" fontId="0" fillId="2" borderId="0" xfId="0" applyNumberFormat="1" applyFill="1" applyBorder="1" applyAlignment="1">
      <alignment horizontal="center" vertical="center"/>
    </xf>
    <xf numFmtId="168" fontId="0" fillId="2" borderId="21" xfId="0" applyNumberFormat="1" applyFill="1" applyBorder="1" applyAlignment="1">
      <alignment horizontal="center" vertical="center"/>
    </xf>
    <xf numFmtId="0" fontId="0" fillId="2" borderId="22" xfId="0" applyFill="1" applyBorder="1" applyAlignment="1">
      <alignment vertical="center"/>
    </xf>
    <xf numFmtId="0" fontId="0" fillId="2" borderId="16" xfId="0" applyFill="1" applyBorder="1" applyAlignment="1">
      <alignment vertical="center"/>
    </xf>
    <xf numFmtId="3" fontId="0" fillId="2" borderId="16" xfId="0" applyNumberFormat="1" applyFill="1" applyBorder="1" applyAlignment="1">
      <alignment horizontal="center" vertical="center"/>
    </xf>
    <xf numFmtId="0" fontId="0" fillId="2" borderId="23" xfId="0" applyFill="1" applyBorder="1" applyAlignment="1">
      <alignment vertical="center"/>
    </xf>
    <xf numFmtId="0" fontId="44" fillId="9" borderId="24" xfId="0" applyFont="1" applyFill="1" applyBorder="1" applyAlignment="1">
      <alignment vertical="center"/>
    </xf>
    <xf numFmtId="0" fontId="44" fillId="9" borderId="25" xfId="0" applyFont="1" applyFill="1" applyBorder="1" applyAlignment="1">
      <alignment vertical="center"/>
    </xf>
    <xf numFmtId="0" fontId="1" fillId="9" borderId="25" xfId="0" applyFont="1" applyFill="1" applyBorder="1" applyAlignment="1">
      <alignment vertical="center"/>
    </xf>
    <xf numFmtId="0" fontId="1" fillId="9" borderId="26" xfId="0" applyFont="1" applyFill="1" applyBorder="1" applyAlignment="1">
      <alignment horizontal="center" vertical="center"/>
    </xf>
    <xf numFmtId="0" fontId="45" fillId="2" borderId="0" xfId="0" applyFont="1" applyFill="1" applyAlignment="1">
      <alignment vertical="center"/>
    </xf>
    <xf numFmtId="0" fontId="46" fillId="2" borderId="0" xfId="0" applyNumberFormat="1" applyFont="1" applyFill="1" applyBorder="1" applyAlignment="1">
      <alignment horizontal="center" vertical="center"/>
    </xf>
    <xf numFmtId="0" fontId="46" fillId="2" borderId="0" xfId="0" applyFont="1" applyFill="1" applyAlignment="1">
      <alignment horizontal="center" vertical="center"/>
    </xf>
    <xf numFmtId="165" fontId="46" fillId="2" borderId="0" xfId="0" applyNumberFormat="1" applyFont="1" applyFill="1" applyAlignment="1">
      <alignment horizontal="center" vertical="center"/>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0" fontId="51" fillId="4" borderId="0" xfId="0" applyFont="1" applyFill="1" applyBorder="1" applyAlignment="1">
      <alignment horizontal="center" vertical="center" wrapText="1"/>
    </xf>
    <xf numFmtId="0" fontId="52" fillId="2" borderId="0" xfId="0" applyFont="1" applyFill="1" applyAlignment="1">
      <alignment horizontal="center" vertical="center"/>
    </xf>
    <xf numFmtId="0" fontId="53" fillId="2" borderId="0" xfId="0" applyFont="1" applyFill="1" applyAlignment="1">
      <alignment horizontal="center" vertical="center"/>
    </xf>
    <xf numFmtId="3" fontId="47" fillId="2" borderId="0" xfId="0" applyNumberFormat="1" applyFont="1" applyFill="1" applyAlignment="1">
      <alignment horizontal="center" vertical="center"/>
    </xf>
    <xf numFmtId="165" fontId="0" fillId="2" borderId="0" xfId="3" applyNumberFormat="1" applyFont="1" applyFill="1" applyBorder="1" applyAlignment="1">
      <alignment horizontal="center" vertical="center"/>
    </xf>
    <xf numFmtId="10" fontId="46" fillId="2" borderId="0" xfId="0" applyNumberFormat="1" applyFont="1" applyFill="1" applyAlignment="1">
      <alignment horizontal="center" vertical="center"/>
    </xf>
    <xf numFmtId="3" fontId="21" fillId="8"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0" fontId="6" fillId="2" borderId="0" xfId="2"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3" fontId="28" fillId="8" borderId="0" xfId="0" applyNumberFormat="1" applyFont="1" applyFill="1" applyBorder="1" applyAlignment="1">
      <alignment horizontal="center" vertical="center"/>
    </xf>
    <xf numFmtId="0" fontId="31" fillId="2" borderId="0" xfId="0" applyFont="1" applyFill="1"/>
    <xf numFmtId="0" fontId="23" fillId="8" borderId="31" xfId="0" applyFont="1" applyFill="1" applyBorder="1" applyAlignment="1">
      <alignment vertical="center"/>
    </xf>
    <xf numFmtId="0" fontId="23" fillId="2" borderId="31" xfId="0" applyFont="1" applyFill="1" applyBorder="1" applyAlignment="1">
      <alignment vertical="center"/>
    </xf>
    <xf numFmtId="0" fontId="33" fillId="4" borderId="27" xfId="0" applyFont="1" applyFill="1" applyBorder="1" applyAlignment="1">
      <alignment vertical="center" wrapText="1"/>
    </xf>
    <xf numFmtId="3" fontId="21" fillId="8" borderId="32" xfId="0" applyNumberFormat="1" applyFont="1" applyFill="1" applyBorder="1" applyAlignment="1">
      <alignment horizontal="center" vertical="center"/>
    </xf>
    <xf numFmtId="3" fontId="21" fillId="8" borderId="31"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0" fontId="54" fillId="2" borderId="31" xfId="0" applyFont="1" applyFill="1" applyBorder="1" applyAlignment="1">
      <alignment vertical="center"/>
    </xf>
    <xf numFmtId="170" fontId="55" fillId="2" borderId="32" xfId="3" applyNumberFormat="1" applyFont="1" applyFill="1" applyBorder="1" applyAlignment="1">
      <alignment horizontal="right" vertical="center"/>
    </xf>
    <xf numFmtId="165" fontId="55" fillId="2" borderId="31" xfId="3" applyNumberFormat="1" applyFont="1" applyFill="1" applyBorder="1" applyAlignment="1">
      <alignment horizontal="left" vertical="center"/>
    </xf>
    <xf numFmtId="165" fontId="55" fillId="2" borderId="0" xfId="3" applyNumberFormat="1" applyFont="1" applyFill="1" applyBorder="1" applyAlignment="1">
      <alignment horizontal="left" vertical="center"/>
    </xf>
    <xf numFmtId="0" fontId="54" fillId="8" borderId="31" xfId="0" applyFont="1" applyFill="1" applyBorder="1" applyAlignment="1">
      <alignment vertical="center"/>
    </xf>
    <xf numFmtId="170" fontId="55" fillId="8" borderId="32" xfId="3" applyNumberFormat="1" applyFont="1" applyFill="1" applyBorder="1" applyAlignment="1">
      <alignment horizontal="right" vertical="center"/>
    </xf>
    <xf numFmtId="165" fontId="55" fillId="8" borderId="31" xfId="3" applyNumberFormat="1" applyFont="1" applyFill="1" applyBorder="1" applyAlignment="1">
      <alignment horizontal="left" vertical="center"/>
    </xf>
    <xf numFmtId="165" fontId="55" fillId="8" borderId="0" xfId="3" applyNumberFormat="1" applyFont="1" applyFill="1" applyBorder="1" applyAlignment="1">
      <alignment horizontal="left" vertical="center"/>
    </xf>
    <xf numFmtId="165" fontId="55" fillId="8" borderId="6" xfId="3" applyNumberFormat="1" applyFont="1" applyFill="1" applyBorder="1" applyAlignment="1">
      <alignment horizontal="left" vertical="center"/>
    </xf>
    <xf numFmtId="171" fontId="0" fillId="2" borderId="0" xfId="3" applyNumberFormat="1" applyFont="1" applyFill="1" applyAlignment="1">
      <alignment horizontal="center" vertical="center"/>
    </xf>
    <xf numFmtId="171" fontId="2" fillId="2" borderId="0" xfId="3" applyNumberFormat="1" applyFont="1" applyFill="1" applyAlignment="1">
      <alignment horizontal="center" vertical="center"/>
    </xf>
    <xf numFmtId="171" fontId="0" fillId="2" borderId="0" xfId="0" applyNumberFormat="1" applyFill="1" applyAlignment="1">
      <alignment horizontal="center" vertical="center"/>
    </xf>
    <xf numFmtId="171" fontId="2" fillId="2" borderId="0" xfId="0" applyNumberFormat="1" applyFont="1" applyFill="1" applyAlignment="1">
      <alignment horizontal="center" vertical="center"/>
    </xf>
    <xf numFmtId="171" fontId="0" fillId="2" borderId="16" xfId="3" applyNumberFormat="1" applyFont="1" applyFill="1" applyBorder="1" applyAlignment="1">
      <alignment horizontal="center" vertical="center"/>
    </xf>
    <xf numFmtId="171" fontId="2" fillId="2" borderId="16" xfId="3" applyNumberFormat="1" applyFont="1" applyFill="1" applyBorder="1" applyAlignment="1">
      <alignment horizontal="center" vertical="center"/>
    </xf>
    <xf numFmtId="3" fontId="21" fillId="8" borderId="32" xfId="0" applyNumberFormat="1" applyFont="1" applyFill="1" applyBorder="1" applyAlignment="1">
      <alignment horizontal="center" vertical="center" wrapText="1"/>
    </xf>
    <xf numFmtId="3" fontId="21" fillId="8" borderId="31" xfId="0" applyNumberFormat="1" applyFont="1" applyFill="1" applyBorder="1" applyAlignment="1">
      <alignment horizontal="center" vertical="center" wrapText="1"/>
    </xf>
    <xf numFmtId="0" fontId="29" fillId="8" borderId="31" xfId="0" applyFont="1" applyFill="1" applyBorder="1" applyAlignment="1">
      <alignment horizontal="left" vertical="center" wrapText="1"/>
    </xf>
    <xf numFmtId="0" fontId="0" fillId="0" borderId="31" xfId="0" applyBorder="1" applyAlignment="1">
      <alignment horizontal="left" vertical="center" wrapText="1"/>
    </xf>
    <xf numFmtId="3" fontId="21" fillId="2" borderId="32"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3" fontId="21" fillId="8" borderId="32" xfId="0" applyNumberFormat="1" applyFont="1" applyFill="1" applyBorder="1" applyAlignment="1">
      <alignment horizontal="center" vertical="center"/>
    </xf>
    <xf numFmtId="3" fontId="21" fillId="8" borderId="0" xfId="0" applyNumberFormat="1" applyFont="1" applyFill="1" applyBorder="1" applyAlignment="1">
      <alignment horizontal="center" vertical="center"/>
    </xf>
    <xf numFmtId="3" fontId="21" fillId="8" borderId="31"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wrapText="1"/>
    </xf>
    <xf numFmtId="3" fontId="21" fillId="2" borderId="31"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xf>
    <xf numFmtId="0" fontId="0" fillId="8" borderId="31" xfId="0" applyFill="1" applyBorder="1" applyAlignment="1">
      <alignment horizontal="left" vertical="center" wrapText="1"/>
    </xf>
    <xf numFmtId="0" fontId="59" fillId="2" borderId="0" xfId="0" applyFont="1" applyFill="1" applyAlignment="1">
      <alignment horizontal="center" vertical="center"/>
    </xf>
    <xf numFmtId="0" fontId="31" fillId="2" borderId="0" xfId="0" applyFont="1" applyFill="1" applyAlignment="1">
      <alignment horizontal="center" vertical="center"/>
    </xf>
    <xf numFmtId="0" fontId="60" fillId="2" borderId="0" xfId="0" applyFont="1" applyFill="1" applyAlignment="1">
      <alignment vertical="top"/>
    </xf>
    <xf numFmtId="3" fontId="21" fillId="8" borderId="32" xfId="0" applyNumberFormat="1" applyFont="1" applyFill="1" applyBorder="1" applyAlignment="1">
      <alignment horizontal="center" vertical="center"/>
    </xf>
    <xf numFmtId="172" fontId="0" fillId="2" borderId="0" xfId="0" applyNumberFormat="1" applyFill="1" applyAlignment="1">
      <alignment vertical="center"/>
    </xf>
    <xf numFmtId="0" fontId="15" fillId="4" borderId="1" xfId="0" applyFont="1" applyFill="1" applyBorder="1" applyAlignment="1">
      <alignment horizontal="center" vertical="top" wrapText="1"/>
    </xf>
    <xf numFmtId="0" fontId="15" fillId="4" borderId="0" xfId="0" applyFont="1" applyFill="1" applyBorder="1" applyAlignment="1">
      <alignment horizontal="center"/>
    </xf>
    <xf numFmtId="10" fontId="55" fillId="8" borderId="31" xfId="3" applyNumberFormat="1" applyFont="1" applyFill="1" applyBorder="1" applyAlignment="1">
      <alignment horizontal="left" vertical="center"/>
    </xf>
    <xf numFmtId="0" fontId="54" fillId="8" borderId="33" xfId="0" applyFont="1" applyFill="1" applyBorder="1" applyAlignment="1">
      <alignment vertical="center"/>
    </xf>
    <xf numFmtId="170" fontId="55" fillId="8" borderId="34" xfId="3" applyNumberFormat="1" applyFont="1" applyFill="1" applyBorder="1" applyAlignment="1">
      <alignment horizontal="right" vertical="center"/>
    </xf>
    <xf numFmtId="165" fontId="55" fillId="8" borderId="33" xfId="3" applyNumberFormat="1" applyFont="1" applyFill="1" applyBorder="1" applyAlignment="1">
      <alignment horizontal="left" vertical="center"/>
    </xf>
    <xf numFmtId="10" fontId="55" fillId="8" borderId="33" xfId="3" applyNumberFormat="1" applyFont="1" applyFill="1" applyBorder="1" applyAlignment="1">
      <alignment horizontal="left" vertical="center"/>
    </xf>
    <xf numFmtId="0" fontId="61" fillId="2" borderId="0" xfId="0" applyFont="1" applyFill="1" applyAlignment="1">
      <alignment vertical="center"/>
    </xf>
    <xf numFmtId="0" fontId="62" fillId="2" borderId="0" xfId="0" applyFont="1" applyFill="1"/>
    <xf numFmtId="1" fontId="5" fillId="2" borderId="0" xfId="0" applyNumberFormat="1" applyFont="1" applyFill="1" applyAlignment="1">
      <alignment horizontal="center" vertical="center"/>
    </xf>
    <xf numFmtId="3" fontId="23" fillId="8" borderId="0" xfId="0" applyNumberFormat="1" applyFont="1" applyFill="1" applyBorder="1" applyAlignment="1">
      <alignment horizontal="center" vertical="center"/>
    </xf>
    <xf numFmtId="173" fontId="0" fillId="2" borderId="0" xfId="3" applyNumberFormat="1" applyFont="1" applyFill="1" applyAlignment="1">
      <alignment horizontal="center" vertical="center"/>
    </xf>
    <xf numFmtId="173" fontId="59" fillId="2" borderId="0" xfId="0" applyNumberFormat="1" applyFont="1" applyFill="1" applyAlignment="1">
      <alignment horizontal="center" vertical="center"/>
    </xf>
    <xf numFmtId="173" fontId="0" fillId="2" borderId="16" xfId="3" applyNumberFormat="1" applyFont="1" applyFill="1" applyBorder="1" applyAlignment="1">
      <alignment horizontal="center" vertical="center"/>
    </xf>
    <xf numFmtId="9" fontId="0" fillId="2" borderId="0" xfId="3" applyFont="1" applyFill="1" applyAlignment="1">
      <alignment vertical="center"/>
    </xf>
    <xf numFmtId="9" fontId="0" fillId="2" borderId="0" xfId="0" applyNumberFormat="1" applyFill="1" applyAlignment="1">
      <alignment vertical="center"/>
    </xf>
    <xf numFmtId="165" fontId="0" fillId="2" borderId="0" xfId="3" applyNumberFormat="1" applyFont="1" applyFill="1" applyAlignment="1">
      <alignment vertical="center"/>
    </xf>
    <xf numFmtId="10" fontId="0" fillId="2" borderId="0" xfId="3" applyNumberFormat="1" applyFont="1" applyFill="1" applyAlignment="1">
      <alignment vertical="center"/>
    </xf>
    <xf numFmtId="0" fontId="31" fillId="3" borderId="0" xfId="0" applyFont="1" applyFill="1" applyAlignment="1">
      <alignment vertical="center"/>
    </xf>
    <xf numFmtId="0" fontId="62" fillId="2" borderId="0" xfId="0" applyFont="1" applyFill="1" applyAlignment="1">
      <alignment vertical="center"/>
    </xf>
    <xf numFmtId="0" fontId="1" fillId="5" borderId="0"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7" xfId="0" applyFont="1" applyFill="1" applyBorder="1" applyAlignment="1">
      <alignment horizontal="center" vertical="center"/>
    </xf>
    <xf numFmtId="9" fontId="0" fillId="2" borderId="0" xfId="3" applyNumberFormat="1" applyFont="1" applyFill="1" applyAlignment="1">
      <alignment horizontal="center" vertical="center"/>
    </xf>
    <xf numFmtId="9" fontId="0" fillId="2" borderId="16" xfId="3" applyNumberFormat="1" applyFont="1" applyFill="1" applyBorder="1" applyAlignment="1">
      <alignment horizontal="center" vertical="center"/>
    </xf>
    <xf numFmtId="0" fontId="21" fillId="5" borderId="29" xfId="0" applyFont="1" applyFill="1" applyBorder="1" applyAlignment="1">
      <alignment horizontal="center" vertical="center"/>
    </xf>
    <xf numFmtId="0" fontId="21" fillId="5" borderId="27"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0" xfId="0" applyFont="1" applyFill="1" applyBorder="1" applyAlignment="1">
      <alignment horizontal="center" vertical="center"/>
    </xf>
    <xf numFmtId="0" fontId="15" fillId="4" borderId="1" xfId="0" applyFont="1" applyFill="1" applyBorder="1" applyAlignment="1">
      <alignment horizontal="center" vertical="top"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xf>
    <xf numFmtId="10" fontId="27" fillId="2" borderId="0" xfId="0" applyNumberFormat="1" applyFont="1" applyFill="1" applyAlignment="1">
      <alignment horizontal="center" vertical="center"/>
    </xf>
    <xf numFmtId="4" fontId="0" fillId="2" borderId="0" xfId="0" applyNumberFormat="1" applyFill="1" applyAlignment="1">
      <alignment vertical="center"/>
    </xf>
    <xf numFmtId="0" fontId="56" fillId="2" borderId="0" xfId="0" applyFont="1" applyFill="1" applyAlignment="1">
      <alignment horizontal="right" vertical="center"/>
    </xf>
    <xf numFmtId="0" fontId="56" fillId="2" borderId="0" xfId="0" applyFont="1" applyFill="1" applyAlignment="1">
      <alignment horizontal="left" vertical="center"/>
    </xf>
    <xf numFmtId="0" fontId="30" fillId="2" borderId="0" xfId="0" applyFont="1" applyFill="1" applyBorder="1" applyAlignment="1">
      <alignment horizontal="left" vertical="center"/>
    </xf>
    <xf numFmtId="3" fontId="30" fillId="2" borderId="0" xfId="0" applyNumberFormat="1" applyFont="1" applyFill="1" applyBorder="1" applyAlignment="1">
      <alignment horizontal="center" vertical="center"/>
    </xf>
    <xf numFmtId="4" fontId="30" fillId="2" borderId="0" xfId="0" applyNumberFormat="1" applyFont="1" applyFill="1" applyAlignment="1">
      <alignment horizontal="center" vertical="center"/>
    </xf>
    <xf numFmtId="2" fontId="30" fillId="2" borderId="0" xfId="0" applyNumberFormat="1" applyFont="1" applyFill="1" applyAlignment="1">
      <alignment horizontal="center" vertical="center"/>
    </xf>
    <xf numFmtId="174" fontId="30" fillId="2" borderId="0" xfId="0" applyNumberFormat="1" applyFont="1" applyFill="1" applyAlignment="1">
      <alignment horizontal="center" vertical="center"/>
    </xf>
    <xf numFmtId="0" fontId="65" fillId="0" borderId="0" xfId="2" applyFont="1"/>
    <xf numFmtId="3" fontId="30" fillId="2" borderId="0" xfId="0" applyNumberFormat="1" applyFont="1" applyFill="1" applyBorder="1" applyAlignment="1">
      <alignment horizontal="left" vertical="center"/>
    </xf>
    <xf numFmtId="3" fontId="65" fillId="2" borderId="0" xfId="2" applyNumberFormat="1" applyFont="1" applyFill="1" applyBorder="1" applyAlignment="1">
      <alignment horizontal="left" vertical="center"/>
    </xf>
    <xf numFmtId="0" fontId="30" fillId="0" borderId="0" xfId="0" applyFont="1"/>
    <xf numFmtId="165" fontId="30" fillId="2" borderId="0" xfId="3" applyNumberFormat="1" applyFont="1" applyFill="1" applyBorder="1" applyAlignment="1">
      <alignment horizontal="center" vertical="center"/>
    </xf>
    <xf numFmtId="2" fontId="30" fillId="2" borderId="0" xfId="0" applyNumberFormat="1" applyFont="1" applyFill="1" applyBorder="1" applyAlignment="1">
      <alignment horizontal="center" vertical="center"/>
    </xf>
    <xf numFmtId="10" fontId="30" fillId="2" borderId="0" xfId="0" applyNumberFormat="1" applyFont="1" applyFill="1" applyBorder="1" applyAlignment="1">
      <alignment horizontal="center" vertical="center"/>
    </xf>
    <xf numFmtId="9" fontId="30" fillId="2" borderId="0" xfId="3" applyFont="1" applyFill="1" applyBorder="1" applyAlignment="1">
      <alignment horizontal="center" vertical="center"/>
    </xf>
    <xf numFmtId="0" fontId="66" fillId="2" borderId="0" xfId="0" applyFont="1" applyFill="1" applyAlignment="1">
      <alignment vertical="center"/>
    </xf>
    <xf numFmtId="0" fontId="30" fillId="2" borderId="0" xfId="0" applyNumberFormat="1" applyFont="1" applyFill="1" applyBorder="1" applyAlignment="1">
      <alignment horizontal="center" vertical="center"/>
    </xf>
    <xf numFmtId="0" fontId="6" fillId="0" borderId="0" xfId="2"/>
    <xf numFmtId="3" fontId="6" fillId="2" borderId="0" xfId="2" applyNumberFormat="1" applyFill="1" applyBorder="1" applyAlignment="1">
      <alignment horizontal="left" vertical="center"/>
    </xf>
    <xf numFmtId="0" fontId="67" fillId="2" borderId="0" xfId="0" applyFont="1" applyFill="1" applyAlignment="1">
      <alignment vertical="center"/>
    </xf>
    <xf numFmtId="3" fontId="68" fillId="2" borderId="0" xfId="2" applyNumberFormat="1" applyFont="1" applyFill="1" applyBorder="1" applyAlignment="1">
      <alignment horizontal="left" vertical="center"/>
    </xf>
    <xf numFmtId="0" fontId="12" fillId="2" borderId="0" xfId="2" applyFont="1" applyFill="1" applyAlignment="1">
      <alignment horizontal="left" vertical="center"/>
    </xf>
    <xf numFmtId="0" fontId="1" fillId="4" borderId="0" xfId="0" applyFont="1" applyFill="1" applyAlignment="1">
      <alignment horizontal="center" vertical="center" wrapText="1"/>
    </xf>
    <xf numFmtId="3" fontId="21" fillId="8" borderId="32" xfId="0" applyNumberFormat="1" applyFont="1" applyFill="1" applyBorder="1" applyAlignment="1">
      <alignment horizontal="center" vertical="center" wrapText="1"/>
    </xf>
    <xf numFmtId="3" fontId="21" fillId="8" borderId="31" xfId="0" applyNumberFormat="1" applyFont="1" applyFill="1" applyBorder="1" applyAlignment="1">
      <alignment horizontal="center" vertical="center" wrapText="1"/>
    </xf>
    <xf numFmtId="166" fontId="23" fillId="8" borderId="30" xfId="0" applyNumberFormat="1" applyFont="1" applyFill="1" applyBorder="1" applyAlignment="1">
      <alignment horizontal="center" vertical="center"/>
    </xf>
    <xf numFmtId="166" fontId="23" fillId="8" borderId="32" xfId="0" applyNumberFormat="1" applyFont="1" applyFill="1" applyBorder="1" applyAlignment="1">
      <alignment horizontal="center" vertical="center"/>
    </xf>
    <xf numFmtId="3" fontId="21" fillId="8" borderId="30" xfId="0" applyNumberFormat="1" applyFont="1" applyFill="1" applyBorder="1" applyAlignment="1">
      <alignment horizontal="center" vertical="center"/>
    </xf>
    <xf numFmtId="3" fontId="21" fillId="8" borderId="32" xfId="0" applyNumberFormat="1" applyFont="1" applyFill="1" applyBorder="1" applyAlignment="1">
      <alignment horizontal="center" vertical="center"/>
    </xf>
    <xf numFmtId="0" fontId="1" fillId="4" borderId="28" xfId="0" applyFont="1" applyFill="1" applyBorder="1" applyAlignment="1">
      <alignment horizontal="center"/>
    </xf>
    <xf numFmtId="0" fontId="1" fillId="4" borderId="28" xfId="0" applyFont="1" applyFill="1" applyBorder="1" applyAlignment="1">
      <alignment horizontal="center" vertical="top" wrapText="1"/>
    </xf>
    <xf numFmtId="166" fontId="23" fillId="8" borderId="0" xfId="0" applyNumberFormat="1" applyFont="1" applyFill="1" applyBorder="1" applyAlignment="1">
      <alignment horizontal="center" vertical="center"/>
    </xf>
    <xf numFmtId="166" fontId="23" fillId="8" borderId="31" xfId="0" applyNumberFormat="1" applyFont="1" applyFill="1" applyBorder="1" applyAlignment="1">
      <alignment horizontal="center" vertical="center"/>
    </xf>
    <xf numFmtId="166" fontId="23" fillId="2" borderId="32" xfId="0" applyNumberFormat="1" applyFont="1" applyFill="1" applyBorder="1" applyAlignment="1">
      <alignment horizontal="center" vertical="center"/>
    </xf>
    <xf numFmtId="166" fontId="23" fillId="2" borderId="31" xfId="0" applyNumberFormat="1" applyFont="1" applyFill="1" applyBorder="1" applyAlignment="1">
      <alignment horizontal="center" vertical="center"/>
    </xf>
    <xf numFmtId="166" fontId="23" fillId="2" borderId="0"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xf>
    <xf numFmtId="3" fontId="21" fillId="2" borderId="31"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wrapText="1"/>
    </xf>
    <xf numFmtId="3" fontId="21" fillId="2" borderId="31" xfId="0" applyNumberFormat="1" applyFont="1" applyFill="1" applyBorder="1" applyAlignment="1">
      <alignment horizontal="center" vertical="center" wrapText="1"/>
    </xf>
    <xf numFmtId="0" fontId="29" fillId="8" borderId="31" xfId="0" applyFont="1" applyFill="1" applyBorder="1" applyAlignment="1">
      <alignment horizontal="left" vertical="center" wrapText="1"/>
    </xf>
    <xf numFmtId="0" fontId="29" fillId="2" borderId="31" xfId="0" applyFont="1" applyFill="1" applyBorder="1" applyAlignment="1">
      <alignment horizontal="left" vertical="center" wrapText="1"/>
    </xf>
    <xf numFmtId="0" fontId="0" fillId="0" borderId="31" xfId="0" applyBorder="1" applyAlignment="1">
      <alignment horizontal="left" vertical="center" wrapText="1"/>
    </xf>
    <xf numFmtId="3" fontId="21" fillId="8" borderId="0" xfId="0" applyNumberFormat="1" applyFont="1" applyFill="1" applyBorder="1" applyAlignment="1">
      <alignment horizontal="center" vertical="center"/>
    </xf>
    <xf numFmtId="3" fontId="21" fillId="8" borderId="31" xfId="0" applyNumberFormat="1" applyFont="1" applyFill="1" applyBorder="1" applyAlignment="1">
      <alignment horizontal="center" vertical="center"/>
    </xf>
    <xf numFmtId="0" fontId="1" fillId="4" borderId="0" xfId="0" applyFont="1" applyFill="1" applyBorder="1" applyAlignment="1">
      <alignment wrapText="1"/>
    </xf>
    <xf numFmtId="0" fontId="0" fillId="0" borderId="0" xfId="0" applyAlignment="1">
      <alignment horizontal="left" vertical="center"/>
    </xf>
    <xf numFmtId="0" fontId="1" fillId="4" borderId="29" xfId="0" applyFont="1" applyFill="1" applyBorder="1" applyAlignment="1">
      <alignment horizontal="center"/>
    </xf>
    <xf numFmtId="0" fontId="1" fillId="4" borderId="29" xfId="0" applyFont="1" applyFill="1" applyBorder="1" applyAlignment="1">
      <alignment horizontal="center" vertical="top" wrapText="1"/>
    </xf>
    <xf numFmtId="0" fontId="15" fillId="5" borderId="0" xfId="0" applyFont="1" applyFill="1" applyBorder="1" applyAlignment="1">
      <alignment horizontal="center" vertical="center"/>
    </xf>
    <xf numFmtId="0" fontId="15" fillId="5" borderId="0" xfId="0" applyFont="1" applyFill="1" applyAlignment="1">
      <alignment horizontal="left" vertical="center"/>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25" fillId="4" borderId="0" xfId="0" applyFont="1" applyFill="1" applyBorder="1" applyAlignment="1">
      <alignment vertical="center"/>
    </xf>
    <xf numFmtId="0" fontId="1" fillId="5" borderId="1" xfId="0" applyFont="1" applyFill="1" applyBorder="1" applyAlignment="1">
      <alignment horizontal="center"/>
    </xf>
    <xf numFmtId="0" fontId="1" fillId="5" borderId="28" xfId="0" applyFont="1" applyFill="1" applyBorder="1" applyAlignment="1">
      <alignment horizontal="center" vertical="center" wrapText="1"/>
    </xf>
    <xf numFmtId="0" fontId="0" fillId="0" borderId="28" xfId="0" applyBorder="1" applyAlignment="1">
      <alignment horizontal="center" vertical="center" wrapText="1"/>
    </xf>
    <xf numFmtId="0" fontId="1" fillId="5" borderId="29" xfId="0" applyFont="1" applyFill="1" applyBorder="1" applyAlignment="1">
      <alignment horizontal="center" vertical="center" wrapText="1"/>
    </xf>
    <xf numFmtId="0" fontId="0" fillId="0" borderId="29" xfId="0" applyBorder="1" applyAlignment="1">
      <alignment horizontal="center" vertical="center" wrapText="1"/>
    </xf>
    <xf numFmtId="0" fontId="1" fillId="5" borderId="29"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0" xfId="0" applyFont="1" applyFill="1" applyBorder="1" applyAlignment="1">
      <alignment horizontal="center" vertical="center"/>
    </xf>
    <xf numFmtId="0" fontId="19" fillId="7" borderId="0" xfId="0" applyFont="1" applyFill="1" applyBorder="1" applyAlignment="1">
      <alignment horizontal="center" vertical="center"/>
    </xf>
    <xf numFmtId="0" fontId="1" fillId="4" borderId="0" xfId="0" applyFont="1" applyFill="1" applyBorder="1" applyAlignment="1">
      <alignment horizontal="left" vertical="center"/>
    </xf>
    <xf numFmtId="0" fontId="15" fillId="4" borderId="1" xfId="0" applyFont="1" applyFill="1" applyBorder="1" applyAlignment="1">
      <alignment horizontal="center" vertical="top"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xf>
  </cellXfs>
  <cellStyles count="4">
    <cellStyle name="Hyperlink" xfId="2" builtinId="8"/>
    <cellStyle name="Normal" xfId="0" builtinId="0"/>
    <cellStyle name="Normal 2" xfId="1"/>
    <cellStyle name="Percent" xfId="3" builtinId="5"/>
  </cellStyles>
  <dxfs count="134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rgb="FF92D050"/>
      </font>
    </dxf>
    <dxf>
      <font>
        <color rgb="FFC00000"/>
      </font>
    </dxf>
    <dxf>
      <fill>
        <patternFill>
          <bgColor theme="0" tint="-4.9989318521683403E-2"/>
        </patternFill>
      </fill>
    </dxf>
    <dxf>
      <font>
        <color theme="0" tint="-4.9989318521683403E-2"/>
      </font>
    </dxf>
    <dxf>
      <font>
        <color theme="0"/>
      </font>
    </dxf>
    <dxf>
      <font>
        <color rgb="FF92D050"/>
      </font>
    </dxf>
    <dxf>
      <font>
        <color rgb="FF9C0006"/>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ont>
        <color rgb="FF92D050"/>
      </font>
    </dxf>
    <dxf>
      <font>
        <color rgb="FF9C0006"/>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ill>
        <patternFill>
          <bgColor theme="0" tint="-4.9989318521683403E-2"/>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theme="0"/>
      </font>
    </dxf>
    <dxf>
      <font>
        <color theme="0" tint="-0.14996795556505021"/>
      </font>
    </dxf>
    <dxf>
      <fill>
        <patternFill>
          <bgColor theme="0" tint="-0.14996795556505021"/>
        </patternFill>
      </fill>
    </dxf>
    <dxf>
      <font>
        <color theme="0"/>
      </font>
    </dxf>
    <dxf>
      <font>
        <color theme="0" tint="-0.14996795556505021"/>
      </font>
    </dxf>
    <dxf>
      <fill>
        <patternFill>
          <bgColor theme="0" tint="-0.14996795556505021"/>
        </patternFill>
      </fill>
    </dxf>
    <dxf>
      <font>
        <color rgb="FF92D050"/>
      </font>
    </dxf>
    <dxf>
      <font>
        <color rgb="FFC00000"/>
      </font>
    </dxf>
    <dxf>
      <font>
        <color theme="0"/>
      </font>
    </dxf>
    <dxf>
      <font>
        <color theme="0" tint="-0.14996795556505021"/>
      </font>
    </dxf>
    <dxf>
      <fill>
        <patternFill>
          <bgColor theme="0" tint="-0.14996795556505021"/>
        </patternFill>
      </fill>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ont>
        <color rgb="FF92D050"/>
      </font>
    </dxf>
    <dxf>
      <font>
        <color rgb="FFC00000"/>
      </font>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9900"/>
      <color rgb="FF076A92"/>
      <color rgb="FFC06C7C"/>
      <color rgb="FFFFFF66"/>
      <color rgb="FFBCEAFC"/>
      <color rgb="FFA0E0FA"/>
      <color rgb="FFFFFF99"/>
      <color rgb="FF595959"/>
      <color rgb="FFDBE5F1"/>
      <color rgb="FF14A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CL'!$A$52</c:f>
          <c:strCache>
            <c:ptCount val="1"/>
            <c:pt idx="0">
              <c:v>Endeavour Residential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CL'!$C$52</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CL'!$D$52:$J$52</c:f>
              <c:numCache>
                <c:formatCode>#,##0</c:formatCode>
                <c:ptCount val="7"/>
                <c:pt idx="0">
                  <c:v>0</c:v>
                </c:pt>
                <c:pt idx="1">
                  <c:v>1711</c:v>
                </c:pt>
                <c:pt idx="2">
                  <c:v>1592.91588</c:v>
                </c:pt>
                <c:pt idx="3">
                  <c:v>1592.91588</c:v>
                </c:pt>
                <c:pt idx="4">
                  <c:v>1603.4263800000001</c:v>
                </c:pt>
                <c:pt idx="5">
                  <c:v>1609.4382646500001</c:v>
                </c:pt>
                <c:pt idx="6">
                  <c:v>0</c:v>
                </c:pt>
              </c:numCache>
            </c:numRef>
          </c:val>
          <c:extLst>
            <c:ext xmlns:c16="http://schemas.microsoft.com/office/drawing/2014/chart" uri="{C3380CC4-5D6E-409C-BE32-E72D297353CC}">
              <c16:uniqueId val="{00000000-10F9-4E69-A6C0-4875FB7503E8}"/>
            </c:ext>
          </c:extLst>
        </c:ser>
        <c:ser>
          <c:idx val="1"/>
          <c:order val="1"/>
          <c:tx>
            <c:strRef>
              <c:f>'Res wo CL'!$C$53</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CL'!$K$53</c:f>
                  <c:strCache>
                    <c:ptCount val="1"/>
                    <c:pt idx="0">
                      <c:v>+11.3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{B82EBF60-F8CF-4BA3-BBB0-8471474292C2}</c15:txfldGUID>
                      <c15:f>'Res wo CL'!$K$53</c15:f>
                      <c15:dlblFieldTableCache>
                        <c:ptCount val="1"/>
                        <c:pt idx="0">
                          <c:v>+11.3</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CL'!$D$53:$J$53</c:f>
              <c:numCache>
                <c:formatCode>#,##0.0</c:formatCode>
                <c:ptCount val="7"/>
                <c:pt idx="0" formatCode="#,##0">
                  <c:v>611.50199000000009</c:v>
                </c:pt>
                <c:pt idx="1">
                  <c:v>11.275879999999916</c:v>
                </c:pt>
                <c:pt idx="6" formatCode="#,##0">
                  <c:v>622.77787000000001</c:v>
                </c:pt>
              </c:numCache>
            </c:numRef>
          </c:val>
          <c:extLst>
            <c:ext xmlns:c16="http://schemas.microsoft.com/office/drawing/2014/chart" uri="{C3380CC4-5D6E-409C-BE32-E72D297353CC}">
              <c16:uniqueId val="{00000001-10F9-4E69-A6C0-4875FB7503E8}"/>
            </c:ext>
          </c:extLst>
        </c:ser>
        <c:ser>
          <c:idx val="2"/>
          <c:order val="2"/>
          <c:tx>
            <c:strRef>
              <c:f>'Res wo CL'!$C$54</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CL'!$K$54</c:f>
                  <c:strCache>
                    <c:ptCount val="1"/>
                    <c:pt idx="0">
                      <c:v>-129.4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{D899E2D3-A412-418A-8EC0-C43BE872FE35}</c15:txfldGUID>
                      <c15:f>'Res wo CL'!$K$54</c15:f>
                      <c15:dlblFieldTableCache>
                        <c:ptCount val="1"/>
                        <c:pt idx="0">
                          <c:v>-129.4</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CL'!$D$54:$J$54</c:f>
              <c:numCache>
                <c:formatCode>#,##0.0</c:formatCode>
                <c:ptCount val="7"/>
                <c:pt idx="0" formatCode="#,##0">
                  <c:v>605.13530000000003</c:v>
                </c:pt>
                <c:pt idx="2">
                  <c:v>129.36000000000001</c:v>
                </c:pt>
                <c:pt idx="6" formatCode="#,##0">
                  <c:v>475.77530000000002</c:v>
                </c:pt>
              </c:numCache>
            </c:numRef>
          </c:val>
          <c:extLst>
            <c:ext xmlns:c16="http://schemas.microsoft.com/office/drawing/2014/chart" uri="{C3380CC4-5D6E-409C-BE32-E72D297353CC}">
              <c16:uniqueId val="{00000002-10F9-4E69-A6C0-4875FB7503E8}"/>
            </c:ext>
          </c:extLst>
        </c:ser>
        <c:ser>
          <c:idx val="3"/>
          <c:order val="3"/>
          <c:tx>
            <c:strRef>
              <c:f>'Res wo CL'!$C$55</c:f>
              <c:strCache>
                <c:ptCount val="1"/>
                <c:pt idx="0">
                  <c:v>Environmental cost</c:v>
                </c:pt>
              </c:strCache>
            </c:strRef>
          </c:tx>
          <c:spPr>
            <a:solidFill>
              <a:srgbClr val="92D050"/>
            </a:solidFill>
            <a:ln>
              <a:noFill/>
            </a:ln>
            <a:effectLst/>
          </c:spPr>
          <c:invertIfNegative val="0"/>
          <c:dLbls>
            <c:dLbl>
              <c:idx val="3"/>
              <c:layout/>
              <c:tx>
                <c:strRef>
                  <c:f>'Res wo CL'!$K$55</c:f>
                  <c:strCache>
                    <c:ptCount val="1"/>
                    <c:pt idx="0">
                      <c:v>+10.5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{69999363-18D5-4821-82E1-6E79C0C147B2}</c15:txfldGUID>
                      <c15:f>'Res wo CL'!$K$55</c15:f>
                      <c15:dlblFieldTableCache>
                        <c:ptCount val="1"/>
                        <c:pt idx="0">
                          <c:v>+10.5</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CL'!$D$55:$J$55</c:f>
              <c:numCache>
                <c:formatCode>#,##0.0</c:formatCode>
                <c:ptCount val="7"/>
                <c:pt idx="0" formatCode="#,##0">
                  <c:v>93.570399999999992</c:v>
                </c:pt>
                <c:pt idx="3">
                  <c:v>10.510500000000008</c:v>
                </c:pt>
                <c:pt idx="6" formatCode="#,##0">
                  <c:v>104.0809</c:v>
                </c:pt>
              </c:numCache>
            </c:numRef>
          </c:val>
          <c:extLst>
            <c:ext xmlns:c16="http://schemas.microsoft.com/office/drawing/2014/chart" uri="{C3380CC4-5D6E-409C-BE32-E72D297353CC}">
              <c16:uniqueId val="{00000003-10F9-4E69-A6C0-4875FB7503E8}"/>
            </c:ext>
          </c:extLst>
        </c:ser>
        <c:ser>
          <c:idx val="4"/>
          <c:order val="4"/>
          <c:tx>
            <c:strRef>
              <c:f>'Res wo CL'!$C$56</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CL'!$K$56</c:f>
                  <c:strCache>
                    <c:ptCount val="1"/>
                    <c:pt idx="0">
                      <c:v>+6.0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{EFEB0D8C-0B0E-4A7D-B7EA-D69004CDC3C4}</c15:txfldGUID>
                      <c15:f>'Res wo CL'!$K$56</c15:f>
                      <c15:dlblFieldTableCache>
                        <c:ptCount val="1"/>
                        <c:pt idx="0">
                          <c:v>+6.0</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CL'!$D$56:$J$56</c:f>
              <c:numCache>
                <c:formatCode>#,##0.0</c:formatCode>
                <c:ptCount val="7"/>
                <c:pt idx="0" formatCode="#,##0">
                  <c:v>400.79230999999982</c:v>
                </c:pt>
                <c:pt idx="4">
                  <c:v>6.0118846499999563</c:v>
                </c:pt>
                <c:pt idx="6" formatCode="#,##0">
                  <c:v>406.80419464999977</c:v>
                </c:pt>
              </c:numCache>
            </c:numRef>
          </c:val>
          <c:extLst>
            <c:ext xmlns:c16="http://schemas.microsoft.com/office/drawing/2014/chart" uri="{C3380CC4-5D6E-409C-BE32-E72D297353CC}">
              <c16:uniqueId val="{00000004-10F9-4E69-A6C0-4875FB7503E8}"/>
            </c:ext>
          </c:extLst>
        </c:ser>
        <c:ser>
          <c:idx val="6"/>
          <c:order val="5"/>
          <c:tx>
            <c:strRef>
              <c:f>'Res wo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CL'!$D$58:$J$58</c:f>
              <c:numCache>
                <c:formatCode>#,##0</c:formatCode>
                <c:ptCount val="7"/>
                <c:pt idx="0">
                  <c:v>1711</c:v>
                </c:pt>
                <c:pt idx="6">
                  <c:v>1609.4382646499998</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9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CL'!$A$59</c:f>
          <c:strCache>
            <c:ptCount val="1"/>
            <c:pt idx="0">
              <c:v>Essential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CL'!$C$59</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CL'!$D$59:$J$59</c:f>
              <c:numCache>
                <c:formatCode>#,##0</c:formatCode>
                <c:ptCount val="7"/>
                <c:pt idx="0">
                  <c:v>0</c:v>
                </c:pt>
                <c:pt idx="1">
                  <c:v>1960</c:v>
                </c:pt>
                <c:pt idx="2">
                  <c:v>1891.6545799999999</c:v>
                </c:pt>
                <c:pt idx="3">
                  <c:v>1891.6545799999999</c:v>
                </c:pt>
                <c:pt idx="4">
                  <c:v>1900.7119799999998</c:v>
                </c:pt>
                <c:pt idx="5">
                  <c:v>1907.3989148999999</c:v>
                </c:pt>
                <c:pt idx="6">
                  <c:v>0</c:v>
                </c:pt>
              </c:numCache>
            </c:numRef>
          </c:val>
          <c:extLst>
            <c:ext xmlns:c16="http://schemas.microsoft.com/office/drawing/2014/chart" uri="{C3380CC4-5D6E-409C-BE32-E72D297353CC}">
              <c16:uniqueId val="{00000000-10F9-4E69-A6C0-4875FB7503E8}"/>
            </c:ext>
          </c:extLst>
        </c:ser>
        <c:ser>
          <c:idx val="1"/>
          <c:order val="1"/>
          <c:tx>
            <c:strRef>
              <c:f>'Res wo CL'!$C$60</c:f>
              <c:strCache>
                <c:ptCount val="1"/>
                <c:pt idx="0">
                  <c:v>Network cost</c:v>
                </c:pt>
              </c:strCache>
            </c:strRef>
          </c:tx>
          <c:spPr>
            <a:solidFill>
              <a:schemeClr val="tx2">
                <a:lumMod val="40000"/>
                <a:lumOff val="60000"/>
              </a:schemeClr>
            </a:solidFill>
            <a:ln>
              <a:noFill/>
            </a:ln>
            <a:effectLst/>
          </c:spPr>
          <c:invertIfNegative val="0"/>
          <c:dLbls>
            <c:dLbl>
              <c:idx val="1"/>
              <c:tx>
                <c:strRef>
                  <c:f>'Res wo CL'!$K$60</c:f>
                  <c:strCache>
                    <c:ptCount val="1"/>
                    <c:pt idx="0">
                      <c:v>+48.8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{809BBFEA-FE26-44C6-B44E-7C497A4ACA1A}</c15:txfldGUID>
                      <c15:f>'Res wo CL'!$K$60</c15:f>
                      <c15:dlblFieldTableCache>
                        <c:ptCount val="1"/>
                        <c:pt idx="0">
                          <c:v>+48.8</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CL'!$D$60:$J$60</c:f>
              <c:numCache>
                <c:formatCode>#,##0.0</c:formatCode>
                <c:ptCount val="7"/>
                <c:pt idx="0" formatCode="#,##0">
                  <c:v>903.20934000000011</c:v>
                </c:pt>
                <c:pt idx="1">
                  <c:v>48.844179999999824</c:v>
                </c:pt>
                <c:pt idx="6" formatCode="#,##0">
                  <c:v>952.05351999999993</c:v>
                </c:pt>
              </c:numCache>
            </c:numRef>
          </c:val>
          <c:extLst>
            <c:ext xmlns:c16="http://schemas.microsoft.com/office/drawing/2014/chart" uri="{C3380CC4-5D6E-409C-BE32-E72D297353CC}">
              <c16:uniqueId val="{00000001-10F9-4E69-A6C0-4875FB7503E8}"/>
            </c:ext>
          </c:extLst>
        </c:ser>
        <c:ser>
          <c:idx val="2"/>
          <c:order val="2"/>
          <c:tx>
            <c:strRef>
              <c:f>'Res wo CL'!$C$61</c:f>
              <c:strCache>
                <c:ptCount val="1"/>
                <c:pt idx="0">
                  <c:v>Wholesale cost</c:v>
                </c:pt>
              </c:strCache>
            </c:strRef>
          </c:tx>
          <c:spPr>
            <a:solidFill>
              <a:schemeClr val="accent2">
                <a:lumMod val="60000"/>
                <a:lumOff val="40000"/>
              </a:schemeClr>
            </a:solidFill>
            <a:ln>
              <a:noFill/>
            </a:ln>
            <a:effectLst/>
          </c:spPr>
          <c:invertIfNegative val="0"/>
          <c:dLbls>
            <c:dLbl>
              <c:idx val="2"/>
              <c:tx>
                <c:strRef>
                  <c:f>'Res wo CL'!$K$61</c:f>
                  <c:strCache>
                    <c:ptCount val="1"/>
                    <c:pt idx="0">
                      <c:v>-117.2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{E8F2437D-1385-4E74-B93B-A7FD5D53BC80}</c15:txfldGUID>
                      <c15:f>'Res wo CL'!$K$61</c15:f>
                      <c15:dlblFieldTableCache>
                        <c:ptCount val="1"/>
                        <c:pt idx="0">
                          <c:v>-117.2</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CL'!$D$61:$J$61</c:f>
              <c:numCache>
                <c:formatCode>#,##0.0</c:formatCode>
                <c:ptCount val="7"/>
                <c:pt idx="0" formatCode="#,##0">
                  <c:v>523.71</c:v>
                </c:pt>
                <c:pt idx="2">
                  <c:v>117.18960000000004</c:v>
                </c:pt>
                <c:pt idx="6" formatCode="#,##0">
                  <c:v>406.5204</c:v>
                </c:pt>
              </c:numCache>
            </c:numRef>
          </c:val>
          <c:extLst>
            <c:ext xmlns:c16="http://schemas.microsoft.com/office/drawing/2014/chart" uri="{C3380CC4-5D6E-409C-BE32-E72D297353CC}">
              <c16:uniqueId val="{00000002-10F9-4E69-A6C0-4875FB7503E8}"/>
            </c:ext>
          </c:extLst>
        </c:ser>
        <c:ser>
          <c:idx val="3"/>
          <c:order val="3"/>
          <c:tx>
            <c:strRef>
              <c:f>'Res wo CL'!$C$62</c:f>
              <c:strCache>
                <c:ptCount val="1"/>
                <c:pt idx="0">
                  <c:v>Environmental cost</c:v>
                </c:pt>
              </c:strCache>
            </c:strRef>
          </c:tx>
          <c:spPr>
            <a:solidFill>
              <a:srgbClr val="92D050"/>
            </a:solidFill>
            <a:ln>
              <a:noFill/>
            </a:ln>
            <a:effectLst/>
          </c:spPr>
          <c:invertIfNegative val="0"/>
          <c:dLbls>
            <c:dLbl>
              <c:idx val="3"/>
              <c:tx>
                <c:strRef>
                  <c:f>'Res wo CL'!$K$62</c:f>
                  <c:strCache>
                    <c:ptCount val="1"/>
                    <c:pt idx="0">
                      <c:v>+9.1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{BA82B6C5-67AD-45E1-9B0C-8E08EA23C489}</c15:txfldGUID>
                      <c15:f>'Res wo CL'!$K$62</c15:f>
                      <c15:dlblFieldTableCache>
                        <c:ptCount val="1"/>
                        <c:pt idx="0">
                          <c:v>+9.1</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CL'!$D$62:$J$62</c:f>
              <c:numCache>
                <c:formatCode>#,##0.0</c:formatCode>
                <c:ptCount val="7"/>
                <c:pt idx="0" formatCode="#,##0">
                  <c:v>87.284999999999997</c:v>
                </c:pt>
                <c:pt idx="3">
                  <c:v>9.0574000000000012</c:v>
                </c:pt>
                <c:pt idx="6" formatCode="#,##0">
                  <c:v>96.342399999999998</c:v>
                </c:pt>
              </c:numCache>
            </c:numRef>
          </c:val>
          <c:extLst>
            <c:ext xmlns:c16="http://schemas.microsoft.com/office/drawing/2014/chart" uri="{C3380CC4-5D6E-409C-BE32-E72D297353CC}">
              <c16:uniqueId val="{00000003-10F9-4E69-A6C0-4875FB7503E8}"/>
            </c:ext>
          </c:extLst>
        </c:ser>
        <c:ser>
          <c:idx val="4"/>
          <c:order val="4"/>
          <c:tx>
            <c:strRef>
              <c:f>'Res wo CL'!$C$63</c:f>
              <c:strCache>
                <c:ptCount val="1"/>
                <c:pt idx="0">
                  <c:v>Residual cost</c:v>
                </c:pt>
              </c:strCache>
            </c:strRef>
          </c:tx>
          <c:spPr>
            <a:solidFill>
              <a:schemeClr val="accent6">
                <a:lumMod val="20000"/>
                <a:lumOff val="80000"/>
              </a:schemeClr>
            </a:solidFill>
            <a:ln>
              <a:noFill/>
            </a:ln>
            <a:effectLst/>
          </c:spPr>
          <c:invertIfNegative val="0"/>
          <c:dLbls>
            <c:dLbl>
              <c:idx val="4"/>
              <c:tx>
                <c:strRef>
                  <c:f>'Res wo CL'!$K$63</c:f>
                  <c:strCache>
                    <c:ptCount val="1"/>
                    <c:pt idx="0">
                      <c:v>+6.7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{1654BB3B-4E35-4C05-A67C-7AA3969B902F}</c15:txfldGUID>
                      <c15:f>'Res wo CL'!$K$63</c15:f>
                      <c15:dlblFieldTableCache>
                        <c:ptCount val="1"/>
                        <c:pt idx="0">
                          <c:v>+6.7</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CL'!$D$63:$J$63</c:f>
              <c:numCache>
                <c:formatCode>#,##0.0</c:formatCode>
                <c:ptCount val="7"/>
                <c:pt idx="0" formatCode="#,##0">
                  <c:v>445.79565999999977</c:v>
                </c:pt>
                <c:pt idx="4">
                  <c:v>6.6869349000000966</c:v>
                </c:pt>
                <c:pt idx="6" formatCode="#,##0">
                  <c:v>452.48259489999987</c:v>
                </c:pt>
              </c:numCache>
            </c:numRef>
          </c:val>
          <c:extLst>
            <c:ext xmlns:c16="http://schemas.microsoft.com/office/drawing/2014/chart" uri="{C3380CC4-5D6E-409C-BE32-E72D297353CC}">
              <c16:uniqueId val="{00000004-10F9-4E69-A6C0-4875FB7503E8}"/>
            </c:ext>
          </c:extLst>
        </c:ser>
        <c:ser>
          <c:idx val="6"/>
          <c:order val="5"/>
          <c:tx>
            <c:strRef>
              <c:f>'Res wo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CL'!$D$65:$J$65</c:f>
              <c:numCache>
                <c:formatCode>#,##0</c:formatCode>
                <c:ptCount val="7"/>
                <c:pt idx="0">
                  <c:v>1960</c:v>
                </c:pt>
                <c:pt idx="6">
                  <c:v>1907.3989148999997</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CL'!$A$66</c:f>
          <c:strCache>
            <c:ptCount val="1"/>
            <c:pt idx="0">
              <c:v>Energex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CL'!$C$66</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CL'!$D$66:$J$66</c:f>
              <c:numCache>
                <c:formatCode>#,##0</c:formatCode>
                <c:ptCount val="7"/>
                <c:pt idx="0">
                  <c:v>0</c:v>
                </c:pt>
                <c:pt idx="1">
                  <c:v>1508</c:v>
                </c:pt>
                <c:pt idx="2">
                  <c:v>1441.991035</c:v>
                </c:pt>
                <c:pt idx="3">
                  <c:v>1441.991035</c:v>
                </c:pt>
                <c:pt idx="4">
                  <c:v>1450.3400349999999</c:v>
                </c:pt>
                <c:pt idx="5">
                  <c:v>1455.0536484250001</c:v>
                </c:pt>
                <c:pt idx="6">
                  <c:v>0</c:v>
                </c:pt>
              </c:numCache>
            </c:numRef>
          </c:val>
          <c:extLst>
            <c:ext xmlns:c16="http://schemas.microsoft.com/office/drawing/2014/chart" uri="{C3380CC4-5D6E-409C-BE32-E72D297353CC}">
              <c16:uniqueId val="{00000000-10F9-4E69-A6C0-4875FB7503E8}"/>
            </c:ext>
          </c:extLst>
        </c:ser>
        <c:ser>
          <c:idx val="1"/>
          <c:order val="1"/>
          <c:tx>
            <c:strRef>
              <c:f>'Res wo CL'!$C$67</c:f>
              <c:strCache>
                <c:ptCount val="1"/>
                <c:pt idx="0">
                  <c:v>Network cost</c:v>
                </c:pt>
              </c:strCache>
            </c:strRef>
          </c:tx>
          <c:spPr>
            <a:solidFill>
              <a:schemeClr val="tx2">
                <a:lumMod val="40000"/>
                <a:lumOff val="60000"/>
              </a:schemeClr>
            </a:solidFill>
            <a:ln>
              <a:noFill/>
            </a:ln>
            <a:effectLst/>
          </c:spPr>
          <c:invertIfNegative val="0"/>
          <c:dLbls>
            <c:dLbl>
              <c:idx val="1"/>
              <c:tx>
                <c:strRef>
                  <c:f>'Res wo CL'!$K$67</c:f>
                  <c:strCache>
                    <c:ptCount val="1"/>
                    <c:pt idx="0">
                      <c:v>+22.3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{839A3B4D-3A52-421E-92E0-BD0DF0EFB3B9}</c15:txfldGUID>
                      <c15:f>'Res wo CL'!$K$67</c15:f>
                      <c15:dlblFieldTableCache>
                        <c:ptCount val="1"/>
                        <c:pt idx="0">
                          <c:v>+22.3</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CL'!$D$67:$J$67</c:f>
              <c:numCache>
                <c:formatCode>#,##0.0</c:formatCode>
                <c:ptCount val="7"/>
                <c:pt idx="0" formatCode="#,##0">
                  <c:v>654.41370500000005</c:v>
                </c:pt>
                <c:pt idx="1">
                  <c:v>22.338635000000181</c:v>
                </c:pt>
                <c:pt idx="6" formatCode="#,##0">
                  <c:v>676.75234000000023</c:v>
                </c:pt>
              </c:numCache>
            </c:numRef>
          </c:val>
          <c:extLst>
            <c:ext xmlns:c16="http://schemas.microsoft.com/office/drawing/2014/chart" uri="{C3380CC4-5D6E-409C-BE32-E72D297353CC}">
              <c16:uniqueId val="{00000001-10F9-4E69-A6C0-4875FB7503E8}"/>
            </c:ext>
          </c:extLst>
        </c:ser>
        <c:ser>
          <c:idx val="2"/>
          <c:order val="2"/>
          <c:tx>
            <c:strRef>
              <c:f>'Res wo CL'!$C$68</c:f>
              <c:strCache>
                <c:ptCount val="1"/>
                <c:pt idx="0">
                  <c:v>Wholesale cost</c:v>
                </c:pt>
              </c:strCache>
            </c:strRef>
          </c:tx>
          <c:spPr>
            <a:solidFill>
              <a:schemeClr val="accent2">
                <a:lumMod val="60000"/>
                <a:lumOff val="40000"/>
              </a:schemeClr>
            </a:solidFill>
            <a:ln>
              <a:noFill/>
            </a:ln>
            <a:effectLst/>
          </c:spPr>
          <c:invertIfNegative val="0"/>
          <c:dLbls>
            <c:dLbl>
              <c:idx val="2"/>
              <c:tx>
                <c:strRef>
                  <c:f>'Res wo CL'!$K$68</c:f>
                  <c:strCache>
                    <c:ptCount val="1"/>
                    <c:pt idx="0">
                      <c:v>-88.3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{DF6D1B63-9F91-4681-970C-CEC8248D061B}</c15:txfldGUID>
                      <c15:f>'Res wo CL'!$K$68</c15:f>
                      <c15:dlblFieldTableCache>
                        <c:ptCount val="1"/>
                        <c:pt idx="0">
                          <c:v>-88.3</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CL'!$D$68:$J$68</c:f>
              <c:numCache>
                <c:formatCode>#,##0.0</c:formatCode>
                <c:ptCount val="7"/>
                <c:pt idx="0" formatCode="#,##0">
                  <c:v>462.93939999999998</c:v>
                </c:pt>
                <c:pt idx="2">
                  <c:v>88.347599999999943</c:v>
                </c:pt>
                <c:pt idx="6" formatCode="#,##0">
                  <c:v>374.59180000000003</c:v>
                </c:pt>
              </c:numCache>
            </c:numRef>
          </c:val>
          <c:extLst>
            <c:ext xmlns:c16="http://schemas.microsoft.com/office/drawing/2014/chart" uri="{C3380CC4-5D6E-409C-BE32-E72D297353CC}">
              <c16:uniqueId val="{00000002-10F9-4E69-A6C0-4875FB7503E8}"/>
            </c:ext>
          </c:extLst>
        </c:ser>
        <c:ser>
          <c:idx val="3"/>
          <c:order val="3"/>
          <c:tx>
            <c:strRef>
              <c:f>'Res wo CL'!$C$69</c:f>
              <c:strCache>
                <c:ptCount val="1"/>
                <c:pt idx="0">
                  <c:v>Environmental cost</c:v>
                </c:pt>
              </c:strCache>
            </c:strRef>
          </c:tx>
          <c:spPr>
            <a:solidFill>
              <a:srgbClr val="92D050"/>
            </a:solidFill>
            <a:ln>
              <a:noFill/>
            </a:ln>
            <a:effectLst/>
          </c:spPr>
          <c:invertIfNegative val="0"/>
          <c:dLbls>
            <c:dLbl>
              <c:idx val="3"/>
              <c:tx>
                <c:strRef>
                  <c:f>'Res wo CL'!$K$69</c:f>
                  <c:strCache>
                    <c:ptCount val="1"/>
                    <c:pt idx="0">
                      <c:v>+8.3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{AA8B4DA5-7CE2-4124-BFCF-A819A803A3D4}</c15:txfldGUID>
                      <c15:f>'Res wo CL'!$K$69</c15:f>
                      <c15:dlblFieldTableCache>
                        <c:ptCount val="1"/>
                        <c:pt idx="0">
                          <c:v>+8.3</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CL'!$D$69:$J$69</c:f>
              <c:numCache>
                <c:formatCode>#,##0.0</c:formatCode>
                <c:ptCount val="7"/>
                <c:pt idx="0" formatCode="#,##0">
                  <c:v>76.405999999999992</c:v>
                </c:pt>
                <c:pt idx="3">
                  <c:v>8.3490000000000038</c:v>
                </c:pt>
                <c:pt idx="6" formatCode="#,##0">
                  <c:v>84.754999999999995</c:v>
                </c:pt>
              </c:numCache>
            </c:numRef>
          </c:val>
          <c:extLst>
            <c:ext xmlns:c16="http://schemas.microsoft.com/office/drawing/2014/chart" uri="{C3380CC4-5D6E-409C-BE32-E72D297353CC}">
              <c16:uniqueId val="{00000003-10F9-4E69-A6C0-4875FB7503E8}"/>
            </c:ext>
          </c:extLst>
        </c:ser>
        <c:ser>
          <c:idx val="4"/>
          <c:order val="4"/>
          <c:tx>
            <c:strRef>
              <c:f>'Res wo CL'!$C$70</c:f>
              <c:strCache>
                <c:ptCount val="1"/>
                <c:pt idx="0">
                  <c:v>Residual cost</c:v>
                </c:pt>
              </c:strCache>
            </c:strRef>
          </c:tx>
          <c:spPr>
            <a:solidFill>
              <a:schemeClr val="accent6">
                <a:lumMod val="20000"/>
                <a:lumOff val="80000"/>
              </a:schemeClr>
            </a:solidFill>
            <a:ln>
              <a:noFill/>
            </a:ln>
            <a:effectLst/>
          </c:spPr>
          <c:invertIfNegative val="0"/>
          <c:dLbls>
            <c:dLbl>
              <c:idx val="4"/>
              <c:tx>
                <c:strRef>
                  <c:f>'Res wo CL'!$K$70</c:f>
                  <c:strCache>
                    <c:ptCount val="1"/>
                    <c:pt idx="0">
                      <c:v>+4.7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{D9ED7ED4-0CB3-4835-85FA-039997437D47}</c15:txfldGUID>
                      <c15:f>'Res wo CL'!$K$70</c15:f>
                      <c15:dlblFieldTableCache>
                        <c:ptCount val="1"/>
                        <c:pt idx="0">
                          <c:v>+4.7</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CL'!$D$70:$J$70</c:f>
              <c:numCache>
                <c:formatCode>#,##0.0</c:formatCode>
                <c:ptCount val="7"/>
                <c:pt idx="0" formatCode="#,##0">
                  <c:v>314.24089499999991</c:v>
                </c:pt>
                <c:pt idx="4">
                  <c:v>4.713613425000176</c:v>
                </c:pt>
                <c:pt idx="6" formatCode="#,##0">
                  <c:v>318.95450842500009</c:v>
                </c:pt>
              </c:numCache>
            </c:numRef>
          </c:val>
          <c:extLst>
            <c:ext xmlns:c16="http://schemas.microsoft.com/office/drawing/2014/chart" uri="{C3380CC4-5D6E-409C-BE32-E72D297353CC}">
              <c16:uniqueId val="{00000004-10F9-4E69-A6C0-4875FB7503E8}"/>
            </c:ext>
          </c:extLst>
        </c:ser>
        <c:ser>
          <c:idx val="6"/>
          <c:order val="5"/>
          <c:tx>
            <c:strRef>
              <c:f>'Res wo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CL'!$D$72:$J$72</c:f>
              <c:numCache>
                <c:formatCode>#,##0</c:formatCode>
                <c:ptCount val="7"/>
                <c:pt idx="0">
                  <c:v>1508</c:v>
                </c:pt>
                <c:pt idx="6">
                  <c:v>1455.0536484250003</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7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wo CL'!$A$73</c:f>
          <c:strCache>
            <c:ptCount val="1"/>
            <c:pt idx="0">
              <c:v>SAPN Residential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CL'!$C$73</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CL'!$D$73:$J$73</c:f>
              <c:numCache>
                <c:formatCode>#,##0</c:formatCode>
                <c:ptCount val="7"/>
                <c:pt idx="0">
                  <c:v>0</c:v>
                </c:pt>
                <c:pt idx="1">
                  <c:v>1832</c:v>
                </c:pt>
                <c:pt idx="2">
                  <c:v>1703.9578000000001</c:v>
                </c:pt>
                <c:pt idx="3">
                  <c:v>1703.9578000000001</c:v>
                </c:pt>
                <c:pt idx="4">
                  <c:v>1711.9658000000002</c:v>
                </c:pt>
                <c:pt idx="5">
                  <c:v>1716.1322900000005</c:v>
                </c:pt>
                <c:pt idx="6">
                  <c:v>0</c:v>
                </c:pt>
              </c:numCache>
            </c:numRef>
          </c:val>
          <c:extLst>
            <c:ext xmlns:c16="http://schemas.microsoft.com/office/drawing/2014/chart" uri="{C3380CC4-5D6E-409C-BE32-E72D297353CC}">
              <c16:uniqueId val="{00000000-10F9-4E69-A6C0-4875FB7503E8}"/>
            </c:ext>
          </c:extLst>
        </c:ser>
        <c:ser>
          <c:idx val="1"/>
          <c:order val="1"/>
          <c:tx>
            <c:strRef>
              <c:f>'Res wo CL'!$C$74</c:f>
              <c:strCache>
                <c:ptCount val="1"/>
                <c:pt idx="0">
                  <c:v>Network cost</c:v>
                </c:pt>
              </c:strCache>
            </c:strRef>
          </c:tx>
          <c:spPr>
            <a:solidFill>
              <a:schemeClr val="tx2">
                <a:lumMod val="40000"/>
                <a:lumOff val="60000"/>
              </a:schemeClr>
            </a:solidFill>
            <a:ln>
              <a:noFill/>
            </a:ln>
            <a:effectLst/>
          </c:spPr>
          <c:invertIfNegative val="0"/>
          <c:dLbls>
            <c:dLbl>
              <c:idx val="1"/>
              <c:tx>
                <c:strRef>
                  <c:f>'Res wo CL'!$K$74</c:f>
                  <c:strCache>
                    <c:ptCount val="1"/>
                    <c:pt idx="0">
                      <c:v>+24.4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{A37D5DE4-9688-40D3-9B19-7F86822FD3B5}</c15:txfldGUID>
                      <c15:f>'Res wo CL'!$K$74</c15:f>
                      <c15:dlblFieldTableCache>
                        <c:ptCount val="1"/>
                        <c:pt idx="0">
                          <c:v>+24.4</c:v>
                        </c:pt>
                      </c15:dlblFieldTableCache>
                    </c15:dlblFTEntry>
                  </c15:dlblFieldTable>
                  <c15:showDataLabelsRange val="0"/>
                </c:ext>
                <c:ext xmlns:c16="http://schemas.microsoft.com/office/drawing/2014/chart" uri="{C3380CC4-5D6E-409C-BE32-E72D297353CC}">
                  <c16:uniqueId val="{00000007-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CL'!$D$74:$J$74</c:f>
              <c:numCache>
                <c:formatCode>#,##0.0</c:formatCode>
                <c:ptCount val="7"/>
                <c:pt idx="0" formatCode="#,##0">
                  <c:v>794.39800000000002</c:v>
                </c:pt>
                <c:pt idx="1">
                  <c:v>24.417800000000057</c:v>
                </c:pt>
                <c:pt idx="6" formatCode="#,##0">
                  <c:v>818.81580000000008</c:v>
                </c:pt>
              </c:numCache>
            </c:numRef>
          </c:val>
          <c:extLst>
            <c:ext xmlns:c16="http://schemas.microsoft.com/office/drawing/2014/chart" uri="{C3380CC4-5D6E-409C-BE32-E72D297353CC}">
              <c16:uniqueId val="{00000001-10F9-4E69-A6C0-4875FB7503E8}"/>
            </c:ext>
          </c:extLst>
        </c:ser>
        <c:ser>
          <c:idx val="2"/>
          <c:order val="2"/>
          <c:tx>
            <c:strRef>
              <c:f>'Res wo CL'!$C$75</c:f>
              <c:strCache>
                <c:ptCount val="1"/>
                <c:pt idx="0">
                  <c:v>Wholesale cost</c:v>
                </c:pt>
              </c:strCache>
            </c:strRef>
          </c:tx>
          <c:spPr>
            <a:solidFill>
              <a:schemeClr val="accent2">
                <a:lumMod val="60000"/>
                <a:lumOff val="40000"/>
              </a:schemeClr>
            </a:solidFill>
            <a:ln>
              <a:noFill/>
            </a:ln>
            <a:effectLst/>
          </c:spPr>
          <c:invertIfNegative val="0"/>
          <c:dLbls>
            <c:dLbl>
              <c:idx val="2"/>
              <c:tx>
                <c:strRef>
                  <c:f>'Res wo CL'!$K$75</c:f>
                  <c:strCache>
                    <c:ptCount val="1"/>
                    <c:pt idx="0">
                      <c:v>-152.5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{20048390-89B3-46E8-B53D-0C5017E506C1}</c15:txfldGUID>
                      <c15:f>'Res wo CL'!$K$75</c15:f>
                      <c15:dlblFieldTableCache>
                        <c:ptCount val="1"/>
                        <c:pt idx="0">
                          <c:v>-152.5</c:v>
                        </c:pt>
                      </c15:dlblFieldTableCache>
                    </c15:dlblFTEntry>
                  </c15:dlblFieldTable>
                  <c15:showDataLabelsRange val="0"/>
                </c:ext>
                <c:ext xmlns:c16="http://schemas.microsoft.com/office/drawing/2014/chart" uri="{C3380CC4-5D6E-409C-BE32-E72D297353CC}">
                  <c16:uniqueId val="{00000008-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CL'!$D$75:$J$75</c:f>
              <c:numCache>
                <c:formatCode>#,##0.0</c:formatCode>
                <c:ptCount val="7"/>
                <c:pt idx="0" formatCode="#,##0">
                  <c:v>678.12800000000004</c:v>
                </c:pt>
                <c:pt idx="2">
                  <c:v>152.46000000000004</c:v>
                </c:pt>
                <c:pt idx="6" formatCode="#,##0">
                  <c:v>525.66800000000001</c:v>
                </c:pt>
              </c:numCache>
            </c:numRef>
          </c:val>
          <c:extLst>
            <c:ext xmlns:c16="http://schemas.microsoft.com/office/drawing/2014/chart" uri="{C3380CC4-5D6E-409C-BE32-E72D297353CC}">
              <c16:uniqueId val="{00000002-10F9-4E69-A6C0-4875FB7503E8}"/>
            </c:ext>
          </c:extLst>
        </c:ser>
        <c:ser>
          <c:idx val="3"/>
          <c:order val="3"/>
          <c:tx>
            <c:strRef>
              <c:f>'Res wo CL'!$C$76</c:f>
              <c:strCache>
                <c:ptCount val="1"/>
                <c:pt idx="0">
                  <c:v>Environmental cost</c:v>
                </c:pt>
              </c:strCache>
            </c:strRef>
          </c:tx>
          <c:spPr>
            <a:solidFill>
              <a:srgbClr val="92D050"/>
            </a:solidFill>
            <a:ln>
              <a:noFill/>
            </a:ln>
            <a:effectLst/>
          </c:spPr>
          <c:invertIfNegative val="0"/>
          <c:dLbls>
            <c:dLbl>
              <c:idx val="3"/>
              <c:tx>
                <c:strRef>
                  <c:f>'Res wo CL'!$K$76</c:f>
                  <c:strCache>
                    <c:ptCount val="1"/>
                    <c:pt idx="0">
                      <c:v>+8.0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{5002670E-6319-4589-884F-297D5114BE64}</c15:txfldGUID>
                      <c15:f>'Res wo CL'!$K$76</c15:f>
                      <c15:dlblFieldTableCache>
                        <c:ptCount val="1"/>
                        <c:pt idx="0">
                          <c:v>+8.0</c:v>
                        </c:pt>
                      </c15:dlblFieldTableCache>
                    </c15:dlblFTEntry>
                  </c15:dlblFieldTable>
                  <c15:showDataLabelsRange val="0"/>
                </c:ext>
                <c:ext xmlns:c16="http://schemas.microsoft.com/office/drawing/2014/chart" uri="{C3380CC4-5D6E-409C-BE32-E72D297353CC}">
                  <c16:uniqueId val="{00000009-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CL'!$D$76:$J$76</c:f>
              <c:numCache>
                <c:formatCode>#,##0.0</c:formatCode>
                <c:ptCount val="7"/>
                <c:pt idx="0" formatCode="#,##0">
                  <c:v>81.707999999999998</c:v>
                </c:pt>
                <c:pt idx="3">
                  <c:v>8.0080000000000098</c:v>
                </c:pt>
                <c:pt idx="6" formatCode="#,##0">
                  <c:v>89.716000000000008</c:v>
                </c:pt>
              </c:numCache>
            </c:numRef>
          </c:val>
          <c:extLst>
            <c:ext xmlns:c16="http://schemas.microsoft.com/office/drawing/2014/chart" uri="{C3380CC4-5D6E-409C-BE32-E72D297353CC}">
              <c16:uniqueId val="{00000003-10F9-4E69-A6C0-4875FB7503E8}"/>
            </c:ext>
          </c:extLst>
        </c:ser>
        <c:ser>
          <c:idx val="4"/>
          <c:order val="4"/>
          <c:tx>
            <c:strRef>
              <c:f>'Res wo CL'!$C$77</c:f>
              <c:strCache>
                <c:ptCount val="1"/>
                <c:pt idx="0">
                  <c:v>Residual cost</c:v>
                </c:pt>
              </c:strCache>
            </c:strRef>
          </c:tx>
          <c:spPr>
            <a:solidFill>
              <a:schemeClr val="accent6">
                <a:lumMod val="20000"/>
                <a:lumOff val="80000"/>
              </a:schemeClr>
            </a:solidFill>
            <a:ln>
              <a:noFill/>
            </a:ln>
            <a:effectLst/>
          </c:spPr>
          <c:invertIfNegative val="0"/>
          <c:dLbls>
            <c:dLbl>
              <c:idx val="4"/>
              <c:tx>
                <c:strRef>
                  <c:f>'Res wo CL'!$K$77</c:f>
                  <c:strCache>
                    <c:ptCount val="1"/>
                    <c:pt idx="0">
                      <c:v>+4.2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{A5E9F1E8-3F56-405D-99BF-D5B69184AEE6}</c15:txfldGUID>
                      <c15:f>'Res wo CL'!$K$77</c15:f>
                      <c15:dlblFieldTableCache>
                        <c:ptCount val="1"/>
                        <c:pt idx="0">
                          <c:v>+4.2</c:v>
                        </c:pt>
                      </c15:dlblFieldTableCache>
                    </c15:dlblFTEntry>
                  </c15:dlblFieldTable>
                  <c15:showDataLabelsRange val="0"/>
                </c:ext>
                <c:ext xmlns:c16="http://schemas.microsoft.com/office/drawing/2014/chart" uri="{C3380CC4-5D6E-409C-BE32-E72D297353CC}">
                  <c16:uniqueId val="{0000000A-10F9-4E69-A6C0-4875FB750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CL'!$D$77:$J$77</c:f>
              <c:numCache>
                <c:formatCode>#,##0.0</c:formatCode>
                <c:ptCount val="7"/>
                <c:pt idx="0" formatCode="#,##0">
                  <c:v>277.76599999999985</c:v>
                </c:pt>
                <c:pt idx="4">
                  <c:v>4.1664900000002945</c:v>
                </c:pt>
                <c:pt idx="6" formatCode="#,##0">
                  <c:v>281.93249000000014</c:v>
                </c:pt>
              </c:numCache>
            </c:numRef>
          </c:val>
          <c:extLst>
            <c:ext xmlns:c16="http://schemas.microsoft.com/office/drawing/2014/chart" uri="{C3380CC4-5D6E-409C-BE32-E72D297353CC}">
              <c16:uniqueId val="{00000004-10F9-4E69-A6C0-4875FB7503E8}"/>
            </c:ext>
          </c:extLst>
        </c:ser>
        <c:ser>
          <c:idx val="6"/>
          <c:order val="5"/>
          <c:tx>
            <c:strRef>
              <c:f>'Res wo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CL'!$D$79:$J$79</c:f>
              <c:numCache>
                <c:formatCode>#,##0</c:formatCode>
                <c:ptCount val="7"/>
                <c:pt idx="0">
                  <c:v>1832</c:v>
                </c:pt>
                <c:pt idx="6">
                  <c:v>1716.13229</c:v>
                </c:pt>
              </c:numCache>
            </c:numRef>
          </c:val>
          <c:extLst>
            <c:ext xmlns:c16="http://schemas.microsoft.com/office/drawing/2014/chart" uri="{C3380CC4-5D6E-409C-BE32-E72D297353CC}">
              <c16:uniqueId val="{00000006-10F9-4E69-A6C0-4875FB7503E8}"/>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Ausgrid Residential without CL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wo CL'!$C$45</c:f>
              <c:strCache>
                <c:ptCount val="1"/>
                <c:pt idx="0">
                  <c:v>Base</c:v>
                </c:pt>
              </c:strCache>
            </c:strRef>
          </c:tx>
          <c:spPr>
            <a:noFill/>
            <a:ln>
              <a:noFill/>
            </a:ln>
            <a:effectLst/>
          </c:spPr>
          <c:invertIfNegative val="0"/>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CL'!$D$45:$J$45</c:f>
              <c:numCache>
                <c:formatCode>#,##0</c:formatCode>
                <c:ptCount val="7"/>
                <c:pt idx="0">
                  <c:v>0</c:v>
                </c:pt>
                <c:pt idx="1">
                  <c:v>1462</c:v>
                </c:pt>
                <c:pt idx="2">
                  <c:v>1379.3386025</c:v>
                </c:pt>
                <c:pt idx="3">
                  <c:v>1379.3386025</c:v>
                </c:pt>
                <c:pt idx="4">
                  <c:v>1387.9186024999999</c:v>
                </c:pt>
                <c:pt idx="5">
                  <c:v>1393.4952402275001</c:v>
                </c:pt>
                <c:pt idx="6">
                  <c:v>0</c:v>
                </c:pt>
              </c:numCache>
            </c:numRef>
          </c:val>
          <c:extLst>
            <c:ext xmlns:c16="http://schemas.microsoft.com/office/drawing/2014/chart" uri="{C3380CC4-5D6E-409C-BE32-E72D297353CC}">
              <c16:uniqueId val="{00000000-628D-4496-88F5-CD2DC0185002}"/>
            </c:ext>
          </c:extLst>
        </c:ser>
        <c:ser>
          <c:idx val="1"/>
          <c:order val="1"/>
          <c:tx>
            <c:strRef>
              <c:f>'Res wo CL'!$C$46</c:f>
              <c:strCache>
                <c:ptCount val="1"/>
                <c:pt idx="0">
                  <c:v>Network cost</c:v>
                </c:pt>
              </c:strCache>
            </c:strRef>
          </c:tx>
          <c:spPr>
            <a:solidFill>
              <a:schemeClr val="tx2">
                <a:lumMod val="40000"/>
                <a:lumOff val="60000"/>
              </a:schemeClr>
            </a:solidFill>
            <a:ln>
              <a:noFill/>
            </a:ln>
            <a:effectLst/>
          </c:spPr>
          <c:invertIfNegative val="0"/>
          <c:dLbls>
            <c:dLbl>
              <c:idx val="1"/>
              <c:layout/>
              <c:tx>
                <c:strRef>
                  <c:f>'Res wo CL'!$K$53</c:f>
                  <c:strCache>
                    <c:ptCount val="1"/>
                    <c:pt idx="0">
                      <c:v>+11.3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{CF142A2A-E74A-424C-82BB-F0F02F40018E}</c15:txfldGUID>
                      <c15:f>'Res wo CL'!$K$53</c15:f>
                      <c15:dlblFieldTableCache>
                        <c:ptCount val="1"/>
                        <c:pt idx="0">
                          <c:v>+11.3</c:v>
                        </c:pt>
                      </c15:dlblFieldTableCache>
                    </c15:dlblFTEntry>
                  </c15:dlblFieldTable>
                  <c15:showDataLabelsRange val="0"/>
                </c:ext>
                <c:ext xmlns:c16="http://schemas.microsoft.com/office/drawing/2014/chart" uri="{C3380CC4-5D6E-409C-BE32-E72D297353CC}">
                  <c16:uniqueId val="{00000001-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CL'!$D$46:$J$46</c:f>
              <c:numCache>
                <c:formatCode>#,##0.0</c:formatCode>
                <c:ptCount val="7"/>
                <c:pt idx="0" formatCode="#,##0">
                  <c:v>540.11745150000002</c:v>
                </c:pt>
                <c:pt idx="1">
                  <c:v>16.523402499999975</c:v>
                </c:pt>
                <c:pt idx="6" formatCode="#,##0">
                  <c:v>556.64085399999999</c:v>
                </c:pt>
              </c:numCache>
            </c:numRef>
          </c:val>
          <c:extLst>
            <c:ext xmlns:c16="http://schemas.microsoft.com/office/drawing/2014/chart" uri="{C3380CC4-5D6E-409C-BE32-E72D297353CC}">
              <c16:uniqueId val="{00000002-628D-4496-88F5-CD2DC0185002}"/>
            </c:ext>
          </c:extLst>
        </c:ser>
        <c:ser>
          <c:idx val="2"/>
          <c:order val="2"/>
          <c:tx>
            <c:strRef>
              <c:f>'Res wo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wo CL'!$K$54</c:f>
                  <c:strCache>
                    <c:ptCount val="1"/>
                    <c:pt idx="0">
                      <c:v>-129.4</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{B0E9F3D4-8FF0-4340-8324-E3ED777D7FAB}</c15:txfldGUID>
                      <c15:f>'Res wo CL'!$K$54</c15:f>
                      <c15:dlblFieldTableCache>
                        <c:ptCount val="1"/>
                        <c:pt idx="0">
                          <c:v>-129.4</c:v>
                        </c:pt>
                      </c15:dlblFieldTableCache>
                    </c15:dlblFTEntry>
                  </c15:dlblFieldTable>
                  <c15:showDataLabelsRange val="0"/>
                </c:ext>
                <c:ext xmlns:c16="http://schemas.microsoft.com/office/drawing/2014/chart" uri="{C3380CC4-5D6E-409C-BE32-E72D297353CC}">
                  <c16:uniqueId val="{00000003-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CL'!$D$47:$J$47</c:f>
              <c:numCache>
                <c:formatCode>#,##0.0</c:formatCode>
                <c:ptCount val="7"/>
                <c:pt idx="0" formatCode="#,##0">
                  <c:v>476.44740000000002</c:v>
                </c:pt>
                <c:pt idx="2">
                  <c:v>99.184799999999996</c:v>
                </c:pt>
                <c:pt idx="6" formatCode="#,##0">
                  <c:v>377.26260000000002</c:v>
                </c:pt>
              </c:numCache>
            </c:numRef>
          </c:val>
          <c:extLst>
            <c:ext xmlns:c16="http://schemas.microsoft.com/office/drawing/2014/chart" uri="{C3380CC4-5D6E-409C-BE32-E72D297353CC}">
              <c16:uniqueId val="{00000004-628D-4496-88F5-CD2DC0185002}"/>
            </c:ext>
          </c:extLst>
        </c:ser>
        <c:ser>
          <c:idx val="3"/>
          <c:order val="3"/>
          <c:tx>
            <c:strRef>
              <c:f>'Res wo CL'!$C$48</c:f>
              <c:strCache>
                <c:ptCount val="1"/>
                <c:pt idx="0">
                  <c:v>Environmental cost</c:v>
                </c:pt>
              </c:strCache>
            </c:strRef>
          </c:tx>
          <c:spPr>
            <a:solidFill>
              <a:srgbClr val="92D050"/>
            </a:solidFill>
            <a:ln>
              <a:noFill/>
            </a:ln>
            <a:effectLst/>
          </c:spPr>
          <c:invertIfNegative val="0"/>
          <c:dLbls>
            <c:dLbl>
              <c:idx val="3"/>
              <c:layout/>
              <c:tx>
                <c:strRef>
                  <c:f>'Res wo CL'!$K$55</c:f>
                  <c:strCache>
                    <c:ptCount val="1"/>
                    <c:pt idx="0">
                      <c:v>+10.5</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{3E7B4DBC-0A7A-4826-B107-8E891AEF7E1F}</c15:txfldGUID>
                      <c15:f>'Res wo CL'!$K$55</c15:f>
                      <c15:dlblFieldTableCache>
                        <c:ptCount val="1"/>
                        <c:pt idx="0">
                          <c:v>+10.5</c:v>
                        </c:pt>
                      </c15:dlblFieldTableCache>
                    </c15:dlblFTEntry>
                  </c15:dlblFieldTable>
                  <c15:showDataLabelsRange val="0"/>
                </c:ext>
                <c:ext xmlns:c16="http://schemas.microsoft.com/office/drawing/2014/chart" uri="{C3380CC4-5D6E-409C-BE32-E72D297353CC}">
                  <c16:uniqueId val="{00000005-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CL'!$D$48:$J$48</c:f>
              <c:numCache>
                <c:formatCode>#,##0.0</c:formatCode>
                <c:ptCount val="7"/>
                <c:pt idx="0" formatCode="#,##0">
                  <c:v>73.659299999999988</c:v>
                </c:pt>
                <c:pt idx="3">
                  <c:v>8.5800000000000125</c:v>
                </c:pt>
                <c:pt idx="6" formatCode="#,##0">
                  <c:v>82.2393</c:v>
                </c:pt>
              </c:numCache>
            </c:numRef>
          </c:val>
          <c:extLst>
            <c:ext xmlns:c16="http://schemas.microsoft.com/office/drawing/2014/chart" uri="{C3380CC4-5D6E-409C-BE32-E72D297353CC}">
              <c16:uniqueId val="{00000006-628D-4496-88F5-CD2DC0185002}"/>
            </c:ext>
          </c:extLst>
        </c:ser>
        <c:ser>
          <c:idx val="4"/>
          <c:order val="4"/>
          <c:tx>
            <c:strRef>
              <c:f>'Res wo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wo CL'!$K$56</c:f>
                  <c:strCache>
                    <c:ptCount val="1"/>
                    <c:pt idx="0">
                      <c:v>+6.0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{E8B2F4B0-9433-4F42-8C24-3ADB7D460080}</c15:txfldGUID>
                      <c15:f>'Res wo CL'!$K$56</c15:f>
                      <c15:dlblFieldTableCache>
                        <c:ptCount val="1"/>
                        <c:pt idx="0">
                          <c:v>+6.0</c:v>
                        </c:pt>
                      </c15:dlblFieldTableCache>
                    </c15:dlblFTEntry>
                  </c15:dlblFieldTable>
                  <c15:showDataLabelsRange val="0"/>
                </c:ext>
                <c:ext xmlns:c16="http://schemas.microsoft.com/office/drawing/2014/chart" uri="{C3380CC4-5D6E-409C-BE32-E72D297353CC}">
                  <c16:uniqueId val="{00000007-628D-4496-88F5-CD2DC01850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CL'!$D$49:$J$49</c:f>
              <c:numCache>
                <c:formatCode>#,##0.0</c:formatCode>
                <c:ptCount val="7"/>
                <c:pt idx="0" formatCode="#,##0">
                  <c:v>371.77584849999994</c:v>
                </c:pt>
                <c:pt idx="4">
                  <c:v>5.576637727500156</c:v>
                </c:pt>
                <c:pt idx="6" formatCode="#,##0">
                  <c:v>377.35248622750009</c:v>
                </c:pt>
              </c:numCache>
            </c:numRef>
          </c:val>
          <c:extLst>
            <c:ext xmlns:c16="http://schemas.microsoft.com/office/drawing/2014/chart" uri="{C3380CC4-5D6E-409C-BE32-E72D297353CC}">
              <c16:uniqueId val="{00000008-628D-4496-88F5-CD2DC0185002}"/>
            </c:ext>
          </c:extLst>
        </c:ser>
        <c:ser>
          <c:idx val="6"/>
          <c:order val="5"/>
          <c:tx>
            <c:strRef>
              <c:f>'Res wo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wo CL'!$D$51:$J$51</c:f>
              <c:numCache>
                <c:formatCode>#,##0</c:formatCode>
                <c:ptCount val="7"/>
                <c:pt idx="0">
                  <c:v>1462</c:v>
                </c:pt>
                <c:pt idx="6">
                  <c:v>1393.4952402275001</c:v>
                </c:pt>
              </c:numCache>
            </c:numRef>
          </c:val>
          <c:extLst>
            <c:ext xmlns:c16="http://schemas.microsoft.com/office/drawing/2014/chart" uri="{C3380CC4-5D6E-409C-BE32-E72D297353CC}">
              <c16:uniqueId val="{00000009-628D-4496-88F5-CD2DC0185002}"/>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9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CL'!$A$45</c:f>
          <c:strCache>
            <c:ptCount val="1"/>
            <c:pt idx="0">
              <c:v>Ausgrid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CL'!$C$45</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CL'!$D$45:$J$45</c:f>
              <c:numCache>
                <c:formatCode>#,##0</c:formatCode>
                <c:ptCount val="7"/>
                <c:pt idx="0">
                  <c:v>0</c:v>
                </c:pt>
                <c:pt idx="1">
                  <c:v>2024</c:v>
                </c:pt>
                <c:pt idx="2">
                  <c:v>1890.4013129650004</c:v>
                </c:pt>
                <c:pt idx="3">
                  <c:v>1890.4013129650004</c:v>
                </c:pt>
                <c:pt idx="4">
                  <c:v>1905.3613129650005</c:v>
                </c:pt>
                <c:pt idx="5">
                  <c:v>1911.9178025260503</c:v>
                </c:pt>
                <c:pt idx="6">
                  <c:v>0</c:v>
                </c:pt>
              </c:numCache>
            </c:numRef>
          </c:val>
          <c:extLst>
            <c:ext xmlns:c16="http://schemas.microsoft.com/office/drawing/2014/chart" uri="{C3380CC4-5D6E-409C-BE32-E72D297353CC}">
              <c16:uniqueId val="{00000000-0305-4421-BB97-1B580FC40B25}"/>
            </c:ext>
          </c:extLst>
        </c:ser>
        <c:ser>
          <c:idx val="1"/>
          <c:order val="1"/>
          <c:tx>
            <c:strRef>
              <c:f>'Res w CL'!$C$46</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CL'!$K$46</c:f>
                  <c:strCache>
                    <c:ptCount val="1"/>
                    <c:pt idx="0">
                      <c:v>+19.1</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{97798565-5DC1-430A-9095-EF999F16A579}</c15:txfldGUID>
                      <c15:f>'Res w CL'!$K$46</c15:f>
                      <c15:dlblFieldTableCache>
                        <c:ptCount val="1"/>
                        <c:pt idx="0">
                          <c:v>+19.1</c:v>
                        </c:pt>
                      </c15:dlblFieldTableCache>
                    </c15:dlblFTEntry>
                  </c15:dlblFieldTable>
                  <c15:showDataLabelsRange val="0"/>
                </c:ext>
                <c:ext xmlns:c16="http://schemas.microsoft.com/office/drawing/2014/chart" uri="{C3380CC4-5D6E-409C-BE32-E72D297353CC}">
                  <c16:uniqueId val="{00000001-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CL'!$D$46:$J$46</c:f>
              <c:numCache>
                <c:formatCode>#,##0.0</c:formatCode>
                <c:ptCount val="7"/>
                <c:pt idx="0" formatCode="#,##0">
                  <c:v>710.50495592999982</c:v>
                </c:pt>
                <c:pt idx="1">
                  <c:v>19.120472965000317</c:v>
                </c:pt>
                <c:pt idx="6" formatCode="#,##0">
                  <c:v>729.62542889500014</c:v>
                </c:pt>
              </c:numCache>
            </c:numRef>
          </c:val>
          <c:extLst>
            <c:ext xmlns:c16="http://schemas.microsoft.com/office/drawing/2014/chart" uri="{C3380CC4-5D6E-409C-BE32-E72D297353CC}">
              <c16:uniqueId val="{00000002-0305-4421-BB97-1B580FC40B25}"/>
            </c:ext>
          </c:extLst>
        </c:ser>
        <c:ser>
          <c:idx val="2"/>
          <c:order val="2"/>
          <c:tx>
            <c:strRef>
              <c:f>'Res w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CL'!$K$47</c:f>
                  <c:strCache>
                    <c:ptCount val="1"/>
                    <c:pt idx="0">
                      <c:v>-152.7</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{35DDB825-D3B7-4C9D-A69F-D42EFB859B6E}</c15:txfldGUID>
                      <c15:f>'Res w CL'!$K$47</c15:f>
                      <c15:dlblFieldTableCache>
                        <c:ptCount val="1"/>
                        <c:pt idx="0">
                          <c:v>-152.7</c:v>
                        </c:pt>
                      </c15:dlblFieldTableCache>
                    </c15:dlblFTEntry>
                  </c15:dlblFieldTable>
                  <c15:showDataLabelsRange val="0"/>
                </c:ext>
                <c:ext xmlns:c16="http://schemas.microsoft.com/office/drawing/2014/chart" uri="{C3380CC4-5D6E-409C-BE32-E72D297353CC}">
                  <c16:uniqueId val="{00000003-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CL'!$D$47:$J$47</c:f>
              <c:numCache>
                <c:formatCode>#,##0.0</c:formatCode>
                <c:ptCount val="7"/>
                <c:pt idx="0" formatCode="#,##0">
                  <c:v>747.8541399999998</c:v>
                </c:pt>
                <c:pt idx="2">
                  <c:v>152.71915999999987</c:v>
                </c:pt>
                <c:pt idx="6" formatCode="#,##0">
                  <c:v>595.13497999999993</c:v>
                </c:pt>
              </c:numCache>
            </c:numRef>
          </c:val>
          <c:extLst>
            <c:ext xmlns:c16="http://schemas.microsoft.com/office/drawing/2014/chart" uri="{C3380CC4-5D6E-409C-BE32-E72D297353CC}">
              <c16:uniqueId val="{00000004-0305-4421-BB97-1B580FC40B25}"/>
            </c:ext>
          </c:extLst>
        </c:ser>
        <c:ser>
          <c:idx val="3"/>
          <c:order val="3"/>
          <c:tx>
            <c:strRef>
              <c:f>'Res w CL'!$C$48</c:f>
              <c:strCache>
                <c:ptCount val="1"/>
                <c:pt idx="0">
                  <c:v>Environmental cost</c:v>
                </c:pt>
              </c:strCache>
            </c:strRef>
          </c:tx>
          <c:spPr>
            <a:solidFill>
              <a:srgbClr val="92D050"/>
            </a:solidFill>
            <a:ln>
              <a:noFill/>
            </a:ln>
            <a:effectLst/>
          </c:spPr>
          <c:invertIfNegative val="0"/>
          <c:dLbls>
            <c:dLbl>
              <c:idx val="3"/>
              <c:layout/>
              <c:tx>
                <c:strRef>
                  <c:f>'Res w CL'!$K$48</c:f>
                  <c:strCache>
                    <c:ptCount val="1"/>
                    <c:pt idx="0">
                      <c:v>+15.0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{DDF71B6E-5F55-4A50-8BA0-8C5B74C02E01}</c15:txfldGUID>
                      <c15:f>'Res w CL'!$K$48</c15:f>
                      <c15:dlblFieldTableCache>
                        <c:ptCount val="1"/>
                        <c:pt idx="0">
                          <c:v>+15.0</c:v>
                        </c:pt>
                      </c15:dlblFieldTableCache>
                    </c15:dlblFTEntry>
                  </c15:dlblFieldTable>
                  <c15:showDataLabelsRange val="0"/>
                </c:ext>
                <c:ext xmlns:c16="http://schemas.microsoft.com/office/drawing/2014/chart" uri="{C3380CC4-5D6E-409C-BE32-E72D297353CC}">
                  <c16:uniqueId val="{00000005-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CL'!$D$48:$J$48</c:f>
              <c:numCache>
                <c:formatCode>#,##0.0</c:formatCode>
                <c:ptCount val="7"/>
                <c:pt idx="0" formatCode="#,##0">
                  <c:v>128.54160000000002</c:v>
                </c:pt>
                <c:pt idx="3">
                  <c:v>14.960000000000008</c:v>
                </c:pt>
                <c:pt idx="6" formatCode="#,##0">
                  <c:v>143.50160000000002</c:v>
                </c:pt>
              </c:numCache>
            </c:numRef>
          </c:val>
          <c:extLst>
            <c:ext xmlns:c16="http://schemas.microsoft.com/office/drawing/2014/chart" uri="{C3380CC4-5D6E-409C-BE32-E72D297353CC}">
              <c16:uniqueId val="{00000006-0305-4421-BB97-1B580FC40B25}"/>
            </c:ext>
          </c:extLst>
        </c:ser>
        <c:ser>
          <c:idx val="4"/>
          <c:order val="4"/>
          <c:tx>
            <c:strRef>
              <c:f>'Res w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CL'!$K$49</c:f>
                  <c:strCache>
                    <c:ptCount val="1"/>
                    <c:pt idx="0">
                      <c:v>+6.6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{EDB6FFCC-3346-437F-9308-10CD325363A6}</c15:txfldGUID>
                      <c15:f>'Res w CL'!$K$49</c15:f>
                      <c15:dlblFieldTableCache>
                        <c:ptCount val="1"/>
                        <c:pt idx="0">
                          <c:v>+6.6</c:v>
                        </c:pt>
                      </c15:dlblFieldTableCache>
                    </c15:dlblFTEntry>
                  </c15:dlblFieldTable>
                  <c15:showDataLabelsRange val="0"/>
                </c:ext>
                <c:ext xmlns:c16="http://schemas.microsoft.com/office/drawing/2014/chart" uri="{C3380CC4-5D6E-409C-BE32-E72D297353CC}">
                  <c16:uniqueId val="{00000007-0305-4421-BB97-1B580FC40B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CL'!$D$49:$J$49</c:f>
              <c:numCache>
                <c:formatCode>#,##0.0</c:formatCode>
                <c:ptCount val="7"/>
                <c:pt idx="0" formatCode="#,##0">
                  <c:v>437.09930407000047</c:v>
                </c:pt>
                <c:pt idx="4">
                  <c:v>6.5564895610498297</c:v>
                </c:pt>
                <c:pt idx="6" formatCode="#,##0">
                  <c:v>443.6557936310503</c:v>
                </c:pt>
              </c:numCache>
            </c:numRef>
          </c:val>
          <c:extLst>
            <c:ext xmlns:c16="http://schemas.microsoft.com/office/drawing/2014/chart" uri="{C3380CC4-5D6E-409C-BE32-E72D297353CC}">
              <c16:uniqueId val="{00000008-0305-4421-BB97-1B580FC40B25}"/>
            </c:ext>
          </c:extLst>
        </c:ser>
        <c:ser>
          <c:idx val="6"/>
          <c:order val="5"/>
          <c:tx>
            <c:strRef>
              <c:f>'Res w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CL'!$D$51:$J$51</c:f>
              <c:numCache>
                <c:formatCode>#,##0</c:formatCode>
                <c:ptCount val="7"/>
                <c:pt idx="0">
                  <c:v>2024</c:v>
                </c:pt>
                <c:pt idx="6">
                  <c:v>1911.9178025260505</c:v>
                </c:pt>
              </c:numCache>
            </c:numRef>
          </c:val>
          <c:extLst>
            <c:ext xmlns:c16="http://schemas.microsoft.com/office/drawing/2014/chart" uri="{C3380CC4-5D6E-409C-BE32-E72D297353CC}">
              <c16:uniqueId val="{00000009-0305-4421-BB97-1B580FC40B25}"/>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2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CL'!$A$52</c:f>
          <c:strCache>
            <c:ptCount val="1"/>
            <c:pt idx="0">
              <c:v>Endeavour Residential with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CL'!$C$52</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CL'!$D$52:$J$52</c:f>
              <c:numCache>
                <c:formatCode>#,##0</c:formatCode>
                <c:ptCount val="7"/>
                <c:pt idx="0">
                  <c:v>0</c:v>
                </c:pt>
                <c:pt idx="1">
                  <c:v>2165</c:v>
                </c:pt>
                <c:pt idx="2">
                  <c:v>1991.7431690000003</c:v>
                </c:pt>
                <c:pt idx="3">
                  <c:v>1991.7431690000003</c:v>
                </c:pt>
                <c:pt idx="4">
                  <c:v>2007.6161690000004</c:v>
                </c:pt>
                <c:pt idx="5">
                  <c:v>2013.8579567090003</c:v>
                </c:pt>
                <c:pt idx="6">
                  <c:v>0</c:v>
                </c:pt>
              </c:numCache>
            </c:numRef>
          </c:val>
          <c:extLst>
            <c:ext xmlns:c16="http://schemas.microsoft.com/office/drawing/2014/chart" uri="{C3380CC4-5D6E-409C-BE32-E72D297353CC}">
              <c16:uniqueId val="{00000000-96EB-4F78-9E20-6C2AD717C6AE}"/>
            </c:ext>
          </c:extLst>
        </c:ser>
        <c:ser>
          <c:idx val="1"/>
          <c:order val="1"/>
          <c:tx>
            <c:strRef>
              <c:f>'Res w CL'!$C$53</c:f>
              <c:strCache>
                <c:ptCount val="1"/>
                <c:pt idx="0">
                  <c:v>Network cost</c:v>
                </c:pt>
              </c:strCache>
            </c:strRef>
          </c:tx>
          <c:spPr>
            <a:solidFill>
              <a:schemeClr val="tx2">
                <a:lumMod val="40000"/>
                <a:lumOff val="60000"/>
              </a:schemeClr>
            </a:solidFill>
            <a:ln>
              <a:noFill/>
            </a:ln>
            <a:effectLst/>
          </c:spPr>
          <c:invertIfNegative val="0"/>
          <c:dLbls>
            <c:dLbl>
              <c:idx val="1"/>
              <c:layout/>
              <c:tx>
                <c:strRef>
                  <c:f>'Res w CL'!$K$53</c:f>
                  <c:strCache>
                    <c:ptCount val="1"/>
                    <c:pt idx="0">
                      <c:v>+13.9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{36CA6CB6-3352-4378-A3C5-32E8E0D1DDEB}</c15:txfldGUID>
                      <c15:f>'Res w CL'!$K$53</c15:f>
                      <c15:dlblFieldTableCache>
                        <c:ptCount val="1"/>
                        <c:pt idx="0">
                          <c:v>+13.9</c:v>
                        </c:pt>
                      </c15:dlblFieldTableCache>
                    </c15:dlblFTEntry>
                  </c15:dlblFieldTable>
                  <c15:showDataLabelsRange val="0"/>
                </c:ext>
                <c:ext xmlns:c16="http://schemas.microsoft.com/office/drawing/2014/chart" uri="{C3380CC4-5D6E-409C-BE32-E72D297353CC}">
                  <c16:uniqueId val="{00000001-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CL'!$D$53:$J$53</c:f>
              <c:numCache>
                <c:formatCode>#,##0.0</c:formatCode>
                <c:ptCount val="7"/>
                <c:pt idx="0" formatCode="#,##0">
                  <c:v>713.89961940000001</c:v>
                </c:pt>
                <c:pt idx="1">
                  <c:v>13.947769000000108</c:v>
                </c:pt>
                <c:pt idx="6" formatCode="#,##0">
                  <c:v>727.84738840000011</c:v>
                </c:pt>
              </c:numCache>
            </c:numRef>
          </c:val>
          <c:extLst>
            <c:ext xmlns:c16="http://schemas.microsoft.com/office/drawing/2014/chart" uri="{C3380CC4-5D6E-409C-BE32-E72D297353CC}">
              <c16:uniqueId val="{00000002-96EB-4F78-9E20-6C2AD717C6AE}"/>
            </c:ext>
          </c:extLst>
        </c:ser>
        <c:ser>
          <c:idx val="2"/>
          <c:order val="2"/>
          <c:tx>
            <c:strRef>
              <c:f>'Res w CL'!$C$54</c:f>
              <c:strCache>
                <c:ptCount val="1"/>
                <c:pt idx="0">
                  <c:v>Wholesale cost</c:v>
                </c:pt>
              </c:strCache>
            </c:strRef>
          </c:tx>
          <c:spPr>
            <a:solidFill>
              <a:schemeClr val="accent2">
                <a:lumMod val="60000"/>
                <a:lumOff val="40000"/>
              </a:schemeClr>
            </a:solidFill>
            <a:ln>
              <a:noFill/>
            </a:ln>
            <a:effectLst/>
          </c:spPr>
          <c:invertIfNegative val="0"/>
          <c:dLbls>
            <c:dLbl>
              <c:idx val="2"/>
              <c:layout/>
              <c:tx>
                <c:strRef>
                  <c:f>'Res w CL'!$K$54</c:f>
                  <c:strCache>
                    <c:ptCount val="1"/>
                    <c:pt idx="0">
                      <c:v>-187.2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{0DBECC3C-B548-4496-A5F2-6258321C9AD7}</c15:txfldGUID>
                      <c15:f>'Res w CL'!$K$54</c15:f>
                      <c15:dlblFieldTableCache>
                        <c:ptCount val="1"/>
                        <c:pt idx="0">
                          <c:v>-187.2</c:v>
                        </c:pt>
                      </c15:dlblFieldTableCache>
                    </c15:dlblFTEntry>
                  </c15:dlblFieldTable>
                  <c15:showDataLabelsRange val="0"/>
                </c:ext>
                <c:ext xmlns:c16="http://schemas.microsoft.com/office/drawing/2014/chart" uri="{C3380CC4-5D6E-409C-BE32-E72D297353CC}">
                  <c16:uniqueId val="{00000003-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CL'!$D$54:$J$54</c:f>
              <c:numCache>
                <c:formatCode>#,##0.0</c:formatCode>
                <c:ptCount val="7"/>
                <c:pt idx="0" formatCode="#,##0">
                  <c:v>893.67079999999999</c:v>
                </c:pt>
                <c:pt idx="2">
                  <c:v>187.20460000000003</c:v>
                </c:pt>
                <c:pt idx="6" formatCode="#,##0">
                  <c:v>706.46619999999996</c:v>
                </c:pt>
              </c:numCache>
            </c:numRef>
          </c:val>
          <c:extLst>
            <c:ext xmlns:c16="http://schemas.microsoft.com/office/drawing/2014/chart" uri="{C3380CC4-5D6E-409C-BE32-E72D297353CC}">
              <c16:uniqueId val="{00000004-96EB-4F78-9E20-6C2AD717C6AE}"/>
            </c:ext>
          </c:extLst>
        </c:ser>
        <c:ser>
          <c:idx val="3"/>
          <c:order val="3"/>
          <c:tx>
            <c:strRef>
              <c:f>'Res w CL'!$C$55</c:f>
              <c:strCache>
                <c:ptCount val="1"/>
                <c:pt idx="0">
                  <c:v>Environmental cost</c:v>
                </c:pt>
              </c:strCache>
            </c:strRef>
          </c:tx>
          <c:spPr>
            <a:solidFill>
              <a:srgbClr val="92D050"/>
            </a:solidFill>
            <a:ln>
              <a:noFill/>
            </a:ln>
            <a:effectLst/>
          </c:spPr>
          <c:invertIfNegative val="0"/>
          <c:dLbls>
            <c:dLbl>
              <c:idx val="3"/>
              <c:layout/>
              <c:tx>
                <c:strRef>
                  <c:f>'Res w CL'!$K$55</c:f>
                  <c:strCache>
                    <c:ptCount val="1"/>
                    <c:pt idx="0">
                      <c:v>+15.9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{CDF6AA5B-2CF2-40AA-B4F0-5BF87692F8AF}</c15:txfldGUID>
                      <c15:f>'Res w CL'!$K$55</c15:f>
                      <c15:dlblFieldTableCache>
                        <c:ptCount val="1"/>
                        <c:pt idx="0">
                          <c:v>+15.9</c:v>
                        </c:pt>
                      </c15:dlblFieldTableCache>
                    </c15:dlblFTEntry>
                  </c15:dlblFieldTable>
                  <c15:showDataLabelsRange val="0"/>
                </c:ext>
                <c:ext xmlns:c16="http://schemas.microsoft.com/office/drawing/2014/chart" uri="{C3380CC4-5D6E-409C-BE32-E72D297353CC}">
                  <c16:uniqueId val="{00000005-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CL'!$D$55:$J$55</c:f>
              <c:numCache>
                <c:formatCode>#,##0.0</c:formatCode>
                <c:ptCount val="7"/>
                <c:pt idx="0" formatCode="#,##0">
                  <c:v>141.31039999999999</c:v>
                </c:pt>
                <c:pt idx="3">
                  <c:v>15.873000000000019</c:v>
                </c:pt>
                <c:pt idx="6" formatCode="#,##0">
                  <c:v>157.18340000000001</c:v>
                </c:pt>
              </c:numCache>
            </c:numRef>
          </c:val>
          <c:extLst>
            <c:ext xmlns:c16="http://schemas.microsoft.com/office/drawing/2014/chart" uri="{C3380CC4-5D6E-409C-BE32-E72D297353CC}">
              <c16:uniqueId val="{00000006-96EB-4F78-9E20-6C2AD717C6AE}"/>
            </c:ext>
          </c:extLst>
        </c:ser>
        <c:ser>
          <c:idx val="4"/>
          <c:order val="4"/>
          <c:tx>
            <c:strRef>
              <c:f>'Res w CL'!$C$56</c:f>
              <c:strCache>
                <c:ptCount val="1"/>
                <c:pt idx="0">
                  <c:v>Residual cost</c:v>
                </c:pt>
              </c:strCache>
            </c:strRef>
          </c:tx>
          <c:spPr>
            <a:solidFill>
              <a:schemeClr val="accent6">
                <a:lumMod val="20000"/>
                <a:lumOff val="80000"/>
              </a:schemeClr>
            </a:solidFill>
            <a:ln>
              <a:noFill/>
            </a:ln>
            <a:effectLst/>
          </c:spPr>
          <c:invertIfNegative val="0"/>
          <c:dLbls>
            <c:dLbl>
              <c:idx val="4"/>
              <c:layout/>
              <c:tx>
                <c:strRef>
                  <c:f>'Res w CL'!$K$56</c:f>
                  <c:strCache>
                    <c:ptCount val="1"/>
                    <c:pt idx="0">
                      <c:v>+6.2</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{A347CCED-4BDF-45AA-A87B-F5B5EC44A145}</c15:txfldGUID>
                      <c15:f>'Res w CL'!$K$56</c15:f>
                      <c15:dlblFieldTableCache>
                        <c:ptCount val="1"/>
                        <c:pt idx="0">
                          <c:v>+6.2</c:v>
                        </c:pt>
                      </c15:dlblFieldTableCache>
                    </c15:dlblFTEntry>
                  </c15:dlblFieldTable>
                  <c15:showDataLabelsRange val="0"/>
                </c:ext>
                <c:ext xmlns:c16="http://schemas.microsoft.com/office/drawing/2014/chart" uri="{C3380CC4-5D6E-409C-BE32-E72D297353CC}">
                  <c16:uniqueId val="{00000007-96EB-4F78-9E20-6C2AD717C6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CL'!$D$56:$J$56</c:f>
              <c:numCache>
                <c:formatCode>#,##0.0</c:formatCode>
                <c:ptCount val="7"/>
                <c:pt idx="0" formatCode="#,##0">
                  <c:v>416.11918059999994</c:v>
                </c:pt>
                <c:pt idx="4">
                  <c:v>6.2417877089999365</c:v>
                </c:pt>
                <c:pt idx="6" formatCode="#,##0">
                  <c:v>422.36096830899987</c:v>
                </c:pt>
              </c:numCache>
            </c:numRef>
          </c:val>
          <c:extLst>
            <c:ext xmlns:c16="http://schemas.microsoft.com/office/drawing/2014/chart" uri="{C3380CC4-5D6E-409C-BE32-E72D297353CC}">
              <c16:uniqueId val="{00000008-96EB-4F78-9E20-6C2AD717C6AE}"/>
            </c:ext>
          </c:extLst>
        </c:ser>
        <c:ser>
          <c:idx val="6"/>
          <c:order val="5"/>
          <c:tx>
            <c:strRef>
              <c:f>'Res w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CL'!$D$58:$J$58</c:f>
              <c:numCache>
                <c:formatCode>#,##0</c:formatCode>
                <c:ptCount val="7"/>
                <c:pt idx="0">
                  <c:v>2165</c:v>
                </c:pt>
                <c:pt idx="6">
                  <c:v>2013.8579567090001</c:v>
                </c:pt>
              </c:numCache>
            </c:numRef>
          </c:val>
          <c:extLst>
            <c:ext xmlns:c16="http://schemas.microsoft.com/office/drawing/2014/chart" uri="{C3380CC4-5D6E-409C-BE32-E72D297353CC}">
              <c16:uniqueId val="{00000009-96EB-4F78-9E20-6C2AD717C6A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3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CL'!$A$59</c:f>
          <c:strCache>
            <c:ptCount val="1"/>
            <c:pt idx="0">
              <c:v>Essential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CL'!$C$59</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CL'!$D$59:$J$59</c:f>
              <c:numCache>
                <c:formatCode>#,##0</c:formatCode>
                <c:ptCount val="7"/>
                <c:pt idx="0">
                  <c:v>0</c:v>
                </c:pt>
                <c:pt idx="1">
                  <c:v>2356</c:v>
                </c:pt>
                <c:pt idx="2">
                  <c:v>2250.2171579999999</c:v>
                </c:pt>
                <c:pt idx="3">
                  <c:v>2250.2171579999999</c:v>
                </c:pt>
                <c:pt idx="4">
                  <c:v>2263.2125579999997</c:v>
                </c:pt>
                <c:pt idx="5">
                  <c:v>2270.72750283</c:v>
                </c:pt>
                <c:pt idx="6">
                  <c:v>0</c:v>
                </c:pt>
              </c:numCache>
            </c:numRef>
          </c:val>
          <c:extLst>
            <c:ext xmlns:c16="http://schemas.microsoft.com/office/drawing/2014/chart" uri="{C3380CC4-5D6E-409C-BE32-E72D297353CC}">
              <c16:uniqueId val="{00000000-E169-42CF-B6F2-928A64ACB917}"/>
            </c:ext>
          </c:extLst>
        </c:ser>
        <c:ser>
          <c:idx val="1"/>
          <c:order val="1"/>
          <c:tx>
            <c:strRef>
              <c:f>'Res w CL'!$C$60</c:f>
              <c:strCache>
                <c:ptCount val="1"/>
                <c:pt idx="0">
                  <c:v>Network cost</c:v>
                </c:pt>
              </c:strCache>
            </c:strRef>
          </c:tx>
          <c:spPr>
            <a:solidFill>
              <a:schemeClr val="tx2">
                <a:lumMod val="40000"/>
                <a:lumOff val="60000"/>
              </a:schemeClr>
            </a:solidFill>
            <a:ln>
              <a:noFill/>
            </a:ln>
            <a:effectLst/>
          </c:spPr>
          <c:invertIfNegative val="0"/>
          <c:dLbls>
            <c:dLbl>
              <c:idx val="1"/>
              <c:tx>
                <c:strRef>
                  <c:f>'Res w CL'!$K$60</c:f>
                  <c:strCache>
                    <c:ptCount val="1"/>
                    <c:pt idx="0">
                      <c:v>+56.7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{00B085B2-F2F0-4E97-BBB6-F1F273AB367D}</c15:txfldGUID>
                      <c15:f>'Res w CL'!$K$60</c15:f>
                      <c15:dlblFieldTableCache>
                        <c:ptCount val="1"/>
                        <c:pt idx="0">
                          <c:v>+56.7</c:v>
                        </c:pt>
                      </c15:dlblFieldTableCache>
                    </c15:dlblFTEntry>
                  </c15:dlblFieldTable>
                  <c15:showDataLabelsRange val="0"/>
                </c:ext>
                <c:ext xmlns:c16="http://schemas.microsoft.com/office/drawing/2014/chart" uri="{C3380CC4-5D6E-409C-BE32-E72D297353CC}">
                  <c16:uniqueId val="{00000001-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CL'!$D$60:$J$60</c:f>
              <c:numCache>
                <c:formatCode>#,##0.0</c:formatCode>
                <c:ptCount val="7"/>
                <c:pt idx="0" formatCode="#,##0">
                  <c:v>1012.678678</c:v>
                </c:pt>
                <c:pt idx="1">
                  <c:v>56.726758000000018</c:v>
                </c:pt>
                <c:pt idx="6" formatCode="#,##0">
                  <c:v>1069.405436</c:v>
                </c:pt>
              </c:numCache>
            </c:numRef>
          </c:val>
          <c:extLst>
            <c:ext xmlns:c16="http://schemas.microsoft.com/office/drawing/2014/chart" uri="{C3380CC4-5D6E-409C-BE32-E72D297353CC}">
              <c16:uniqueId val="{00000002-E169-42CF-B6F2-928A64ACB917}"/>
            </c:ext>
          </c:extLst>
        </c:ser>
        <c:ser>
          <c:idx val="2"/>
          <c:order val="2"/>
          <c:tx>
            <c:strRef>
              <c:f>'Res w CL'!$C$61</c:f>
              <c:strCache>
                <c:ptCount val="1"/>
                <c:pt idx="0">
                  <c:v>Wholesale cost</c:v>
                </c:pt>
              </c:strCache>
            </c:strRef>
          </c:tx>
          <c:spPr>
            <a:solidFill>
              <a:schemeClr val="accent2">
                <a:lumMod val="60000"/>
                <a:lumOff val="40000"/>
              </a:schemeClr>
            </a:solidFill>
            <a:ln>
              <a:noFill/>
            </a:ln>
            <a:effectLst/>
          </c:spPr>
          <c:invertIfNegative val="0"/>
          <c:dLbls>
            <c:dLbl>
              <c:idx val="2"/>
              <c:tx>
                <c:strRef>
                  <c:f>'Res w CL'!$K$61</c:f>
                  <c:strCache>
                    <c:ptCount val="1"/>
                    <c:pt idx="0">
                      <c:v>-162.5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{BFDC00A8-7BB8-4D57-B757-D581E5BA4DC1}</c15:txfldGUID>
                      <c15:f>'Res w CL'!$K$61</c15:f>
                      <c15:dlblFieldTableCache>
                        <c:ptCount val="1"/>
                        <c:pt idx="0">
                          <c:v>-162.5</c:v>
                        </c:pt>
                      </c15:dlblFieldTableCache>
                    </c15:dlblFTEntry>
                  </c15:dlblFieldTable>
                  <c15:showDataLabelsRange val="0"/>
                </c:ext>
                <c:ext xmlns:c16="http://schemas.microsoft.com/office/drawing/2014/chart" uri="{C3380CC4-5D6E-409C-BE32-E72D297353CC}">
                  <c16:uniqueId val="{00000003-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CL'!$D$61:$J$61</c:f>
              <c:numCache>
                <c:formatCode>#,##0.0</c:formatCode>
                <c:ptCount val="7"/>
                <c:pt idx="0" formatCode="#,##0">
                  <c:v>717.08999999999992</c:v>
                </c:pt>
                <c:pt idx="2">
                  <c:v>162.50959999999998</c:v>
                </c:pt>
                <c:pt idx="6" formatCode="#,##0">
                  <c:v>554.58039999999994</c:v>
                </c:pt>
              </c:numCache>
            </c:numRef>
          </c:val>
          <c:extLst>
            <c:ext xmlns:c16="http://schemas.microsoft.com/office/drawing/2014/chart" uri="{C3380CC4-5D6E-409C-BE32-E72D297353CC}">
              <c16:uniqueId val="{00000004-E169-42CF-B6F2-928A64ACB917}"/>
            </c:ext>
          </c:extLst>
        </c:ser>
        <c:ser>
          <c:idx val="3"/>
          <c:order val="3"/>
          <c:tx>
            <c:strRef>
              <c:f>'Res w CL'!$C$62</c:f>
              <c:strCache>
                <c:ptCount val="1"/>
                <c:pt idx="0">
                  <c:v>Environmental cost</c:v>
                </c:pt>
              </c:strCache>
            </c:strRef>
          </c:tx>
          <c:spPr>
            <a:solidFill>
              <a:srgbClr val="92D050"/>
            </a:solidFill>
            <a:ln>
              <a:noFill/>
            </a:ln>
            <a:effectLst/>
          </c:spPr>
          <c:invertIfNegative val="0"/>
          <c:dLbls>
            <c:dLbl>
              <c:idx val="3"/>
              <c:tx>
                <c:strRef>
                  <c:f>'Res w CL'!$K$62</c:f>
                  <c:strCache>
                    <c:ptCount val="1"/>
                    <c:pt idx="0">
                      <c:v>+13.0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{810AA885-95F9-4F0E-81FD-15C7FFA0722C}</c15:txfldGUID>
                      <c15:f>'Res w CL'!$K$62</c15:f>
                      <c15:dlblFieldTableCache>
                        <c:ptCount val="1"/>
                        <c:pt idx="0">
                          <c:v>+13.0</c:v>
                        </c:pt>
                      </c15:dlblFieldTableCache>
                    </c15:dlblFTEntry>
                  </c15:dlblFieldTable>
                  <c15:showDataLabelsRange val="0"/>
                </c:ext>
                <c:ext xmlns:c16="http://schemas.microsoft.com/office/drawing/2014/chart" uri="{C3380CC4-5D6E-409C-BE32-E72D297353CC}">
                  <c16:uniqueId val="{00000005-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CL'!$D$62:$J$62</c:f>
              <c:numCache>
                <c:formatCode>#,##0.0</c:formatCode>
                <c:ptCount val="7"/>
                <c:pt idx="0" formatCode="#,##0">
                  <c:v>125.235</c:v>
                </c:pt>
                <c:pt idx="3">
                  <c:v>12.995400000000004</c:v>
                </c:pt>
                <c:pt idx="6" formatCode="#,##0">
                  <c:v>138.2304</c:v>
                </c:pt>
              </c:numCache>
            </c:numRef>
          </c:val>
          <c:extLst>
            <c:ext xmlns:c16="http://schemas.microsoft.com/office/drawing/2014/chart" uri="{C3380CC4-5D6E-409C-BE32-E72D297353CC}">
              <c16:uniqueId val="{00000006-E169-42CF-B6F2-928A64ACB917}"/>
            </c:ext>
          </c:extLst>
        </c:ser>
        <c:ser>
          <c:idx val="4"/>
          <c:order val="4"/>
          <c:tx>
            <c:strRef>
              <c:f>'Res w CL'!$C$63</c:f>
              <c:strCache>
                <c:ptCount val="1"/>
                <c:pt idx="0">
                  <c:v>Residual cost</c:v>
                </c:pt>
              </c:strCache>
            </c:strRef>
          </c:tx>
          <c:spPr>
            <a:solidFill>
              <a:schemeClr val="accent6">
                <a:lumMod val="20000"/>
                <a:lumOff val="80000"/>
              </a:schemeClr>
            </a:solidFill>
            <a:ln>
              <a:noFill/>
            </a:ln>
            <a:effectLst/>
          </c:spPr>
          <c:invertIfNegative val="0"/>
          <c:dLbls>
            <c:dLbl>
              <c:idx val="4"/>
              <c:tx>
                <c:strRef>
                  <c:f>'Res w CL'!$K$63</c:f>
                  <c:strCache>
                    <c:ptCount val="1"/>
                    <c:pt idx="0">
                      <c:v>+7.5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{84B8A60D-650D-4C59-A63D-1724B085F5A5}</c15:txfldGUID>
                      <c15:f>'Res w CL'!$K$63</c15:f>
                      <c15:dlblFieldTableCache>
                        <c:ptCount val="1"/>
                        <c:pt idx="0">
                          <c:v>+7.5</c:v>
                        </c:pt>
                      </c15:dlblFieldTableCache>
                    </c15:dlblFTEntry>
                  </c15:dlblFieldTable>
                  <c15:showDataLabelsRange val="0"/>
                </c:ext>
                <c:ext xmlns:c16="http://schemas.microsoft.com/office/drawing/2014/chart" uri="{C3380CC4-5D6E-409C-BE32-E72D297353CC}">
                  <c16:uniqueId val="{00000007-E169-42CF-B6F2-928A64ACB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CL'!$D$63:$J$63</c:f>
              <c:numCache>
                <c:formatCode>#,##0.0</c:formatCode>
                <c:ptCount val="7"/>
                <c:pt idx="0" formatCode="#,##0">
                  <c:v>500.99632200000019</c:v>
                </c:pt>
                <c:pt idx="4">
                  <c:v>7.514944830000104</c:v>
                </c:pt>
                <c:pt idx="6" formatCode="#,##0">
                  <c:v>508.5112668300003</c:v>
                </c:pt>
              </c:numCache>
            </c:numRef>
          </c:val>
          <c:extLst>
            <c:ext xmlns:c16="http://schemas.microsoft.com/office/drawing/2014/chart" uri="{C3380CC4-5D6E-409C-BE32-E72D297353CC}">
              <c16:uniqueId val="{00000008-E169-42CF-B6F2-928A64ACB917}"/>
            </c:ext>
          </c:extLst>
        </c:ser>
        <c:ser>
          <c:idx val="6"/>
          <c:order val="5"/>
          <c:tx>
            <c:strRef>
              <c:f>'Res w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CL'!$D$65:$J$65</c:f>
              <c:numCache>
                <c:formatCode>#,##0</c:formatCode>
                <c:ptCount val="7"/>
                <c:pt idx="0">
                  <c:v>2356</c:v>
                </c:pt>
                <c:pt idx="6">
                  <c:v>2270.72750283</c:v>
                </c:pt>
              </c:numCache>
            </c:numRef>
          </c:val>
          <c:extLst>
            <c:ext xmlns:c16="http://schemas.microsoft.com/office/drawing/2014/chart" uri="{C3380CC4-5D6E-409C-BE32-E72D297353CC}">
              <c16:uniqueId val="{00000009-E169-42CF-B6F2-928A64ACB91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5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CL'!$A$66</c:f>
          <c:strCache>
            <c:ptCount val="1"/>
            <c:pt idx="0">
              <c:v>Energex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CL'!$C$66</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CL'!$D$66:$J$66</c:f>
              <c:numCache>
                <c:formatCode>#,##0</c:formatCode>
                <c:ptCount val="7"/>
                <c:pt idx="0">
                  <c:v>0</c:v>
                </c:pt>
                <c:pt idx="1">
                  <c:v>1812</c:v>
                </c:pt>
                <c:pt idx="2">
                  <c:v>1723.7038580000003</c:v>
                </c:pt>
                <c:pt idx="3">
                  <c:v>1723.7038580000003</c:v>
                </c:pt>
                <c:pt idx="4">
                  <c:v>1735.1383580000004</c:v>
                </c:pt>
                <c:pt idx="5">
                  <c:v>1740.6464836550001</c:v>
                </c:pt>
                <c:pt idx="6">
                  <c:v>0</c:v>
                </c:pt>
              </c:numCache>
            </c:numRef>
          </c:val>
          <c:extLst>
            <c:ext xmlns:c16="http://schemas.microsoft.com/office/drawing/2014/chart" uri="{C3380CC4-5D6E-409C-BE32-E72D297353CC}">
              <c16:uniqueId val="{00000000-DE12-46F4-B72C-D9A9F1C1EAF7}"/>
            </c:ext>
          </c:extLst>
        </c:ser>
        <c:ser>
          <c:idx val="1"/>
          <c:order val="1"/>
          <c:tx>
            <c:strRef>
              <c:f>'Res w CL'!$C$67</c:f>
              <c:strCache>
                <c:ptCount val="1"/>
                <c:pt idx="0">
                  <c:v>Network cost</c:v>
                </c:pt>
              </c:strCache>
            </c:strRef>
          </c:tx>
          <c:spPr>
            <a:solidFill>
              <a:schemeClr val="tx2">
                <a:lumMod val="40000"/>
                <a:lumOff val="60000"/>
              </a:schemeClr>
            </a:solidFill>
            <a:ln>
              <a:noFill/>
            </a:ln>
            <a:effectLst/>
          </c:spPr>
          <c:invertIfNegative val="0"/>
          <c:dLbls>
            <c:dLbl>
              <c:idx val="1"/>
              <c:tx>
                <c:strRef>
                  <c:f>'Res w CL'!$K$67</c:f>
                  <c:strCache>
                    <c:ptCount val="1"/>
                    <c:pt idx="0">
                      <c:v>+23.5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{1A2F5862-8A1E-4312-89EF-01168E282A29}</c15:txfldGUID>
                      <c15:f>'Res w CL'!$K$67</c15:f>
                      <c15:dlblFieldTableCache>
                        <c:ptCount val="1"/>
                        <c:pt idx="0">
                          <c:v>+23.5</c:v>
                        </c:pt>
                      </c15:dlblFieldTableCache>
                    </c15:dlblFTEntry>
                  </c15:dlblFieldTable>
                  <c15:showDataLabelsRange val="0"/>
                </c:ext>
                <c:ext xmlns:c16="http://schemas.microsoft.com/office/drawing/2014/chart" uri="{C3380CC4-5D6E-409C-BE32-E72D297353CC}">
                  <c16:uniqueId val="{00000001-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CL'!$D$67:$J$67</c:f>
              <c:numCache>
                <c:formatCode>#,##0.0</c:formatCode>
                <c:ptCount val="7"/>
                <c:pt idx="0" formatCode="#,##0">
                  <c:v>743.62441999999987</c:v>
                </c:pt>
                <c:pt idx="1">
                  <c:v>23.474935000000187</c:v>
                </c:pt>
                <c:pt idx="6" formatCode="#,##0">
                  <c:v>767.09935500000006</c:v>
                </c:pt>
              </c:numCache>
            </c:numRef>
          </c:val>
          <c:extLst>
            <c:ext xmlns:c16="http://schemas.microsoft.com/office/drawing/2014/chart" uri="{C3380CC4-5D6E-409C-BE32-E72D297353CC}">
              <c16:uniqueId val="{00000002-DE12-46F4-B72C-D9A9F1C1EAF7}"/>
            </c:ext>
          </c:extLst>
        </c:ser>
        <c:ser>
          <c:idx val="2"/>
          <c:order val="2"/>
          <c:tx>
            <c:strRef>
              <c:f>'Res w CL'!$C$68</c:f>
              <c:strCache>
                <c:ptCount val="1"/>
                <c:pt idx="0">
                  <c:v>Wholesale cost</c:v>
                </c:pt>
              </c:strCache>
            </c:strRef>
          </c:tx>
          <c:spPr>
            <a:solidFill>
              <a:schemeClr val="accent2">
                <a:lumMod val="60000"/>
                <a:lumOff val="40000"/>
              </a:schemeClr>
            </a:solidFill>
            <a:ln>
              <a:noFill/>
            </a:ln>
            <a:effectLst/>
          </c:spPr>
          <c:invertIfNegative val="0"/>
          <c:dLbls>
            <c:dLbl>
              <c:idx val="2"/>
              <c:tx>
                <c:strRef>
                  <c:f>'Res w CL'!$K$68</c:f>
                  <c:strCache>
                    <c:ptCount val="1"/>
                    <c:pt idx="0">
                      <c:v>-111.8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{4D3875A5-BCFD-40F7-9032-9F2570390862}</c15:txfldGUID>
                      <c15:f>'Res w CL'!$K$68</c15:f>
                      <c15:dlblFieldTableCache>
                        <c:ptCount val="1"/>
                        <c:pt idx="0">
                          <c:v>-111.8</c:v>
                        </c:pt>
                      </c15:dlblFieldTableCache>
                    </c15:dlblFTEntry>
                  </c15:dlblFieldTable>
                  <c15:showDataLabelsRange val="0"/>
                </c:ext>
                <c:ext xmlns:c16="http://schemas.microsoft.com/office/drawing/2014/chart" uri="{C3380CC4-5D6E-409C-BE32-E72D297353CC}">
                  <c16:uniqueId val="{00000003-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CL'!$D$68:$J$68</c:f>
              <c:numCache>
                <c:formatCode>#,##0.0</c:formatCode>
                <c:ptCount val="7"/>
                <c:pt idx="0" formatCode="#,##0">
                  <c:v>596.52420299999994</c:v>
                </c:pt>
                <c:pt idx="2">
                  <c:v>111.77107699999993</c:v>
                </c:pt>
                <c:pt idx="6" formatCode="#,##0">
                  <c:v>484.75312600000001</c:v>
                </c:pt>
              </c:numCache>
            </c:numRef>
          </c:val>
          <c:extLst>
            <c:ext xmlns:c16="http://schemas.microsoft.com/office/drawing/2014/chart" uri="{C3380CC4-5D6E-409C-BE32-E72D297353CC}">
              <c16:uniqueId val="{00000004-DE12-46F4-B72C-D9A9F1C1EAF7}"/>
            </c:ext>
          </c:extLst>
        </c:ser>
        <c:ser>
          <c:idx val="3"/>
          <c:order val="3"/>
          <c:tx>
            <c:strRef>
              <c:f>'Res w CL'!$C$69</c:f>
              <c:strCache>
                <c:ptCount val="1"/>
                <c:pt idx="0">
                  <c:v>Environmental cost</c:v>
                </c:pt>
              </c:strCache>
            </c:strRef>
          </c:tx>
          <c:spPr>
            <a:solidFill>
              <a:srgbClr val="92D050"/>
            </a:solidFill>
            <a:ln>
              <a:noFill/>
            </a:ln>
            <a:effectLst/>
          </c:spPr>
          <c:invertIfNegative val="0"/>
          <c:dLbls>
            <c:dLbl>
              <c:idx val="3"/>
              <c:tx>
                <c:strRef>
                  <c:f>'Res w CL'!$K$69</c:f>
                  <c:strCache>
                    <c:ptCount val="1"/>
                    <c:pt idx="0">
                      <c:v>+11.4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{CE34A857-1767-45F5-925A-7A02727798B5}</c15:txfldGUID>
                      <c15:f>'Res w CL'!$K$69</c15:f>
                      <c15:dlblFieldTableCache>
                        <c:ptCount val="1"/>
                        <c:pt idx="0">
                          <c:v>+11.4</c:v>
                        </c:pt>
                      </c15:dlblFieldTableCache>
                    </c15:dlblFTEntry>
                  </c15:dlblFieldTable>
                  <c15:showDataLabelsRange val="0"/>
                </c:ext>
                <c:ext xmlns:c16="http://schemas.microsoft.com/office/drawing/2014/chart" uri="{C3380CC4-5D6E-409C-BE32-E72D297353CC}">
                  <c16:uniqueId val="{00000005-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CL'!$D$69:$J$69</c:f>
              <c:numCache>
                <c:formatCode>#,##0.0</c:formatCode>
                <c:ptCount val="7"/>
                <c:pt idx="0" formatCode="#,##0">
                  <c:v>104.643</c:v>
                </c:pt>
                <c:pt idx="3">
                  <c:v>11.434499999999986</c:v>
                </c:pt>
                <c:pt idx="6" formatCode="#,##0">
                  <c:v>116.07749999999999</c:v>
                </c:pt>
              </c:numCache>
            </c:numRef>
          </c:val>
          <c:extLst>
            <c:ext xmlns:c16="http://schemas.microsoft.com/office/drawing/2014/chart" uri="{C3380CC4-5D6E-409C-BE32-E72D297353CC}">
              <c16:uniqueId val="{00000006-DE12-46F4-B72C-D9A9F1C1EAF7}"/>
            </c:ext>
          </c:extLst>
        </c:ser>
        <c:ser>
          <c:idx val="4"/>
          <c:order val="4"/>
          <c:tx>
            <c:strRef>
              <c:f>'Res w CL'!$C$70</c:f>
              <c:strCache>
                <c:ptCount val="1"/>
                <c:pt idx="0">
                  <c:v>Residual cost</c:v>
                </c:pt>
              </c:strCache>
            </c:strRef>
          </c:tx>
          <c:spPr>
            <a:solidFill>
              <a:schemeClr val="accent6">
                <a:lumMod val="20000"/>
                <a:lumOff val="80000"/>
              </a:schemeClr>
            </a:solidFill>
            <a:ln>
              <a:noFill/>
            </a:ln>
            <a:effectLst/>
          </c:spPr>
          <c:invertIfNegative val="0"/>
          <c:dLbls>
            <c:dLbl>
              <c:idx val="4"/>
              <c:tx>
                <c:strRef>
                  <c:f>'Res w CL'!$K$70</c:f>
                  <c:strCache>
                    <c:ptCount val="1"/>
                    <c:pt idx="0">
                      <c:v>+5.5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{683E0DB2-0463-4F96-B4D5-287047A8F4C6}</c15:txfldGUID>
                      <c15:f>'Res w CL'!$K$70</c15:f>
                      <c15:dlblFieldTableCache>
                        <c:ptCount val="1"/>
                        <c:pt idx="0">
                          <c:v>+5.5</c:v>
                        </c:pt>
                      </c15:dlblFieldTableCache>
                    </c15:dlblFTEntry>
                  </c15:dlblFieldTable>
                  <c15:showDataLabelsRange val="0"/>
                </c:ext>
                <c:ext xmlns:c16="http://schemas.microsoft.com/office/drawing/2014/chart" uri="{C3380CC4-5D6E-409C-BE32-E72D297353CC}">
                  <c16:uniqueId val="{00000007-DE12-46F4-B72C-D9A9F1C1EA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CL'!$D$70:$J$70</c:f>
              <c:numCache>
                <c:formatCode>#,##0.0</c:formatCode>
                <c:ptCount val="7"/>
                <c:pt idx="0" formatCode="#,##0">
                  <c:v>367.20837700000016</c:v>
                </c:pt>
                <c:pt idx="4">
                  <c:v>5.5081256549997306</c:v>
                </c:pt>
                <c:pt idx="6" formatCode="#,##0">
                  <c:v>372.71650265499989</c:v>
                </c:pt>
              </c:numCache>
            </c:numRef>
          </c:val>
          <c:extLst>
            <c:ext xmlns:c16="http://schemas.microsoft.com/office/drawing/2014/chart" uri="{C3380CC4-5D6E-409C-BE32-E72D297353CC}">
              <c16:uniqueId val="{00000008-DE12-46F4-B72C-D9A9F1C1EAF7}"/>
            </c:ext>
          </c:extLst>
        </c:ser>
        <c:ser>
          <c:idx val="6"/>
          <c:order val="5"/>
          <c:tx>
            <c:strRef>
              <c:f>'Res w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CL'!$D$72:$J$72</c:f>
              <c:numCache>
                <c:formatCode>#,##0</c:formatCode>
                <c:ptCount val="7"/>
                <c:pt idx="0">
                  <c:v>1812</c:v>
                </c:pt>
                <c:pt idx="6">
                  <c:v>1740.6464836550001</c:v>
                </c:pt>
              </c:numCache>
            </c:numRef>
          </c:val>
          <c:extLst>
            <c:ext xmlns:c16="http://schemas.microsoft.com/office/drawing/2014/chart" uri="{C3380CC4-5D6E-409C-BE32-E72D297353CC}">
              <c16:uniqueId val="{00000009-DE12-46F4-B72C-D9A9F1C1EAF7}"/>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1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 w CL'!$A$73</c:f>
          <c:strCache>
            <c:ptCount val="1"/>
            <c:pt idx="0">
              <c:v>SAPN Residential with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 w CL'!$C$73</c:f>
              <c:strCache>
                <c:ptCount val="1"/>
                <c:pt idx="0">
                  <c:v>Base</c:v>
                </c:pt>
              </c:strCache>
            </c:strRef>
          </c:tx>
          <c:spPr>
            <a:noFill/>
            <a:ln>
              <a:noFill/>
            </a:ln>
            <a:effectLst/>
          </c:spPr>
          <c:invertIfNegative val="0"/>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CL'!$D$73:$J$73</c:f>
              <c:numCache>
                <c:formatCode>#,##0</c:formatCode>
                <c:ptCount val="7"/>
                <c:pt idx="0">
                  <c:v>0</c:v>
                </c:pt>
                <c:pt idx="1">
                  <c:v>2244</c:v>
                </c:pt>
                <c:pt idx="2">
                  <c:v>2061.4153999999999</c:v>
                </c:pt>
                <c:pt idx="3">
                  <c:v>2061.4153999999999</c:v>
                </c:pt>
                <c:pt idx="4">
                  <c:v>2073.4274</c:v>
                </c:pt>
                <c:pt idx="5">
                  <c:v>2076.9436489999998</c:v>
                </c:pt>
                <c:pt idx="6">
                  <c:v>0</c:v>
                </c:pt>
              </c:numCache>
            </c:numRef>
          </c:val>
          <c:extLst>
            <c:ext xmlns:c16="http://schemas.microsoft.com/office/drawing/2014/chart" uri="{C3380CC4-5D6E-409C-BE32-E72D297353CC}">
              <c16:uniqueId val="{00000000-515C-4694-AE3F-D18AFE486833}"/>
            </c:ext>
          </c:extLst>
        </c:ser>
        <c:ser>
          <c:idx val="1"/>
          <c:order val="1"/>
          <c:tx>
            <c:strRef>
              <c:f>'Res w CL'!$C$74</c:f>
              <c:strCache>
                <c:ptCount val="1"/>
                <c:pt idx="0">
                  <c:v>Network cost</c:v>
                </c:pt>
              </c:strCache>
            </c:strRef>
          </c:tx>
          <c:spPr>
            <a:solidFill>
              <a:schemeClr val="tx2">
                <a:lumMod val="40000"/>
                <a:lumOff val="60000"/>
              </a:schemeClr>
            </a:solidFill>
            <a:ln>
              <a:noFill/>
            </a:ln>
            <a:effectLst/>
          </c:spPr>
          <c:invertIfNegative val="0"/>
          <c:dLbls>
            <c:dLbl>
              <c:idx val="1"/>
              <c:tx>
                <c:strRef>
                  <c:f>'Res w CL'!$K$74</c:f>
                  <c:strCache>
                    <c:ptCount val="1"/>
                    <c:pt idx="0">
                      <c:v>+17.8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{8DAC8EDD-0280-4C28-A754-0DFF63CAD1AF}</c15:txfldGUID>
                      <c15:f>'Res w CL'!$K$74</c15:f>
                      <c15:dlblFieldTableCache>
                        <c:ptCount val="1"/>
                        <c:pt idx="0">
                          <c:v>+17.8</c:v>
                        </c:pt>
                      </c15:dlblFieldTableCache>
                    </c15:dlblFTEntry>
                  </c15:dlblFieldTable>
                  <c15:showDataLabelsRange val="0"/>
                </c:ext>
                <c:ext xmlns:c16="http://schemas.microsoft.com/office/drawing/2014/chart" uri="{C3380CC4-5D6E-409C-BE32-E72D297353CC}">
                  <c16:uniqueId val="{00000001-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CL'!$D$74:$J$74</c:f>
              <c:numCache>
                <c:formatCode>#,##0.0</c:formatCode>
                <c:ptCount val="7"/>
                <c:pt idx="0" formatCode="#,##0">
                  <c:v>990.55</c:v>
                </c:pt>
                <c:pt idx="1">
                  <c:v>17.751800000000117</c:v>
                </c:pt>
                <c:pt idx="6" formatCode="#,##0">
                  <c:v>1008.3018000000001</c:v>
                </c:pt>
              </c:numCache>
            </c:numRef>
          </c:val>
          <c:extLst>
            <c:ext xmlns:c16="http://schemas.microsoft.com/office/drawing/2014/chart" uri="{C3380CC4-5D6E-409C-BE32-E72D297353CC}">
              <c16:uniqueId val="{00000002-515C-4694-AE3F-D18AFE486833}"/>
            </c:ext>
          </c:extLst>
        </c:ser>
        <c:ser>
          <c:idx val="2"/>
          <c:order val="2"/>
          <c:tx>
            <c:strRef>
              <c:f>'Res w CL'!$C$75</c:f>
              <c:strCache>
                <c:ptCount val="1"/>
                <c:pt idx="0">
                  <c:v>Wholesale cost</c:v>
                </c:pt>
              </c:strCache>
            </c:strRef>
          </c:tx>
          <c:spPr>
            <a:solidFill>
              <a:schemeClr val="accent2">
                <a:lumMod val="60000"/>
                <a:lumOff val="40000"/>
              </a:schemeClr>
            </a:solidFill>
            <a:ln>
              <a:noFill/>
            </a:ln>
            <a:effectLst/>
          </c:spPr>
          <c:invertIfNegative val="0"/>
          <c:dLbls>
            <c:dLbl>
              <c:idx val="2"/>
              <c:tx>
                <c:strRef>
                  <c:f>'Res w CL'!$K$75</c:f>
                  <c:strCache>
                    <c:ptCount val="1"/>
                    <c:pt idx="0">
                      <c:v>-200.3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{EB3E5D17-FEC8-4A2D-9530-03002C5488BF}</c15:txfldGUID>
                      <c15:f>'Res w CL'!$K$75</c15:f>
                      <c15:dlblFieldTableCache>
                        <c:ptCount val="1"/>
                        <c:pt idx="0">
                          <c:v>-200.3</c:v>
                        </c:pt>
                      </c15:dlblFieldTableCache>
                    </c15:dlblFTEntry>
                  </c15:dlblFieldTable>
                  <c15:showDataLabelsRange val="0"/>
                </c:ext>
                <c:ext xmlns:c16="http://schemas.microsoft.com/office/drawing/2014/chart" uri="{C3380CC4-5D6E-409C-BE32-E72D297353CC}">
                  <c16:uniqueId val="{00000003-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CL'!$D$75:$J$75</c:f>
              <c:numCache>
                <c:formatCode>#,##0.0</c:formatCode>
                <c:ptCount val="7"/>
                <c:pt idx="0" formatCode="#,##0">
                  <c:v>896.4713999999999</c:v>
                </c:pt>
                <c:pt idx="2">
                  <c:v>200.33639999999991</c:v>
                </c:pt>
                <c:pt idx="6" formatCode="#,##0">
                  <c:v>696.13499999999999</c:v>
                </c:pt>
              </c:numCache>
            </c:numRef>
          </c:val>
          <c:extLst>
            <c:ext xmlns:c16="http://schemas.microsoft.com/office/drawing/2014/chart" uri="{C3380CC4-5D6E-409C-BE32-E72D297353CC}">
              <c16:uniqueId val="{00000004-515C-4694-AE3F-D18AFE486833}"/>
            </c:ext>
          </c:extLst>
        </c:ser>
        <c:ser>
          <c:idx val="3"/>
          <c:order val="3"/>
          <c:tx>
            <c:strRef>
              <c:f>'Res w CL'!$C$76</c:f>
              <c:strCache>
                <c:ptCount val="1"/>
                <c:pt idx="0">
                  <c:v>Environmental cost</c:v>
                </c:pt>
              </c:strCache>
            </c:strRef>
          </c:tx>
          <c:spPr>
            <a:solidFill>
              <a:srgbClr val="92D050"/>
            </a:solidFill>
            <a:ln>
              <a:noFill/>
            </a:ln>
            <a:effectLst/>
          </c:spPr>
          <c:invertIfNegative val="0"/>
          <c:dLbls>
            <c:dLbl>
              <c:idx val="3"/>
              <c:tx>
                <c:strRef>
                  <c:f>'Res w CL'!$K$76</c:f>
                  <c:strCache>
                    <c:ptCount val="1"/>
                    <c:pt idx="0">
                      <c:v>+12.0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{AF825D7D-A015-457C-81D4-02E3D5E3A81A}</c15:txfldGUID>
                      <c15:f>'Res w CL'!$K$76</c15:f>
                      <c15:dlblFieldTableCache>
                        <c:ptCount val="1"/>
                        <c:pt idx="0">
                          <c:v>+12.0</c:v>
                        </c:pt>
                      </c15:dlblFieldTableCache>
                    </c15:dlblFTEntry>
                  </c15:dlblFieldTable>
                  <c15:showDataLabelsRange val="0"/>
                </c:ext>
                <c:ext xmlns:c16="http://schemas.microsoft.com/office/drawing/2014/chart" uri="{C3380CC4-5D6E-409C-BE32-E72D297353CC}">
                  <c16:uniqueId val="{00000005-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CL'!$D$76:$J$76</c:f>
              <c:numCache>
                <c:formatCode>#,##0.0</c:formatCode>
                <c:ptCount val="7"/>
                <c:pt idx="0" formatCode="#,##0">
                  <c:v>122.562</c:v>
                </c:pt>
                <c:pt idx="3">
                  <c:v>12.012000000000015</c:v>
                </c:pt>
                <c:pt idx="6" formatCode="#,##0">
                  <c:v>134.57400000000001</c:v>
                </c:pt>
              </c:numCache>
            </c:numRef>
          </c:val>
          <c:extLst>
            <c:ext xmlns:c16="http://schemas.microsoft.com/office/drawing/2014/chart" uri="{C3380CC4-5D6E-409C-BE32-E72D297353CC}">
              <c16:uniqueId val="{00000006-515C-4694-AE3F-D18AFE486833}"/>
            </c:ext>
          </c:extLst>
        </c:ser>
        <c:ser>
          <c:idx val="4"/>
          <c:order val="4"/>
          <c:tx>
            <c:strRef>
              <c:f>'Res w CL'!$C$77</c:f>
              <c:strCache>
                <c:ptCount val="1"/>
                <c:pt idx="0">
                  <c:v>Residual cost</c:v>
                </c:pt>
              </c:strCache>
            </c:strRef>
          </c:tx>
          <c:spPr>
            <a:solidFill>
              <a:schemeClr val="accent6">
                <a:lumMod val="20000"/>
                <a:lumOff val="80000"/>
              </a:schemeClr>
            </a:solidFill>
            <a:ln>
              <a:noFill/>
            </a:ln>
            <a:effectLst/>
          </c:spPr>
          <c:invertIfNegative val="0"/>
          <c:dLbls>
            <c:dLbl>
              <c:idx val="4"/>
              <c:tx>
                <c:strRef>
                  <c:f>'Res w CL'!$K$77</c:f>
                  <c:strCache>
                    <c:ptCount val="1"/>
                    <c:pt idx="0">
                      <c:v>+3.5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{2D7CA3B1-5346-4D32-82D6-8712892D3299}</c15:txfldGUID>
                      <c15:f>'Res w CL'!$K$77</c15:f>
                      <c15:dlblFieldTableCache>
                        <c:ptCount val="1"/>
                        <c:pt idx="0">
                          <c:v>+3.5</c:v>
                        </c:pt>
                      </c15:dlblFieldTableCache>
                    </c15:dlblFTEntry>
                  </c15:dlblFieldTable>
                  <c15:showDataLabelsRange val="0"/>
                </c:ext>
                <c:ext xmlns:c16="http://schemas.microsoft.com/office/drawing/2014/chart" uri="{C3380CC4-5D6E-409C-BE32-E72D297353CC}">
                  <c16:uniqueId val="{00000007-515C-4694-AE3F-D18AFE486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CL'!$D$77:$J$77</c:f>
              <c:numCache>
                <c:formatCode>#,##0.0</c:formatCode>
                <c:ptCount val="7"/>
                <c:pt idx="0" formatCode="#,##0">
                  <c:v>234.41660000000024</c:v>
                </c:pt>
                <c:pt idx="4">
                  <c:v>3.5162490000000162</c:v>
                </c:pt>
                <c:pt idx="6" formatCode="#,##0">
                  <c:v>237.93284900000026</c:v>
                </c:pt>
              </c:numCache>
            </c:numRef>
          </c:val>
          <c:extLst>
            <c:ext xmlns:c16="http://schemas.microsoft.com/office/drawing/2014/chart" uri="{C3380CC4-5D6E-409C-BE32-E72D297353CC}">
              <c16:uniqueId val="{00000008-515C-4694-AE3F-D18AFE486833}"/>
            </c:ext>
          </c:extLst>
        </c:ser>
        <c:ser>
          <c:idx val="6"/>
          <c:order val="5"/>
          <c:tx>
            <c:strRef>
              <c:f>'Res w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w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'Res w CL'!$D$79:$J$79</c:f>
              <c:numCache>
                <c:formatCode>#,##0</c:formatCode>
                <c:ptCount val="7"/>
                <c:pt idx="0">
                  <c:v>2244</c:v>
                </c:pt>
                <c:pt idx="6">
                  <c:v>2076.9436490000003</c:v>
                </c:pt>
              </c:numCache>
            </c:numRef>
          </c:val>
          <c:extLst>
            <c:ext xmlns:c16="http://schemas.microsoft.com/office/drawing/2014/chart" uri="{C3380CC4-5D6E-409C-BE32-E72D297353CC}">
              <c16:uniqueId val="{00000009-515C-4694-AE3F-D18AFE48683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26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CL'!$A$45</c:f>
          <c:strCache>
            <c:ptCount val="1"/>
            <c:pt idx="0">
              <c:v>Ausgrid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CL'!$C$45</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CL'!$D$45:$J$45</c:f>
              <c:numCache>
                <c:formatCode>#,##0</c:formatCode>
                <c:ptCount val="7"/>
                <c:pt idx="0">
                  <c:v>0</c:v>
                </c:pt>
                <c:pt idx="1">
                  <c:v>7240</c:v>
                </c:pt>
                <c:pt idx="2">
                  <c:v>6822.6374390000001</c:v>
                </c:pt>
                <c:pt idx="3">
                  <c:v>6822.6374390000001</c:v>
                </c:pt>
                <c:pt idx="4">
                  <c:v>6866.6374390000001</c:v>
                </c:pt>
                <c:pt idx="5">
                  <c:v>6899.7461124024994</c:v>
                </c:pt>
                <c:pt idx="6">
                  <c:v>0</c:v>
                </c:pt>
              </c:numCache>
            </c:numRef>
          </c:val>
          <c:extLst>
            <c:ext xmlns:c16="http://schemas.microsoft.com/office/drawing/2014/chart" uri="{C3380CC4-5D6E-409C-BE32-E72D297353CC}">
              <c16:uniqueId val="{00000000-F948-4BBA-97B0-65B78FDDDE39}"/>
            </c:ext>
          </c:extLst>
        </c:ser>
        <c:ser>
          <c:idx val="1"/>
          <c:order val="1"/>
          <c:tx>
            <c:strRef>
              <c:f>'SB wo CL'!$C$46</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CL'!$K$46</c:f>
                  <c:strCache>
                    <c:ptCount val="1"/>
                    <c:pt idx="0">
                      <c:v>+91.3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{4A337C1D-5ED2-44EB-A96F-791811FBBF15}</c15:txfldGUID>
                      <c15:f>'SB wo CL'!$K$46</c15:f>
                      <c15:dlblFieldTableCache>
                        <c:ptCount val="1"/>
                        <c:pt idx="0">
                          <c:v>+91.3</c:v>
                        </c:pt>
                      </c15:dlblFieldTableCache>
                    </c15:dlblFTEntry>
                  </c15:dlblFieldTable>
                  <c15:showDataLabelsRange val="0"/>
                </c:ext>
                <c:ext xmlns:c16="http://schemas.microsoft.com/office/drawing/2014/chart" uri="{C3380CC4-5D6E-409C-BE32-E72D297353CC}">
                  <c16:uniqueId val="{00000001-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CL'!$D$46:$J$46</c:f>
              <c:numCache>
                <c:formatCode>#,##0.0</c:formatCode>
                <c:ptCount val="7"/>
                <c:pt idx="0" formatCode="#,##0">
                  <c:v>2211.6951064999998</c:v>
                </c:pt>
                <c:pt idx="1">
                  <c:v>91.277439000000413</c:v>
                </c:pt>
                <c:pt idx="6" formatCode="#,##0">
                  <c:v>2302.9725455000003</c:v>
                </c:pt>
              </c:numCache>
            </c:numRef>
          </c:val>
          <c:extLst>
            <c:ext xmlns:c16="http://schemas.microsoft.com/office/drawing/2014/chart" uri="{C3380CC4-5D6E-409C-BE32-E72D297353CC}">
              <c16:uniqueId val="{00000002-F948-4BBA-97B0-65B78FDDDE39}"/>
            </c:ext>
          </c:extLst>
        </c:ser>
        <c:ser>
          <c:idx val="2"/>
          <c:order val="2"/>
          <c:tx>
            <c:strRef>
              <c:f>'SB wo CL'!$C$47</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CL'!$K$47</c:f>
                  <c:strCache>
                    <c:ptCount val="1"/>
                    <c:pt idx="0">
                      <c:v>-508.6</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{99B19519-BA62-4D64-9A04-EED34C6FF523}</c15:txfldGUID>
                      <c15:f>'SB wo CL'!$K$47</c15:f>
                      <c15:dlblFieldTableCache>
                        <c:ptCount val="1"/>
                        <c:pt idx="0">
                          <c:v>-508.6</c:v>
                        </c:pt>
                      </c15:dlblFieldTableCache>
                    </c15:dlblFTEntry>
                  </c15:dlblFieldTable>
                  <c15:showDataLabelsRange val="0"/>
                </c:ext>
                <c:ext xmlns:c16="http://schemas.microsoft.com/office/drawing/2014/chart" uri="{C3380CC4-5D6E-409C-BE32-E72D297353CC}">
                  <c16:uniqueId val="{00000003-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CL'!$D$47:$J$47</c:f>
              <c:numCache>
                <c:formatCode>#,##0.0</c:formatCode>
                <c:ptCount val="7"/>
                <c:pt idx="0" formatCode="#,##0">
                  <c:v>2443.3199999999997</c:v>
                </c:pt>
                <c:pt idx="2">
                  <c:v>508.63999999999987</c:v>
                </c:pt>
                <c:pt idx="6" formatCode="#,##0">
                  <c:v>1934.6799999999998</c:v>
                </c:pt>
              </c:numCache>
            </c:numRef>
          </c:val>
          <c:extLst>
            <c:ext xmlns:c16="http://schemas.microsoft.com/office/drawing/2014/chart" uri="{C3380CC4-5D6E-409C-BE32-E72D297353CC}">
              <c16:uniqueId val="{00000004-F948-4BBA-97B0-65B78FDDDE39}"/>
            </c:ext>
          </c:extLst>
        </c:ser>
        <c:ser>
          <c:idx val="3"/>
          <c:order val="3"/>
          <c:tx>
            <c:strRef>
              <c:f>'SB wo CL'!$C$48</c:f>
              <c:strCache>
                <c:ptCount val="1"/>
                <c:pt idx="0">
                  <c:v>Environmental cost</c:v>
                </c:pt>
              </c:strCache>
            </c:strRef>
          </c:tx>
          <c:spPr>
            <a:solidFill>
              <a:srgbClr val="92D050"/>
            </a:solidFill>
            <a:ln>
              <a:noFill/>
            </a:ln>
            <a:effectLst/>
          </c:spPr>
          <c:invertIfNegative val="0"/>
          <c:dLbls>
            <c:dLbl>
              <c:idx val="3"/>
              <c:layout/>
              <c:tx>
                <c:strRef>
                  <c:f>'SB wo CL'!$K$48</c:f>
                  <c:strCache>
                    <c:ptCount val="1"/>
                    <c:pt idx="0">
                      <c:v>+44.0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{6C741989-EF79-4E0B-934E-43A89B87E2F8}</c15:txfldGUID>
                      <c15:f>'SB wo CL'!$K$48</c15:f>
                      <c15:dlblFieldTableCache>
                        <c:ptCount val="1"/>
                        <c:pt idx="0">
                          <c:v>+44.0</c:v>
                        </c:pt>
                      </c15:dlblFieldTableCache>
                    </c15:dlblFTEntry>
                  </c15:dlblFieldTable>
                  <c15:showDataLabelsRange val="0"/>
                </c:ext>
                <c:ext xmlns:c16="http://schemas.microsoft.com/office/drawing/2014/chart" uri="{C3380CC4-5D6E-409C-BE32-E72D297353CC}">
                  <c16:uniqueId val="{00000005-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CL'!$D$48:$J$48</c:f>
              <c:numCache>
                <c:formatCode>#,##0.0</c:formatCode>
                <c:ptCount val="7"/>
                <c:pt idx="0" formatCode="#,##0">
                  <c:v>377.74</c:v>
                </c:pt>
                <c:pt idx="3">
                  <c:v>44</c:v>
                </c:pt>
                <c:pt idx="6" formatCode="#,##0">
                  <c:v>421.74</c:v>
                </c:pt>
              </c:numCache>
            </c:numRef>
          </c:val>
          <c:extLst>
            <c:ext xmlns:c16="http://schemas.microsoft.com/office/drawing/2014/chart" uri="{C3380CC4-5D6E-409C-BE32-E72D297353CC}">
              <c16:uniqueId val="{00000006-F948-4BBA-97B0-65B78FDDDE39}"/>
            </c:ext>
          </c:extLst>
        </c:ser>
        <c:ser>
          <c:idx val="4"/>
          <c:order val="4"/>
          <c:tx>
            <c:strRef>
              <c:f>'SB wo CL'!$C$49</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CL'!$K$49</c:f>
                  <c:strCache>
                    <c:ptCount val="1"/>
                    <c:pt idx="0">
                      <c:v>+33.1</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{22E0144B-9BC3-4E53-B72E-1EC5653C736D}</c15:txfldGUID>
                      <c15:f>'SB wo CL'!$K$49</c15:f>
                      <c15:dlblFieldTableCache>
                        <c:ptCount val="1"/>
                        <c:pt idx="0">
                          <c:v>+33.1</c:v>
                        </c:pt>
                      </c15:dlblFieldTableCache>
                    </c15:dlblFTEntry>
                  </c15:dlblFieldTable>
                  <c15:showDataLabelsRange val="0"/>
                </c:ext>
                <c:ext xmlns:c16="http://schemas.microsoft.com/office/drawing/2014/chart" uri="{C3380CC4-5D6E-409C-BE32-E72D297353CC}">
                  <c16:uniqueId val="{00000007-F948-4BBA-97B0-65B78FDDD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CL'!$D$49:$J$49</c:f>
              <c:numCache>
                <c:formatCode>#,##0.0</c:formatCode>
                <c:ptCount val="7"/>
                <c:pt idx="0" formatCode="#,##0">
                  <c:v>2207.2448935000011</c:v>
                </c:pt>
                <c:pt idx="4">
                  <c:v>33.108673402499335</c:v>
                </c:pt>
                <c:pt idx="6" formatCode="#,##0">
                  <c:v>2240.3535669025005</c:v>
                </c:pt>
              </c:numCache>
            </c:numRef>
          </c:val>
          <c:extLst>
            <c:ext xmlns:c16="http://schemas.microsoft.com/office/drawing/2014/chart" uri="{C3380CC4-5D6E-409C-BE32-E72D297353CC}">
              <c16:uniqueId val="{00000008-F948-4BBA-97B0-65B78FDDDE39}"/>
            </c:ext>
          </c:extLst>
        </c:ser>
        <c:ser>
          <c:idx val="6"/>
          <c:order val="5"/>
          <c:tx>
            <c:strRef>
              <c:f>'SB wo CL'!$C$51</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CL'!$D$51:$J$51</c:f>
              <c:numCache>
                <c:formatCode>#,##0</c:formatCode>
                <c:ptCount val="7"/>
                <c:pt idx="0">
                  <c:v>7240</c:v>
                </c:pt>
                <c:pt idx="6">
                  <c:v>6899.7461124025003</c:v>
                </c:pt>
              </c:numCache>
            </c:numRef>
          </c:val>
          <c:extLst>
            <c:ext xmlns:c16="http://schemas.microsoft.com/office/drawing/2014/chart" uri="{C3380CC4-5D6E-409C-BE32-E72D297353CC}">
              <c16:uniqueId val="{00000009-F948-4BBA-97B0-65B78FDDDE39}"/>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8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CL'!$A$52</c:f>
          <c:strCache>
            <c:ptCount val="1"/>
            <c:pt idx="0">
              <c:v>Endeavour Small Business without CL $</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CL'!$C$52</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CL'!$D$52:$J$52</c:f>
              <c:numCache>
                <c:formatCode>#,##0</c:formatCode>
                <c:ptCount val="7"/>
                <c:pt idx="0">
                  <c:v>0</c:v>
                </c:pt>
                <c:pt idx="1">
                  <c:v>6177</c:v>
                </c:pt>
                <c:pt idx="2">
                  <c:v>5674.9605499999998</c:v>
                </c:pt>
                <c:pt idx="3">
                  <c:v>5674.9605499999998</c:v>
                </c:pt>
                <c:pt idx="4">
                  <c:v>5717.8605499999994</c:v>
                </c:pt>
                <c:pt idx="5">
                  <c:v>5736.1429715000004</c:v>
                </c:pt>
                <c:pt idx="6">
                  <c:v>0</c:v>
                </c:pt>
              </c:numCache>
            </c:numRef>
          </c:val>
          <c:extLst>
            <c:ext xmlns:c16="http://schemas.microsoft.com/office/drawing/2014/chart" uri="{C3380CC4-5D6E-409C-BE32-E72D297353CC}">
              <c16:uniqueId val="{00000000-F023-4F12-9CC7-4FBE2ABD70B3}"/>
            </c:ext>
          </c:extLst>
        </c:ser>
        <c:ser>
          <c:idx val="1"/>
          <c:order val="1"/>
          <c:tx>
            <c:strRef>
              <c:f>'SB wo CL'!$C$53</c:f>
              <c:strCache>
                <c:ptCount val="1"/>
                <c:pt idx="0">
                  <c:v>Network cost</c:v>
                </c:pt>
              </c:strCache>
            </c:strRef>
          </c:tx>
          <c:spPr>
            <a:solidFill>
              <a:schemeClr val="tx2">
                <a:lumMod val="40000"/>
                <a:lumOff val="60000"/>
              </a:schemeClr>
            </a:solidFill>
            <a:ln>
              <a:noFill/>
            </a:ln>
            <a:effectLst/>
          </c:spPr>
          <c:invertIfNegative val="0"/>
          <c:dLbls>
            <c:dLbl>
              <c:idx val="1"/>
              <c:layout/>
              <c:tx>
                <c:strRef>
                  <c:f>'SB wo CL'!$K$53</c:f>
                  <c:strCache>
                    <c:ptCount val="1"/>
                    <c:pt idx="0">
                      <c:v>+26.0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{6E16E171-5088-4D13-9950-55FA54793A95}</c15:txfldGUID>
                      <c15:f>'SB wo CL'!$K$53</c15:f>
                      <c15:dlblFieldTableCache>
                        <c:ptCount val="1"/>
                        <c:pt idx="0">
                          <c:v>+26.0</c:v>
                        </c:pt>
                      </c15:dlblFieldTableCache>
                    </c15:dlblFTEntry>
                  </c15:dlblFieldTable>
                  <c15:showDataLabelsRange val="0"/>
                </c:ext>
                <c:ext xmlns:c16="http://schemas.microsoft.com/office/drawing/2014/chart" uri="{C3380CC4-5D6E-409C-BE32-E72D297353CC}">
                  <c16:uniqueId val="{00000001-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CL'!$D$53:$J$53</c:f>
              <c:numCache>
                <c:formatCode>#,##0.0</c:formatCode>
                <c:ptCount val="7"/>
                <c:pt idx="0" formatCode="#,##0">
                  <c:v>2106.3119000000002</c:v>
                </c:pt>
                <c:pt idx="1">
                  <c:v>25.960549999999785</c:v>
                </c:pt>
                <c:pt idx="6" formatCode="#,##0">
                  <c:v>2132.2724499999999</c:v>
                </c:pt>
              </c:numCache>
            </c:numRef>
          </c:val>
          <c:extLst>
            <c:ext xmlns:c16="http://schemas.microsoft.com/office/drawing/2014/chart" uri="{C3380CC4-5D6E-409C-BE32-E72D297353CC}">
              <c16:uniqueId val="{00000002-F023-4F12-9CC7-4FBE2ABD70B3}"/>
            </c:ext>
          </c:extLst>
        </c:ser>
        <c:ser>
          <c:idx val="2"/>
          <c:order val="2"/>
          <c:tx>
            <c:strRef>
              <c:f>'SB wo CL'!$C$54</c:f>
              <c:strCache>
                <c:ptCount val="1"/>
                <c:pt idx="0">
                  <c:v>Wholesale cost</c:v>
                </c:pt>
              </c:strCache>
            </c:strRef>
          </c:tx>
          <c:spPr>
            <a:solidFill>
              <a:schemeClr val="accent2">
                <a:lumMod val="60000"/>
                <a:lumOff val="40000"/>
              </a:schemeClr>
            </a:solidFill>
            <a:ln>
              <a:noFill/>
            </a:ln>
            <a:effectLst/>
          </c:spPr>
          <c:invertIfNegative val="0"/>
          <c:dLbls>
            <c:dLbl>
              <c:idx val="2"/>
              <c:layout/>
              <c:tx>
                <c:strRef>
                  <c:f>'SB wo CL'!$K$54</c:f>
                  <c:strCache>
                    <c:ptCount val="1"/>
                    <c:pt idx="0">
                      <c:v>-528.0</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{851AC2EE-6D73-4D62-AADA-BC069AFBA76B}</c15:txfldGUID>
                      <c15:f>'SB wo CL'!$K$54</c15:f>
                      <c15:dlblFieldTableCache>
                        <c:ptCount val="1"/>
                        <c:pt idx="0">
                          <c:v>-528.0</c:v>
                        </c:pt>
                      </c15:dlblFieldTableCache>
                    </c15:dlblFTEntry>
                  </c15:dlblFieldTable>
                  <c15:showDataLabelsRange val="0"/>
                </c:ext>
                <c:ext xmlns:c16="http://schemas.microsoft.com/office/drawing/2014/chart" uri="{C3380CC4-5D6E-409C-BE32-E72D297353CC}">
                  <c16:uniqueId val="{00000003-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CL'!$D$54:$J$54</c:f>
              <c:numCache>
                <c:formatCode>#,##0.0</c:formatCode>
                <c:ptCount val="7"/>
                <c:pt idx="0" formatCode="#,##0">
                  <c:v>2469.94</c:v>
                </c:pt>
                <c:pt idx="2">
                  <c:v>528</c:v>
                </c:pt>
                <c:pt idx="6" formatCode="#,##0">
                  <c:v>1941.94</c:v>
                </c:pt>
              </c:numCache>
            </c:numRef>
          </c:val>
          <c:extLst>
            <c:ext xmlns:c16="http://schemas.microsoft.com/office/drawing/2014/chart" uri="{C3380CC4-5D6E-409C-BE32-E72D297353CC}">
              <c16:uniqueId val="{00000004-F023-4F12-9CC7-4FBE2ABD70B3}"/>
            </c:ext>
          </c:extLst>
        </c:ser>
        <c:ser>
          <c:idx val="3"/>
          <c:order val="3"/>
          <c:tx>
            <c:strRef>
              <c:f>'SB wo CL'!$C$55</c:f>
              <c:strCache>
                <c:ptCount val="1"/>
                <c:pt idx="0">
                  <c:v>Environmental cost</c:v>
                </c:pt>
              </c:strCache>
            </c:strRef>
          </c:tx>
          <c:spPr>
            <a:solidFill>
              <a:srgbClr val="92D050"/>
            </a:solidFill>
            <a:ln>
              <a:noFill/>
            </a:ln>
            <a:effectLst/>
          </c:spPr>
          <c:invertIfNegative val="0"/>
          <c:dLbls>
            <c:dLbl>
              <c:idx val="3"/>
              <c:layout/>
              <c:tx>
                <c:strRef>
                  <c:f>'SB wo CL'!$K$55</c:f>
                  <c:strCache>
                    <c:ptCount val="1"/>
                    <c:pt idx="0">
                      <c:v>+42.9</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{4F5F180F-FD48-40FA-9BB0-8973DDF45629}</c15:txfldGUID>
                      <c15:f>'SB wo CL'!$K$55</c15:f>
                      <c15:dlblFieldTableCache>
                        <c:ptCount val="1"/>
                        <c:pt idx="0">
                          <c:v>+42.9</c:v>
                        </c:pt>
                      </c15:dlblFieldTableCache>
                    </c15:dlblFTEntry>
                  </c15:dlblFieldTable>
                  <c15:showDataLabelsRange val="0"/>
                </c:ext>
                <c:ext xmlns:c16="http://schemas.microsoft.com/office/drawing/2014/chart" uri="{C3380CC4-5D6E-409C-BE32-E72D297353CC}">
                  <c16:uniqueId val="{00000005-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CL'!$D$55:$J$55</c:f>
              <c:numCache>
                <c:formatCode>#,##0.0</c:formatCode>
                <c:ptCount val="7"/>
                <c:pt idx="0" formatCode="#,##0">
                  <c:v>381.91999999999996</c:v>
                </c:pt>
                <c:pt idx="3">
                  <c:v>42.900000000000034</c:v>
                </c:pt>
                <c:pt idx="6" formatCode="#,##0">
                  <c:v>424.82</c:v>
                </c:pt>
              </c:numCache>
            </c:numRef>
          </c:val>
          <c:extLst>
            <c:ext xmlns:c16="http://schemas.microsoft.com/office/drawing/2014/chart" uri="{C3380CC4-5D6E-409C-BE32-E72D297353CC}">
              <c16:uniqueId val="{00000006-F023-4F12-9CC7-4FBE2ABD70B3}"/>
            </c:ext>
          </c:extLst>
        </c:ser>
        <c:ser>
          <c:idx val="4"/>
          <c:order val="4"/>
          <c:tx>
            <c:strRef>
              <c:f>'SB wo CL'!$C$56</c:f>
              <c:strCache>
                <c:ptCount val="1"/>
                <c:pt idx="0">
                  <c:v>Residual cost</c:v>
                </c:pt>
              </c:strCache>
            </c:strRef>
          </c:tx>
          <c:spPr>
            <a:solidFill>
              <a:schemeClr val="accent6">
                <a:lumMod val="20000"/>
                <a:lumOff val="80000"/>
              </a:schemeClr>
            </a:solidFill>
            <a:ln>
              <a:noFill/>
            </a:ln>
            <a:effectLst/>
          </c:spPr>
          <c:invertIfNegative val="0"/>
          <c:dLbls>
            <c:dLbl>
              <c:idx val="4"/>
              <c:layout/>
              <c:tx>
                <c:strRef>
                  <c:f>'SB wo CL'!$K$56</c:f>
                  <c:strCache>
                    <c:ptCount val="1"/>
                    <c:pt idx="0">
                      <c:v>+18.3</c:v>
                    </c:pt>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{98E80D19-364A-4A64-9DC4-AA2447890058}</c15:txfldGUID>
                      <c15:f>'SB wo CL'!$K$56</c15:f>
                      <c15:dlblFieldTableCache>
                        <c:ptCount val="1"/>
                        <c:pt idx="0">
                          <c:v>+18.3</c:v>
                        </c:pt>
                      </c15:dlblFieldTableCache>
                    </c15:dlblFTEntry>
                  </c15:dlblFieldTable>
                  <c15:showDataLabelsRange val="0"/>
                </c:ext>
                <c:ext xmlns:c16="http://schemas.microsoft.com/office/drawing/2014/chart" uri="{C3380CC4-5D6E-409C-BE32-E72D297353CC}">
                  <c16:uniqueId val="{00000007-F023-4F12-9CC7-4FBE2ABD70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CL'!$D$56:$J$56</c:f>
              <c:numCache>
                <c:formatCode>#,##0.0</c:formatCode>
                <c:ptCount val="7"/>
                <c:pt idx="0" formatCode="#,##0">
                  <c:v>1218.8280999999997</c:v>
                </c:pt>
                <c:pt idx="4">
                  <c:v>18.282421500000964</c:v>
                </c:pt>
                <c:pt idx="6" formatCode="#,##0">
                  <c:v>1237.1105215000007</c:v>
                </c:pt>
              </c:numCache>
            </c:numRef>
          </c:val>
          <c:extLst>
            <c:ext xmlns:c16="http://schemas.microsoft.com/office/drawing/2014/chart" uri="{C3380CC4-5D6E-409C-BE32-E72D297353CC}">
              <c16:uniqueId val="{00000008-F023-4F12-9CC7-4FBE2ABD70B3}"/>
            </c:ext>
          </c:extLst>
        </c:ser>
        <c:ser>
          <c:idx val="6"/>
          <c:order val="5"/>
          <c:tx>
            <c:strRef>
              <c:f>'SB wo CL'!$C$58</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CL'!$D$58:$J$58</c:f>
              <c:numCache>
                <c:formatCode>#,##0</c:formatCode>
                <c:ptCount val="7"/>
                <c:pt idx="0">
                  <c:v>6177</c:v>
                </c:pt>
                <c:pt idx="6">
                  <c:v>5736.1429715000004</c:v>
                </c:pt>
              </c:numCache>
            </c:numRef>
          </c:val>
          <c:extLst>
            <c:ext xmlns:c16="http://schemas.microsoft.com/office/drawing/2014/chart" uri="{C3380CC4-5D6E-409C-BE32-E72D297353CC}">
              <c16:uniqueId val="{00000009-F023-4F12-9CC7-4FBE2ABD70B3}"/>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CL'!$A$59</c:f>
          <c:strCache>
            <c:ptCount val="1"/>
            <c:pt idx="0">
              <c:v>Essential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CL'!$C$59</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CL'!$D$59:$J$59</c:f>
              <c:numCache>
                <c:formatCode>#,##0</c:formatCode>
                <c:ptCount val="7"/>
                <c:pt idx="0">
                  <c:v>0</c:v>
                </c:pt>
                <c:pt idx="1">
                  <c:v>8041</c:v>
                </c:pt>
                <c:pt idx="2">
                  <c:v>7724.1911999999993</c:v>
                </c:pt>
                <c:pt idx="3">
                  <c:v>7724.1911999999993</c:v>
                </c:pt>
                <c:pt idx="4">
                  <c:v>7763.5711999999994</c:v>
                </c:pt>
                <c:pt idx="5">
                  <c:v>7790.8828249999997</c:v>
                </c:pt>
                <c:pt idx="6">
                  <c:v>0</c:v>
                </c:pt>
              </c:numCache>
            </c:numRef>
          </c:val>
          <c:extLst>
            <c:ext xmlns:c16="http://schemas.microsoft.com/office/drawing/2014/chart" uri="{C3380CC4-5D6E-409C-BE32-E72D297353CC}">
              <c16:uniqueId val="{00000000-7C24-445E-9F2C-7B04B13884EE}"/>
            </c:ext>
          </c:extLst>
        </c:ser>
        <c:ser>
          <c:idx val="1"/>
          <c:order val="1"/>
          <c:tx>
            <c:strRef>
              <c:f>'SB wo CL'!$C$60</c:f>
              <c:strCache>
                <c:ptCount val="1"/>
                <c:pt idx="0">
                  <c:v>Network cost</c:v>
                </c:pt>
              </c:strCache>
            </c:strRef>
          </c:tx>
          <c:spPr>
            <a:solidFill>
              <a:schemeClr val="tx2">
                <a:lumMod val="40000"/>
                <a:lumOff val="60000"/>
              </a:schemeClr>
            </a:solidFill>
            <a:ln>
              <a:noFill/>
            </a:ln>
            <a:effectLst/>
          </c:spPr>
          <c:invertIfNegative val="0"/>
          <c:dLbls>
            <c:dLbl>
              <c:idx val="1"/>
              <c:tx>
                <c:strRef>
                  <c:f>'SB wo CL'!$K$60</c:f>
                  <c:strCache>
                    <c:ptCount val="1"/>
                    <c:pt idx="0">
                      <c:v>+192.7</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{8C856304-0E00-4346-8246-FDD7B185E024}</c15:txfldGUID>
                      <c15:f>'SB wo CL'!$K$60</c15:f>
                      <c15:dlblFieldTableCache>
                        <c:ptCount val="1"/>
                        <c:pt idx="0">
                          <c:v>+192.7</c:v>
                        </c:pt>
                      </c15:dlblFieldTableCache>
                    </c15:dlblFTEntry>
                  </c15:dlblFieldTable>
                  <c15:showDataLabelsRange val="0"/>
                </c:ext>
                <c:ext xmlns:c16="http://schemas.microsoft.com/office/drawing/2014/chart" uri="{C3380CC4-5D6E-409C-BE32-E72D297353CC}">
                  <c16:uniqueId val="{00000001-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CL'!$D$60:$J$60</c:f>
              <c:numCache>
                <c:formatCode>#,##0.0</c:formatCode>
                <c:ptCount val="7"/>
                <c:pt idx="0" formatCode="#,##0">
                  <c:v>3563.7250000000004</c:v>
                </c:pt>
                <c:pt idx="1">
                  <c:v>192.71119999999974</c:v>
                </c:pt>
                <c:pt idx="6" formatCode="#,##0">
                  <c:v>3756.4362000000001</c:v>
                </c:pt>
              </c:numCache>
            </c:numRef>
          </c:val>
          <c:extLst>
            <c:ext xmlns:c16="http://schemas.microsoft.com/office/drawing/2014/chart" uri="{C3380CC4-5D6E-409C-BE32-E72D297353CC}">
              <c16:uniqueId val="{00000002-7C24-445E-9F2C-7B04B13884EE}"/>
            </c:ext>
          </c:extLst>
        </c:ser>
        <c:ser>
          <c:idx val="2"/>
          <c:order val="2"/>
          <c:tx>
            <c:strRef>
              <c:f>'SB wo CL'!$C$61</c:f>
              <c:strCache>
                <c:ptCount val="1"/>
                <c:pt idx="0">
                  <c:v>Wholesale cost</c:v>
                </c:pt>
              </c:strCache>
            </c:strRef>
          </c:tx>
          <c:spPr>
            <a:solidFill>
              <a:schemeClr val="accent2">
                <a:lumMod val="60000"/>
                <a:lumOff val="40000"/>
              </a:schemeClr>
            </a:solidFill>
            <a:ln>
              <a:noFill/>
            </a:ln>
            <a:effectLst/>
          </c:spPr>
          <c:invertIfNegative val="0"/>
          <c:dLbls>
            <c:dLbl>
              <c:idx val="2"/>
              <c:tx>
                <c:strRef>
                  <c:f>'SB wo CL'!$K$61</c:f>
                  <c:strCache>
                    <c:ptCount val="1"/>
                    <c:pt idx="0">
                      <c:v>-509.5</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{EB6B4307-7062-45A1-A1BB-D6DF653CDDD8}</c15:txfldGUID>
                      <c15:f>'SB wo CL'!$K$61</c15:f>
                      <c15:dlblFieldTableCache>
                        <c:ptCount val="1"/>
                        <c:pt idx="0">
                          <c:v>-509.5</c:v>
                        </c:pt>
                      </c15:dlblFieldTableCache>
                    </c15:dlblFTEntry>
                  </c15:dlblFieldTable>
                  <c15:showDataLabelsRange val="0"/>
                </c:ext>
                <c:ext xmlns:c16="http://schemas.microsoft.com/office/drawing/2014/chart" uri="{C3380CC4-5D6E-409C-BE32-E72D297353CC}">
                  <c16:uniqueId val="{00000003-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CL'!$D$61:$J$61</c:f>
              <c:numCache>
                <c:formatCode>#,##0.0</c:formatCode>
                <c:ptCount val="7"/>
                <c:pt idx="0" formatCode="#,##0">
                  <c:v>2277</c:v>
                </c:pt>
                <c:pt idx="2">
                  <c:v>509.52</c:v>
                </c:pt>
                <c:pt idx="6" formatCode="#,##0">
                  <c:v>1767.48</c:v>
                </c:pt>
              </c:numCache>
            </c:numRef>
          </c:val>
          <c:extLst>
            <c:ext xmlns:c16="http://schemas.microsoft.com/office/drawing/2014/chart" uri="{C3380CC4-5D6E-409C-BE32-E72D297353CC}">
              <c16:uniqueId val="{00000004-7C24-445E-9F2C-7B04B13884EE}"/>
            </c:ext>
          </c:extLst>
        </c:ser>
        <c:ser>
          <c:idx val="3"/>
          <c:order val="3"/>
          <c:tx>
            <c:strRef>
              <c:f>'SB wo CL'!$C$62</c:f>
              <c:strCache>
                <c:ptCount val="1"/>
                <c:pt idx="0">
                  <c:v>Environmental cost</c:v>
                </c:pt>
              </c:strCache>
            </c:strRef>
          </c:tx>
          <c:spPr>
            <a:solidFill>
              <a:srgbClr val="92D050"/>
            </a:solidFill>
            <a:ln>
              <a:noFill/>
            </a:ln>
            <a:effectLst/>
          </c:spPr>
          <c:invertIfNegative val="0"/>
          <c:dLbls>
            <c:dLbl>
              <c:idx val="3"/>
              <c:tx>
                <c:strRef>
                  <c:f>'SB wo CL'!$K$62</c:f>
                  <c:strCache>
                    <c:ptCount val="1"/>
                    <c:pt idx="0">
                      <c:v>+39.4</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{3955B420-51AB-4573-BE97-B6A9377F5E07}</c15:txfldGUID>
                      <c15:f>'SB wo CL'!$K$62</c15:f>
                      <c15:dlblFieldTableCache>
                        <c:ptCount val="1"/>
                        <c:pt idx="0">
                          <c:v>+39.4</c:v>
                        </c:pt>
                      </c15:dlblFieldTableCache>
                    </c15:dlblFTEntry>
                  </c15:dlblFieldTable>
                  <c15:showDataLabelsRange val="0"/>
                </c:ext>
                <c:ext xmlns:c16="http://schemas.microsoft.com/office/drawing/2014/chart" uri="{C3380CC4-5D6E-409C-BE32-E72D297353CC}">
                  <c16:uniqueId val="{00000005-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CL'!$D$62:$J$62</c:f>
              <c:numCache>
                <c:formatCode>#,##0.0</c:formatCode>
                <c:ptCount val="7"/>
                <c:pt idx="0" formatCode="#,##0">
                  <c:v>379.5</c:v>
                </c:pt>
                <c:pt idx="3">
                  <c:v>39.379999999999995</c:v>
                </c:pt>
                <c:pt idx="6" formatCode="#,##0">
                  <c:v>418.88</c:v>
                </c:pt>
              </c:numCache>
            </c:numRef>
          </c:val>
          <c:extLst>
            <c:ext xmlns:c16="http://schemas.microsoft.com/office/drawing/2014/chart" uri="{C3380CC4-5D6E-409C-BE32-E72D297353CC}">
              <c16:uniqueId val="{00000006-7C24-445E-9F2C-7B04B13884EE}"/>
            </c:ext>
          </c:extLst>
        </c:ser>
        <c:ser>
          <c:idx val="4"/>
          <c:order val="4"/>
          <c:tx>
            <c:strRef>
              <c:f>'SB wo CL'!$C$63</c:f>
              <c:strCache>
                <c:ptCount val="1"/>
                <c:pt idx="0">
                  <c:v>Residual cost</c:v>
                </c:pt>
              </c:strCache>
            </c:strRef>
          </c:tx>
          <c:spPr>
            <a:solidFill>
              <a:schemeClr val="accent6">
                <a:lumMod val="20000"/>
                <a:lumOff val="80000"/>
              </a:schemeClr>
            </a:solidFill>
            <a:ln>
              <a:noFill/>
            </a:ln>
            <a:effectLst/>
          </c:spPr>
          <c:invertIfNegative val="0"/>
          <c:dLbls>
            <c:dLbl>
              <c:idx val="4"/>
              <c:tx>
                <c:strRef>
                  <c:f>'SB wo CL'!$K$63</c:f>
                  <c:strCache>
                    <c:ptCount val="1"/>
                    <c:pt idx="0">
                      <c:v>+27.3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{7C090406-1870-43BB-AA59-C73211DC3503}</c15:txfldGUID>
                      <c15:f>'SB wo CL'!$K$63</c15:f>
                      <c15:dlblFieldTableCache>
                        <c:ptCount val="1"/>
                        <c:pt idx="0">
                          <c:v>+27.3</c:v>
                        </c:pt>
                      </c15:dlblFieldTableCache>
                    </c15:dlblFTEntry>
                  </c15:dlblFieldTable>
                  <c15:showDataLabelsRange val="0"/>
                </c:ext>
                <c:ext xmlns:c16="http://schemas.microsoft.com/office/drawing/2014/chart" uri="{C3380CC4-5D6E-409C-BE32-E72D297353CC}">
                  <c16:uniqueId val="{00000007-7C24-445E-9F2C-7B04B13884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CL'!$D$63:$J$63</c:f>
              <c:numCache>
                <c:formatCode>#,##0.0</c:formatCode>
                <c:ptCount val="7"/>
                <c:pt idx="0" formatCode="#,##0">
                  <c:v>1820.7749999999996</c:v>
                </c:pt>
                <c:pt idx="4">
                  <c:v>27.311625000000276</c:v>
                </c:pt>
                <c:pt idx="6" formatCode="#,##0">
                  <c:v>1848.0866249999999</c:v>
                </c:pt>
              </c:numCache>
            </c:numRef>
          </c:val>
          <c:extLst>
            <c:ext xmlns:c16="http://schemas.microsoft.com/office/drawing/2014/chart" uri="{C3380CC4-5D6E-409C-BE32-E72D297353CC}">
              <c16:uniqueId val="{00000008-7C24-445E-9F2C-7B04B13884EE}"/>
            </c:ext>
          </c:extLst>
        </c:ser>
        <c:ser>
          <c:idx val="6"/>
          <c:order val="5"/>
          <c:tx>
            <c:strRef>
              <c:f>'SB wo CL'!$C$65</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CL'!$D$65:$J$65</c:f>
              <c:numCache>
                <c:formatCode>#,##0</c:formatCode>
                <c:ptCount val="7"/>
                <c:pt idx="0">
                  <c:v>8041</c:v>
                </c:pt>
                <c:pt idx="6">
                  <c:v>7790.8828249999997</c:v>
                </c:pt>
              </c:numCache>
            </c:numRef>
          </c:val>
          <c:extLst>
            <c:ext xmlns:c16="http://schemas.microsoft.com/office/drawing/2014/chart" uri="{C3380CC4-5D6E-409C-BE32-E72D297353CC}">
              <c16:uniqueId val="{00000009-7C24-445E-9F2C-7B04B13884EE}"/>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9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CL'!$A$66</c:f>
          <c:strCache>
            <c:ptCount val="1"/>
            <c:pt idx="0">
              <c:v>Energex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CL'!$C$66</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CL'!$D$66:$J$66</c:f>
              <c:numCache>
                <c:formatCode>#,##0</c:formatCode>
                <c:ptCount val="7"/>
                <c:pt idx="0">
                  <c:v>0</c:v>
                </c:pt>
                <c:pt idx="1">
                  <c:v>5760</c:v>
                </c:pt>
                <c:pt idx="2">
                  <c:v>5462.9800350000005</c:v>
                </c:pt>
                <c:pt idx="3">
                  <c:v>5462.9800350000005</c:v>
                </c:pt>
                <c:pt idx="4">
                  <c:v>5499.2800350000007</c:v>
                </c:pt>
                <c:pt idx="5">
                  <c:v>5517.2674124249997</c:v>
                </c:pt>
                <c:pt idx="6">
                  <c:v>0</c:v>
                </c:pt>
              </c:numCache>
            </c:numRef>
          </c:val>
          <c:extLst>
            <c:ext xmlns:c16="http://schemas.microsoft.com/office/drawing/2014/chart" uri="{C3380CC4-5D6E-409C-BE32-E72D297353CC}">
              <c16:uniqueId val="{00000000-D27F-413D-9346-3DDF9558F1FB}"/>
            </c:ext>
          </c:extLst>
        </c:ser>
        <c:ser>
          <c:idx val="1"/>
          <c:order val="1"/>
          <c:tx>
            <c:strRef>
              <c:f>'SB wo CL'!$C$67</c:f>
              <c:strCache>
                <c:ptCount val="1"/>
                <c:pt idx="0">
                  <c:v>Network cost</c:v>
                </c:pt>
              </c:strCache>
            </c:strRef>
          </c:tx>
          <c:spPr>
            <a:solidFill>
              <a:schemeClr val="tx2">
                <a:lumMod val="40000"/>
                <a:lumOff val="60000"/>
              </a:schemeClr>
            </a:solidFill>
            <a:ln>
              <a:noFill/>
            </a:ln>
            <a:effectLst/>
          </c:spPr>
          <c:invertIfNegative val="0"/>
          <c:dLbls>
            <c:dLbl>
              <c:idx val="1"/>
              <c:tx>
                <c:strRef>
                  <c:f>'SB wo CL'!$K$67</c:f>
                  <c:strCache>
                    <c:ptCount val="1"/>
                    <c:pt idx="0">
                      <c:v>+87.1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{29920E88-2151-45AD-81A4-4DB2BE3BF6C7}</c15:txfldGUID>
                      <c15:f>'SB wo CL'!$K$67</c15:f>
                      <c15:dlblFieldTableCache>
                        <c:ptCount val="1"/>
                        <c:pt idx="0">
                          <c:v>+87.1</c:v>
                        </c:pt>
                      </c15:dlblFieldTableCache>
                    </c15:dlblFTEntry>
                  </c15:dlblFieldTable>
                  <c15:showDataLabelsRange val="0"/>
                </c:ext>
                <c:ext xmlns:c16="http://schemas.microsoft.com/office/drawing/2014/chart" uri="{C3380CC4-5D6E-409C-BE32-E72D297353CC}">
                  <c16:uniqueId val="{00000001-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CL'!$D$67:$J$67</c:f>
              <c:numCache>
                <c:formatCode>#,##0.0</c:formatCode>
                <c:ptCount val="7"/>
                <c:pt idx="0" formatCode="#,##0">
                  <c:v>2215.8615049999999</c:v>
                </c:pt>
                <c:pt idx="1">
                  <c:v>87.100035000000389</c:v>
                </c:pt>
                <c:pt idx="6" formatCode="#,##0">
                  <c:v>2302.9615400000002</c:v>
                </c:pt>
              </c:numCache>
            </c:numRef>
          </c:val>
          <c:extLst>
            <c:ext xmlns:c16="http://schemas.microsoft.com/office/drawing/2014/chart" uri="{C3380CC4-5D6E-409C-BE32-E72D297353CC}">
              <c16:uniqueId val="{00000002-D27F-413D-9346-3DDF9558F1FB}"/>
            </c:ext>
          </c:extLst>
        </c:ser>
        <c:ser>
          <c:idx val="2"/>
          <c:order val="2"/>
          <c:tx>
            <c:strRef>
              <c:f>'SB wo CL'!$C$68</c:f>
              <c:strCache>
                <c:ptCount val="1"/>
                <c:pt idx="0">
                  <c:v>Wholesale cost</c:v>
                </c:pt>
              </c:strCache>
            </c:strRef>
          </c:tx>
          <c:spPr>
            <a:solidFill>
              <a:schemeClr val="accent2">
                <a:lumMod val="60000"/>
                <a:lumOff val="40000"/>
              </a:schemeClr>
            </a:solidFill>
            <a:ln>
              <a:noFill/>
            </a:ln>
            <a:effectLst/>
          </c:spPr>
          <c:invertIfNegative val="0"/>
          <c:dLbls>
            <c:dLbl>
              <c:idx val="2"/>
              <c:tx>
                <c:strRef>
                  <c:f>'SB wo CL'!$K$68</c:f>
                  <c:strCache>
                    <c:ptCount val="1"/>
                    <c:pt idx="0">
                      <c:v>-384.1</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{58CEA6B2-7B51-452A-84C8-01DDEC54999A}</c15:txfldGUID>
                      <c15:f>'SB wo CL'!$K$68</c15:f>
                      <c15:dlblFieldTableCache>
                        <c:ptCount val="1"/>
                        <c:pt idx="0">
                          <c:v>-384.1</c:v>
                        </c:pt>
                      </c15:dlblFieldTableCache>
                    </c15:dlblFTEntry>
                  </c15:dlblFieldTable>
                  <c15:showDataLabelsRange val="0"/>
                </c:ext>
                <c:ext xmlns:c16="http://schemas.microsoft.com/office/drawing/2014/chart" uri="{C3380CC4-5D6E-409C-BE32-E72D297353CC}">
                  <c16:uniqueId val="{00000003-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CL'!$D$68:$J$68</c:f>
              <c:numCache>
                <c:formatCode>#,##0.0</c:formatCode>
                <c:ptCount val="7"/>
                <c:pt idx="0" formatCode="#,##0">
                  <c:v>2012.78</c:v>
                </c:pt>
                <c:pt idx="2">
                  <c:v>384.12000000000012</c:v>
                </c:pt>
                <c:pt idx="6" formatCode="#,##0">
                  <c:v>1628.6599999999999</c:v>
                </c:pt>
              </c:numCache>
            </c:numRef>
          </c:val>
          <c:extLst>
            <c:ext xmlns:c16="http://schemas.microsoft.com/office/drawing/2014/chart" uri="{C3380CC4-5D6E-409C-BE32-E72D297353CC}">
              <c16:uniqueId val="{00000004-D27F-413D-9346-3DDF9558F1FB}"/>
            </c:ext>
          </c:extLst>
        </c:ser>
        <c:ser>
          <c:idx val="3"/>
          <c:order val="3"/>
          <c:tx>
            <c:strRef>
              <c:f>'SB wo CL'!$C$69</c:f>
              <c:strCache>
                <c:ptCount val="1"/>
                <c:pt idx="0">
                  <c:v>Environmental cost</c:v>
                </c:pt>
              </c:strCache>
            </c:strRef>
          </c:tx>
          <c:spPr>
            <a:solidFill>
              <a:srgbClr val="92D050"/>
            </a:solidFill>
            <a:ln>
              <a:noFill/>
            </a:ln>
            <a:effectLst/>
          </c:spPr>
          <c:invertIfNegative val="0"/>
          <c:dLbls>
            <c:dLbl>
              <c:idx val="3"/>
              <c:tx>
                <c:strRef>
                  <c:f>'SB wo CL'!$K$69</c:f>
                  <c:strCache>
                    <c:ptCount val="1"/>
                    <c:pt idx="0">
                      <c:v>+36.3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{91D71755-DA75-4818-8380-6EAFEED88502}</c15:txfldGUID>
                      <c15:f>'SB wo CL'!$K$69</c15:f>
                      <c15:dlblFieldTableCache>
                        <c:ptCount val="1"/>
                        <c:pt idx="0">
                          <c:v>+36.3</c:v>
                        </c:pt>
                      </c15:dlblFieldTableCache>
                    </c15:dlblFTEntry>
                  </c15:dlblFieldTable>
                  <c15:showDataLabelsRange val="0"/>
                </c:ext>
                <c:ext xmlns:c16="http://schemas.microsoft.com/office/drawing/2014/chart" uri="{C3380CC4-5D6E-409C-BE32-E72D297353CC}">
                  <c16:uniqueId val="{00000005-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CL'!$D$69:$J$69</c:f>
              <c:numCache>
                <c:formatCode>#,##0.0</c:formatCode>
                <c:ptCount val="7"/>
                <c:pt idx="0" formatCode="#,##0">
                  <c:v>332.2</c:v>
                </c:pt>
                <c:pt idx="3">
                  <c:v>36.300000000000011</c:v>
                </c:pt>
                <c:pt idx="6" formatCode="#,##0">
                  <c:v>368.5</c:v>
                </c:pt>
              </c:numCache>
            </c:numRef>
          </c:val>
          <c:extLst>
            <c:ext xmlns:c16="http://schemas.microsoft.com/office/drawing/2014/chart" uri="{C3380CC4-5D6E-409C-BE32-E72D297353CC}">
              <c16:uniqueId val="{00000006-D27F-413D-9346-3DDF9558F1FB}"/>
            </c:ext>
          </c:extLst>
        </c:ser>
        <c:ser>
          <c:idx val="4"/>
          <c:order val="4"/>
          <c:tx>
            <c:strRef>
              <c:f>'SB wo CL'!$C$70</c:f>
              <c:strCache>
                <c:ptCount val="1"/>
                <c:pt idx="0">
                  <c:v>Residual cost</c:v>
                </c:pt>
              </c:strCache>
            </c:strRef>
          </c:tx>
          <c:spPr>
            <a:solidFill>
              <a:schemeClr val="accent6">
                <a:lumMod val="20000"/>
                <a:lumOff val="80000"/>
              </a:schemeClr>
            </a:solidFill>
            <a:ln>
              <a:noFill/>
            </a:ln>
            <a:effectLst/>
          </c:spPr>
          <c:invertIfNegative val="0"/>
          <c:dLbls>
            <c:dLbl>
              <c:idx val="4"/>
              <c:tx>
                <c:strRef>
                  <c:f>'SB wo CL'!$K$70</c:f>
                  <c:strCache>
                    <c:ptCount val="1"/>
                    <c:pt idx="0">
                      <c:v>+18.0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{FC443AA5-EC7D-4420-BE6E-3D1AEEFD0D6C}</c15:txfldGUID>
                      <c15:f>'SB wo CL'!$K$70</c15:f>
                      <c15:dlblFieldTableCache>
                        <c:ptCount val="1"/>
                        <c:pt idx="0">
                          <c:v>+18.0</c:v>
                        </c:pt>
                      </c15:dlblFieldTableCache>
                    </c15:dlblFTEntry>
                  </c15:dlblFieldTable>
                  <c15:showDataLabelsRange val="0"/>
                </c:ext>
                <c:ext xmlns:c16="http://schemas.microsoft.com/office/drawing/2014/chart" uri="{C3380CC4-5D6E-409C-BE32-E72D297353CC}">
                  <c16:uniqueId val="{00000007-D27F-413D-9346-3DDF9558F1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CL'!$D$70:$J$70</c:f>
              <c:numCache>
                <c:formatCode>#,##0.0</c:formatCode>
                <c:ptCount val="7"/>
                <c:pt idx="0" formatCode="#,##0">
                  <c:v>1199.1584950000006</c:v>
                </c:pt>
                <c:pt idx="4">
                  <c:v>17.987377424999067</c:v>
                </c:pt>
                <c:pt idx="6" formatCode="#,##0">
                  <c:v>1217.1458724249997</c:v>
                </c:pt>
              </c:numCache>
            </c:numRef>
          </c:val>
          <c:extLst>
            <c:ext xmlns:c16="http://schemas.microsoft.com/office/drawing/2014/chart" uri="{C3380CC4-5D6E-409C-BE32-E72D297353CC}">
              <c16:uniqueId val="{00000008-D27F-413D-9346-3DDF9558F1FB}"/>
            </c:ext>
          </c:extLst>
        </c:ser>
        <c:ser>
          <c:idx val="6"/>
          <c:order val="5"/>
          <c:tx>
            <c:strRef>
              <c:f>'SB wo CL'!$C$72</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CL'!$D$72:$J$72</c:f>
              <c:numCache>
                <c:formatCode>#,##0</c:formatCode>
                <c:ptCount val="7"/>
                <c:pt idx="0">
                  <c:v>5760</c:v>
                </c:pt>
                <c:pt idx="6">
                  <c:v>5517.2674124249997</c:v>
                </c:pt>
              </c:numCache>
            </c:numRef>
          </c:val>
          <c:extLst>
            <c:ext xmlns:c16="http://schemas.microsoft.com/office/drawing/2014/chart" uri="{C3380CC4-5D6E-409C-BE32-E72D297353CC}">
              <c16:uniqueId val="{00000009-D27F-413D-9346-3DDF9558F1FB}"/>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7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'SB wo CL'!$A$73</c:f>
          <c:strCache>
            <c:ptCount val="1"/>
            <c:pt idx="0">
              <c:v>SAPN Small Business without CL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'SB wo CL'!$C$73</c:f>
              <c:strCache>
                <c:ptCount val="1"/>
                <c:pt idx="0">
                  <c:v>Base</c:v>
                </c:pt>
              </c:strCache>
            </c:strRef>
          </c:tx>
          <c:spPr>
            <a:noFill/>
            <a:ln>
              <a:noFill/>
            </a:ln>
            <a:effectLst/>
          </c:spPr>
          <c:invertIfNegative val="0"/>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CL'!$D$73:$J$73</c:f>
              <c:numCache>
                <c:formatCode>#,##0</c:formatCode>
                <c:ptCount val="7"/>
                <c:pt idx="0">
                  <c:v>0</c:v>
                </c:pt>
                <c:pt idx="1">
                  <c:v>8305</c:v>
                </c:pt>
                <c:pt idx="2">
                  <c:v>7971.8803999999991</c:v>
                </c:pt>
                <c:pt idx="3">
                  <c:v>7971.8803999999991</c:v>
                </c:pt>
                <c:pt idx="4">
                  <c:v>8011.9203999999991</c:v>
                </c:pt>
                <c:pt idx="5">
                  <c:v>8032.7140299999992</c:v>
                </c:pt>
                <c:pt idx="6">
                  <c:v>0</c:v>
                </c:pt>
              </c:numCache>
            </c:numRef>
          </c:val>
          <c:extLst>
            <c:ext xmlns:c16="http://schemas.microsoft.com/office/drawing/2014/chart" uri="{C3380CC4-5D6E-409C-BE32-E72D297353CC}">
              <c16:uniqueId val="{00000000-1886-4B9E-A832-48DE7CE89C31}"/>
            </c:ext>
          </c:extLst>
        </c:ser>
        <c:ser>
          <c:idx val="1"/>
          <c:order val="1"/>
          <c:tx>
            <c:strRef>
              <c:f>'SB wo CL'!$C$74</c:f>
              <c:strCache>
                <c:ptCount val="1"/>
                <c:pt idx="0">
                  <c:v>Network cost</c:v>
                </c:pt>
              </c:strCache>
            </c:strRef>
          </c:tx>
          <c:spPr>
            <a:solidFill>
              <a:schemeClr val="tx2">
                <a:lumMod val="40000"/>
                <a:lumOff val="60000"/>
              </a:schemeClr>
            </a:solidFill>
            <a:ln>
              <a:noFill/>
            </a:ln>
            <a:effectLst/>
          </c:spPr>
          <c:invertIfNegative val="0"/>
          <c:dLbls>
            <c:dLbl>
              <c:idx val="1"/>
              <c:tx>
                <c:strRef>
                  <c:f>'SB wo CL'!$K$74</c:f>
                  <c:strCache>
                    <c:ptCount val="1"/>
                    <c:pt idx="0">
                      <c:v>+429.2</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{63DDB9A0-EF9C-4613-BFF9-B8C131CBE2FC}</c15:txfldGUID>
                      <c15:f>'SB wo CL'!$K$74</c15:f>
                      <c15:dlblFieldTableCache>
                        <c:ptCount val="1"/>
                        <c:pt idx="0">
                          <c:v>+429.2</c:v>
                        </c:pt>
                      </c15:dlblFieldTableCache>
                    </c15:dlblFTEntry>
                  </c15:dlblFieldTable>
                  <c15:showDataLabelsRange val="0"/>
                </c:ext>
                <c:ext xmlns:c16="http://schemas.microsoft.com/office/drawing/2014/chart" uri="{C3380CC4-5D6E-409C-BE32-E72D297353CC}">
                  <c16:uniqueId val="{00000001-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CL'!$D$74:$J$74</c:f>
              <c:numCache>
                <c:formatCode>#,##0.0</c:formatCode>
                <c:ptCount val="7"/>
                <c:pt idx="0" formatCode="#,##0">
                  <c:v>3119.578</c:v>
                </c:pt>
                <c:pt idx="1">
                  <c:v>429.18039999999974</c:v>
                </c:pt>
                <c:pt idx="6" formatCode="#,##0">
                  <c:v>3548.7583999999997</c:v>
                </c:pt>
              </c:numCache>
            </c:numRef>
          </c:val>
          <c:extLst>
            <c:ext xmlns:c16="http://schemas.microsoft.com/office/drawing/2014/chart" uri="{C3380CC4-5D6E-409C-BE32-E72D297353CC}">
              <c16:uniqueId val="{00000002-1886-4B9E-A832-48DE7CE89C31}"/>
            </c:ext>
          </c:extLst>
        </c:ser>
        <c:ser>
          <c:idx val="2"/>
          <c:order val="2"/>
          <c:tx>
            <c:strRef>
              <c:f>'SB wo CL'!$C$75</c:f>
              <c:strCache>
                <c:ptCount val="1"/>
                <c:pt idx="0">
                  <c:v>Wholesale cost</c:v>
                </c:pt>
              </c:strCache>
            </c:strRef>
          </c:tx>
          <c:spPr>
            <a:solidFill>
              <a:schemeClr val="accent2">
                <a:lumMod val="60000"/>
                <a:lumOff val="40000"/>
              </a:schemeClr>
            </a:solidFill>
            <a:ln>
              <a:noFill/>
            </a:ln>
            <a:effectLst/>
          </c:spPr>
          <c:invertIfNegative val="0"/>
          <c:dLbls>
            <c:dLbl>
              <c:idx val="2"/>
              <c:tx>
                <c:strRef>
                  <c:f>'SB wo CL'!$K$75</c:f>
                  <c:strCache>
                    <c:ptCount val="1"/>
                    <c:pt idx="0">
                      <c:v>-762.3</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{E2B0B55F-E897-4990-ACC6-32CD39543339}</c15:txfldGUID>
                      <c15:f>'SB wo CL'!$K$75</c15:f>
                      <c15:dlblFieldTableCache>
                        <c:ptCount val="1"/>
                        <c:pt idx="0">
                          <c:v>-762.3</c:v>
                        </c:pt>
                      </c15:dlblFieldTableCache>
                    </c15:dlblFTEntry>
                  </c15:dlblFieldTable>
                  <c15:showDataLabelsRange val="0"/>
                </c:ext>
                <c:ext xmlns:c16="http://schemas.microsoft.com/office/drawing/2014/chart" uri="{C3380CC4-5D6E-409C-BE32-E72D297353CC}">
                  <c16:uniqueId val="{00000003-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CL'!$D$75:$J$75</c:f>
              <c:numCache>
                <c:formatCode>#,##0.0</c:formatCode>
                <c:ptCount val="7"/>
                <c:pt idx="0" formatCode="#,##0">
                  <c:v>3390.6400000000003</c:v>
                </c:pt>
                <c:pt idx="2">
                  <c:v>762.30000000000018</c:v>
                </c:pt>
                <c:pt idx="6" formatCode="#,##0">
                  <c:v>2628.34</c:v>
                </c:pt>
              </c:numCache>
            </c:numRef>
          </c:val>
          <c:extLst>
            <c:ext xmlns:c16="http://schemas.microsoft.com/office/drawing/2014/chart" uri="{C3380CC4-5D6E-409C-BE32-E72D297353CC}">
              <c16:uniqueId val="{00000004-1886-4B9E-A832-48DE7CE89C31}"/>
            </c:ext>
          </c:extLst>
        </c:ser>
        <c:ser>
          <c:idx val="3"/>
          <c:order val="3"/>
          <c:tx>
            <c:strRef>
              <c:f>'SB wo CL'!$C$76</c:f>
              <c:strCache>
                <c:ptCount val="1"/>
                <c:pt idx="0">
                  <c:v>Environmental cost</c:v>
                </c:pt>
              </c:strCache>
            </c:strRef>
          </c:tx>
          <c:spPr>
            <a:solidFill>
              <a:srgbClr val="92D050"/>
            </a:solidFill>
            <a:ln>
              <a:noFill/>
            </a:ln>
            <a:effectLst/>
          </c:spPr>
          <c:invertIfNegative val="0"/>
          <c:dLbls>
            <c:dLbl>
              <c:idx val="3"/>
              <c:tx>
                <c:strRef>
                  <c:f>'SB wo CL'!$K$76</c:f>
                  <c:strCache>
                    <c:ptCount val="1"/>
                    <c:pt idx="0">
                      <c:v>+40.0</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{2074CCB5-381C-48F9-B93E-539F049F8516}</c15:txfldGUID>
                      <c15:f>'SB wo CL'!$K$76</c15:f>
                      <c15:dlblFieldTableCache>
                        <c:ptCount val="1"/>
                        <c:pt idx="0">
                          <c:v>+40.0</c:v>
                        </c:pt>
                      </c15:dlblFieldTableCache>
                    </c15:dlblFTEntry>
                  </c15:dlblFieldTable>
                  <c15:showDataLabelsRange val="0"/>
                </c:ext>
                <c:ext xmlns:c16="http://schemas.microsoft.com/office/drawing/2014/chart" uri="{C3380CC4-5D6E-409C-BE32-E72D297353CC}">
                  <c16:uniqueId val="{00000005-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CL'!$D$76:$J$76</c:f>
              <c:numCache>
                <c:formatCode>#,##0.0</c:formatCode>
                <c:ptCount val="7"/>
                <c:pt idx="0" formatCode="#,##0">
                  <c:v>408.53999999999996</c:v>
                </c:pt>
                <c:pt idx="3">
                  <c:v>40.040000000000077</c:v>
                </c:pt>
                <c:pt idx="6" formatCode="#,##0">
                  <c:v>448.58000000000004</c:v>
                </c:pt>
              </c:numCache>
            </c:numRef>
          </c:val>
          <c:extLst>
            <c:ext xmlns:c16="http://schemas.microsoft.com/office/drawing/2014/chart" uri="{C3380CC4-5D6E-409C-BE32-E72D297353CC}">
              <c16:uniqueId val="{00000006-1886-4B9E-A832-48DE7CE89C31}"/>
            </c:ext>
          </c:extLst>
        </c:ser>
        <c:ser>
          <c:idx val="4"/>
          <c:order val="4"/>
          <c:tx>
            <c:strRef>
              <c:f>'SB wo CL'!$C$77</c:f>
              <c:strCache>
                <c:ptCount val="1"/>
                <c:pt idx="0">
                  <c:v>Residual cost</c:v>
                </c:pt>
              </c:strCache>
            </c:strRef>
          </c:tx>
          <c:spPr>
            <a:solidFill>
              <a:schemeClr val="accent6">
                <a:lumMod val="20000"/>
                <a:lumOff val="80000"/>
              </a:schemeClr>
            </a:solidFill>
            <a:ln>
              <a:noFill/>
            </a:ln>
            <a:effectLst/>
          </c:spPr>
          <c:invertIfNegative val="0"/>
          <c:dLbls>
            <c:dLbl>
              <c:idx val="4"/>
              <c:tx>
                <c:strRef>
                  <c:f>'SB wo CL'!$K$77</c:f>
                  <c:strCache>
                    <c:ptCount val="1"/>
                    <c:pt idx="0">
                      <c:v>+20.8</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{086BC37D-2B57-449A-844E-EE9CC36D095D}</c15:txfldGUID>
                      <c15:f>'SB wo CL'!$K$77</c15:f>
                      <c15:dlblFieldTableCache>
                        <c:ptCount val="1"/>
                        <c:pt idx="0">
                          <c:v>+20.8</c:v>
                        </c:pt>
                      </c15:dlblFieldTableCache>
                    </c15:dlblFTEntry>
                  </c15:dlblFieldTable>
                  <c15:showDataLabelsRange val="0"/>
                </c:ext>
                <c:ext xmlns:c16="http://schemas.microsoft.com/office/drawing/2014/chart" uri="{C3380CC4-5D6E-409C-BE32-E72D297353CC}">
                  <c16:uniqueId val="{00000007-1886-4B9E-A832-48DE7CE89C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CL'!$D$77:$J$77</c:f>
              <c:numCache>
                <c:formatCode>#,##0.0</c:formatCode>
                <c:ptCount val="7"/>
                <c:pt idx="0" formatCode="#,##0">
                  <c:v>1386.2419999999993</c:v>
                </c:pt>
                <c:pt idx="4">
                  <c:v>20.793630000000121</c:v>
                </c:pt>
                <c:pt idx="6" formatCode="#,##0">
                  <c:v>1407.0356299999994</c:v>
                </c:pt>
              </c:numCache>
            </c:numRef>
          </c:val>
          <c:extLst>
            <c:ext xmlns:c16="http://schemas.microsoft.com/office/drawing/2014/chart" uri="{C3380CC4-5D6E-409C-BE32-E72D297353CC}">
              <c16:uniqueId val="{00000008-1886-4B9E-A832-48DE7CE89C31}"/>
            </c:ext>
          </c:extLst>
        </c:ser>
        <c:ser>
          <c:idx val="6"/>
          <c:order val="5"/>
          <c:tx>
            <c:strRef>
              <c:f>'SB wo CL'!$C$79</c:f>
              <c:strCache>
                <c:ptCount val="1"/>
                <c:pt idx="0">
                  <c:v>DMO</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70C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'SB wo CL'!$D$44:$J$44</c:f>
              <c:strCache>
                <c:ptCount val="7"/>
                <c:pt idx="0">
                  <c:v>2020-21</c:v>
                </c:pt>
                <c:pt idx="1">
                  <c:v>Network cost</c:v>
                </c:pt>
                <c:pt idx="2">
                  <c:v>Wholesale cost</c:v>
                </c:pt>
                <c:pt idx="3">
                  <c:v>Environmental cost</c:v>
                </c:pt>
                <c:pt idx="4">
                  <c:v>Residual cost</c:v>
                </c:pt>
                <c:pt idx="5">
                  <c:v>Step change</c:v>
                </c:pt>
                <c:pt idx="6">
                  <c:v>2021-22</c:v>
                </c:pt>
              </c:strCache>
            </c:strRef>
          </c:cat>
          <c:val>
            <c:numRef>
              <c:f>'SB wo CL'!$D$79:$J$79</c:f>
              <c:numCache>
                <c:formatCode>#,##0</c:formatCode>
                <c:ptCount val="7"/>
                <c:pt idx="0">
                  <c:v>8305</c:v>
                </c:pt>
                <c:pt idx="6">
                  <c:v>8032.7140299999992</c:v>
                </c:pt>
              </c:numCache>
            </c:numRef>
          </c:val>
          <c:extLst>
            <c:ext xmlns:c16="http://schemas.microsoft.com/office/drawing/2014/chart" uri="{C3380CC4-5D6E-409C-BE32-E72D297353CC}">
              <c16:uniqueId val="{00000009-1886-4B9E-A832-48DE7CE89C31}"/>
            </c:ext>
          </c:extLst>
        </c:ser>
        <c:dLbls>
          <c:showLegendKey val="0"/>
          <c:showVal val="0"/>
          <c:showCatName val="0"/>
          <c:showSerName val="0"/>
          <c:showPercent val="0"/>
          <c:showBubbleSize val="0"/>
        </c:dLbls>
        <c:gapWidth val="50"/>
        <c:overlap val="100"/>
        <c:axId val="616096080"/>
        <c:axId val="616098048"/>
      </c:barChart>
      <c:catAx>
        <c:axId val="61609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8048"/>
        <c:crosses val="autoZero"/>
        <c:auto val="1"/>
        <c:lblAlgn val="ctr"/>
        <c:lblOffset val="100"/>
        <c:noMultiLvlLbl val="0"/>
      </c:catAx>
      <c:valAx>
        <c:axId val="616098048"/>
        <c:scaling>
          <c:orientation val="minMax"/>
          <c:max val="10000"/>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096080"/>
        <c:crosses val="autoZero"/>
        <c:crossBetween val="between"/>
      </c:valAx>
      <c:spPr>
        <a:noFill/>
        <a:ln>
          <a:noFill/>
        </a:ln>
        <a:effectLst/>
      </c:spPr>
    </c:plotArea>
    <c:legend>
      <c:legendPos val="r"/>
      <c:legendEntry>
        <c:idx val="0"/>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Ausgrid!$D$3</c:f>
          <c:strCache>
            <c:ptCount val="1"/>
            <c:pt idx="0">
              <c:v>Ausgrid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Ausgrid!$F$33</c:f>
              <c:strCache>
                <c:ptCount val="1"/>
                <c:pt idx="0">
                  <c:v>Network cost</c:v>
                </c:pt>
              </c:strCache>
            </c:strRef>
          </c:tx>
          <c:spPr>
            <a:solidFill>
              <a:schemeClr val="accent1"/>
            </a:solidFill>
            <a:ln>
              <a:noFill/>
            </a:ln>
            <a:effectLst/>
          </c:spPr>
          <c:invertIfNegative val="0"/>
          <c:dLbls>
            <c:dLbl>
              <c:idx val="0"/>
              <c:tx>
                <c:strRef>
                  <c:f>Ausgrid!$S$33</c:f>
                  <c:strCache>
                    <c:ptCount val="1"/>
                    <c:pt idx="0">
                      <c:v>35.1%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{5A5326B1-C46E-457A-9035-377730B4C486}</c15:txfldGUID>
                      <c15:f>Ausgrid!$S$33</c15:f>
                      <c15:dlblFieldTableCache>
                        <c:ptCount val="1"/>
                        <c:pt idx="0">
                          <c:v>35.1%</c:v>
                        </c:pt>
                      </c15:dlblFieldTableCache>
                    </c15:dlblFTEntry>
                  </c15:dlblFieldTable>
                  <c15:showDataLabelsRange val="0"/>
                </c:ext>
                <c:ext xmlns:c16="http://schemas.microsoft.com/office/drawing/2014/chart" uri="{C3380CC4-5D6E-409C-BE32-E72D297353CC}">
                  <c16:uniqueId val="{00000003-4C39-4B77-9319-0FA432B9F30B}"/>
                </c:ext>
              </c:extLst>
            </c:dLbl>
            <c:dLbl>
              <c:idx val="1"/>
              <c:tx>
                <c:strRef>
                  <c:f>Ausgrid!$X$33</c:f>
                  <c:strCache>
                    <c:ptCount val="1"/>
                    <c:pt idx="0">
                      <c:v>38.2%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{31FDF360-3264-49C8-8EB2-2D72BB4A2D23}</c15:txfldGUID>
                      <c15:f>Ausgrid!$X$33</c15:f>
                      <c15:dlblFieldTableCache>
                        <c:ptCount val="1"/>
                        <c:pt idx="0">
                          <c:v>38.2%</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(Ausgrid!$R$33,Ausgrid!$W$33)</c:f>
              <c:numCache>
                <c:formatCode>#,##0.00</c:formatCode>
                <c:ptCount val="2"/>
                <c:pt idx="0">
                  <c:v>710.50495592999982</c:v>
                </c:pt>
                <c:pt idx="1">
                  <c:v>729.62542889500014</c:v>
                </c:pt>
              </c:numCache>
            </c:numRef>
          </c:val>
          <c:extLst>
            <c:ext xmlns:c16="http://schemas.microsoft.com/office/drawing/2014/chart" uri="{C3380CC4-5D6E-409C-BE32-E72D297353CC}">
              <c16:uniqueId val="{00000000-1FC8-49A9-8F48-B7A67588EC3D}"/>
            </c:ext>
          </c:extLst>
        </c:ser>
        <c:ser>
          <c:idx val="1"/>
          <c:order val="1"/>
          <c:tx>
            <c:strRef>
              <c:f>Ausgrid!$F$34</c:f>
              <c:strCache>
                <c:ptCount val="1"/>
                <c:pt idx="0">
                  <c:v>Wholesale cost</c:v>
                </c:pt>
              </c:strCache>
            </c:strRef>
          </c:tx>
          <c:spPr>
            <a:solidFill>
              <a:schemeClr val="accent2"/>
            </a:solidFill>
            <a:ln>
              <a:noFill/>
            </a:ln>
            <a:effectLst/>
          </c:spPr>
          <c:invertIfNegative val="0"/>
          <c:dLbls>
            <c:dLbl>
              <c:idx val="0"/>
              <c:tx>
                <c:strRef>
                  <c:f>Ausgrid!$S$34</c:f>
                  <c:strCache>
                    <c:ptCount val="1"/>
                    <c:pt idx="0">
                      <c:v>36.9%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{C89B793F-2E66-4D89-B4FF-60BA3108AF9C}</c15:txfldGUID>
                      <c15:f>Ausgrid!$S$34</c15:f>
                      <c15:dlblFieldTableCache>
                        <c:ptCount val="1"/>
                        <c:pt idx="0">
                          <c:v>36.9%</c:v>
                        </c:pt>
                      </c15:dlblFieldTableCache>
                    </c15:dlblFTEntry>
                  </c15:dlblFieldTable>
                  <c15:showDataLabelsRange val="0"/>
                </c:ext>
                <c:ext xmlns:c16="http://schemas.microsoft.com/office/drawing/2014/chart" uri="{C3380CC4-5D6E-409C-BE32-E72D297353CC}">
                  <c16:uniqueId val="{00000002-4C39-4B77-9319-0FA432B9F30B}"/>
                </c:ext>
              </c:extLst>
            </c:dLbl>
            <c:dLbl>
              <c:idx val="1"/>
              <c:tx>
                <c:strRef>
                  <c:f>Ausgrid!$X$34</c:f>
                  <c:strCache>
                    <c:ptCount val="1"/>
                    <c:pt idx="0">
                      <c:v>31.1%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{669CF1DA-8294-4048-9D57-BE012F671EAD}</c15:txfldGUID>
                      <c15:f>Ausgrid!$X$34</c15:f>
                      <c15:dlblFieldTableCache>
                        <c:ptCount val="1"/>
                        <c:pt idx="0">
                          <c:v>31.1%</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(Ausgrid!$R$34,Ausgrid!$W$34)</c:f>
              <c:numCache>
                <c:formatCode>#,##0.00</c:formatCode>
                <c:ptCount val="2"/>
                <c:pt idx="0">
                  <c:v>747.8541399999998</c:v>
                </c:pt>
                <c:pt idx="1">
                  <c:v>595.13497999999993</c:v>
                </c:pt>
              </c:numCache>
            </c:numRef>
          </c:val>
          <c:extLst>
            <c:ext xmlns:c16="http://schemas.microsoft.com/office/drawing/2014/chart" uri="{C3380CC4-5D6E-409C-BE32-E72D297353CC}">
              <c16:uniqueId val="{00000001-1FC8-49A9-8F48-B7A67588EC3D}"/>
            </c:ext>
          </c:extLst>
        </c:ser>
        <c:ser>
          <c:idx val="2"/>
          <c:order val="2"/>
          <c:tx>
            <c:strRef>
              <c:f>Ausgrid!$F$35</c:f>
              <c:strCache>
                <c:ptCount val="1"/>
                <c:pt idx="0">
                  <c:v>Environmental cost</c:v>
                </c:pt>
              </c:strCache>
            </c:strRef>
          </c:tx>
          <c:spPr>
            <a:solidFill>
              <a:schemeClr val="accent3"/>
            </a:solidFill>
            <a:ln>
              <a:noFill/>
            </a:ln>
            <a:effectLst/>
          </c:spPr>
          <c:invertIfNegative val="0"/>
          <c:dLbls>
            <c:dLbl>
              <c:idx val="0"/>
              <c:tx>
                <c:strRef>
                  <c:f>Ausgrid!$S$35</c:f>
                  <c:strCache>
                    <c:ptCount val="1"/>
                    <c:pt idx="0">
                      <c:v>6.4%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{FB2FCBEE-CFB8-4143-B37B-9E939F7B1941}</c15:txfldGUID>
                      <c15:f>Ausgrid!$S$35</c15:f>
                      <c15:dlblFieldTableCache>
                        <c:ptCount val="1"/>
                        <c:pt idx="0">
                          <c:v>6.4%</c:v>
                        </c:pt>
                      </c15:dlblFieldTableCache>
                    </c15:dlblFTEntry>
                  </c15:dlblFieldTable>
                  <c15:showDataLabelsRange val="0"/>
                </c:ext>
                <c:ext xmlns:c16="http://schemas.microsoft.com/office/drawing/2014/chart" uri="{C3380CC4-5D6E-409C-BE32-E72D297353CC}">
                  <c16:uniqueId val="{00000001-4C39-4B77-9319-0FA432B9F30B}"/>
                </c:ext>
              </c:extLst>
            </c:dLbl>
            <c:dLbl>
              <c:idx val="1"/>
              <c:tx>
                <c:strRef>
                  <c:f>Ausgrid!$X$35</c:f>
                  <c:strCache>
                    <c:ptCount val="1"/>
                    <c:pt idx="0">
                      <c:v>7.5%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{21D71214-6858-4BAB-9FCC-F0BD6B35CC10}</c15:txfldGUID>
                      <c15:f>Ausgrid!$X$35</c15:f>
                      <c15:dlblFieldTableCache>
                        <c:ptCount val="1"/>
                        <c:pt idx="0">
                          <c:v>7.5%</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(Ausgrid!$R$35,Ausgrid!$W$35)</c:f>
              <c:numCache>
                <c:formatCode>#,##0.00</c:formatCode>
                <c:ptCount val="2"/>
                <c:pt idx="0">
                  <c:v>128.54160000000002</c:v>
                </c:pt>
                <c:pt idx="1">
                  <c:v>143.50160000000002</c:v>
                </c:pt>
              </c:numCache>
            </c:numRef>
          </c:val>
          <c:extLst>
            <c:ext xmlns:c16="http://schemas.microsoft.com/office/drawing/2014/chart" uri="{C3380CC4-5D6E-409C-BE32-E72D297353CC}">
              <c16:uniqueId val="{00000002-1FC8-49A9-8F48-B7A67588EC3D}"/>
            </c:ext>
          </c:extLst>
        </c:ser>
        <c:ser>
          <c:idx val="3"/>
          <c:order val="3"/>
          <c:tx>
            <c:strRef>
              <c:f>Ausgrid!$F$36</c:f>
              <c:strCache>
                <c:ptCount val="1"/>
                <c:pt idx="0">
                  <c:v>Residual cost</c:v>
                </c:pt>
              </c:strCache>
            </c:strRef>
          </c:tx>
          <c:spPr>
            <a:solidFill>
              <a:schemeClr val="accent6">
                <a:lumMod val="40000"/>
                <a:lumOff val="60000"/>
              </a:schemeClr>
            </a:solidFill>
            <a:ln>
              <a:noFill/>
            </a:ln>
            <a:effectLst/>
          </c:spPr>
          <c:invertIfNegative val="0"/>
          <c:dLbls>
            <c:dLbl>
              <c:idx val="0"/>
              <c:tx>
                <c:strRef>
                  <c:f>Ausgrid!$S$36</c:f>
                  <c:strCache>
                    <c:ptCount val="1"/>
                    <c:pt idx="0">
                      <c:v>21.6%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{FC8DE20B-5F20-4AE5-AE18-D64A434E1844}</c15:txfldGUID>
                      <c15:f>Ausgrid!$S$36</c15:f>
                      <c15:dlblFieldTableCache>
                        <c:ptCount val="1"/>
                        <c:pt idx="0">
                          <c:v>21.6%</c:v>
                        </c:pt>
                      </c15:dlblFieldTableCache>
                    </c15:dlblFTEntry>
                  </c15:dlblFieldTable>
                  <c15:showDataLabelsRange val="0"/>
                </c:ext>
                <c:ext xmlns:c16="http://schemas.microsoft.com/office/drawing/2014/chart" uri="{C3380CC4-5D6E-409C-BE32-E72D297353CC}">
                  <c16:uniqueId val="{00000000-4C39-4B77-9319-0FA432B9F30B}"/>
                </c:ext>
              </c:extLst>
            </c:dLbl>
            <c:dLbl>
              <c:idx val="1"/>
              <c:tx>
                <c:strRef>
                  <c:f>Ausgrid!$X$36</c:f>
                  <c:strCache>
                    <c:ptCount val="1"/>
                    <c:pt idx="0">
                      <c:v>23.2%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{421ADE2E-80DA-4F2B-A229-041F3A8FD62D}</c15:txfldGUID>
                      <c15:f>Ausgrid!$X$36</c15:f>
                      <c15:dlblFieldTableCache>
                        <c:ptCount val="1"/>
                        <c:pt idx="0">
                          <c:v>23.2%</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(Ausgrid!$R$36,Ausgrid!$W$36)</c:f>
              <c:numCache>
                <c:formatCode>#,##0.00</c:formatCode>
                <c:ptCount val="2"/>
                <c:pt idx="0">
                  <c:v>437.09930407000047</c:v>
                </c:pt>
                <c:pt idx="1">
                  <c:v>443.6557936310503</c:v>
                </c:pt>
              </c:numCache>
            </c:numRef>
          </c:val>
          <c:extLst>
            <c:ext xmlns:c16="http://schemas.microsoft.com/office/drawing/2014/chart" uri="{C3380CC4-5D6E-409C-BE32-E72D297353CC}">
              <c16:uniqueId val="{00000003-1FC8-49A9-8F48-B7A67588EC3D}"/>
            </c:ext>
          </c:extLst>
        </c:ser>
        <c:ser>
          <c:idx val="5"/>
          <c:order val="4"/>
          <c:tx>
            <c:strRef>
              <c:f>Ausgrid!$F$38</c:f>
              <c:strCache>
                <c:ptCount val="1"/>
                <c:pt idx="0">
                  <c:v>Step change</c:v>
                </c:pt>
              </c:strCache>
            </c:strRef>
          </c:tx>
          <c:spPr>
            <a:solidFill>
              <a:schemeClr val="accent6"/>
            </a:solidFill>
            <a:ln>
              <a:noFill/>
            </a:ln>
            <a:effectLst/>
          </c:spPr>
          <c:invertIfNegative val="0"/>
          <c:val>
            <c:numRef>
              <c:f>(Ausgrid!$R$38,Ausgrid!$W$38)</c:f>
              <c:numCache>
                <c:formatCode>#,##0.00</c:formatCode>
                <c:ptCount val="2"/>
                <c:pt idx="0">
                  <c:v>0</c:v>
                </c:pt>
                <c:pt idx="1">
                  <c:v>0</c:v>
                </c:pt>
              </c:numCache>
            </c:numRef>
          </c:val>
          <c:extLst>
            <c:ext xmlns:c16="http://schemas.microsoft.com/office/drawing/2014/chart" uri="{C3380CC4-5D6E-409C-BE32-E72D297353CC}">
              <c16:uniqueId val="{00000000-406B-4A67-A232-791704C73AF1}"/>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(Ausgrid!$R$29,Ausgrid!$U$29)</c:f>
              <c:strCache>
                <c:ptCount val="2"/>
                <c:pt idx="0">
                  <c:v>2020-21</c:v>
                </c:pt>
                <c:pt idx="1">
                  <c:v>2021-22</c:v>
                </c:pt>
              </c:strCache>
            </c:strRef>
          </c:cat>
          <c:val>
            <c:numRef>
              <c:f>(Ausgrid!$Q$32,Ausgrid!$Q$39)</c:f>
              <c:numCache>
                <c:formatCode>#,##0.00</c:formatCode>
                <c:ptCount val="2"/>
                <c:pt idx="0">
                  <c:v>2024</c:v>
                </c:pt>
                <c:pt idx="1">
                  <c:v>1911.9178025260505</c:v>
                </c:pt>
              </c:numCache>
            </c:numRef>
          </c:val>
          <c:extLst>
            <c:ext xmlns:c16="http://schemas.microsoft.com/office/drawing/2014/chart" uri="{C3380CC4-5D6E-409C-BE32-E72D297353CC}">
              <c16:uniqueId val="{00000000-2206-4911-B884-61229F6EB53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Ausgrid!$C$3</c:f>
          <c:strCache>
            <c:ptCount val="1"/>
            <c:pt idx="0">
              <c:v>Ausgrid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Ausgrid!$F$33</c:f>
              <c:strCache>
                <c:ptCount val="1"/>
                <c:pt idx="0">
                  <c:v>Network cost</c:v>
                </c:pt>
              </c:strCache>
            </c:strRef>
          </c:tx>
          <c:spPr>
            <a:solidFill>
              <a:schemeClr val="accent1"/>
            </a:solidFill>
            <a:ln>
              <a:noFill/>
            </a:ln>
            <a:effectLst/>
          </c:spPr>
          <c:invertIfNegative val="0"/>
          <c:dLbls>
            <c:dLbl>
              <c:idx val="0"/>
              <c:layout/>
              <c:tx>
                <c:strRef>
                  <c:f>Ausgrid!$J$33</c:f>
                  <c:strCache>
                    <c:ptCount val="1"/>
                    <c:pt idx="0">
                      <c:v>36.9%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{2339ED86-FC37-4155-815A-FF304E977328}</c15:txfldGUID>
                      <c15:f>Ausgrid!$J$33</c15:f>
                      <c15:dlblFieldTableCache>
                        <c:ptCount val="1"/>
                        <c:pt idx="0">
                          <c:v>36.9%</c:v>
                        </c:pt>
                      </c15:dlblFieldTableCache>
                    </c15:dlblFTEntry>
                  </c15:dlblFieldTable>
                  <c15:showDataLabelsRange val="0"/>
                </c:ext>
                <c:ext xmlns:c16="http://schemas.microsoft.com/office/drawing/2014/chart" uri="{C3380CC4-5D6E-409C-BE32-E72D297353CC}">
                  <c16:uniqueId val="{00000000-18A7-4A35-8EB4-7839DD9E1215}"/>
                </c:ext>
              </c:extLst>
            </c:dLbl>
            <c:dLbl>
              <c:idx val="1"/>
              <c:layout/>
              <c:tx>
                <c:strRef>
                  <c:f>Ausgrid!$O$33</c:f>
                  <c:strCache>
                    <c:ptCount val="1"/>
                    <c:pt idx="0">
                      <c:v>39.9%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{1A4C84B6-BF70-4406-99C5-4BD11C8272D7}</c15:txfldGUID>
                      <c15:f>Ausgrid!$O$33</c15:f>
                      <c15:dlblFieldTableCache>
                        <c:ptCount val="1"/>
                        <c:pt idx="0">
                          <c:v>39.9%</c:v>
                        </c:pt>
                      </c15:dlblFieldTableCache>
                    </c15:dlblFTEntry>
                  </c15:dlblFieldTable>
                  <c15:showDataLabelsRange val="0"/>
                </c:ext>
                <c:ext xmlns:c16="http://schemas.microsoft.com/office/drawing/2014/chart" uri="{C3380CC4-5D6E-409C-BE32-E72D297353CC}">
                  <c16:uniqueId val="{00000001-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(Ausgrid!$I$33,Ausgrid!$N$33)</c:f>
              <c:numCache>
                <c:formatCode>#,##0.00</c:formatCode>
                <c:ptCount val="2"/>
                <c:pt idx="0">
                  <c:v>540.11745150000002</c:v>
                </c:pt>
                <c:pt idx="1">
                  <c:v>556.64085399999999</c:v>
                </c:pt>
              </c:numCache>
            </c:numRef>
          </c:val>
          <c:extLst>
            <c:ext xmlns:c16="http://schemas.microsoft.com/office/drawing/2014/chart" uri="{C3380CC4-5D6E-409C-BE32-E72D297353CC}">
              <c16:uniqueId val="{00000002-18A7-4A35-8EB4-7839DD9E1215}"/>
            </c:ext>
          </c:extLst>
        </c:ser>
        <c:ser>
          <c:idx val="1"/>
          <c:order val="1"/>
          <c:tx>
            <c:strRef>
              <c:f>Ausgrid!$F$34</c:f>
              <c:strCache>
                <c:ptCount val="1"/>
                <c:pt idx="0">
                  <c:v>Wholesale cost</c:v>
                </c:pt>
              </c:strCache>
            </c:strRef>
          </c:tx>
          <c:spPr>
            <a:solidFill>
              <a:schemeClr val="accent2"/>
            </a:solidFill>
            <a:ln>
              <a:noFill/>
            </a:ln>
            <a:effectLst/>
          </c:spPr>
          <c:invertIfNegative val="0"/>
          <c:dLbls>
            <c:dLbl>
              <c:idx val="0"/>
              <c:layout/>
              <c:tx>
                <c:strRef>
                  <c:f>Ausgrid!$J$34</c:f>
                  <c:strCache>
                    <c:ptCount val="1"/>
                    <c:pt idx="0">
                      <c:v>32.6%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{F4F20238-34F1-405A-A628-B7AFA2BC6DE2}</c15:txfldGUID>
                      <c15:f>Ausgrid!$J$34</c15:f>
                      <c15:dlblFieldTableCache>
                        <c:ptCount val="1"/>
                        <c:pt idx="0">
                          <c:v>32.6%</c:v>
                        </c:pt>
                      </c15:dlblFieldTableCache>
                    </c15:dlblFTEntry>
                  </c15:dlblFieldTable>
                  <c15:showDataLabelsRange val="0"/>
                </c:ext>
                <c:ext xmlns:c16="http://schemas.microsoft.com/office/drawing/2014/chart" uri="{C3380CC4-5D6E-409C-BE32-E72D297353CC}">
                  <c16:uniqueId val="{00000003-18A7-4A35-8EB4-7839DD9E1215}"/>
                </c:ext>
              </c:extLst>
            </c:dLbl>
            <c:dLbl>
              <c:idx val="1"/>
              <c:layout/>
              <c:tx>
                <c:strRef>
                  <c:f>Ausgrid!$O$34</c:f>
                  <c:strCache>
                    <c:ptCount val="1"/>
                    <c:pt idx="0">
                      <c:v>27.1%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{943C909C-B6DC-4028-92DB-397E3064B1FB}</c15:txfldGUID>
                      <c15:f>Ausgrid!$O$34</c15:f>
                      <c15:dlblFieldTableCache>
                        <c:ptCount val="1"/>
                        <c:pt idx="0">
                          <c:v>27.1%</c:v>
                        </c:pt>
                      </c15:dlblFieldTableCache>
                    </c15:dlblFTEntry>
                  </c15:dlblFieldTable>
                  <c15:showDataLabelsRange val="0"/>
                </c:ext>
                <c:ext xmlns:c16="http://schemas.microsoft.com/office/drawing/2014/chart" uri="{C3380CC4-5D6E-409C-BE32-E72D297353CC}">
                  <c16:uniqueId val="{00000004-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(Ausgrid!$I$34,Ausgrid!$N$34)</c:f>
              <c:numCache>
                <c:formatCode>#,##0.00</c:formatCode>
                <c:ptCount val="2"/>
                <c:pt idx="0">
                  <c:v>476.44740000000002</c:v>
                </c:pt>
                <c:pt idx="1">
                  <c:v>377.26260000000002</c:v>
                </c:pt>
              </c:numCache>
            </c:numRef>
          </c:val>
          <c:extLst>
            <c:ext xmlns:c16="http://schemas.microsoft.com/office/drawing/2014/chart" uri="{C3380CC4-5D6E-409C-BE32-E72D297353CC}">
              <c16:uniqueId val="{00000005-18A7-4A35-8EB4-7839DD9E1215}"/>
            </c:ext>
          </c:extLst>
        </c:ser>
        <c:ser>
          <c:idx val="2"/>
          <c:order val="2"/>
          <c:tx>
            <c:strRef>
              <c:f>Ausgrid!$F$35</c:f>
              <c:strCache>
                <c:ptCount val="1"/>
                <c:pt idx="0">
                  <c:v>Environmental cost</c:v>
                </c:pt>
              </c:strCache>
            </c:strRef>
          </c:tx>
          <c:spPr>
            <a:solidFill>
              <a:schemeClr val="accent3"/>
            </a:solidFill>
            <a:ln>
              <a:noFill/>
            </a:ln>
            <a:effectLst/>
          </c:spPr>
          <c:invertIfNegative val="0"/>
          <c:dLbls>
            <c:dLbl>
              <c:idx val="0"/>
              <c:layout/>
              <c:tx>
                <c:strRef>
                  <c:f>Ausgrid!$J$35</c:f>
                  <c:strCache>
                    <c:ptCount val="1"/>
                    <c:pt idx="0">
                      <c:v>5.0%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{AC797225-3AAC-4592-95C8-F61C9FD18881}</c15:txfldGUID>
                      <c15:f>Ausgrid!$J$35</c15:f>
                      <c15:dlblFieldTableCache>
                        <c:ptCount val="1"/>
                        <c:pt idx="0">
                          <c:v>5.0%</c:v>
                        </c:pt>
                      </c15:dlblFieldTableCache>
                    </c15:dlblFTEntry>
                  </c15:dlblFieldTable>
                  <c15:showDataLabelsRange val="0"/>
                </c:ext>
                <c:ext xmlns:c16="http://schemas.microsoft.com/office/drawing/2014/chart" uri="{C3380CC4-5D6E-409C-BE32-E72D297353CC}">
                  <c16:uniqueId val="{00000006-18A7-4A35-8EB4-7839DD9E1215}"/>
                </c:ext>
              </c:extLst>
            </c:dLbl>
            <c:dLbl>
              <c:idx val="1"/>
              <c:layout/>
              <c:tx>
                <c:strRef>
                  <c:f>Ausgrid!$O$35</c:f>
                  <c:strCache>
                    <c:ptCount val="1"/>
                    <c:pt idx="0">
                      <c:v>5.9%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{06E96EFF-F7FB-42D5-979D-38547DCA7D8A}</c15:txfldGUID>
                      <c15:f>Ausgrid!$O$35</c15:f>
                      <c15:dlblFieldTableCache>
                        <c:ptCount val="1"/>
                        <c:pt idx="0">
                          <c:v>5.9%</c:v>
                        </c:pt>
                      </c15:dlblFieldTableCache>
                    </c15:dlblFTEntry>
                  </c15:dlblFieldTable>
                  <c15:showDataLabelsRange val="0"/>
                </c:ext>
                <c:ext xmlns:c16="http://schemas.microsoft.com/office/drawing/2014/chart" uri="{C3380CC4-5D6E-409C-BE32-E72D297353CC}">
                  <c16:uniqueId val="{00000007-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(Ausgrid!$I$35,Ausgrid!$N$35)</c:f>
              <c:numCache>
                <c:formatCode>#,##0.00</c:formatCode>
                <c:ptCount val="2"/>
                <c:pt idx="0">
                  <c:v>73.659299999999988</c:v>
                </c:pt>
                <c:pt idx="1">
                  <c:v>82.2393</c:v>
                </c:pt>
              </c:numCache>
            </c:numRef>
          </c:val>
          <c:extLst>
            <c:ext xmlns:c16="http://schemas.microsoft.com/office/drawing/2014/chart" uri="{C3380CC4-5D6E-409C-BE32-E72D297353CC}">
              <c16:uniqueId val="{00000008-18A7-4A35-8EB4-7839DD9E1215}"/>
            </c:ext>
          </c:extLst>
        </c:ser>
        <c:ser>
          <c:idx val="3"/>
          <c:order val="3"/>
          <c:tx>
            <c:strRef>
              <c:f>Ausgrid!$F$36</c:f>
              <c:strCache>
                <c:ptCount val="1"/>
                <c:pt idx="0">
                  <c:v>Residual cost</c:v>
                </c:pt>
              </c:strCache>
            </c:strRef>
          </c:tx>
          <c:spPr>
            <a:solidFill>
              <a:schemeClr val="accent6">
                <a:lumMod val="40000"/>
                <a:lumOff val="60000"/>
              </a:schemeClr>
            </a:solidFill>
            <a:ln>
              <a:noFill/>
            </a:ln>
            <a:effectLst/>
          </c:spPr>
          <c:invertIfNegative val="0"/>
          <c:dLbls>
            <c:dLbl>
              <c:idx val="0"/>
              <c:layout/>
              <c:tx>
                <c:strRef>
                  <c:f>Ausgrid!$J$36</c:f>
                  <c:strCache>
                    <c:ptCount val="1"/>
                    <c:pt idx="0">
                      <c:v>25.4%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{CF2A0971-E308-4917-B868-CE86223F8915}</c15:txfldGUID>
                      <c15:f>Ausgrid!$J$36</c15:f>
                      <c15:dlblFieldTableCache>
                        <c:ptCount val="1"/>
                        <c:pt idx="0">
                          <c:v>25.4%</c:v>
                        </c:pt>
                      </c15:dlblFieldTableCache>
                    </c15:dlblFTEntry>
                  </c15:dlblFieldTable>
                  <c15:showDataLabelsRange val="0"/>
                </c:ext>
                <c:ext xmlns:c16="http://schemas.microsoft.com/office/drawing/2014/chart" uri="{C3380CC4-5D6E-409C-BE32-E72D297353CC}">
                  <c16:uniqueId val="{00000009-18A7-4A35-8EB4-7839DD9E1215}"/>
                </c:ext>
              </c:extLst>
            </c:dLbl>
            <c:dLbl>
              <c:idx val="1"/>
              <c:layout/>
              <c:tx>
                <c:strRef>
                  <c:f>Ausgrid!$O$36</c:f>
                  <c:strCache>
                    <c:ptCount val="1"/>
                    <c:pt idx="0">
                      <c:v>27.1%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{C46AF3F7-4123-47B7-B782-75F1E33182CC}</c15:txfldGUID>
                      <c15:f>Ausgrid!$O$36</c15:f>
                      <c15:dlblFieldTableCache>
                        <c:ptCount val="1"/>
                        <c:pt idx="0">
                          <c:v>27.1%</c:v>
                        </c:pt>
                      </c15:dlblFieldTableCache>
                    </c15:dlblFTEntry>
                  </c15:dlblFieldTable>
                  <c15:showDataLabelsRange val="0"/>
                </c:ext>
                <c:ext xmlns:c16="http://schemas.microsoft.com/office/drawing/2014/chart" uri="{C3380CC4-5D6E-409C-BE32-E72D297353CC}">
                  <c16:uniqueId val="{0000000A-18A7-4A35-8EB4-7839DD9E1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(Ausgrid!$I$36,Ausgrid!$N$36)</c:f>
              <c:numCache>
                <c:formatCode>#,##0.00</c:formatCode>
                <c:ptCount val="2"/>
                <c:pt idx="0">
                  <c:v>371.77584849999994</c:v>
                </c:pt>
                <c:pt idx="1">
                  <c:v>377.35248622750009</c:v>
                </c:pt>
              </c:numCache>
            </c:numRef>
          </c:val>
          <c:extLst>
            <c:ext xmlns:c16="http://schemas.microsoft.com/office/drawing/2014/chart" uri="{C3380CC4-5D6E-409C-BE32-E72D297353CC}">
              <c16:uniqueId val="{0000000B-18A7-4A35-8EB4-7839DD9E1215}"/>
            </c:ext>
          </c:extLst>
        </c:ser>
        <c:ser>
          <c:idx val="5"/>
          <c:order val="4"/>
          <c:tx>
            <c:strRef>
              <c:f>Ausgrid!$F$38</c:f>
              <c:strCache>
                <c:ptCount val="1"/>
                <c:pt idx="0">
                  <c:v>Step change</c:v>
                </c:pt>
              </c:strCache>
            </c:strRef>
          </c:tx>
          <c:spPr>
            <a:solidFill>
              <a:schemeClr val="accent6"/>
            </a:solidFill>
            <a:ln>
              <a:noFill/>
            </a:ln>
            <a:effectLst/>
          </c:spPr>
          <c:invertIfNegative val="0"/>
          <c:val>
            <c:numRef>
              <c:f>(Ausgrid!$I$38,Ausgrid!$N$38)</c:f>
              <c:numCache>
                <c:formatCode>#,##0.00</c:formatCode>
                <c:ptCount val="2"/>
                <c:pt idx="0">
                  <c:v>0</c:v>
                </c:pt>
                <c:pt idx="1">
                  <c:v>0</c:v>
                </c:pt>
              </c:numCache>
            </c:numRef>
          </c:val>
          <c:extLst>
            <c:ext xmlns:c16="http://schemas.microsoft.com/office/drawing/2014/chart" uri="{C3380CC4-5D6E-409C-BE32-E72D297353CC}">
              <c16:uniqueId val="{00000000-506A-4AE3-9197-6327774CCB74}"/>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(Ausgrid!$I$29,Ausgrid!$L$29)</c:f>
              <c:strCache>
                <c:ptCount val="2"/>
                <c:pt idx="0">
                  <c:v>2020-21</c:v>
                </c:pt>
                <c:pt idx="1">
                  <c:v>2021-22</c:v>
                </c:pt>
              </c:strCache>
            </c:strRef>
          </c:cat>
          <c:val>
            <c:numRef>
              <c:f>(Ausgrid!$H$32,Ausgrid!$H$39)</c:f>
              <c:numCache>
                <c:formatCode>#,##0.00</c:formatCode>
                <c:ptCount val="2"/>
                <c:pt idx="0">
                  <c:v>1462</c:v>
                </c:pt>
                <c:pt idx="1">
                  <c:v>1393.4952402275001</c:v>
                </c:pt>
              </c:numCache>
            </c:numRef>
          </c:val>
          <c:extLst>
            <c:ext xmlns:c16="http://schemas.microsoft.com/office/drawing/2014/chart" uri="{C3380CC4-5D6E-409C-BE32-E72D297353CC}">
              <c16:uniqueId val="{00000000-2749-4F62-9886-C482991FB35B}"/>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Ausgrid!$E$3</c:f>
          <c:strCache>
            <c:ptCount val="1"/>
            <c:pt idx="0">
              <c:v>Ausgrid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Ausgrid!$F$33</c:f>
              <c:strCache>
                <c:ptCount val="1"/>
                <c:pt idx="0">
                  <c:v>Network cost</c:v>
                </c:pt>
              </c:strCache>
            </c:strRef>
          </c:tx>
          <c:spPr>
            <a:solidFill>
              <a:schemeClr val="accent1"/>
            </a:solidFill>
            <a:ln>
              <a:noFill/>
            </a:ln>
            <a:effectLst/>
          </c:spPr>
          <c:invertIfNegative val="0"/>
          <c:dLbls>
            <c:dLbl>
              <c:idx val="0"/>
              <c:tx>
                <c:strRef>
                  <c:f>Ausgrid!$AB$33</c:f>
                  <c:strCache>
                    <c:ptCount val="1"/>
                    <c:pt idx="0">
                      <c:v>30.5%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{9761E1FE-6A8D-4F97-B360-58D78024E5C5}</c15:txfldGUID>
                      <c15:f>Ausgrid!$AB$33</c15:f>
                      <c15:dlblFieldTableCache>
                        <c:ptCount val="1"/>
                        <c:pt idx="0">
                          <c:v>30.5%</c:v>
                        </c:pt>
                      </c15:dlblFieldTableCache>
                    </c15:dlblFTEntry>
                  </c15:dlblFieldTable>
                  <c15:showDataLabelsRange val="0"/>
                </c:ext>
                <c:ext xmlns:c16="http://schemas.microsoft.com/office/drawing/2014/chart" uri="{C3380CC4-5D6E-409C-BE32-E72D297353CC}">
                  <c16:uniqueId val="{00000003-4C39-4B77-9319-0FA432B9F30B}"/>
                </c:ext>
              </c:extLst>
            </c:dLbl>
            <c:dLbl>
              <c:idx val="1"/>
              <c:tx>
                <c:strRef>
                  <c:f>Ausgrid!$AG$33</c:f>
                  <c:strCache>
                    <c:ptCount val="1"/>
                    <c:pt idx="0">
                      <c:v>33.4%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{12E2AFDE-4154-4B3D-8A54-F138EFC3B1DE}</c15:txfldGUID>
                      <c15:f>Ausgrid!$AG$33</c15:f>
                      <c15:dlblFieldTableCache>
                        <c:ptCount val="1"/>
                        <c:pt idx="0">
                          <c:v>33.4%</c:v>
                        </c:pt>
                      </c15:dlblFieldTableCache>
                    </c15:dlblFTEntry>
                  </c15:dlblFieldTable>
                  <c15:showDataLabelsRange val="0"/>
                </c:ext>
                <c:ext xmlns:c16="http://schemas.microsoft.com/office/drawing/2014/chart" uri="{C3380CC4-5D6E-409C-BE32-E72D297353CC}">
                  <c16:uniqueId val="{00000004-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(Ausgrid!$AA$33,Ausgrid!$AF$33)</c:f>
              <c:numCache>
                <c:formatCode>#,##0.00</c:formatCode>
                <c:ptCount val="2"/>
                <c:pt idx="0">
                  <c:v>2211.6951064999998</c:v>
                </c:pt>
                <c:pt idx="1">
                  <c:v>2302.9725455000003</c:v>
                </c:pt>
              </c:numCache>
            </c:numRef>
          </c:val>
          <c:extLst>
            <c:ext xmlns:c16="http://schemas.microsoft.com/office/drawing/2014/chart" uri="{C3380CC4-5D6E-409C-BE32-E72D297353CC}">
              <c16:uniqueId val="{00000000-1FC8-49A9-8F48-B7A67588EC3D}"/>
            </c:ext>
          </c:extLst>
        </c:ser>
        <c:ser>
          <c:idx val="1"/>
          <c:order val="1"/>
          <c:tx>
            <c:strRef>
              <c:f>Ausgrid!$F$34</c:f>
              <c:strCache>
                <c:ptCount val="1"/>
                <c:pt idx="0">
                  <c:v>Wholesale cost</c:v>
                </c:pt>
              </c:strCache>
            </c:strRef>
          </c:tx>
          <c:spPr>
            <a:solidFill>
              <a:schemeClr val="accent2"/>
            </a:solidFill>
            <a:ln>
              <a:noFill/>
            </a:ln>
            <a:effectLst/>
          </c:spPr>
          <c:invertIfNegative val="0"/>
          <c:dLbls>
            <c:dLbl>
              <c:idx val="0"/>
              <c:tx>
                <c:strRef>
                  <c:f>Ausgrid!$AB$34</c:f>
                  <c:strCache>
                    <c:ptCount val="1"/>
                    <c:pt idx="0">
                      <c:v>33.7%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{EB4F6A2C-17A4-4365-BD96-CA6325BA7F52}</c15:txfldGUID>
                      <c15:f>Ausgrid!$AB$34</c15:f>
                      <c15:dlblFieldTableCache>
                        <c:ptCount val="1"/>
                        <c:pt idx="0">
                          <c:v>33.7%</c:v>
                        </c:pt>
                      </c15:dlblFieldTableCache>
                    </c15:dlblFTEntry>
                  </c15:dlblFieldTable>
                  <c15:showDataLabelsRange val="0"/>
                </c:ext>
                <c:ext xmlns:c16="http://schemas.microsoft.com/office/drawing/2014/chart" uri="{C3380CC4-5D6E-409C-BE32-E72D297353CC}">
                  <c16:uniqueId val="{00000002-4C39-4B77-9319-0FA432B9F30B}"/>
                </c:ext>
              </c:extLst>
            </c:dLbl>
            <c:dLbl>
              <c:idx val="1"/>
              <c:tx>
                <c:strRef>
                  <c:f>Ausgrid!$AG$34</c:f>
                  <c:strCache>
                    <c:ptCount val="1"/>
                    <c:pt idx="0">
                      <c:v>28.0%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{0F92378E-E859-4A41-9AE7-AA5FA91A59B5}</c15:txfldGUID>
                      <c15:f>Ausgrid!$AG$34</c15:f>
                      <c15:dlblFieldTableCache>
                        <c:ptCount val="1"/>
                        <c:pt idx="0">
                          <c:v>28.0%</c:v>
                        </c:pt>
                      </c15:dlblFieldTableCache>
                    </c15:dlblFTEntry>
                  </c15:dlblFieldTable>
                  <c15:showDataLabelsRange val="0"/>
                </c:ext>
                <c:ext xmlns:c16="http://schemas.microsoft.com/office/drawing/2014/chart" uri="{C3380CC4-5D6E-409C-BE32-E72D297353CC}">
                  <c16:uniqueId val="{00000005-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(Ausgrid!$AA$34,Ausgrid!$AF$34)</c:f>
              <c:numCache>
                <c:formatCode>#,##0.00</c:formatCode>
                <c:ptCount val="2"/>
                <c:pt idx="0">
                  <c:v>2443.3199999999997</c:v>
                </c:pt>
                <c:pt idx="1">
                  <c:v>1934.6799999999998</c:v>
                </c:pt>
              </c:numCache>
            </c:numRef>
          </c:val>
          <c:extLst>
            <c:ext xmlns:c16="http://schemas.microsoft.com/office/drawing/2014/chart" uri="{C3380CC4-5D6E-409C-BE32-E72D297353CC}">
              <c16:uniqueId val="{00000001-1FC8-49A9-8F48-B7A67588EC3D}"/>
            </c:ext>
          </c:extLst>
        </c:ser>
        <c:ser>
          <c:idx val="2"/>
          <c:order val="2"/>
          <c:tx>
            <c:strRef>
              <c:f>Ausgrid!$F$35</c:f>
              <c:strCache>
                <c:ptCount val="1"/>
                <c:pt idx="0">
                  <c:v>Environmental cost</c:v>
                </c:pt>
              </c:strCache>
            </c:strRef>
          </c:tx>
          <c:spPr>
            <a:solidFill>
              <a:schemeClr val="accent3"/>
            </a:solidFill>
            <a:ln>
              <a:noFill/>
            </a:ln>
            <a:effectLst/>
          </c:spPr>
          <c:invertIfNegative val="0"/>
          <c:dLbls>
            <c:dLbl>
              <c:idx val="0"/>
              <c:tx>
                <c:strRef>
                  <c:f>Ausgrid!$AB$35</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{F8EA0FD2-A0E9-42EF-A691-445A0F22C8AA}</c15:txfldGUID>
                      <c15:f>Ausgrid!$AB$35</c15:f>
                      <c15:dlblFieldTableCache>
                        <c:ptCount val="1"/>
                        <c:pt idx="0">
                          <c:v>5.2%</c:v>
                        </c:pt>
                      </c15:dlblFieldTableCache>
                    </c15:dlblFTEntry>
                  </c15:dlblFieldTable>
                  <c15:showDataLabelsRange val="0"/>
                </c:ext>
                <c:ext xmlns:c16="http://schemas.microsoft.com/office/drawing/2014/chart" uri="{C3380CC4-5D6E-409C-BE32-E72D297353CC}">
                  <c16:uniqueId val="{00000001-4C39-4B77-9319-0FA432B9F30B}"/>
                </c:ext>
              </c:extLst>
            </c:dLbl>
            <c:dLbl>
              <c:idx val="1"/>
              <c:tx>
                <c:strRef>
                  <c:f>Ausgrid!$AG$35</c:f>
                  <c:strCache>
                    <c:ptCount val="1"/>
                    <c:pt idx="0">
                      <c:v>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{80AAB73E-CA7A-4E67-B6C0-4EC5D46AD46B}</c15:txfldGUID>
                      <c15:f>Ausgrid!$AG$35</c15:f>
                      <c15:dlblFieldTableCache>
                        <c:ptCount val="1"/>
                        <c:pt idx="0">
                          <c:v>6.1%</c:v>
                        </c:pt>
                      </c15:dlblFieldTableCache>
                    </c15:dlblFTEntry>
                  </c15:dlblFieldTable>
                  <c15:showDataLabelsRange val="0"/>
                </c:ext>
                <c:ext xmlns:c16="http://schemas.microsoft.com/office/drawing/2014/chart" uri="{C3380CC4-5D6E-409C-BE32-E72D297353CC}">
                  <c16:uniqueId val="{00000006-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(Ausgrid!$AA$35,Ausgrid!$AF$35)</c:f>
              <c:numCache>
                <c:formatCode>#,##0.00</c:formatCode>
                <c:ptCount val="2"/>
                <c:pt idx="0">
                  <c:v>377.74</c:v>
                </c:pt>
                <c:pt idx="1">
                  <c:v>421.74</c:v>
                </c:pt>
              </c:numCache>
            </c:numRef>
          </c:val>
          <c:extLst>
            <c:ext xmlns:c16="http://schemas.microsoft.com/office/drawing/2014/chart" uri="{C3380CC4-5D6E-409C-BE32-E72D297353CC}">
              <c16:uniqueId val="{00000002-1FC8-49A9-8F48-B7A67588EC3D}"/>
            </c:ext>
          </c:extLst>
        </c:ser>
        <c:ser>
          <c:idx val="3"/>
          <c:order val="3"/>
          <c:tx>
            <c:strRef>
              <c:f>Ausgrid!$F$36</c:f>
              <c:strCache>
                <c:ptCount val="1"/>
                <c:pt idx="0">
                  <c:v>Residual cost</c:v>
                </c:pt>
              </c:strCache>
            </c:strRef>
          </c:tx>
          <c:spPr>
            <a:solidFill>
              <a:schemeClr val="accent6">
                <a:lumMod val="40000"/>
                <a:lumOff val="60000"/>
              </a:schemeClr>
            </a:solidFill>
            <a:ln>
              <a:noFill/>
            </a:ln>
            <a:effectLst/>
          </c:spPr>
          <c:invertIfNegative val="0"/>
          <c:dLbls>
            <c:dLbl>
              <c:idx val="0"/>
              <c:tx>
                <c:strRef>
                  <c:f>Ausgrid!$AB$36</c:f>
                  <c:strCache>
                    <c:ptCount val="1"/>
                    <c:pt idx="0">
                      <c:v>30.5%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{823BA016-B2F7-4FFD-8F32-4234159AAB63}</c15:txfldGUID>
                      <c15:f>Ausgrid!$AB$36</c15:f>
                      <c15:dlblFieldTableCache>
                        <c:ptCount val="1"/>
                        <c:pt idx="0">
                          <c:v>30.5%</c:v>
                        </c:pt>
                      </c15:dlblFieldTableCache>
                    </c15:dlblFTEntry>
                  </c15:dlblFieldTable>
                  <c15:showDataLabelsRange val="0"/>
                </c:ext>
                <c:ext xmlns:c16="http://schemas.microsoft.com/office/drawing/2014/chart" uri="{C3380CC4-5D6E-409C-BE32-E72D297353CC}">
                  <c16:uniqueId val="{00000000-4C39-4B77-9319-0FA432B9F30B}"/>
                </c:ext>
              </c:extLst>
            </c:dLbl>
            <c:dLbl>
              <c:idx val="1"/>
              <c:tx>
                <c:strRef>
                  <c:f>Ausgrid!$AG$36</c:f>
                  <c:strCache>
                    <c:ptCount val="1"/>
                    <c:pt idx="0">
                      <c:v>32.5%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{0A961D79-0372-454C-AEB6-6BDD57F53635}</c15:txfldGUID>
                      <c15:f>Ausgrid!$AG$36</c15:f>
                      <c15:dlblFieldTableCache>
                        <c:ptCount val="1"/>
                        <c:pt idx="0">
                          <c:v>32.5%</c:v>
                        </c:pt>
                      </c15:dlblFieldTableCache>
                    </c15:dlblFTEntry>
                  </c15:dlblFieldTable>
                  <c15:showDataLabelsRange val="0"/>
                </c:ext>
                <c:ext xmlns:c16="http://schemas.microsoft.com/office/drawing/2014/chart" uri="{C3380CC4-5D6E-409C-BE32-E72D297353CC}">
                  <c16:uniqueId val="{00000007-4C39-4B77-9319-0FA432B9F3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(Ausgrid!$AA$36,Ausgrid!$AF$36)</c:f>
              <c:numCache>
                <c:formatCode>#,##0.00</c:formatCode>
                <c:ptCount val="2"/>
                <c:pt idx="0">
                  <c:v>2207.2448935000011</c:v>
                </c:pt>
                <c:pt idx="1">
                  <c:v>2240.3535669025005</c:v>
                </c:pt>
              </c:numCache>
            </c:numRef>
          </c:val>
          <c:extLst>
            <c:ext xmlns:c16="http://schemas.microsoft.com/office/drawing/2014/chart" uri="{C3380CC4-5D6E-409C-BE32-E72D297353CC}">
              <c16:uniqueId val="{00000003-1FC8-49A9-8F48-B7A67588EC3D}"/>
            </c:ext>
          </c:extLst>
        </c:ser>
        <c:ser>
          <c:idx val="5"/>
          <c:order val="4"/>
          <c:tx>
            <c:strRef>
              <c:f>Ausgrid!$F$38</c:f>
              <c:strCache>
                <c:ptCount val="1"/>
                <c:pt idx="0">
                  <c:v>Step change</c:v>
                </c:pt>
              </c:strCache>
            </c:strRef>
          </c:tx>
          <c:spPr>
            <a:solidFill>
              <a:schemeClr val="accent6"/>
            </a:solidFill>
            <a:ln>
              <a:noFill/>
            </a:ln>
            <a:effectLst/>
          </c:spPr>
          <c:invertIfNegative val="0"/>
          <c:val>
            <c:numRef>
              <c:f>(Ausgrid!$AA$38,Ausgrid!$AF$38)</c:f>
              <c:numCache>
                <c:formatCode>#,##0.00</c:formatCode>
                <c:ptCount val="2"/>
                <c:pt idx="0">
                  <c:v>0</c:v>
                </c:pt>
                <c:pt idx="1">
                  <c:v>0</c:v>
                </c:pt>
              </c:numCache>
            </c:numRef>
          </c:val>
          <c:extLst>
            <c:ext xmlns:c16="http://schemas.microsoft.com/office/drawing/2014/chart" uri="{C3380CC4-5D6E-409C-BE32-E72D297353CC}">
              <c16:uniqueId val="{00000000-BFA7-40EB-A537-620D99CD5493}"/>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(Ausgrid!$AA$29,Ausgrid!$AD$29)</c:f>
              <c:strCache>
                <c:ptCount val="2"/>
                <c:pt idx="0">
                  <c:v>2020-21</c:v>
                </c:pt>
                <c:pt idx="1">
                  <c:v>2021-22</c:v>
                </c:pt>
              </c:strCache>
            </c:strRef>
          </c:cat>
          <c:val>
            <c:numRef>
              <c:f>(Ausgrid!$Z$32,Ausgrid!$Z$39)</c:f>
              <c:numCache>
                <c:formatCode>#,##0.00</c:formatCode>
                <c:ptCount val="2"/>
                <c:pt idx="0">
                  <c:v>7240</c:v>
                </c:pt>
                <c:pt idx="1">
                  <c:v>6899.7461124025003</c:v>
                </c:pt>
              </c:numCache>
            </c:numRef>
          </c:val>
          <c:extLst>
            <c:ext xmlns:c16="http://schemas.microsoft.com/office/drawing/2014/chart" uri="{C3380CC4-5D6E-409C-BE32-E72D297353CC}">
              <c16:uniqueId val="{00000000-BD94-42AD-92F5-CF2464829DD0}"/>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8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Endeavour!$D$3</c:f>
          <c:strCache>
            <c:ptCount val="1"/>
            <c:pt idx="0">
              <c:v>Endeavour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Endeavour!$F$33</c:f>
              <c:strCache>
                <c:ptCount val="1"/>
                <c:pt idx="0">
                  <c:v>Network cost</c:v>
                </c:pt>
              </c:strCache>
            </c:strRef>
          </c:tx>
          <c:spPr>
            <a:solidFill>
              <a:schemeClr val="accent1"/>
            </a:solidFill>
            <a:ln>
              <a:noFill/>
            </a:ln>
            <a:effectLst/>
          </c:spPr>
          <c:invertIfNegative val="0"/>
          <c:dLbls>
            <c:dLbl>
              <c:idx val="0"/>
              <c:tx>
                <c:strRef>
                  <c:f>Endeavour!$S$33</c:f>
                  <c:strCache>
                    <c:ptCount val="1"/>
                    <c:pt idx="0">
                      <c:v>33.0%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{FCFC9AD4-1D3A-4A35-B628-6674EA5DD28E}</c15:txfldGUID>
                      <c15:f>Endeavour!$S$33</c15:f>
                      <c15:dlblFieldTableCache>
                        <c:ptCount val="1"/>
                        <c:pt idx="0">
                          <c:v>33.0%</c:v>
                        </c:pt>
                      </c15:dlblFieldTableCache>
                    </c15:dlblFTEntry>
                  </c15:dlblFieldTable>
                  <c15:showDataLabelsRange val="0"/>
                </c:ext>
                <c:ext xmlns:c16="http://schemas.microsoft.com/office/drawing/2014/chart" uri="{C3380CC4-5D6E-409C-BE32-E72D297353CC}">
                  <c16:uniqueId val="{00000000-07A0-4A33-B3E4-93E6F72E1EDF}"/>
                </c:ext>
              </c:extLst>
            </c:dLbl>
            <c:dLbl>
              <c:idx val="1"/>
              <c:tx>
                <c:strRef>
                  <c:f>Endeavour!$X$33</c:f>
                  <c:strCache>
                    <c:ptCount val="1"/>
                    <c:pt idx="0">
                      <c:v>36.1%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{CF11414D-AF42-4061-91A5-8F3DDDC9FA8E}</c15:txfldGUID>
                      <c15:f>Endeavour!$X$33</c15:f>
                      <c15:dlblFieldTableCache>
                        <c:ptCount val="1"/>
                        <c:pt idx="0">
                          <c:v>36.1%</c:v>
                        </c:pt>
                      </c15:dlblFieldTableCache>
                    </c15:dlblFTEntry>
                  </c15:dlblFieldTable>
                  <c15:showDataLabelsRange val="0"/>
                </c:ext>
                <c:ext xmlns:c16="http://schemas.microsoft.com/office/drawing/2014/chart" uri="{C3380CC4-5D6E-409C-BE32-E72D297353CC}">
                  <c16:uniqueId val="{00000001-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(Endeavour!$R$33,Endeavour!$W$33)</c:f>
              <c:numCache>
                <c:formatCode>#,##0.00</c:formatCode>
                <c:ptCount val="2"/>
                <c:pt idx="0">
                  <c:v>713.89961940000001</c:v>
                </c:pt>
                <c:pt idx="1">
                  <c:v>727.84738840000011</c:v>
                </c:pt>
              </c:numCache>
            </c:numRef>
          </c:val>
          <c:extLst>
            <c:ext xmlns:c16="http://schemas.microsoft.com/office/drawing/2014/chart" uri="{C3380CC4-5D6E-409C-BE32-E72D297353CC}">
              <c16:uniqueId val="{00000002-07A0-4A33-B3E4-93E6F72E1EDF}"/>
            </c:ext>
          </c:extLst>
        </c:ser>
        <c:ser>
          <c:idx val="1"/>
          <c:order val="1"/>
          <c:tx>
            <c:strRef>
              <c:f>Endeavour!$F$34</c:f>
              <c:strCache>
                <c:ptCount val="1"/>
                <c:pt idx="0">
                  <c:v>Wholesale cost</c:v>
                </c:pt>
              </c:strCache>
            </c:strRef>
          </c:tx>
          <c:spPr>
            <a:solidFill>
              <a:schemeClr val="accent2"/>
            </a:solidFill>
            <a:ln>
              <a:noFill/>
            </a:ln>
            <a:effectLst/>
          </c:spPr>
          <c:invertIfNegative val="0"/>
          <c:dLbls>
            <c:dLbl>
              <c:idx val="0"/>
              <c:tx>
                <c:strRef>
                  <c:f>Endeavour!$S$34</c:f>
                  <c:strCache>
                    <c:ptCount val="1"/>
                    <c:pt idx="0">
                      <c:v>41.3%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{D8FD18D2-C81C-4450-B93E-08C88BDB8B1D}</c15:txfldGUID>
                      <c15:f>Endeavour!$S$34</c15:f>
                      <c15:dlblFieldTableCache>
                        <c:ptCount val="1"/>
                        <c:pt idx="0">
                          <c:v>41.3%</c:v>
                        </c:pt>
                      </c15:dlblFieldTableCache>
                    </c15:dlblFTEntry>
                  </c15:dlblFieldTable>
                  <c15:showDataLabelsRange val="0"/>
                </c:ext>
                <c:ext xmlns:c16="http://schemas.microsoft.com/office/drawing/2014/chart" uri="{C3380CC4-5D6E-409C-BE32-E72D297353CC}">
                  <c16:uniqueId val="{00000003-07A0-4A33-B3E4-93E6F72E1EDF}"/>
                </c:ext>
              </c:extLst>
            </c:dLbl>
            <c:dLbl>
              <c:idx val="1"/>
              <c:tx>
                <c:strRef>
                  <c:f>Endeavour!$X$34</c:f>
                  <c:strCache>
                    <c:ptCount val="1"/>
                    <c:pt idx="0">
                      <c:v>35.1%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{D5D56882-E907-4B65-86CD-60E5E1F0AA83}</c15:txfldGUID>
                      <c15:f>Endeavour!$X$34</c15:f>
                      <c15:dlblFieldTableCache>
                        <c:ptCount val="1"/>
                        <c:pt idx="0">
                          <c:v>35.1%</c:v>
                        </c:pt>
                      </c15:dlblFieldTableCache>
                    </c15:dlblFTEntry>
                  </c15:dlblFieldTable>
                  <c15:showDataLabelsRange val="0"/>
                </c:ext>
                <c:ext xmlns:c16="http://schemas.microsoft.com/office/drawing/2014/chart" uri="{C3380CC4-5D6E-409C-BE32-E72D297353CC}">
                  <c16:uniqueId val="{00000004-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(Endeavour!$R$34,Endeavour!$W$34)</c:f>
              <c:numCache>
                <c:formatCode>#,##0.00</c:formatCode>
                <c:ptCount val="2"/>
                <c:pt idx="0">
                  <c:v>893.67079999999999</c:v>
                </c:pt>
                <c:pt idx="1">
                  <c:v>706.46619999999996</c:v>
                </c:pt>
              </c:numCache>
            </c:numRef>
          </c:val>
          <c:extLst>
            <c:ext xmlns:c16="http://schemas.microsoft.com/office/drawing/2014/chart" uri="{C3380CC4-5D6E-409C-BE32-E72D297353CC}">
              <c16:uniqueId val="{00000005-07A0-4A33-B3E4-93E6F72E1EDF}"/>
            </c:ext>
          </c:extLst>
        </c:ser>
        <c:ser>
          <c:idx val="2"/>
          <c:order val="2"/>
          <c:tx>
            <c:strRef>
              <c:f>Endeavour!$F$35</c:f>
              <c:strCache>
                <c:ptCount val="1"/>
                <c:pt idx="0">
                  <c:v>Environmental cost</c:v>
                </c:pt>
              </c:strCache>
            </c:strRef>
          </c:tx>
          <c:spPr>
            <a:solidFill>
              <a:schemeClr val="accent3"/>
            </a:solidFill>
            <a:ln>
              <a:noFill/>
            </a:ln>
            <a:effectLst/>
          </c:spPr>
          <c:invertIfNegative val="0"/>
          <c:dLbls>
            <c:dLbl>
              <c:idx val="0"/>
              <c:tx>
                <c:strRef>
                  <c:f>Endeavour!$S$35</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{0FE48370-3E47-45D3-B803-69DB998742D0}</c15:txfldGUID>
                      <c15:f>Endeavour!$S$35</c15:f>
                      <c15:dlblFieldTableCache>
                        <c:ptCount val="1"/>
                        <c:pt idx="0">
                          <c:v>6.5%</c:v>
                        </c:pt>
                      </c15:dlblFieldTableCache>
                    </c15:dlblFTEntry>
                  </c15:dlblFieldTable>
                  <c15:showDataLabelsRange val="0"/>
                </c:ext>
                <c:ext xmlns:c16="http://schemas.microsoft.com/office/drawing/2014/chart" uri="{C3380CC4-5D6E-409C-BE32-E72D297353CC}">
                  <c16:uniqueId val="{00000006-07A0-4A33-B3E4-93E6F72E1EDF}"/>
                </c:ext>
              </c:extLst>
            </c:dLbl>
            <c:dLbl>
              <c:idx val="1"/>
              <c:tx>
                <c:strRef>
                  <c:f>Endeavour!$X$35</c:f>
                  <c:strCache>
                    <c:ptCount val="1"/>
                    <c:pt idx="0">
                      <c:v>7.8%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{D51EB289-BC1B-4322-B281-19271C063D74}</c15:txfldGUID>
                      <c15:f>Endeavour!$X$35</c15:f>
                      <c15:dlblFieldTableCache>
                        <c:ptCount val="1"/>
                        <c:pt idx="0">
                          <c:v>7.8%</c:v>
                        </c:pt>
                      </c15:dlblFieldTableCache>
                    </c15:dlblFTEntry>
                  </c15:dlblFieldTable>
                  <c15:showDataLabelsRange val="0"/>
                </c:ext>
                <c:ext xmlns:c16="http://schemas.microsoft.com/office/drawing/2014/chart" uri="{C3380CC4-5D6E-409C-BE32-E72D297353CC}">
                  <c16:uniqueId val="{00000007-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(Endeavour!$R$35,Endeavour!$W$35)</c:f>
              <c:numCache>
                <c:formatCode>#,##0.00</c:formatCode>
                <c:ptCount val="2"/>
                <c:pt idx="0">
                  <c:v>141.31039999999999</c:v>
                </c:pt>
                <c:pt idx="1">
                  <c:v>157.18340000000001</c:v>
                </c:pt>
              </c:numCache>
            </c:numRef>
          </c:val>
          <c:extLst>
            <c:ext xmlns:c16="http://schemas.microsoft.com/office/drawing/2014/chart" uri="{C3380CC4-5D6E-409C-BE32-E72D297353CC}">
              <c16:uniqueId val="{00000008-07A0-4A33-B3E4-93E6F72E1EDF}"/>
            </c:ext>
          </c:extLst>
        </c:ser>
        <c:ser>
          <c:idx val="3"/>
          <c:order val="3"/>
          <c:tx>
            <c:strRef>
              <c:f>Endeavour!$F$36</c:f>
              <c:strCache>
                <c:ptCount val="1"/>
                <c:pt idx="0">
                  <c:v>Residual cost</c:v>
                </c:pt>
              </c:strCache>
            </c:strRef>
          </c:tx>
          <c:spPr>
            <a:solidFill>
              <a:schemeClr val="accent6">
                <a:lumMod val="40000"/>
                <a:lumOff val="60000"/>
              </a:schemeClr>
            </a:solidFill>
            <a:ln>
              <a:noFill/>
            </a:ln>
            <a:effectLst/>
          </c:spPr>
          <c:invertIfNegative val="0"/>
          <c:dLbls>
            <c:dLbl>
              <c:idx val="0"/>
              <c:tx>
                <c:strRef>
                  <c:f>Endeavour!$S$36</c:f>
                  <c:strCache>
                    <c:ptCount val="1"/>
                    <c:pt idx="0">
                      <c:v>19.2%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{61DA5F97-18D0-4DE1-B536-4A8C341447D6}</c15:txfldGUID>
                      <c15:f>Endeavour!$S$36</c15:f>
                      <c15:dlblFieldTableCache>
                        <c:ptCount val="1"/>
                        <c:pt idx="0">
                          <c:v>19.2%</c:v>
                        </c:pt>
                      </c15:dlblFieldTableCache>
                    </c15:dlblFTEntry>
                  </c15:dlblFieldTable>
                  <c15:showDataLabelsRange val="0"/>
                </c:ext>
                <c:ext xmlns:c16="http://schemas.microsoft.com/office/drawing/2014/chart" uri="{C3380CC4-5D6E-409C-BE32-E72D297353CC}">
                  <c16:uniqueId val="{00000009-07A0-4A33-B3E4-93E6F72E1EDF}"/>
                </c:ext>
              </c:extLst>
            </c:dLbl>
            <c:dLbl>
              <c:idx val="1"/>
              <c:tx>
                <c:strRef>
                  <c:f>Endeavour!$X$36</c:f>
                  <c:strCache>
                    <c:ptCount val="1"/>
                    <c:pt idx="0">
                      <c:v>21.0%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{495C782B-D098-4597-B7D9-A4F3129841F6}</c15:txfldGUID>
                      <c15:f>Endeavour!$X$36</c15:f>
                      <c15:dlblFieldTableCache>
                        <c:ptCount val="1"/>
                        <c:pt idx="0">
                          <c:v>21.0%</c:v>
                        </c:pt>
                      </c15:dlblFieldTableCache>
                    </c15:dlblFTEntry>
                  </c15:dlblFieldTable>
                  <c15:showDataLabelsRange val="0"/>
                </c:ext>
                <c:ext xmlns:c16="http://schemas.microsoft.com/office/drawing/2014/chart" uri="{C3380CC4-5D6E-409C-BE32-E72D297353CC}">
                  <c16:uniqueId val="{0000000A-07A0-4A33-B3E4-93E6F72E1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(Endeavour!$R$36,Endeavour!$W$36)</c:f>
              <c:numCache>
                <c:formatCode>#,##0.00</c:formatCode>
                <c:ptCount val="2"/>
                <c:pt idx="0">
                  <c:v>416.11918059999994</c:v>
                </c:pt>
                <c:pt idx="1">
                  <c:v>422.36096830899987</c:v>
                </c:pt>
              </c:numCache>
            </c:numRef>
          </c:val>
          <c:extLst>
            <c:ext xmlns:c16="http://schemas.microsoft.com/office/drawing/2014/chart" uri="{C3380CC4-5D6E-409C-BE32-E72D297353CC}">
              <c16:uniqueId val="{0000000B-07A0-4A33-B3E4-93E6F72E1EDF}"/>
            </c:ext>
          </c:extLst>
        </c:ser>
        <c:ser>
          <c:idx val="5"/>
          <c:order val="4"/>
          <c:tx>
            <c:strRef>
              <c:f>Endeavour!$F$38</c:f>
              <c:strCache>
                <c:ptCount val="1"/>
                <c:pt idx="0">
                  <c:v>Step change</c:v>
                </c:pt>
              </c:strCache>
            </c:strRef>
          </c:tx>
          <c:spPr>
            <a:solidFill>
              <a:schemeClr val="accent6"/>
            </a:solidFill>
            <a:ln>
              <a:noFill/>
            </a:ln>
            <a:effectLst/>
          </c:spPr>
          <c:invertIfNegative val="0"/>
          <c:val>
            <c:numRef>
              <c:f>(Endeavour!$R$38,Endeavour!$W$38)</c:f>
              <c:numCache>
                <c:formatCode>#,##0.00</c:formatCode>
                <c:ptCount val="2"/>
                <c:pt idx="0">
                  <c:v>0</c:v>
                </c:pt>
                <c:pt idx="1">
                  <c:v>0</c:v>
                </c:pt>
              </c:numCache>
            </c:numRef>
          </c:val>
          <c:extLst>
            <c:ext xmlns:c16="http://schemas.microsoft.com/office/drawing/2014/chart" uri="{C3380CC4-5D6E-409C-BE32-E72D297353CC}">
              <c16:uniqueId val="{00000000-151A-47D5-9A92-55D0BE34B8B8}"/>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(Endeavour!$R$29,Endeavour!$U$29)</c:f>
              <c:strCache>
                <c:ptCount val="2"/>
                <c:pt idx="0">
                  <c:v>2020-21</c:v>
                </c:pt>
                <c:pt idx="1">
                  <c:v>2021-22</c:v>
                </c:pt>
              </c:strCache>
            </c:strRef>
          </c:cat>
          <c:val>
            <c:numRef>
              <c:f>(Endeavour!$Q$32,Endeavour!$Q$39)</c:f>
              <c:numCache>
                <c:formatCode>#,##0.00</c:formatCode>
                <c:ptCount val="2"/>
                <c:pt idx="0">
                  <c:v>2165</c:v>
                </c:pt>
                <c:pt idx="1">
                  <c:v>2013.8579567090001</c:v>
                </c:pt>
              </c:numCache>
            </c:numRef>
          </c:val>
          <c:extLst>
            <c:ext xmlns:c16="http://schemas.microsoft.com/office/drawing/2014/chart" uri="{C3380CC4-5D6E-409C-BE32-E72D297353CC}">
              <c16:uniqueId val="{0000000C-07A0-4A33-B3E4-93E6F72E1ED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5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Endeavour!$C$3</c:f>
          <c:strCache>
            <c:ptCount val="1"/>
            <c:pt idx="0">
              <c:v>Endeavour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Endeavour!$F$33</c:f>
              <c:strCache>
                <c:ptCount val="1"/>
                <c:pt idx="0">
                  <c:v>Network cost</c:v>
                </c:pt>
              </c:strCache>
            </c:strRef>
          </c:tx>
          <c:spPr>
            <a:solidFill>
              <a:schemeClr val="accent1"/>
            </a:solidFill>
            <a:ln>
              <a:noFill/>
            </a:ln>
            <a:effectLst/>
          </c:spPr>
          <c:invertIfNegative val="0"/>
          <c:dLbls>
            <c:dLbl>
              <c:idx val="0"/>
              <c:layout/>
              <c:tx>
                <c:strRef>
                  <c:f>Endeavour!$J$33</c:f>
                  <c:strCache>
                    <c:ptCount val="1"/>
                    <c:pt idx="0">
                      <c:v>35.7%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{416C689F-DA5A-450B-91DF-8E5021758BF3}</c15:txfldGUID>
                      <c15:f>Endeavour!$J$33</c15:f>
                      <c15:dlblFieldTableCache>
                        <c:ptCount val="1"/>
                        <c:pt idx="0">
                          <c:v>35.7%</c:v>
                        </c:pt>
                      </c15:dlblFieldTableCache>
                    </c15:dlblFTEntry>
                  </c15:dlblFieldTable>
                  <c15:showDataLabelsRange val="0"/>
                </c:ext>
                <c:ext xmlns:c16="http://schemas.microsoft.com/office/drawing/2014/chart" uri="{C3380CC4-5D6E-409C-BE32-E72D297353CC}">
                  <c16:uniqueId val="{00000000-2E3C-4F9B-9462-81CDED5DADEA}"/>
                </c:ext>
              </c:extLst>
            </c:dLbl>
            <c:dLbl>
              <c:idx val="1"/>
              <c:layout/>
              <c:tx>
                <c:strRef>
                  <c:f>Endeavour!$O$33</c:f>
                  <c:strCache>
                    <c:ptCount val="1"/>
                    <c:pt idx="0">
                      <c:v>38.7%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{919C1D6A-7997-4316-8A4B-DD0EEBFE51AA}</c15:txfldGUID>
                      <c15:f>Endeavour!$O$33</c15:f>
                      <c15:dlblFieldTableCache>
                        <c:ptCount val="1"/>
                        <c:pt idx="0">
                          <c:v>38.7%</c:v>
                        </c:pt>
                      </c15:dlblFieldTableCache>
                    </c15:dlblFTEntry>
                  </c15:dlblFieldTable>
                  <c15:showDataLabelsRange val="0"/>
                </c:ext>
                <c:ext xmlns:c16="http://schemas.microsoft.com/office/drawing/2014/chart" uri="{C3380CC4-5D6E-409C-BE32-E72D297353CC}">
                  <c16:uniqueId val="{00000001-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(Endeavour!$I$33,Endeavour!$N$33)</c:f>
              <c:numCache>
                <c:formatCode>#,##0.00</c:formatCode>
                <c:ptCount val="2"/>
                <c:pt idx="0">
                  <c:v>611.50199000000009</c:v>
                </c:pt>
                <c:pt idx="1">
                  <c:v>622.77787000000001</c:v>
                </c:pt>
              </c:numCache>
            </c:numRef>
          </c:val>
          <c:extLst>
            <c:ext xmlns:c16="http://schemas.microsoft.com/office/drawing/2014/chart" uri="{C3380CC4-5D6E-409C-BE32-E72D297353CC}">
              <c16:uniqueId val="{00000002-2E3C-4F9B-9462-81CDED5DADEA}"/>
            </c:ext>
          </c:extLst>
        </c:ser>
        <c:ser>
          <c:idx val="1"/>
          <c:order val="1"/>
          <c:tx>
            <c:strRef>
              <c:f>Endeavour!$F$34</c:f>
              <c:strCache>
                <c:ptCount val="1"/>
                <c:pt idx="0">
                  <c:v>Wholesale cost</c:v>
                </c:pt>
              </c:strCache>
            </c:strRef>
          </c:tx>
          <c:spPr>
            <a:solidFill>
              <a:schemeClr val="accent2"/>
            </a:solidFill>
            <a:ln>
              <a:noFill/>
            </a:ln>
            <a:effectLst/>
          </c:spPr>
          <c:invertIfNegative val="0"/>
          <c:dLbls>
            <c:dLbl>
              <c:idx val="0"/>
              <c:layout/>
              <c:tx>
                <c:strRef>
                  <c:f>Endeavour!$J$34</c:f>
                  <c:strCache>
                    <c:ptCount val="1"/>
                    <c:pt idx="0">
                      <c:v>35.4%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{39390748-A3E5-4915-988C-E4C7FEB034DB}</c15:txfldGUID>
                      <c15:f>Endeavour!$J$34</c15:f>
                      <c15:dlblFieldTableCache>
                        <c:ptCount val="1"/>
                        <c:pt idx="0">
                          <c:v>35.4%</c:v>
                        </c:pt>
                      </c15:dlblFieldTableCache>
                    </c15:dlblFTEntry>
                  </c15:dlblFieldTable>
                  <c15:showDataLabelsRange val="0"/>
                </c:ext>
                <c:ext xmlns:c16="http://schemas.microsoft.com/office/drawing/2014/chart" uri="{C3380CC4-5D6E-409C-BE32-E72D297353CC}">
                  <c16:uniqueId val="{00000003-2E3C-4F9B-9462-81CDED5DADEA}"/>
                </c:ext>
              </c:extLst>
            </c:dLbl>
            <c:dLbl>
              <c:idx val="1"/>
              <c:layout/>
              <c:tx>
                <c:strRef>
                  <c:f>Endeavour!$O$34</c:f>
                  <c:strCache>
                    <c:ptCount val="1"/>
                    <c:pt idx="0">
                      <c:v>29.6%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{7393E78C-533A-4348-AB96-D2E63C87875E}</c15:txfldGUID>
                      <c15:f>Endeavour!$O$34</c15:f>
                      <c15:dlblFieldTableCache>
                        <c:ptCount val="1"/>
                        <c:pt idx="0">
                          <c:v>29.6%</c:v>
                        </c:pt>
                      </c15:dlblFieldTableCache>
                    </c15:dlblFTEntry>
                  </c15:dlblFieldTable>
                  <c15:showDataLabelsRange val="0"/>
                </c:ext>
                <c:ext xmlns:c16="http://schemas.microsoft.com/office/drawing/2014/chart" uri="{C3380CC4-5D6E-409C-BE32-E72D297353CC}">
                  <c16:uniqueId val="{00000004-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(Endeavour!$I$34,Endeavour!$N$34)</c:f>
              <c:numCache>
                <c:formatCode>#,##0.00</c:formatCode>
                <c:ptCount val="2"/>
                <c:pt idx="0">
                  <c:v>605.13530000000003</c:v>
                </c:pt>
                <c:pt idx="1">
                  <c:v>475.77530000000002</c:v>
                </c:pt>
              </c:numCache>
            </c:numRef>
          </c:val>
          <c:extLst>
            <c:ext xmlns:c16="http://schemas.microsoft.com/office/drawing/2014/chart" uri="{C3380CC4-5D6E-409C-BE32-E72D297353CC}">
              <c16:uniqueId val="{00000005-2E3C-4F9B-9462-81CDED5DADEA}"/>
            </c:ext>
          </c:extLst>
        </c:ser>
        <c:ser>
          <c:idx val="2"/>
          <c:order val="2"/>
          <c:tx>
            <c:strRef>
              <c:f>Endeavour!$F$35</c:f>
              <c:strCache>
                <c:ptCount val="1"/>
                <c:pt idx="0">
                  <c:v>Environmental cost</c:v>
                </c:pt>
              </c:strCache>
            </c:strRef>
          </c:tx>
          <c:spPr>
            <a:solidFill>
              <a:schemeClr val="accent3"/>
            </a:solidFill>
            <a:ln>
              <a:noFill/>
            </a:ln>
            <a:effectLst/>
          </c:spPr>
          <c:invertIfNegative val="0"/>
          <c:dLbls>
            <c:dLbl>
              <c:idx val="0"/>
              <c:layout/>
              <c:tx>
                <c:strRef>
                  <c:f>Endeavour!$J$35</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{FE7DE997-6CB2-451B-AEB3-2DC7DF4040E2}</c15:txfldGUID>
                      <c15:f>Endeavour!$J$35</c15:f>
                      <c15:dlblFieldTableCache>
                        <c:ptCount val="1"/>
                        <c:pt idx="0">
                          <c:v>5.5%</c:v>
                        </c:pt>
                      </c15:dlblFieldTableCache>
                    </c15:dlblFTEntry>
                  </c15:dlblFieldTable>
                  <c15:showDataLabelsRange val="0"/>
                </c:ext>
                <c:ext xmlns:c16="http://schemas.microsoft.com/office/drawing/2014/chart" uri="{C3380CC4-5D6E-409C-BE32-E72D297353CC}">
                  <c16:uniqueId val="{00000006-2E3C-4F9B-9462-81CDED5DADEA}"/>
                </c:ext>
              </c:extLst>
            </c:dLbl>
            <c:dLbl>
              <c:idx val="1"/>
              <c:layout/>
              <c:tx>
                <c:strRef>
                  <c:f>Endeavour!$O$35</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{D922825D-D12C-46C3-B882-CA615EE277EC}</c15:txfldGUID>
                      <c15:f>Endeavour!$O$35</c15:f>
                      <c15:dlblFieldTableCache>
                        <c:ptCount val="1"/>
                        <c:pt idx="0">
                          <c:v>6.5%</c:v>
                        </c:pt>
                      </c15:dlblFieldTableCache>
                    </c15:dlblFTEntry>
                  </c15:dlblFieldTable>
                  <c15:showDataLabelsRange val="0"/>
                </c:ext>
                <c:ext xmlns:c16="http://schemas.microsoft.com/office/drawing/2014/chart" uri="{C3380CC4-5D6E-409C-BE32-E72D297353CC}">
                  <c16:uniqueId val="{00000007-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(Endeavour!$I$35,Endeavour!$N$35)</c:f>
              <c:numCache>
                <c:formatCode>#,##0.00</c:formatCode>
                <c:ptCount val="2"/>
                <c:pt idx="0">
                  <c:v>93.570399999999992</c:v>
                </c:pt>
                <c:pt idx="1">
                  <c:v>104.0809</c:v>
                </c:pt>
              </c:numCache>
            </c:numRef>
          </c:val>
          <c:extLst>
            <c:ext xmlns:c16="http://schemas.microsoft.com/office/drawing/2014/chart" uri="{C3380CC4-5D6E-409C-BE32-E72D297353CC}">
              <c16:uniqueId val="{00000008-2E3C-4F9B-9462-81CDED5DADEA}"/>
            </c:ext>
          </c:extLst>
        </c:ser>
        <c:ser>
          <c:idx val="3"/>
          <c:order val="3"/>
          <c:tx>
            <c:strRef>
              <c:f>Endeavour!$F$36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Endeavour!$J$36</c:f>
                  <c:strCache>
                    <c:ptCount val="1"/>
                    <c:pt idx="0">
                      <c:v>23.4%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{998564F9-F0F2-45F9-A112-AE07F9A4F0AC}</c15:txfldGUID>
                      <c15:f>Endeavour!$J$36</c15:f>
                      <c15:dlblFieldTableCache>
                        <c:ptCount val="1"/>
                        <c:pt idx="0">
                          <c:v>23.4%</c:v>
                        </c:pt>
                      </c15:dlblFieldTableCache>
                    </c15:dlblFTEntry>
                  </c15:dlblFieldTable>
                  <c15:showDataLabelsRange val="0"/>
                </c:ext>
                <c:ext xmlns:c16="http://schemas.microsoft.com/office/drawing/2014/chart" uri="{C3380CC4-5D6E-409C-BE32-E72D297353CC}">
                  <c16:uniqueId val="{00000009-2E3C-4F9B-9462-81CDED5DADEA}"/>
                </c:ext>
              </c:extLst>
            </c:dLbl>
            <c:dLbl>
              <c:idx val="1"/>
              <c:layout/>
              <c:tx>
                <c:strRef>
                  <c:f>Endeavour!$O$36</c:f>
                  <c:strCache>
                    <c:ptCount val="1"/>
                    <c:pt idx="0">
                      <c:v>25.3%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{1DFA4AC6-9BF7-4B27-8F40-6DF350269359}</c15:txfldGUID>
                      <c15:f>Endeavour!$O$36</c15:f>
                      <c15:dlblFieldTableCache>
                        <c:ptCount val="1"/>
                        <c:pt idx="0">
                          <c:v>25.3%</c:v>
                        </c:pt>
                      </c15:dlblFieldTableCache>
                    </c15:dlblFTEntry>
                  </c15:dlblFieldTable>
                  <c15:showDataLabelsRange val="0"/>
                </c:ext>
                <c:ext xmlns:c16="http://schemas.microsoft.com/office/drawing/2014/chart" uri="{C3380CC4-5D6E-409C-BE32-E72D297353CC}">
                  <c16:uniqueId val="{0000000A-2E3C-4F9B-9462-81CDED5DAD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(Endeavour!$I$36,Endeavour!$N$36)</c:f>
              <c:numCache>
                <c:formatCode>#,##0.00</c:formatCode>
                <c:ptCount val="2"/>
                <c:pt idx="0">
                  <c:v>400.79230999999982</c:v>
                </c:pt>
                <c:pt idx="1">
                  <c:v>406.80419464999977</c:v>
                </c:pt>
              </c:numCache>
            </c:numRef>
          </c:val>
          <c:extLst>
            <c:ext xmlns:c16="http://schemas.microsoft.com/office/drawing/2014/chart" uri="{C3380CC4-5D6E-409C-BE32-E72D297353CC}">
              <c16:uniqueId val="{0000000B-2E3C-4F9B-9462-81CDED5DADEA}"/>
            </c:ext>
          </c:extLst>
        </c:ser>
        <c:ser>
          <c:idx val="5"/>
          <c:order val="4"/>
          <c:tx>
            <c:strRef>
              <c:f>Endeavour!$F$38</c:f>
              <c:strCache>
                <c:ptCount val="1"/>
                <c:pt idx="0">
                  <c:v>Step change</c:v>
                </c:pt>
              </c:strCache>
            </c:strRef>
          </c:tx>
          <c:spPr>
            <a:solidFill>
              <a:schemeClr val="accent6"/>
            </a:solidFill>
            <a:ln>
              <a:noFill/>
            </a:ln>
            <a:effectLst/>
          </c:spPr>
          <c:invertIfNegative val="0"/>
          <c:val>
            <c:numRef>
              <c:f>(Endeavour!$I$38,Endeavour!$N$38)</c:f>
              <c:numCache>
                <c:formatCode>#,##0.00</c:formatCode>
                <c:ptCount val="2"/>
                <c:pt idx="0">
                  <c:v>0</c:v>
                </c:pt>
                <c:pt idx="1">
                  <c:v>0</c:v>
                </c:pt>
              </c:numCache>
            </c:numRef>
          </c:val>
          <c:extLst>
            <c:ext xmlns:c16="http://schemas.microsoft.com/office/drawing/2014/chart" uri="{C3380CC4-5D6E-409C-BE32-E72D297353CC}">
              <c16:uniqueId val="{00000000-F7D0-462B-81F1-BEEBD0DCE162}"/>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(Endeavour!$I$29,Endeavour!$L$29)</c:f>
              <c:strCache>
                <c:ptCount val="2"/>
                <c:pt idx="0">
                  <c:v>2020-21</c:v>
                </c:pt>
                <c:pt idx="1">
                  <c:v>2021-22</c:v>
                </c:pt>
              </c:strCache>
            </c:strRef>
          </c:cat>
          <c:val>
            <c:numRef>
              <c:f>(Endeavour!$H$32,Endeavour!$H$39)</c:f>
              <c:numCache>
                <c:formatCode>#,##0.00</c:formatCode>
                <c:ptCount val="2"/>
                <c:pt idx="0">
                  <c:v>1711</c:v>
                </c:pt>
                <c:pt idx="1">
                  <c:v>1609.4382646499998</c:v>
                </c:pt>
              </c:numCache>
            </c:numRef>
          </c:val>
          <c:extLst>
            <c:ext xmlns:c16="http://schemas.microsoft.com/office/drawing/2014/chart" uri="{C3380CC4-5D6E-409C-BE32-E72D297353CC}">
              <c16:uniqueId val="{0000000C-2E3C-4F9B-9462-81CDED5DADEA}"/>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Endeavour!$E$3</c:f>
          <c:strCache>
            <c:ptCount val="1"/>
            <c:pt idx="0">
              <c:v>Endeavour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Endeavour!$F$33</c:f>
              <c:strCache>
                <c:ptCount val="1"/>
                <c:pt idx="0">
                  <c:v>Network cost</c:v>
                </c:pt>
              </c:strCache>
            </c:strRef>
          </c:tx>
          <c:spPr>
            <a:solidFill>
              <a:schemeClr val="accent1"/>
            </a:solidFill>
            <a:ln>
              <a:noFill/>
            </a:ln>
            <a:effectLst/>
          </c:spPr>
          <c:invertIfNegative val="0"/>
          <c:dLbls>
            <c:dLbl>
              <c:idx val="0"/>
              <c:tx>
                <c:strRef>
                  <c:f>Endeavour!$AB$33</c:f>
                  <c:strCache>
                    <c:ptCount val="1"/>
                    <c:pt idx="0">
                      <c:v>34.1%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{8BD6EE54-3666-43B1-A474-06E65F8C32BB}</c15:txfldGUID>
                      <c15:f>Endeavour!$AB$33</c15:f>
                      <c15:dlblFieldTableCache>
                        <c:ptCount val="1"/>
                        <c:pt idx="0">
                          <c:v>34.1%</c:v>
                        </c:pt>
                      </c15:dlblFieldTableCache>
                    </c15:dlblFTEntry>
                  </c15:dlblFieldTable>
                  <c15:showDataLabelsRange val="0"/>
                </c:ext>
                <c:ext xmlns:c16="http://schemas.microsoft.com/office/drawing/2014/chart" uri="{C3380CC4-5D6E-409C-BE32-E72D297353CC}">
                  <c16:uniqueId val="{00000000-0CF3-4D94-A294-B84F62DA3E09}"/>
                </c:ext>
              </c:extLst>
            </c:dLbl>
            <c:dLbl>
              <c:idx val="1"/>
              <c:tx>
                <c:strRef>
                  <c:f>Endeavour!$AG$33</c:f>
                  <c:strCache>
                    <c:ptCount val="1"/>
                    <c:pt idx="0">
                      <c:v>37.2%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{F1A210F7-852C-490A-86D5-8E268EF790FB}</c15:txfldGUID>
                      <c15:f>Endeavour!$AG$33</c15:f>
                      <c15:dlblFieldTableCache>
                        <c:ptCount val="1"/>
                        <c:pt idx="0">
                          <c:v>37.2%</c:v>
                        </c:pt>
                      </c15:dlblFieldTableCache>
                    </c15:dlblFTEntry>
                  </c15:dlblFieldTable>
                  <c15:showDataLabelsRange val="0"/>
                </c:ext>
                <c:ext xmlns:c16="http://schemas.microsoft.com/office/drawing/2014/chart" uri="{C3380CC4-5D6E-409C-BE32-E72D297353CC}">
                  <c16:uniqueId val="{00000001-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(Endeavour!$AA$33,Endeavour!$AF$33)</c:f>
              <c:numCache>
                <c:formatCode>#,##0.00</c:formatCode>
                <c:ptCount val="2"/>
                <c:pt idx="0">
                  <c:v>2106.3119000000002</c:v>
                </c:pt>
                <c:pt idx="1">
                  <c:v>2132.2724499999999</c:v>
                </c:pt>
              </c:numCache>
            </c:numRef>
          </c:val>
          <c:extLst>
            <c:ext xmlns:c16="http://schemas.microsoft.com/office/drawing/2014/chart" uri="{C3380CC4-5D6E-409C-BE32-E72D297353CC}">
              <c16:uniqueId val="{00000002-0CF3-4D94-A294-B84F62DA3E09}"/>
            </c:ext>
          </c:extLst>
        </c:ser>
        <c:ser>
          <c:idx val="1"/>
          <c:order val="1"/>
          <c:tx>
            <c:strRef>
              <c:f>Endeavour!$F$34</c:f>
              <c:strCache>
                <c:ptCount val="1"/>
                <c:pt idx="0">
                  <c:v>Wholesale cost</c:v>
                </c:pt>
              </c:strCache>
            </c:strRef>
          </c:tx>
          <c:spPr>
            <a:solidFill>
              <a:schemeClr val="accent2"/>
            </a:solidFill>
            <a:ln>
              <a:noFill/>
            </a:ln>
            <a:effectLst/>
          </c:spPr>
          <c:invertIfNegative val="0"/>
          <c:dLbls>
            <c:dLbl>
              <c:idx val="0"/>
              <c:tx>
                <c:strRef>
                  <c:f>Endeavour!$AB$34</c:f>
                  <c:strCache>
                    <c:ptCount val="1"/>
                    <c:pt idx="0">
                      <c:v>40.0%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{40AD5320-7D59-4B3E-A38A-FB2CCBB7677F}</c15:txfldGUID>
                      <c15:f>Endeavour!$AB$34</c15:f>
                      <c15:dlblFieldTableCache>
                        <c:ptCount val="1"/>
                        <c:pt idx="0">
                          <c:v>40.0%</c:v>
                        </c:pt>
                      </c15:dlblFieldTableCache>
                    </c15:dlblFTEntry>
                  </c15:dlblFieldTable>
                  <c15:showDataLabelsRange val="0"/>
                </c:ext>
                <c:ext xmlns:c16="http://schemas.microsoft.com/office/drawing/2014/chart" uri="{C3380CC4-5D6E-409C-BE32-E72D297353CC}">
                  <c16:uniqueId val="{00000003-0CF3-4D94-A294-B84F62DA3E09}"/>
                </c:ext>
              </c:extLst>
            </c:dLbl>
            <c:dLbl>
              <c:idx val="1"/>
              <c:tx>
                <c:strRef>
                  <c:f>Endeavour!$AG$34</c:f>
                  <c:strCache>
                    <c:ptCount val="1"/>
                    <c:pt idx="0">
                      <c:v>33.9%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{222A84EB-D1E5-455E-BA65-6313338EA28D}</c15:txfldGUID>
                      <c15:f>Endeavour!$AG$34</c15:f>
                      <c15:dlblFieldTableCache>
                        <c:ptCount val="1"/>
                        <c:pt idx="0">
                          <c:v>33.9%</c:v>
                        </c:pt>
                      </c15:dlblFieldTableCache>
                    </c15:dlblFTEntry>
                  </c15:dlblFieldTable>
                  <c15:showDataLabelsRange val="0"/>
                </c:ext>
                <c:ext xmlns:c16="http://schemas.microsoft.com/office/drawing/2014/chart" uri="{C3380CC4-5D6E-409C-BE32-E72D297353CC}">
                  <c16:uniqueId val="{00000004-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(Endeavour!$AA$34,Endeavour!$AF$34)</c:f>
              <c:numCache>
                <c:formatCode>#,##0.00</c:formatCode>
                <c:ptCount val="2"/>
                <c:pt idx="0">
                  <c:v>2469.94</c:v>
                </c:pt>
                <c:pt idx="1">
                  <c:v>1941.94</c:v>
                </c:pt>
              </c:numCache>
            </c:numRef>
          </c:val>
          <c:extLst>
            <c:ext xmlns:c16="http://schemas.microsoft.com/office/drawing/2014/chart" uri="{C3380CC4-5D6E-409C-BE32-E72D297353CC}">
              <c16:uniqueId val="{00000005-0CF3-4D94-A294-B84F62DA3E09}"/>
            </c:ext>
          </c:extLst>
        </c:ser>
        <c:ser>
          <c:idx val="2"/>
          <c:order val="2"/>
          <c:tx>
            <c:strRef>
              <c:f>Endeavour!$F$35</c:f>
              <c:strCache>
                <c:ptCount val="1"/>
                <c:pt idx="0">
                  <c:v>Environmental cost</c:v>
                </c:pt>
              </c:strCache>
            </c:strRef>
          </c:tx>
          <c:spPr>
            <a:solidFill>
              <a:schemeClr val="accent3"/>
            </a:solidFill>
            <a:ln>
              <a:noFill/>
            </a:ln>
            <a:effectLst/>
          </c:spPr>
          <c:invertIfNegative val="0"/>
          <c:dLbls>
            <c:dLbl>
              <c:idx val="0"/>
              <c:tx>
                <c:strRef>
                  <c:f>Endeavour!$AB$35</c:f>
                  <c:strCache>
                    <c:ptCount val="1"/>
                    <c:pt idx="0">
                      <c:v>6.2%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{BB7F9228-3F12-4875-AC8B-B53C4D56C88C}</c15:txfldGUID>
                      <c15:f>Endeavour!$AB$35</c15:f>
                      <c15:dlblFieldTableCache>
                        <c:ptCount val="1"/>
                        <c:pt idx="0">
                          <c:v>6.2%</c:v>
                        </c:pt>
                      </c15:dlblFieldTableCache>
                    </c15:dlblFTEntry>
                  </c15:dlblFieldTable>
                  <c15:showDataLabelsRange val="0"/>
                </c:ext>
                <c:ext xmlns:c16="http://schemas.microsoft.com/office/drawing/2014/chart" uri="{C3380CC4-5D6E-409C-BE32-E72D297353CC}">
                  <c16:uniqueId val="{00000006-0CF3-4D94-A294-B84F62DA3E09}"/>
                </c:ext>
              </c:extLst>
            </c:dLbl>
            <c:dLbl>
              <c:idx val="1"/>
              <c:tx>
                <c:strRef>
                  <c:f>Endeavour!$AG$35</c:f>
                  <c:strCache>
                    <c:ptCount val="1"/>
                    <c:pt idx="0">
                      <c:v>7.4%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{8AFC96BB-6876-4F50-98B7-A79D271E737E}</c15:txfldGUID>
                      <c15:f>Endeavour!$AG$35</c15:f>
                      <c15:dlblFieldTableCache>
                        <c:ptCount val="1"/>
                        <c:pt idx="0">
                          <c:v>7.4%</c:v>
                        </c:pt>
                      </c15:dlblFieldTableCache>
                    </c15:dlblFTEntry>
                  </c15:dlblFieldTable>
                  <c15:showDataLabelsRange val="0"/>
                </c:ext>
                <c:ext xmlns:c16="http://schemas.microsoft.com/office/drawing/2014/chart" uri="{C3380CC4-5D6E-409C-BE32-E72D297353CC}">
                  <c16:uniqueId val="{00000007-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(Endeavour!$AA$35,Endeavour!$AF$35)</c:f>
              <c:numCache>
                <c:formatCode>#,##0.00</c:formatCode>
                <c:ptCount val="2"/>
                <c:pt idx="0">
                  <c:v>381.91999999999996</c:v>
                </c:pt>
                <c:pt idx="1">
                  <c:v>424.82</c:v>
                </c:pt>
              </c:numCache>
            </c:numRef>
          </c:val>
          <c:extLst>
            <c:ext xmlns:c16="http://schemas.microsoft.com/office/drawing/2014/chart" uri="{C3380CC4-5D6E-409C-BE32-E72D297353CC}">
              <c16:uniqueId val="{00000008-0CF3-4D94-A294-B84F62DA3E09}"/>
            </c:ext>
          </c:extLst>
        </c:ser>
        <c:ser>
          <c:idx val="3"/>
          <c:order val="3"/>
          <c:tx>
            <c:strRef>
              <c:f>Endeavour!$F$36</c:f>
              <c:strCache>
                <c:ptCount val="1"/>
                <c:pt idx="0">
                  <c:v>Residual cost</c:v>
                </c:pt>
              </c:strCache>
            </c:strRef>
          </c:tx>
          <c:spPr>
            <a:solidFill>
              <a:schemeClr val="accent6">
                <a:lumMod val="40000"/>
                <a:lumOff val="60000"/>
              </a:schemeClr>
            </a:solidFill>
            <a:ln>
              <a:noFill/>
            </a:ln>
            <a:effectLst/>
          </c:spPr>
          <c:invertIfNegative val="0"/>
          <c:dLbls>
            <c:dLbl>
              <c:idx val="0"/>
              <c:tx>
                <c:strRef>
                  <c:f>Endeavour!$AB$36</c:f>
                  <c:strCache>
                    <c:ptCount val="1"/>
                    <c:pt idx="0">
                      <c:v>19.7%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{7B229C2C-7BD6-422E-BA5D-863A1A90ED0A}</c15:txfldGUID>
                      <c15:f>Endeavour!$AB$36</c15:f>
                      <c15:dlblFieldTableCache>
                        <c:ptCount val="1"/>
                        <c:pt idx="0">
                          <c:v>19.7%</c:v>
                        </c:pt>
                      </c15:dlblFieldTableCache>
                    </c15:dlblFTEntry>
                  </c15:dlblFieldTable>
                  <c15:showDataLabelsRange val="0"/>
                </c:ext>
                <c:ext xmlns:c16="http://schemas.microsoft.com/office/drawing/2014/chart" uri="{C3380CC4-5D6E-409C-BE32-E72D297353CC}">
                  <c16:uniqueId val="{00000009-0CF3-4D94-A294-B84F62DA3E09}"/>
                </c:ext>
              </c:extLst>
            </c:dLbl>
            <c:dLbl>
              <c:idx val="1"/>
              <c:tx>
                <c:strRef>
                  <c:f>Endeavour!$AG$36</c:f>
                  <c:strCache>
                    <c:ptCount val="1"/>
                    <c:pt idx="0">
                      <c:v>21.6%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{E9DCD38F-1780-4692-A094-6EEFDC9DADC4}</c15:txfldGUID>
                      <c15:f>Endeavour!$AG$36</c15:f>
                      <c15:dlblFieldTableCache>
                        <c:ptCount val="1"/>
                        <c:pt idx="0">
                          <c:v>21.6%</c:v>
                        </c:pt>
                      </c15:dlblFieldTableCache>
                    </c15:dlblFTEntry>
                  </c15:dlblFieldTable>
                  <c15:showDataLabelsRange val="0"/>
                </c:ext>
                <c:ext xmlns:c16="http://schemas.microsoft.com/office/drawing/2014/chart" uri="{C3380CC4-5D6E-409C-BE32-E72D297353CC}">
                  <c16:uniqueId val="{0000000A-0CF3-4D94-A294-B84F62DA3E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(Endeavour!$AA$36,Endeavour!$AF$36)</c:f>
              <c:numCache>
                <c:formatCode>#,##0.00</c:formatCode>
                <c:ptCount val="2"/>
                <c:pt idx="0">
                  <c:v>1218.8280999999997</c:v>
                </c:pt>
                <c:pt idx="1">
                  <c:v>1237.1105215000007</c:v>
                </c:pt>
              </c:numCache>
            </c:numRef>
          </c:val>
          <c:extLst>
            <c:ext xmlns:c16="http://schemas.microsoft.com/office/drawing/2014/chart" uri="{C3380CC4-5D6E-409C-BE32-E72D297353CC}">
              <c16:uniqueId val="{0000000B-0CF3-4D94-A294-B84F62DA3E09}"/>
            </c:ext>
          </c:extLst>
        </c:ser>
        <c:ser>
          <c:idx val="5"/>
          <c:order val="4"/>
          <c:tx>
            <c:strRef>
              <c:f>Endeavour!$F$38</c:f>
              <c:strCache>
                <c:ptCount val="1"/>
                <c:pt idx="0">
                  <c:v>Step change</c:v>
                </c:pt>
              </c:strCache>
            </c:strRef>
          </c:tx>
          <c:spPr>
            <a:solidFill>
              <a:schemeClr val="accent6"/>
            </a:solidFill>
            <a:ln>
              <a:noFill/>
            </a:ln>
            <a:effectLst/>
          </c:spPr>
          <c:invertIfNegative val="0"/>
          <c:val>
            <c:numRef>
              <c:f>(Endeavour!$AA$38,Endeavour!$AF$38)</c:f>
              <c:numCache>
                <c:formatCode>#,##0.00</c:formatCode>
                <c:ptCount val="2"/>
                <c:pt idx="0">
                  <c:v>0</c:v>
                </c:pt>
                <c:pt idx="1">
                  <c:v>0</c:v>
                </c:pt>
              </c:numCache>
            </c:numRef>
          </c:val>
          <c:extLst>
            <c:ext xmlns:c16="http://schemas.microsoft.com/office/drawing/2014/chart" uri="{C3380CC4-5D6E-409C-BE32-E72D297353CC}">
              <c16:uniqueId val="{00000000-4D12-48C6-88B0-A90C40661DA4}"/>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(Endeavour!$AA$29,Endeavour!$AD$29)</c:f>
              <c:strCache>
                <c:ptCount val="2"/>
                <c:pt idx="0">
                  <c:v>2020-21</c:v>
                </c:pt>
                <c:pt idx="1">
                  <c:v>2021-22</c:v>
                </c:pt>
              </c:strCache>
            </c:strRef>
          </c:cat>
          <c:val>
            <c:numRef>
              <c:f>(Endeavour!$Z$32,Endeavour!$Z$39)</c:f>
              <c:numCache>
                <c:formatCode>#,##0.00</c:formatCode>
                <c:ptCount val="2"/>
                <c:pt idx="0">
                  <c:v>6177</c:v>
                </c:pt>
                <c:pt idx="1">
                  <c:v>5736.1429715000004</c:v>
                </c:pt>
              </c:numCache>
            </c:numRef>
          </c:val>
          <c:extLst>
            <c:ext xmlns:c16="http://schemas.microsoft.com/office/drawing/2014/chart" uri="{C3380CC4-5D6E-409C-BE32-E72D297353CC}">
              <c16:uniqueId val="{0000000C-0CF3-4D94-A294-B84F62DA3E0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Essential!$D$3</c:f>
          <c:strCache>
            <c:ptCount val="1"/>
            <c:pt idx="0">
              <c:v>Essential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Essential!$F$33</c:f>
              <c:strCache>
                <c:ptCount val="1"/>
                <c:pt idx="0">
                  <c:v>Network cost</c:v>
                </c:pt>
              </c:strCache>
            </c:strRef>
          </c:tx>
          <c:spPr>
            <a:solidFill>
              <a:schemeClr val="accent1"/>
            </a:solidFill>
            <a:ln>
              <a:noFill/>
            </a:ln>
            <a:effectLst/>
          </c:spPr>
          <c:invertIfNegative val="0"/>
          <c:dLbls>
            <c:dLbl>
              <c:idx val="0"/>
              <c:tx>
                <c:strRef>
                  <c:f>Essential!$S$33</c:f>
                  <c:strCache>
                    <c:ptCount val="1"/>
                    <c:pt idx="0">
                      <c:v>43.0%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{B1F5E0B8-8F96-41C2-BEE3-0F7127C41D2A}</c15:txfldGUID>
                      <c15:f>Essential!$S$33</c15:f>
                      <c15:dlblFieldTableCache>
                        <c:ptCount val="1"/>
                        <c:pt idx="0">
                          <c:v>43.0%</c:v>
                        </c:pt>
                      </c15:dlblFieldTableCache>
                    </c15:dlblFTEntry>
                  </c15:dlblFieldTable>
                  <c15:showDataLabelsRange val="0"/>
                </c:ext>
                <c:ext xmlns:c16="http://schemas.microsoft.com/office/drawing/2014/chart" uri="{C3380CC4-5D6E-409C-BE32-E72D297353CC}">
                  <c16:uniqueId val="{00000000-F13B-4BD1-AEC2-D71A9AAADD26}"/>
                </c:ext>
              </c:extLst>
            </c:dLbl>
            <c:dLbl>
              <c:idx val="1"/>
              <c:tx>
                <c:strRef>
                  <c:f>Essential!$X$33</c:f>
                  <c:strCache>
                    <c:ptCount val="1"/>
                    <c:pt idx="0">
                      <c:v>47.1%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{1293F321-AE1C-40C9-9056-4FBFAB56D9CF}</c15:txfldGUID>
                      <c15:f>Essential!$X$33</c15:f>
                      <c15:dlblFieldTableCache>
                        <c:ptCount val="1"/>
                        <c:pt idx="0">
                          <c:v>47.1%</c:v>
                        </c:pt>
                      </c15:dlblFieldTableCache>
                    </c15:dlblFTEntry>
                  </c15:dlblFieldTable>
                  <c15:showDataLabelsRange val="0"/>
                </c:ext>
                <c:ext xmlns:c16="http://schemas.microsoft.com/office/drawing/2014/chart" uri="{C3380CC4-5D6E-409C-BE32-E72D297353CC}">
                  <c16:uniqueId val="{00000001-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(Essential!$R$33,Essential!$W$33)</c:f>
              <c:numCache>
                <c:formatCode>#,##0.00</c:formatCode>
                <c:ptCount val="2"/>
                <c:pt idx="0">
                  <c:v>1012.678678</c:v>
                </c:pt>
                <c:pt idx="1">
                  <c:v>1069.405436</c:v>
                </c:pt>
              </c:numCache>
            </c:numRef>
          </c:val>
          <c:extLst>
            <c:ext xmlns:c16="http://schemas.microsoft.com/office/drawing/2014/chart" uri="{C3380CC4-5D6E-409C-BE32-E72D297353CC}">
              <c16:uniqueId val="{00000002-F13B-4BD1-AEC2-D71A9AAADD26}"/>
            </c:ext>
          </c:extLst>
        </c:ser>
        <c:ser>
          <c:idx val="1"/>
          <c:order val="1"/>
          <c:tx>
            <c:strRef>
              <c:f>Essential!$F$34</c:f>
              <c:strCache>
                <c:ptCount val="1"/>
                <c:pt idx="0">
                  <c:v>Wholesale cost</c:v>
                </c:pt>
              </c:strCache>
            </c:strRef>
          </c:tx>
          <c:spPr>
            <a:solidFill>
              <a:schemeClr val="accent2"/>
            </a:solidFill>
            <a:ln>
              <a:noFill/>
            </a:ln>
            <a:effectLst/>
          </c:spPr>
          <c:invertIfNegative val="0"/>
          <c:dLbls>
            <c:dLbl>
              <c:idx val="0"/>
              <c:tx>
                <c:strRef>
                  <c:f>Essential!$S$34</c:f>
                  <c:strCache>
                    <c:ptCount val="1"/>
                    <c:pt idx="0">
                      <c:v>30.4%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{D9F225BC-2001-415F-B070-C4F95E228C65}</c15:txfldGUID>
                      <c15:f>Essential!$S$34</c15:f>
                      <c15:dlblFieldTableCache>
                        <c:ptCount val="1"/>
                        <c:pt idx="0">
                          <c:v>30.4%</c:v>
                        </c:pt>
                      </c15:dlblFieldTableCache>
                    </c15:dlblFTEntry>
                  </c15:dlblFieldTable>
                  <c15:showDataLabelsRange val="0"/>
                </c:ext>
                <c:ext xmlns:c16="http://schemas.microsoft.com/office/drawing/2014/chart" uri="{C3380CC4-5D6E-409C-BE32-E72D297353CC}">
                  <c16:uniqueId val="{00000003-F13B-4BD1-AEC2-D71A9AAADD26}"/>
                </c:ext>
              </c:extLst>
            </c:dLbl>
            <c:dLbl>
              <c:idx val="1"/>
              <c:tx>
                <c:strRef>
                  <c:f>Essential!$X$34</c:f>
                  <c:strCache>
                    <c:ptCount val="1"/>
                    <c:pt idx="0">
                      <c:v>24.4%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{AAF3771A-1972-46A9-A354-B6F7C638C66C}</c15:txfldGUID>
                      <c15:f>Essential!$X$34</c15:f>
                      <c15:dlblFieldTableCache>
                        <c:ptCount val="1"/>
                        <c:pt idx="0">
                          <c:v>24.4%</c:v>
                        </c:pt>
                      </c15:dlblFieldTableCache>
                    </c15:dlblFTEntry>
                  </c15:dlblFieldTable>
                  <c15:showDataLabelsRange val="0"/>
                </c:ext>
                <c:ext xmlns:c16="http://schemas.microsoft.com/office/drawing/2014/chart" uri="{C3380CC4-5D6E-409C-BE32-E72D297353CC}">
                  <c16:uniqueId val="{00000004-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(Essential!$R$34,Essential!$W$34)</c:f>
              <c:numCache>
                <c:formatCode>#,##0.00</c:formatCode>
                <c:ptCount val="2"/>
                <c:pt idx="0">
                  <c:v>717.08999999999992</c:v>
                </c:pt>
                <c:pt idx="1">
                  <c:v>554.58039999999994</c:v>
                </c:pt>
              </c:numCache>
            </c:numRef>
          </c:val>
          <c:extLst>
            <c:ext xmlns:c16="http://schemas.microsoft.com/office/drawing/2014/chart" uri="{C3380CC4-5D6E-409C-BE32-E72D297353CC}">
              <c16:uniqueId val="{00000005-F13B-4BD1-AEC2-D71A9AAADD26}"/>
            </c:ext>
          </c:extLst>
        </c:ser>
        <c:ser>
          <c:idx val="2"/>
          <c:order val="2"/>
          <c:tx>
            <c:strRef>
              <c:f>Essential!$F$35</c:f>
              <c:strCache>
                <c:ptCount val="1"/>
                <c:pt idx="0">
                  <c:v>Environmental cost</c:v>
                </c:pt>
              </c:strCache>
            </c:strRef>
          </c:tx>
          <c:spPr>
            <a:solidFill>
              <a:schemeClr val="accent3"/>
            </a:solidFill>
            <a:ln>
              <a:noFill/>
            </a:ln>
            <a:effectLst/>
          </c:spPr>
          <c:invertIfNegative val="0"/>
          <c:dLbls>
            <c:dLbl>
              <c:idx val="0"/>
              <c:tx>
                <c:strRef>
                  <c:f>Essential!$S$35</c:f>
                  <c:strCache>
                    <c:ptCount val="1"/>
                    <c:pt idx="0">
                      <c:v>5.3%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{7022A7EF-37D5-4460-9CAB-B9FB3277F598}</c15:txfldGUID>
                      <c15:f>Essential!$S$35</c15:f>
                      <c15:dlblFieldTableCache>
                        <c:ptCount val="1"/>
                        <c:pt idx="0">
                          <c:v>5.3%</c:v>
                        </c:pt>
                      </c15:dlblFieldTableCache>
                    </c15:dlblFTEntry>
                  </c15:dlblFieldTable>
                  <c15:showDataLabelsRange val="0"/>
                </c:ext>
                <c:ext xmlns:c16="http://schemas.microsoft.com/office/drawing/2014/chart" uri="{C3380CC4-5D6E-409C-BE32-E72D297353CC}">
                  <c16:uniqueId val="{00000006-F13B-4BD1-AEC2-D71A9AAADD26}"/>
                </c:ext>
              </c:extLst>
            </c:dLbl>
            <c:dLbl>
              <c:idx val="1"/>
              <c:tx>
                <c:strRef>
                  <c:f>Essential!$X$35</c:f>
                  <c:strCache>
                    <c:ptCount val="1"/>
                    <c:pt idx="0">
                      <c:v>6.1%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{9F658D37-DAB4-4722-8250-3E9BFA55C6AB}</c15:txfldGUID>
                      <c15:f>Essential!$X$35</c15:f>
                      <c15:dlblFieldTableCache>
                        <c:ptCount val="1"/>
                        <c:pt idx="0">
                          <c:v>6.1%</c:v>
                        </c:pt>
                      </c15:dlblFieldTableCache>
                    </c15:dlblFTEntry>
                  </c15:dlblFieldTable>
                  <c15:showDataLabelsRange val="0"/>
                </c:ext>
                <c:ext xmlns:c16="http://schemas.microsoft.com/office/drawing/2014/chart" uri="{C3380CC4-5D6E-409C-BE32-E72D297353CC}">
                  <c16:uniqueId val="{00000007-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(Essential!$R$35,Essential!$W$35)</c:f>
              <c:numCache>
                <c:formatCode>#,##0.00</c:formatCode>
                <c:ptCount val="2"/>
                <c:pt idx="0">
                  <c:v>125.235</c:v>
                </c:pt>
                <c:pt idx="1">
                  <c:v>138.2304</c:v>
                </c:pt>
              </c:numCache>
            </c:numRef>
          </c:val>
          <c:extLst>
            <c:ext xmlns:c16="http://schemas.microsoft.com/office/drawing/2014/chart" uri="{C3380CC4-5D6E-409C-BE32-E72D297353CC}">
              <c16:uniqueId val="{00000008-F13B-4BD1-AEC2-D71A9AAADD26}"/>
            </c:ext>
          </c:extLst>
        </c:ser>
        <c:ser>
          <c:idx val="3"/>
          <c:order val="3"/>
          <c:tx>
            <c:strRef>
              <c:f>Essential!$F$36</c:f>
              <c:strCache>
                <c:ptCount val="1"/>
                <c:pt idx="0">
                  <c:v>Residual cost</c:v>
                </c:pt>
              </c:strCache>
            </c:strRef>
          </c:tx>
          <c:spPr>
            <a:solidFill>
              <a:schemeClr val="accent6">
                <a:lumMod val="40000"/>
                <a:lumOff val="60000"/>
              </a:schemeClr>
            </a:solidFill>
            <a:ln>
              <a:noFill/>
            </a:ln>
            <a:effectLst/>
          </c:spPr>
          <c:invertIfNegative val="0"/>
          <c:dLbls>
            <c:dLbl>
              <c:idx val="0"/>
              <c:tx>
                <c:strRef>
                  <c:f>Essential!$S$36</c:f>
                  <c:strCache>
                    <c:ptCount val="1"/>
                    <c:pt idx="0">
                      <c:v>21.3%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{388B38F6-427A-487C-B3B1-E4C41C0847AC}</c15:txfldGUID>
                      <c15:f>Essential!$S$36</c15:f>
                      <c15:dlblFieldTableCache>
                        <c:ptCount val="1"/>
                        <c:pt idx="0">
                          <c:v>21.3%</c:v>
                        </c:pt>
                      </c15:dlblFieldTableCache>
                    </c15:dlblFTEntry>
                  </c15:dlblFieldTable>
                  <c15:showDataLabelsRange val="0"/>
                </c:ext>
                <c:ext xmlns:c16="http://schemas.microsoft.com/office/drawing/2014/chart" uri="{C3380CC4-5D6E-409C-BE32-E72D297353CC}">
                  <c16:uniqueId val="{00000009-F13B-4BD1-AEC2-D71A9AAADD26}"/>
                </c:ext>
              </c:extLst>
            </c:dLbl>
            <c:dLbl>
              <c:idx val="1"/>
              <c:tx>
                <c:strRef>
                  <c:f>Essential!$X$36</c:f>
                  <c:strCache>
                    <c:ptCount val="1"/>
                    <c:pt idx="0">
                      <c:v>22.4%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{14DAF8A8-7D3C-4920-A048-6160A8E0171F}</c15:txfldGUID>
                      <c15:f>Essential!$X$36</c15:f>
                      <c15:dlblFieldTableCache>
                        <c:ptCount val="1"/>
                        <c:pt idx="0">
                          <c:v>22.4%</c:v>
                        </c:pt>
                      </c15:dlblFieldTableCache>
                    </c15:dlblFTEntry>
                  </c15:dlblFieldTable>
                  <c15:showDataLabelsRange val="0"/>
                </c:ext>
                <c:ext xmlns:c16="http://schemas.microsoft.com/office/drawing/2014/chart" uri="{C3380CC4-5D6E-409C-BE32-E72D297353CC}">
                  <c16:uniqueId val="{0000000A-F13B-4BD1-AEC2-D71A9AAADD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(Essential!$R$36,Essential!$W$36)</c:f>
              <c:numCache>
                <c:formatCode>#,##0.00</c:formatCode>
                <c:ptCount val="2"/>
                <c:pt idx="0">
                  <c:v>500.99632200000019</c:v>
                </c:pt>
                <c:pt idx="1">
                  <c:v>508.5112668300003</c:v>
                </c:pt>
              </c:numCache>
            </c:numRef>
          </c:val>
          <c:extLst>
            <c:ext xmlns:c16="http://schemas.microsoft.com/office/drawing/2014/chart" uri="{C3380CC4-5D6E-409C-BE32-E72D297353CC}">
              <c16:uniqueId val="{0000000B-F13B-4BD1-AEC2-D71A9AAADD26}"/>
            </c:ext>
          </c:extLst>
        </c:ser>
        <c:ser>
          <c:idx val="5"/>
          <c:order val="4"/>
          <c:tx>
            <c:strRef>
              <c:f>Essential!$F$38</c:f>
              <c:strCache>
                <c:ptCount val="1"/>
                <c:pt idx="0">
                  <c:v>Step change</c:v>
                </c:pt>
              </c:strCache>
            </c:strRef>
          </c:tx>
          <c:spPr>
            <a:solidFill>
              <a:schemeClr val="accent6"/>
            </a:solidFill>
            <a:ln>
              <a:noFill/>
            </a:ln>
            <a:effectLst/>
          </c:spPr>
          <c:invertIfNegative val="0"/>
          <c:val>
            <c:numRef>
              <c:f>(Essential!$R$38,Essential!$W$38)</c:f>
              <c:numCache>
                <c:formatCode>#,##0.00</c:formatCode>
                <c:ptCount val="2"/>
                <c:pt idx="0">
                  <c:v>0</c:v>
                </c:pt>
                <c:pt idx="1">
                  <c:v>0</c:v>
                </c:pt>
              </c:numCache>
            </c:numRef>
          </c:val>
          <c:extLst>
            <c:ext xmlns:c16="http://schemas.microsoft.com/office/drawing/2014/chart" uri="{C3380CC4-5D6E-409C-BE32-E72D297353CC}">
              <c16:uniqueId val="{00000000-971C-4C14-B5A7-A5516E766E25}"/>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(Essential!$R$29,Essential!$U$29)</c:f>
              <c:strCache>
                <c:ptCount val="2"/>
                <c:pt idx="0">
                  <c:v>2020-21</c:v>
                </c:pt>
                <c:pt idx="1">
                  <c:v>2021-22</c:v>
                </c:pt>
              </c:strCache>
            </c:strRef>
          </c:cat>
          <c:val>
            <c:numRef>
              <c:f>(Essential!$Q$32,Essential!$Q$39)</c:f>
              <c:numCache>
                <c:formatCode>#,##0.00</c:formatCode>
                <c:ptCount val="2"/>
                <c:pt idx="0">
                  <c:v>2356</c:v>
                </c:pt>
                <c:pt idx="1">
                  <c:v>2270.72750283</c:v>
                </c:pt>
              </c:numCache>
            </c:numRef>
          </c:val>
          <c:extLst>
            <c:ext xmlns:c16="http://schemas.microsoft.com/office/drawing/2014/chart" uri="{C3380CC4-5D6E-409C-BE32-E72D297353CC}">
              <c16:uniqueId val="{0000000C-F13B-4BD1-AEC2-D71A9AAADD26}"/>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Essential!$C$3</c:f>
          <c:strCache>
            <c:ptCount val="1"/>
            <c:pt idx="0">
              <c:v>Essential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Essential!$F$33</c:f>
              <c:strCache>
                <c:ptCount val="1"/>
                <c:pt idx="0">
                  <c:v>Network cost</c:v>
                </c:pt>
              </c:strCache>
            </c:strRef>
          </c:tx>
          <c:spPr>
            <a:solidFill>
              <a:schemeClr val="accent1"/>
            </a:solidFill>
            <a:ln>
              <a:noFill/>
            </a:ln>
            <a:effectLst/>
          </c:spPr>
          <c:invertIfNegative val="0"/>
          <c:dLbls>
            <c:dLbl>
              <c:idx val="0"/>
              <c:layout/>
              <c:tx>
                <c:strRef>
                  <c:f>Essential!$J$33</c:f>
                  <c:strCache>
                    <c:ptCount val="1"/>
                    <c:pt idx="0">
                      <c:v>46.1%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{CFEEB1F0-FB6F-4514-953F-3067F36499BC}</c15:txfldGUID>
                      <c15:f>Essential!$J$33</c15:f>
                      <c15:dlblFieldTableCache>
                        <c:ptCount val="1"/>
                        <c:pt idx="0">
                          <c:v>46.1%</c:v>
                        </c:pt>
                      </c15:dlblFieldTableCache>
                    </c15:dlblFTEntry>
                  </c15:dlblFieldTable>
                  <c15:showDataLabelsRange val="0"/>
                </c:ext>
                <c:ext xmlns:c16="http://schemas.microsoft.com/office/drawing/2014/chart" uri="{C3380CC4-5D6E-409C-BE32-E72D297353CC}">
                  <c16:uniqueId val="{00000000-EDB3-4A25-A3E6-7FBA8C393743}"/>
                </c:ext>
              </c:extLst>
            </c:dLbl>
            <c:dLbl>
              <c:idx val="1"/>
              <c:layout/>
              <c:tx>
                <c:strRef>
                  <c:f>Essential!$O$33</c:f>
                  <c:strCache>
                    <c:ptCount val="1"/>
                    <c:pt idx="0">
                      <c:v>49.9%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{DE67981F-6322-4406-AD45-08351DB0CFAD}</c15:txfldGUID>
                      <c15:f>Essential!$O$33</c15:f>
                      <c15:dlblFieldTableCache>
                        <c:ptCount val="1"/>
                        <c:pt idx="0">
                          <c:v>49.9%</c:v>
                        </c:pt>
                      </c15:dlblFieldTableCache>
                    </c15:dlblFTEntry>
                  </c15:dlblFieldTable>
                  <c15:showDataLabelsRange val="0"/>
                </c:ext>
                <c:ext xmlns:c16="http://schemas.microsoft.com/office/drawing/2014/chart" uri="{C3380CC4-5D6E-409C-BE32-E72D297353CC}">
                  <c16:uniqueId val="{00000001-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(Essential!$I$33,Essential!$N$33)</c:f>
              <c:numCache>
                <c:formatCode>#,##0.00</c:formatCode>
                <c:ptCount val="2"/>
                <c:pt idx="0">
                  <c:v>903.20934000000011</c:v>
                </c:pt>
                <c:pt idx="1">
                  <c:v>952.05351999999993</c:v>
                </c:pt>
              </c:numCache>
            </c:numRef>
          </c:val>
          <c:extLst>
            <c:ext xmlns:c16="http://schemas.microsoft.com/office/drawing/2014/chart" uri="{C3380CC4-5D6E-409C-BE32-E72D297353CC}">
              <c16:uniqueId val="{00000002-EDB3-4A25-A3E6-7FBA8C393743}"/>
            </c:ext>
          </c:extLst>
        </c:ser>
        <c:ser>
          <c:idx val="1"/>
          <c:order val="1"/>
          <c:tx>
            <c:strRef>
              <c:f>Essential!$F$34</c:f>
              <c:strCache>
                <c:ptCount val="1"/>
                <c:pt idx="0">
                  <c:v>Wholesale cost</c:v>
                </c:pt>
              </c:strCache>
            </c:strRef>
          </c:tx>
          <c:spPr>
            <a:solidFill>
              <a:schemeClr val="accent2"/>
            </a:solidFill>
            <a:ln>
              <a:noFill/>
            </a:ln>
            <a:effectLst/>
          </c:spPr>
          <c:invertIfNegative val="0"/>
          <c:dLbls>
            <c:dLbl>
              <c:idx val="0"/>
              <c:layout/>
              <c:tx>
                <c:strRef>
                  <c:f>Essential!$J$34</c:f>
                  <c:strCache>
                    <c:ptCount val="1"/>
                    <c:pt idx="0">
                      <c:v>26.7%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{C114E50B-8EE6-4246-BE7E-092E715D0AA9}</c15:txfldGUID>
                      <c15:f>Essential!$J$34</c15:f>
                      <c15:dlblFieldTableCache>
                        <c:ptCount val="1"/>
                        <c:pt idx="0">
                          <c:v>26.7%</c:v>
                        </c:pt>
                      </c15:dlblFieldTableCache>
                    </c15:dlblFTEntry>
                  </c15:dlblFieldTable>
                  <c15:showDataLabelsRange val="0"/>
                </c:ext>
                <c:ext xmlns:c16="http://schemas.microsoft.com/office/drawing/2014/chart" uri="{C3380CC4-5D6E-409C-BE32-E72D297353CC}">
                  <c16:uniqueId val="{00000003-EDB3-4A25-A3E6-7FBA8C393743}"/>
                </c:ext>
              </c:extLst>
            </c:dLbl>
            <c:dLbl>
              <c:idx val="1"/>
              <c:layout/>
              <c:tx>
                <c:strRef>
                  <c:f>Essential!$O$34</c:f>
                  <c:strCache>
                    <c:ptCount val="1"/>
                    <c:pt idx="0">
                      <c:v>21.3%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{D5BF4396-2969-417F-A250-61C51A382FFE}</c15:txfldGUID>
                      <c15:f>Essential!$O$34</c15:f>
                      <c15:dlblFieldTableCache>
                        <c:ptCount val="1"/>
                        <c:pt idx="0">
                          <c:v>21.3%</c:v>
                        </c:pt>
                      </c15:dlblFieldTableCache>
                    </c15:dlblFTEntry>
                  </c15:dlblFieldTable>
                  <c15:showDataLabelsRange val="0"/>
                </c:ext>
                <c:ext xmlns:c16="http://schemas.microsoft.com/office/drawing/2014/chart" uri="{C3380CC4-5D6E-409C-BE32-E72D297353CC}">
                  <c16:uniqueId val="{00000004-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(Essential!$I$34,Essential!$N$34)</c:f>
              <c:numCache>
                <c:formatCode>#,##0.00</c:formatCode>
                <c:ptCount val="2"/>
                <c:pt idx="0">
                  <c:v>523.71</c:v>
                </c:pt>
                <c:pt idx="1">
                  <c:v>406.5204</c:v>
                </c:pt>
              </c:numCache>
            </c:numRef>
          </c:val>
          <c:extLst>
            <c:ext xmlns:c16="http://schemas.microsoft.com/office/drawing/2014/chart" uri="{C3380CC4-5D6E-409C-BE32-E72D297353CC}">
              <c16:uniqueId val="{00000005-EDB3-4A25-A3E6-7FBA8C393743}"/>
            </c:ext>
          </c:extLst>
        </c:ser>
        <c:ser>
          <c:idx val="2"/>
          <c:order val="2"/>
          <c:tx>
            <c:strRef>
              <c:f>Essential!$F$35</c:f>
              <c:strCache>
                <c:ptCount val="1"/>
                <c:pt idx="0">
                  <c:v>Environmental cost</c:v>
                </c:pt>
              </c:strCache>
            </c:strRef>
          </c:tx>
          <c:spPr>
            <a:solidFill>
              <a:schemeClr val="accent3"/>
            </a:solidFill>
            <a:ln>
              <a:noFill/>
            </a:ln>
            <a:effectLst/>
          </c:spPr>
          <c:invertIfNegative val="0"/>
          <c:dLbls>
            <c:dLbl>
              <c:idx val="0"/>
              <c:layout/>
              <c:tx>
                <c:strRef>
                  <c:f>Essential!$J$35</c:f>
                  <c:strCache>
                    <c:ptCount val="1"/>
                    <c:pt idx="0">
                      <c:v>4.5%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{F461B64F-B18B-4C28-BFB5-979D373E08E6}</c15:txfldGUID>
                      <c15:f>Essential!$J$35</c15:f>
                      <c15:dlblFieldTableCache>
                        <c:ptCount val="1"/>
                        <c:pt idx="0">
                          <c:v>4.5%</c:v>
                        </c:pt>
                      </c15:dlblFieldTableCache>
                    </c15:dlblFTEntry>
                  </c15:dlblFieldTable>
                  <c15:showDataLabelsRange val="0"/>
                </c:ext>
                <c:ext xmlns:c16="http://schemas.microsoft.com/office/drawing/2014/chart" uri="{C3380CC4-5D6E-409C-BE32-E72D297353CC}">
                  <c16:uniqueId val="{00000006-EDB3-4A25-A3E6-7FBA8C393743}"/>
                </c:ext>
              </c:extLst>
            </c:dLbl>
            <c:dLbl>
              <c:idx val="1"/>
              <c:layout/>
              <c:tx>
                <c:strRef>
                  <c:f>Essential!$O$35</c:f>
                  <c:strCache>
                    <c:ptCount val="1"/>
                    <c:pt idx="0">
                      <c:v>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{6D2256AD-5E2B-4097-943F-5D7E27D49139}</c15:txfldGUID>
                      <c15:f>Essential!$O$35</c15:f>
                      <c15:dlblFieldTableCache>
                        <c:ptCount val="1"/>
                        <c:pt idx="0">
                          <c:v>5.1%</c:v>
                        </c:pt>
                      </c15:dlblFieldTableCache>
                    </c15:dlblFTEntry>
                  </c15:dlblFieldTable>
                  <c15:showDataLabelsRange val="0"/>
                </c:ext>
                <c:ext xmlns:c16="http://schemas.microsoft.com/office/drawing/2014/chart" uri="{C3380CC4-5D6E-409C-BE32-E72D297353CC}">
                  <c16:uniqueId val="{00000007-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(Essential!$I$35,Essential!$N$35)</c:f>
              <c:numCache>
                <c:formatCode>#,##0.00</c:formatCode>
                <c:ptCount val="2"/>
                <c:pt idx="0">
                  <c:v>87.284999999999997</c:v>
                </c:pt>
                <c:pt idx="1">
                  <c:v>96.342399999999998</c:v>
                </c:pt>
              </c:numCache>
            </c:numRef>
          </c:val>
          <c:extLst>
            <c:ext xmlns:c16="http://schemas.microsoft.com/office/drawing/2014/chart" uri="{C3380CC4-5D6E-409C-BE32-E72D297353CC}">
              <c16:uniqueId val="{00000008-EDB3-4A25-A3E6-7FBA8C393743}"/>
            </c:ext>
          </c:extLst>
        </c:ser>
        <c:ser>
          <c:idx val="3"/>
          <c:order val="3"/>
          <c:tx>
            <c:strRef>
              <c:f>Essential!$F$36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Essential!$J$36</c:f>
                  <c:strCache>
                    <c:ptCount val="1"/>
                    <c:pt idx="0">
                      <c:v>22.7%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{2C2D240C-E448-4E80-8CE9-D7E0969B5F80}</c15:txfldGUID>
                      <c15:f>Essential!$J$36</c15:f>
                      <c15:dlblFieldTableCache>
                        <c:ptCount val="1"/>
                        <c:pt idx="0">
                          <c:v>22.7%</c:v>
                        </c:pt>
                      </c15:dlblFieldTableCache>
                    </c15:dlblFTEntry>
                  </c15:dlblFieldTable>
                  <c15:showDataLabelsRange val="0"/>
                </c:ext>
                <c:ext xmlns:c16="http://schemas.microsoft.com/office/drawing/2014/chart" uri="{C3380CC4-5D6E-409C-BE32-E72D297353CC}">
                  <c16:uniqueId val="{00000009-EDB3-4A25-A3E6-7FBA8C393743}"/>
                </c:ext>
              </c:extLst>
            </c:dLbl>
            <c:dLbl>
              <c:idx val="1"/>
              <c:layout/>
              <c:tx>
                <c:strRef>
                  <c:f>Essential!$O$36</c:f>
                  <c:strCache>
                    <c:ptCount val="1"/>
                    <c:pt idx="0">
                      <c:v>23.7%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{0FD2B134-9842-445D-B861-63BF53F68B21}</c15:txfldGUID>
                      <c15:f>Essential!$O$36</c15:f>
                      <c15:dlblFieldTableCache>
                        <c:ptCount val="1"/>
                        <c:pt idx="0">
                          <c:v>23.7%</c:v>
                        </c:pt>
                      </c15:dlblFieldTableCache>
                    </c15:dlblFTEntry>
                  </c15:dlblFieldTable>
                  <c15:showDataLabelsRange val="0"/>
                </c:ext>
                <c:ext xmlns:c16="http://schemas.microsoft.com/office/drawing/2014/chart" uri="{C3380CC4-5D6E-409C-BE32-E72D297353CC}">
                  <c16:uniqueId val="{0000000A-EDB3-4A25-A3E6-7FBA8C3937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(Essential!$I$36,Essential!$N$36)</c:f>
              <c:numCache>
                <c:formatCode>#,##0.00</c:formatCode>
                <c:ptCount val="2"/>
                <c:pt idx="0">
                  <c:v>445.79565999999977</c:v>
                </c:pt>
                <c:pt idx="1">
                  <c:v>452.48259489999987</c:v>
                </c:pt>
              </c:numCache>
            </c:numRef>
          </c:val>
          <c:extLst>
            <c:ext xmlns:c16="http://schemas.microsoft.com/office/drawing/2014/chart" uri="{C3380CC4-5D6E-409C-BE32-E72D297353CC}">
              <c16:uniqueId val="{0000000B-EDB3-4A25-A3E6-7FBA8C393743}"/>
            </c:ext>
          </c:extLst>
        </c:ser>
        <c:ser>
          <c:idx val="5"/>
          <c:order val="4"/>
          <c:tx>
            <c:strRef>
              <c:f>Essential!$F$38</c:f>
              <c:strCache>
                <c:ptCount val="1"/>
                <c:pt idx="0">
                  <c:v>Step change</c:v>
                </c:pt>
              </c:strCache>
            </c:strRef>
          </c:tx>
          <c:spPr>
            <a:solidFill>
              <a:schemeClr val="accent6"/>
            </a:solidFill>
            <a:ln>
              <a:noFill/>
            </a:ln>
            <a:effectLst/>
          </c:spPr>
          <c:invertIfNegative val="0"/>
          <c:val>
            <c:numRef>
              <c:f>(Essential!$I$38,Essential!$N$38)</c:f>
              <c:numCache>
                <c:formatCode>#,##0.00</c:formatCode>
                <c:ptCount val="2"/>
                <c:pt idx="0">
                  <c:v>0</c:v>
                </c:pt>
                <c:pt idx="1">
                  <c:v>0</c:v>
                </c:pt>
              </c:numCache>
            </c:numRef>
          </c:val>
          <c:extLst>
            <c:ext xmlns:c16="http://schemas.microsoft.com/office/drawing/2014/chart" uri="{C3380CC4-5D6E-409C-BE32-E72D297353CC}">
              <c16:uniqueId val="{00000000-7CCD-4F84-A8A3-B4F96DADD9A0}"/>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(Essential!$I$29,Essential!$L$29)</c:f>
              <c:strCache>
                <c:ptCount val="2"/>
                <c:pt idx="0">
                  <c:v>2020-21</c:v>
                </c:pt>
                <c:pt idx="1">
                  <c:v>2021-22</c:v>
                </c:pt>
              </c:strCache>
            </c:strRef>
          </c:cat>
          <c:val>
            <c:numRef>
              <c:f>(Essential!$H$32,Essential!$H$39)</c:f>
              <c:numCache>
                <c:formatCode>#,##0.00</c:formatCode>
                <c:ptCount val="2"/>
                <c:pt idx="0">
                  <c:v>1960</c:v>
                </c:pt>
                <c:pt idx="1">
                  <c:v>1907.3989148999997</c:v>
                </c:pt>
              </c:numCache>
            </c:numRef>
          </c:val>
          <c:extLst>
            <c:ext xmlns:c16="http://schemas.microsoft.com/office/drawing/2014/chart" uri="{C3380CC4-5D6E-409C-BE32-E72D297353CC}">
              <c16:uniqueId val="{0000000C-EDB3-4A25-A3E6-7FBA8C39374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Essential!$E$3</c:f>
          <c:strCache>
            <c:ptCount val="1"/>
            <c:pt idx="0">
              <c:v>Essential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Essential!$F$33</c:f>
              <c:strCache>
                <c:ptCount val="1"/>
                <c:pt idx="0">
                  <c:v>Network cost</c:v>
                </c:pt>
              </c:strCache>
            </c:strRef>
          </c:tx>
          <c:spPr>
            <a:solidFill>
              <a:schemeClr val="accent1"/>
            </a:solidFill>
            <a:ln>
              <a:noFill/>
            </a:ln>
            <a:effectLst/>
          </c:spPr>
          <c:invertIfNegative val="0"/>
          <c:dLbls>
            <c:dLbl>
              <c:idx val="0"/>
              <c:tx>
                <c:strRef>
                  <c:f>Essential!$AB$33</c:f>
                  <c:strCache>
                    <c:ptCount val="1"/>
                    <c:pt idx="0">
                      <c:v>44.3%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{09874A8C-086A-4CB3-9BC6-98D4E3CC5445}</c15:txfldGUID>
                      <c15:f>Essential!$AB$33</c15:f>
                      <c15:dlblFieldTableCache>
                        <c:ptCount val="1"/>
                        <c:pt idx="0">
                          <c:v>44.3%</c:v>
                        </c:pt>
                      </c15:dlblFieldTableCache>
                    </c15:dlblFTEntry>
                  </c15:dlblFieldTable>
                  <c15:showDataLabelsRange val="0"/>
                </c:ext>
                <c:ext xmlns:c16="http://schemas.microsoft.com/office/drawing/2014/chart" uri="{C3380CC4-5D6E-409C-BE32-E72D297353CC}">
                  <c16:uniqueId val="{00000000-8A5B-4E6A-AC05-6E2838D6C57E}"/>
                </c:ext>
              </c:extLst>
            </c:dLbl>
            <c:dLbl>
              <c:idx val="1"/>
              <c:tx>
                <c:strRef>
                  <c:f>Essential!$AG$33</c:f>
                  <c:strCache>
                    <c:ptCount val="1"/>
                    <c:pt idx="0">
                      <c:v>48.2%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{3CC534A9-4FA8-4AA5-8726-6F0A5D76C769}</c15:txfldGUID>
                      <c15:f>Essential!$AG$33</c15:f>
                      <c15:dlblFieldTableCache>
                        <c:ptCount val="1"/>
                        <c:pt idx="0">
                          <c:v>48.2%</c:v>
                        </c:pt>
                      </c15:dlblFieldTableCache>
                    </c15:dlblFTEntry>
                  </c15:dlblFieldTable>
                  <c15:showDataLabelsRange val="0"/>
                </c:ext>
                <c:ext xmlns:c16="http://schemas.microsoft.com/office/drawing/2014/chart" uri="{C3380CC4-5D6E-409C-BE32-E72D297353CC}">
                  <c16:uniqueId val="{00000001-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(Essential!$AA$33,Essential!$AF$33)</c:f>
              <c:numCache>
                <c:formatCode>#,##0.00</c:formatCode>
                <c:ptCount val="2"/>
                <c:pt idx="0">
                  <c:v>3563.7250000000004</c:v>
                </c:pt>
                <c:pt idx="1">
                  <c:v>3756.4362000000001</c:v>
                </c:pt>
              </c:numCache>
            </c:numRef>
          </c:val>
          <c:extLst>
            <c:ext xmlns:c16="http://schemas.microsoft.com/office/drawing/2014/chart" uri="{C3380CC4-5D6E-409C-BE32-E72D297353CC}">
              <c16:uniqueId val="{00000002-8A5B-4E6A-AC05-6E2838D6C57E}"/>
            </c:ext>
          </c:extLst>
        </c:ser>
        <c:ser>
          <c:idx val="1"/>
          <c:order val="1"/>
          <c:tx>
            <c:strRef>
              <c:f>Essential!$F$34</c:f>
              <c:strCache>
                <c:ptCount val="1"/>
                <c:pt idx="0">
                  <c:v>Wholesale cost</c:v>
                </c:pt>
              </c:strCache>
            </c:strRef>
          </c:tx>
          <c:spPr>
            <a:solidFill>
              <a:schemeClr val="accent2"/>
            </a:solidFill>
            <a:ln>
              <a:noFill/>
            </a:ln>
            <a:effectLst/>
          </c:spPr>
          <c:invertIfNegative val="0"/>
          <c:dLbls>
            <c:dLbl>
              <c:idx val="0"/>
              <c:tx>
                <c:strRef>
                  <c:f>Essential!$AB$34</c:f>
                  <c:strCache>
                    <c:ptCount val="1"/>
                    <c:pt idx="0">
                      <c:v>28.3%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{91811003-D54A-4E02-84BB-1B37673606ED}</c15:txfldGUID>
                      <c15:f>Essential!$AB$34</c15:f>
                      <c15:dlblFieldTableCache>
                        <c:ptCount val="1"/>
                        <c:pt idx="0">
                          <c:v>28.3%</c:v>
                        </c:pt>
                      </c15:dlblFieldTableCache>
                    </c15:dlblFTEntry>
                  </c15:dlblFieldTable>
                  <c15:showDataLabelsRange val="0"/>
                </c:ext>
                <c:ext xmlns:c16="http://schemas.microsoft.com/office/drawing/2014/chart" uri="{C3380CC4-5D6E-409C-BE32-E72D297353CC}">
                  <c16:uniqueId val="{00000003-8A5B-4E6A-AC05-6E2838D6C57E}"/>
                </c:ext>
              </c:extLst>
            </c:dLbl>
            <c:dLbl>
              <c:idx val="1"/>
              <c:tx>
                <c:strRef>
                  <c:f>Essential!$AG$34</c:f>
                  <c:strCache>
                    <c:ptCount val="1"/>
                    <c:pt idx="0">
                      <c:v>22.7%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{ECE1295F-F02A-4467-81A2-037B8393DF43}</c15:txfldGUID>
                      <c15:f>Essential!$AG$34</c15:f>
                      <c15:dlblFieldTableCache>
                        <c:ptCount val="1"/>
                        <c:pt idx="0">
                          <c:v>22.7%</c:v>
                        </c:pt>
                      </c15:dlblFieldTableCache>
                    </c15:dlblFTEntry>
                  </c15:dlblFieldTable>
                  <c15:showDataLabelsRange val="0"/>
                </c:ext>
                <c:ext xmlns:c16="http://schemas.microsoft.com/office/drawing/2014/chart" uri="{C3380CC4-5D6E-409C-BE32-E72D297353CC}">
                  <c16:uniqueId val="{00000004-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(Essential!$AA$34,Essential!$AF$34)</c:f>
              <c:numCache>
                <c:formatCode>#,##0.00</c:formatCode>
                <c:ptCount val="2"/>
                <c:pt idx="0">
                  <c:v>2277</c:v>
                </c:pt>
                <c:pt idx="1">
                  <c:v>1767.48</c:v>
                </c:pt>
              </c:numCache>
            </c:numRef>
          </c:val>
          <c:extLst>
            <c:ext xmlns:c16="http://schemas.microsoft.com/office/drawing/2014/chart" uri="{C3380CC4-5D6E-409C-BE32-E72D297353CC}">
              <c16:uniqueId val="{00000005-8A5B-4E6A-AC05-6E2838D6C57E}"/>
            </c:ext>
          </c:extLst>
        </c:ser>
        <c:ser>
          <c:idx val="2"/>
          <c:order val="2"/>
          <c:tx>
            <c:strRef>
              <c:f>Essential!$F$35</c:f>
              <c:strCache>
                <c:ptCount val="1"/>
                <c:pt idx="0">
                  <c:v>Environmental cost</c:v>
                </c:pt>
              </c:strCache>
            </c:strRef>
          </c:tx>
          <c:spPr>
            <a:solidFill>
              <a:schemeClr val="accent3"/>
            </a:solidFill>
            <a:ln>
              <a:noFill/>
            </a:ln>
            <a:effectLst/>
          </c:spPr>
          <c:invertIfNegative val="0"/>
          <c:dLbls>
            <c:dLbl>
              <c:idx val="0"/>
              <c:tx>
                <c:strRef>
                  <c:f>Essential!$AB$35</c:f>
                  <c:strCache>
                    <c:ptCount val="1"/>
                    <c:pt idx="0">
                      <c:v>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{6C833EB1-5511-4AF6-857F-4EC2ABA4B32E}</c15:txfldGUID>
                      <c15:f>Essential!$AB$35</c15:f>
                      <c15:dlblFieldTableCache>
                        <c:ptCount val="1"/>
                        <c:pt idx="0">
                          <c:v>4.7%</c:v>
                        </c:pt>
                      </c15:dlblFieldTableCache>
                    </c15:dlblFTEntry>
                  </c15:dlblFieldTable>
                  <c15:showDataLabelsRange val="0"/>
                </c:ext>
                <c:ext xmlns:c16="http://schemas.microsoft.com/office/drawing/2014/chart" uri="{C3380CC4-5D6E-409C-BE32-E72D297353CC}">
                  <c16:uniqueId val="{00000006-8A5B-4E6A-AC05-6E2838D6C57E}"/>
                </c:ext>
              </c:extLst>
            </c:dLbl>
            <c:dLbl>
              <c:idx val="1"/>
              <c:tx>
                <c:strRef>
                  <c:f>Essential!$AG$35</c:f>
                  <c:strCache>
                    <c:ptCount val="1"/>
                    <c:pt idx="0">
                      <c:v>5.4%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{87A9EC55-0276-4B78-AC9B-448F9A46AF6A}</c15:txfldGUID>
                      <c15:f>Essential!$AG$35</c15:f>
                      <c15:dlblFieldTableCache>
                        <c:ptCount val="1"/>
                        <c:pt idx="0">
                          <c:v>5.4%</c:v>
                        </c:pt>
                      </c15:dlblFieldTableCache>
                    </c15:dlblFTEntry>
                  </c15:dlblFieldTable>
                  <c15:showDataLabelsRange val="0"/>
                </c:ext>
                <c:ext xmlns:c16="http://schemas.microsoft.com/office/drawing/2014/chart" uri="{C3380CC4-5D6E-409C-BE32-E72D297353CC}">
                  <c16:uniqueId val="{00000007-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(Essential!$AA$35,Essential!$AF$35)</c:f>
              <c:numCache>
                <c:formatCode>#,##0.00</c:formatCode>
                <c:ptCount val="2"/>
                <c:pt idx="0">
                  <c:v>379.5</c:v>
                </c:pt>
                <c:pt idx="1">
                  <c:v>418.88</c:v>
                </c:pt>
              </c:numCache>
            </c:numRef>
          </c:val>
          <c:extLst>
            <c:ext xmlns:c16="http://schemas.microsoft.com/office/drawing/2014/chart" uri="{C3380CC4-5D6E-409C-BE32-E72D297353CC}">
              <c16:uniqueId val="{00000008-8A5B-4E6A-AC05-6E2838D6C57E}"/>
            </c:ext>
          </c:extLst>
        </c:ser>
        <c:ser>
          <c:idx val="3"/>
          <c:order val="3"/>
          <c:tx>
            <c:strRef>
              <c:f>Essential!$F$36</c:f>
              <c:strCache>
                <c:ptCount val="1"/>
                <c:pt idx="0">
                  <c:v>Residual cost</c:v>
                </c:pt>
              </c:strCache>
            </c:strRef>
          </c:tx>
          <c:spPr>
            <a:solidFill>
              <a:schemeClr val="accent6">
                <a:lumMod val="40000"/>
                <a:lumOff val="60000"/>
              </a:schemeClr>
            </a:solidFill>
            <a:ln>
              <a:noFill/>
            </a:ln>
            <a:effectLst/>
          </c:spPr>
          <c:invertIfNegative val="0"/>
          <c:dLbls>
            <c:dLbl>
              <c:idx val="0"/>
              <c:tx>
                <c:strRef>
                  <c:f>Essential!$AB$36</c:f>
                  <c:strCache>
                    <c:ptCount val="1"/>
                    <c:pt idx="0">
                      <c:v>22.6%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{1545C2DF-304A-4AF8-AB4C-E07B775167AC}</c15:txfldGUID>
                      <c15:f>Essential!$AB$36</c15:f>
                      <c15:dlblFieldTableCache>
                        <c:ptCount val="1"/>
                        <c:pt idx="0">
                          <c:v>22.6%</c:v>
                        </c:pt>
                      </c15:dlblFieldTableCache>
                    </c15:dlblFTEntry>
                  </c15:dlblFieldTable>
                  <c15:showDataLabelsRange val="0"/>
                </c:ext>
                <c:ext xmlns:c16="http://schemas.microsoft.com/office/drawing/2014/chart" uri="{C3380CC4-5D6E-409C-BE32-E72D297353CC}">
                  <c16:uniqueId val="{00000009-8A5B-4E6A-AC05-6E2838D6C57E}"/>
                </c:ext>
              </c:extLst>
            </c:dLbl>
            <c:dLbl>
              <c:idx val="1"/>
              <c:tx>
                <c:strRef>
                  <c:f>Essential!$AG$36</c:f>
                  <c:strCache>
                    <c:ptCount val="1"/>
                    <c:pt idx="0">
                      <c:v>23.7%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{89A12708-4C30-49EC-B701-E37B5FFA0FD7}</c15:txfldGUID>
                      <c15:f>Essential!$AG$36</c15:f>
                      <c15:dlblFieldTableCache>
                        <c:ptCount val="1"/>
                        <c:pt idx="0">
                          <c:v>23.7%</c:v>
                        </c:pt>
                      </c15:dlblFieldTableCache>
                    </c15:dlblFTEntry>
                  </c15:dlblFieldTable>
                  <c15:showDataLabelsRange val="0"/>
                </c:ext>
                <c:ext xmlns:c16="http://schemas.microsoft.com/office/drawing/2014/chart" uri="{C3380CC4-5D6E-409C-BE32-E72D297353CC}">
                  <c16:uniqueId val="{0000000A-8A5B-4E6A-AC05-6E2838D6C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(Essential!$AA$36,Essential!$AF$36)</c:f>
              <c:numCache>
                <c:formatCode>#,##0.00</c:formatCode>
                <c:ptCount val="2"/>
                <c:pt idx="0">
                  <c:v>1820.7749999999996</c:v>
                </c:pt>
                <c:pt idx="1">
                  <c:v>1848.0866249999999</c:v>
                </c:pt>
              </c:numCache>
            </c:numRef>
          </c:val>
          <c:extLst>
            <c:ext xmlns:c16="http://schemas.microsoft.com/office/drawing/2014/chart" uri="{C3380CC4-5D6E-409C-BE32-E72D297353CC}">
              <c16:uniqueId val="{0000000B-8A5B-4E6A-AC05-6E2838D6C57E}"/>
            </c:ext>
          </c:extLst>
        </c:ser>
        <c:ser>
          <c:idx val="5"/>
          <c:order val="4"/>
          <c:tx>
            <c:strRef>
              <c:f>Essential!$F$38</c:f>
              <c:strCache>
                <c:ptCount val="1"/>
                <c:pt idx="0">
                  <c:v>Step change</c:v>
                </c:pt>
              </c:strCache>
            </c:strRef>
          </c:tx>
          <c:spPr>
            <a:solidFill>
              <a:schemeClr val="accent6"/>
            </a:solidFill>
            <a:ln>
              <a:noFill/>
            </a:ln>
            <a:effectLst/>
          </c:spPr>
          <c:invertIfNegative val="0"/>
          <c:val>
            <c:numRef>
              <c:f>(Essential!$AA$38,Essential!$AF$38)</c:f>
              <c:numCache>
                <c:formatCode>#,##0.00</c:formatCode>
                <c:ptCount val="2"/>
                <c:pt idx="0">
                  <c:v>0</c:v>
                </c:pt>
                <c:pt idx="1">
                  <c:v>0</c:v>
                </c:pt>
              </c:numCache>
            </c:numRef>
          </c:val>
          <c:extLst>
            <c:ext xmlns:c16="http://schemas.microsoft.com/office/drawing/2014/chart" uri="{C3380CC4-5D6E-409C-BE32-E72D297353CC}">
              <c16:uniqueId val="{00000000-1F39-4E24-8F3A-D93F43BB9D20}"/>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(Essential!$AA$29,Essential!$AD$29)</c:f>
              <c:strCache>
                <c:ptCount val="2"/>
                <c:pt idx="0">
                  <c:v>2020-21</c:v>
                </c:pt>
                <c:pt idx="1">
                  <c:v>2021-22</c:v>
                </c:pt>
              </c:strCache>
            </c:strRef>
          </c:cat>
          <c:val>
            <c:numRef>
              <c:f>(Essential!$Z$32,Essential!$Z$39)</c:f>
              <c:numCache>
                <c:formatCode>#,##0.00</c:formatCode>
                <c:ptCount val="2"/>
                <c:pt idx="0">
                  <c:v>8041</c:v>
                </c:pt>
                <c:pt idx="1">
                  <c:v>7790.8828249999997</c:v>
                </c:pt>
              </c:numCache>
            </c:numRef>
          </c:val>
          <c:extLst>
            <c:ext xmlns:c16="http://schemas.microsoft.com/office/drawing/2014/chart" uri="{C3380CC4-5D6E-409C-BE32-E72D297353CC}">
              <c16:uniqueId val="{0000000C-8A5B-4E6A-AC05-6E2838D6C57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9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Energex!$D$3</c:f>
          <c:strCache>
            <c:ptCount val="1"/>
            <c:pt idx="0">
              <c:v>Energex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Energex!$F$33</c:f>
              <c:strCache>
                <c:ptCount val="1"/>
                <c:pt idx="0">
                  <c:v>Network cost</c:v>
                </c:pt>
              </c:strCache>
            </c:strRef>
          </c:tx>
          <c:spPr>
            <a:solidFill>
              <a:schemeClr val="accent1"/>
            </a:solidFill>
            <a:ln>
              <a:noFill/>
            </a:ln>
            <a:effectLst/>
          </c:spPr>
          <c:invertIfNegative val="0"/>
          <c:dLbls>
            <c:dLbl>
              <c:idx val="0"/>
              <c:tx>
                <c:strRef>
                  <c:f>Energex!$S$33</c:f>
                  <c:strCache>
                    <c:ptCount val="1"/>
                    <c:pt idx="0">
                      <c:v>41.0%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{8EFD7268-B301-4092-9403-98FB436DF48E}</c15:txfldGUID>
                      <c15:f>Energex!$S$33</c15:f>
                      <c15:dlblFieldTableCache>
                        <c:ptCount val="1"/>
                        <c:pt idx="0">
                          <c:v>41.0%</c:v>
                        </c:pt>
                      </c15:dlblFieldTableCache>
                    </c15:dlblFTEntry>
                  </c15:dlblFieldTable>
                  <c15:showDataLabelsRange val="0"/>
                </c:ext>
                <c:ext xmlns:c16="http://schemas.microsoft.com/office/drawing/2014/chart" uri="{C3380CC4-5D6E-409C-BE32-E72D297353CC}">
                  <c16:uniqueId val="{00000000-CB8C-4349-BEC3-F08E28B7A799}"/>
                </c:ext>
              </c:extLst>
            </c:dLbl>
            <c:dLbl>
              <c:idx val="1"/>
              <c:tx>
                <c:strRef>
                  <c:f>Energex!$X$33</c:f>
                  <c:strCache>
                    <c:ptCount val="1"/>
                    <c:pt idx="0">
                      <c:v>44.1%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{DC348C32-0253-4486-831D-A3E8A1B214DA}</c15:txfldGUID>
                      <c15:f>Energex!$X$33</c15:f>
                      <c15:dlblFieldTableCache>
                        <c:ptCount val="1"/>
                        <c:pt idx="0">
                          <c:v>44.1%</c:v>
                        </c:pt>
                      </c15:dlblFieldTableCache>
                    </c15:dlblFTEntry>
                  </c15:dlblFieldTable>
                  <c15:showDataLabelsRange val="0"/>
                </c:ext>
                <c:ext xmlns:c16="http://schemas.microsoft.com/office/drawing/2014/chart" uri="{C3380CC4-5D6E-409C-BE32-E72D297353CC}">
                  <c16:uniqueId val="{00000001-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(Energex!$R$33,Energex!$W$33)</c:f>
              <c:numCache>
                <c:formatCode>#,##0.00</c:formatCode>
                <c:ptCount val="2"/>
                <c:pt idx="0">
                  <c:v>743.62441999999987</c:v>
                </c:pt>
                <c:pt idx="1">
                  <c:v>767.09935500000006</c:v>
                </c:pt>
              </c:numCache>
            </c:numRef>
          </c:val>
          <c:extLst>
            <c:ext xmlns:c16="http://schemas.microsoft.com/office/drawing/2014/chart" uri="{C3380CC4-5D6E-409C-BE32-E72D297353CC}">
              <c16:uniqueId val="{00000002-CB8C-4349-BEC3-F08E28B7A799}"/>
            </c:ext>
          </c:extLst>
        </c:ser>
        <c:ser>
          <c:idx val="1"/>
          <c:order val="1"/>
          <c:tx>
            <c:strRef>
              <c:f>Energex!$F$34</c:f>
              <c:strCache>
                <c:ptCount val="1"/>
                <c:pt idx="0">
                  <c:v>Wholesale cost</c:v>
                </c:pt>
              </c:strCache>
            </c:strRef>
          </c:tx>
          <c:spPr>
            <a:solidFill>
              <a:schemeClr val="accent2"/>
            </a:solidFill>
            <a:ln>
              <a:noFill/>
            </a:ln>
            <a:effectLst/>
          </c:spPr>
          <c:invertIfNegative val="0"/>
          <c:dLbls>
            <c:dLbl>
              <c:idx val="0"/>
              <c:tx>
                <c:strRef>
                  <c:f>Energex!$S$34</c:f>
                  <c:strCache>
                    <c:ptCount val="1"/>
                    <c:pt idx="0">
                      <c:v>32.9%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{629DD76B-E7F1-4A29-8EC5-8E928500FAB8}</c15:txfldGUID>
                      <c15:f>Energex!$S$34</c15:f>
                      <c15:dlblFieldTableCache>
                        <c:ptCount val="1"/>
                        <c:pt idx="0">
                          <c:v>32.9%</c:v>
                        </c:pt>
                      </c15:dlblFieldTableCache>
                    </c15:dlblFTEntry>
                  </c15:dlblFieldTable>
                  <c15:showDataLabelsRange val="0"/>
                </c:ext>
                <c:ext xmlns:c16="http://schemas.microsoft.com/office/drawing/2014/chart" uri="{C3380CC4-5D6E-409C-BE32-E72D297353CC}">
                  <c16:uniqueId val="{00000003-CB8C-4349-BEC3-F08E28B7A799}"/>
                </c:ext>
              </c:extLst>
            </c:dLbl>
            <c:dLbl>
              <c:idx val="1"/>
              <c:tx>
                <c:strRef>
                  <c:f>Energex!$X$34</c:f>
                  <c:strCache>
                    <c:ptCount val="1"/>
                    <c:pt idx="0">
                      <c:v>27.8%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{3939D269-0098-4F6C-83F1-89F821F01BB6}</c15:txfldGUID>
                      <c15:f>Energex!$X$34</c15:f>
                      <c15:dlblFieldTableCache>
                        <c:ptCount val="1"/>
                        <c:pt idx="0">
                          <c:v>27.8%</c:v>
                        </c:pt>
                      </c15:dlblFieldTableCache>
                    </c15:dlblFTEntry>
                  </c15:dlblFieldTable>
                  <c15:showDataLabelsRange val="0"/>
                </c:ext>
                <c:ext xmlns:c16="http://schemas.microsoft.com/office/drawing/2014/chart" uri="{C3380CC4-5D6E-409C-BE32-E72D297353CC}">
                  <c16:uniqueId val="{00000004-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(Energex!$R$34,Energex!$W$34)</c:f>
              <c:numCache>
                <c:formatCode>#,##0.00</c:formatCode>
                <c:ptCount val="2"/>
                <c:pt idx="0">
                  <c:v>596.52420299999994</c:v>
                </c:pt>
                <c:pt idx="1">
                  <c:v>484.75312600000001</c:v>
                </c:pt>
              </c:numCache>
            </c:numRef>
          </c:val>
          <c:extLst>
            <c:ext xmlns:c16="http://schemas.microsoft.com/office/drawing/2014/chart" uri="{C3380CC4-5D6E-409C-BE32-E72D297353CC}">
              <c16:uniqueId val="{00000005-CB8C-4349-BEC3-F08E28B7A799}"/>
            </c:ext>
          </c:extLst>
        </c:ser>
        <c:ser>
          <c:idx val="2"/>
          <c:order val="2"/>
          <c:tx>
            <c:strRef>
              <c:f>Energex!$F$35</c:f>
              <c:strCache>
                <c:ptCount val="1"/>
                <c:pt idx="0">
                  <c:v>Environmental cost</c:v>
                </c:pt>
              </c:strCache>
            </c:strRef>
          </c:tx>
          <c:spPr>
            <a:solidFill>
              <a:schemeClr val="accent3"/>
            </a:solidFill>
            <a:ln>
              <a:noFill/>
            </a:ln>
            <a:effectLst/>
          </c:spPr>
          <c:invertIfNegative val="0"/>
          <c:dLbls>
            <c:dLbl>
              <c:idx val="0"/>
              <c:tx>
                <c:strRef>
                  <c:f>Energex!$S$35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{F023A97D-7974-40B3-8430-AFF7A4B248B9}</c15:txfldGUID>
                      <c15:f>Energex!$S$35</c15:f>
                      <c15:dlblFieldTableCache>
                        <c:ptCount val="1"/>
                        <c:pt idx="0">
                          <c:v>5.8%</c:v>
                        </c:pt>
                      </c15:dlblFieldTableCache>
                    </c15:dlblFTEntry>
                  </c15:dlblFieldTable>
                  <c15:showDataLabelsRange val="0"/>
                </c:ext>
                <c:ext xmlns:c16="http://schemas.microsoft.com/office/drawing/2014/chart" uri="{C3380CC4-5D6E-409C-BE32-E72D297353CC}">
                  <c16:uniqueId val="{00000006-CB8C-4349-BEC3-F08E28B7A799}"/>
                </c:ext>
              </c:extLst>
            </c:dLbl>
            <c:dLbl>
              <c:idx val="1"/>
              <c:tx>
                <c:strRef>
                  <c:f>Energex!$X$35</c:f>
                  <c:strCache>
                    <c:ptCount val="1"/>
                    <c:pt idx="0">
                      <c:v>6.7%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{5B593723-A49B-4CE3-8501-2CBB88D90A3D}</c15:txfldGUID>
                      <c15:f>Energex!$X$35</c15:f>
                      <c15:dlblFieldTableCache>
                        <c:ptCount val="1"/>
                        <c:pt idx="0">
                          <c:v>6.7%</c:v>
                        </c:pt>
                      </c15:dlblFieldTableCache>
                    </c15:dlblFTEntry>
                  </c15:dlblFieldTable>
                  <c15:showDataLabelsRange val="0"/>
                </c:ext>
                <c:ext xmlns:c16="http://schemas.microsoft.com/office/drawing/2014/chart" uri="{C3380CC4-5D6E-409C-BE32-E72D297353CC}">
                  <c16:uniqueId val="{00000007-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(Energex!$R$35,Energex!$W$35)</c:f>
              <c:numCache>
                <c:formatCode>#,##0.00</c:formatCode>
                <c:ptCount val="2"/>
                <c:pt idx="0">
                  <c:v>104.643</c:v>
                </c:pt>
                <c:pt idx="1">
                  <c:v>116.07749999999999</c:v>
                </c:pt>
              </c:numCache>
            </c:numRef>
          </c:val>
          <c:extLst>
            <c:ext xmlns:c16="http://schemas.microsoft.com/office/drawing/2014/chart" uri="{C3380CC4-5D6E-409C-BE32-E72D297353CC}">
              <c16:uniqueId val="{00000008-CB8C-4349-BEC3-F08E28B7A799}"/>
            </c:ext>
          </c:extLst>
        </c:ser>
        <c:ser>
          <c:idx val="3"/>
          <c:order val="3"/>
          <c:tx>
            <c:strRef>
              <c:f>Energex!$F$36</c:f>
              <c:strCache>
                <c:ptCount val="1"/>
                <c:pt idx="0">
                  <c:v>Residual cost</c:v>
                </c:pt>
              </c:strCache>
            </c:strRef>
          </c:tx>
          <c:spPr>
            <a:solidFill>
              <a:schemeClr val="accent6">
                <a:lumMod val="40000"/>
                <a:lumOff val="60000"/>
              </a:schemeClr>
            </a:solidFill>
            <a:ln>
              <a:noFill/>
            </a:ln>
            <a:effectLst/>
          </c:spPr>
          <c:invertIfNegative val="0"/>
          <c:dLbls>
            <c:dLbl>
              <c:idx val="0"/>
              <c:tx>
                <c:strRef>
                  <c:f>Energex!$S$36</c:f>
                  <c:strCache>
                    <c:ptCount val="1"/>
                    <c:pt idx="0">
                      <c:v>20.3%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{F481F199-84F1-4A0A-B8D5-DBCF461C8988}</c15:txfldGUID>
                      <c15:f>Energex!$S$36</c15:f>
                      <c15:dlblFieldTableCache>
                        <c:ptCount val="1"/>
                        <c:pt idx="0">
                          <c:v>20.3%</c:v>
                        </c:pt>
                      </c15:dlblFieldTableCache>
                    </c15:dlblFTEntry>
                  </c15:dlblFieldTable>
                  <c15:showDataLabelsRange val="0"/>
                </c:ext>
                <c:ext xmlns:c16="http://schemas.microsoft.com/office/drawing/2014/chart" uri="{C3380CC4-5D6E-409C-BE32-E72D297353CC}">
                  <c16:uniqueId val="{00000009-CB8C-4349-BEC3-F08E28B7A799}"/>
                </c:ext>
              </c:extLst>
            </c:dLbl>
            <c:dLbl>
              <c:idx val="1"/>
              <c:tx>
                <c:strRef>
                  <c:f>Energex!$X$36</c:f>
                  <c:strCache>
                    <c:ptCount val="1"/>
                    <c:pt idx="0">
                      <c:v>21.4%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{86A79443-5D5A-43FA-9F8E-D53A54E2C9D8}</c15:txfldGUID>
                      <c15:f>Energex!$X$36</c15:f>
                      <c15:dlblFieldTableCache>
                        <c:ptCount val="1"/>
                        <c:pt idx="0">
                          <c:v>21.4%</c:v>
                        </c:pt>
                      </c15:dlblFieldTableCache>
                    </c15:dlblFTEntry>
                  </c15:dlblFieldTable>
                  <c15:showDataLabelsRange val="0"/>
                </c:ext>
                <c:ext xmlns:c16="http://schemas.microsoft.com/office/drawing/2014/chart" uri="{C3380CC4-5D6E-409C-BE32-E72D297353CC}">
                  <c16:uniqueId val="{0000000A-CB8C-4349-BEC3-F08E28B7A7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(Energex!$R$36,Energex!$W$36)</c:f>
              <c:numCache>
                <c:formatCode>#,##0.00</c:formatCode>
                <c:ptCount val="2"/>
                <c:pt idx="0">
                  <c:v>367.20837700000016</c:v>
                </c:pt>
                <c:pt idx="1">
                  <c:v>372.71650265499989</c:v>
                </c:pt>
              </c:numCache>
            </c:numRef>
          </c:val>
          <c:extLst>
            <c:ext xmlns:c16="http://schemas.microsoft.com/office/drawing/2014/chart" uri="{C3380CC4-5D6E-409C-BE32-E72D297353CC}">
              <c16:uniqueId val="{0000000B-CB8C-4349-BEC3-F08E28B7A799}"/>
            </c:ext>
          </c:extLst>
        </c:ser>
        <c:ser>
          <c:idx val="5"/>
          <c:order val="4"/>
          <c:tx>
            <c:strRef>
              <c:f>Energex!$F$38</c:f>
              <c:strCache>
                <c:ptCount val="1"/>
                <c:pt idx="0">
                  <c:v>Step change</c:v>
                </c:pt>
              </c:strCache>
            </c:strRef>
          </c:tx>
          <c:spPr>
            <a:solidFill>
              <a:schemeClr val="accent6"/>
            </a:solidFill>
            <a:ln>
              <a:noFill/>
            </a:ln>
            <a:effectLst/>
          </c:spPr>
          <c:invertIfNegative val="0"/>
          <c:val>
            <c:numRef>
              <c:f>(Energex!$R$38,Energex!$W$38)</c:f>
              <c:numCache>
                <c:formatCode>#,##0.00</c:formatCode>
                <c:ptCount val="2"/>
                <c:pt idx="0">
                  <c:v>0</c:v>
                </c:pt>
                <c:pt idx="1">
                  <c:v>0</c:v>
                </c:pt>
              </c:numCache>
            </c:numRef>
          </c:val>
          <c:extLst>
            <c:ext xmlns:c16="http://schemas.microsoft.com/office/drawing/2014/chart" uri="{C3380CC4-5D6E-409C-BE32-E72D297353CC}">
              <c16:uniqueId val="{00000000-60CB-495E-8D10-CCBE65F95043}"/>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(Energex!$R$29,Energex!$U$29)</c:f>
              <c:strCache>
                <c:ptCount val="2"/>
                <c:pt idx="0">
                  <c:v>2020-21</c:v>
                </c:pt>
                <c:pt idx="1">
                  <c:v>2021-22</c:v>
                </c:pt>
              </c:strCache>
            </c:strRef>
          </c:cat>
          <c:val>
            <c:numRef>
              <c:f>(Energex!$Q$32,Energex!$Q$39)</c:f>
              <c:numCache>
                <c:formatCode>#,##0.00</c:formatCode>
                <c:ptCount val="2"/>
                <c:pt idx="0">
                  <c:v>1812</c:v>
                </c:pt>
                <c:pt idx="1">
                  <c:v>1740.6464836550001</c:v>
                </c:pt>
              </c:numCache>
            </c:numRef>
          </c:val>
          <c:extLst>
            <c:ext xmlns:c16="http://schemas.microsoft.com/office/drawing/2014/chart" uri="{C3380CC4-5D6E-409C-BE32-E72D297353CC}">
              <c16:uniqueId val="{0000000C-CB8C-4349-BEC3-F08E28B7A799}"/>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Energex!$C$3</c:f>
          <c:strCache>
            <c:ptCount val="1"/>
            <c:pt idx="0">
              <c:v>Energex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Energex!$F$33</c:f>
              <c:strCache>
                <c:ptCount val="1"/>
                <c:pt idx="0">
                  <c:v>Network cost</c:v>
                </c:pt>
              </c:strCache>
            </c:strRef>
          </c:tx>
          <c:spPr>
            <a:solidFill>
              <a:schemeClr val="accent1"/>
            </a:solidFill>
            <a:ln>
              <a:noFill/>
            </a:ln>
            <a:effectLst/>
          </c:spPr>
          <c:invertIfNegative val="0"/>
          <c:dLbls>
            <c:dLbl>
              <c:idx val="0"/>
              <c:layout/>
              <c:tx>
                <c:strRef>
                  <c:f>Energex!$J$33</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{33B3C8CD-3FAE-48E6-B3FD-1E8F9E2F9354}</c15:txfldGUID>
                      <c15:f>Energex!$J$33</c15:f>
                      <c15:dlblFieldTableCache>
                        <c:ptCount val="1"/>
                        <c:pt idx="0">
                          <c:v>43.4%</c:v>
                        </c:pt>
                      </c15:dlblFieldTableCache>
                    </c15:dlblFTEntry>
                  </c15:dlblFieldTable>
                  <c15:showDataLabelsRange val="0"/>
                </c:ext>
                <c:ext xmlns:c16="http://schemas.microsoft.com/office/drawing/2014/chart" uri="{C3380CC4-5D6E-409C-BE32-E72D297353CC}">
                  <c16:uniqueId val="{00000000-066B-4605-8BB7-09A29826FA95}"/>
                </c:ext>
              </c:extLst>
            </c:dLbl>
            <c:dLbl>
              <c:idx val="1"/>
              <c:layout/>
              <c:tx>
                <c:strRef>
                  <c:f>Energex!$O$33</c:f>
                  <c:strCache>
                    <c:ptCount val="1"/>
                    <c:pt idx="0">
                      <c:v>46.5%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{376B1A3D-D6E6-49EB-94FC-DB4DC356C8CF}</c15:txfldGUID>
                      <c15:f>Energex!$O$33</c15:f>
                      <c15:dlblFieldTableCache>
                        <c:ptCount val="1"/>
                        <c:pt idx="0">
                          <c:v>46.5%</c:v>
                        </c:pt>
                      </c15:dlblFieldTableCache>
                    </c15:dlblFTEntry>
                  </c15:dlblFieldTable>
                  <c15:showDataLabelsRange val="0"/>
                </c:ext>
                <c:ext xmlns:c16="http://schemas.microsoft.com/office/drawing/2014/chart" uri="{C3380CC4-5D6E-409C-BE32-E72D297353CC}">
                  <c16:uniqueId val="{00000001-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(Energex!$I$33,Energex!$N$33)</c:f>
              <c:numCache>
                <c:formatCode>#,##0.00</c:formatCode>
                <c:ptCount val="2"/>
                <c:pt idx="0">
                  <c:v>654.41370500000005</c:v>
                </c:pt>
                <c:pt idx="1">
                  <c:v>676.75234000000023</c:v>
                </c:pt>
              </c:numCache>
            </c:numRef>
          </c:val>
          <c:extLst>
            <c:ext xmlns:c16="http://schemas.microsoft.com/office/drawing/2014/chart" uri="{C3380CC4-5D6E-409C-BE32-E72D297353CC}">
              <c16:uniqueId val="{00000002-066B-4605-8BB7-09A29826FA95}"/>
            </c:ext>
          </c:extLst>
        </c:ser>
        <c:ser>
          <c:idx val="1"/>
          <c:order val="1"/>
          <c:tx>
            <c:strRef>
              <c:f>Energex!$F$34</c:f>
              <c:strCache>
                <c:ptCount val="1"/>
                <c:pt idx="0">
                  <c:v>Wholesale cost</c:v>
                </c:pt>
              </c:strCache>
            </c:strRef>
          </c:tx>
          <c:spPr>
            <a:solidFill>
              <a:schemeClr val="accent2"/>
            </a:solidFill>
            <a:ln>
              <a:noFill/>
            </a:ln>
            <a:effectLst/>
          </c:spPr>
          <c:invertIfNegative val="0"/>
          <c:dLbls>
            <c:dLbl>
              <c:idx val="0"/>
              <c:layout/>
              <c:tx>
                <c:strRef>
                  <c:f>Energex!$J$34</c:f>
                  <c:strCache>
                    <c:ptCount val="1"/>
                    <c:pt idx="0">
                      <c:v>30.7%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{52B1EC58-2714-4066-B0EB-6FA6DD428625}</c15:txfldGUID>
                      <c15:f>Energex!$J$34</c15:f>
                      <c15:dlblFieldTableCache>
                        <c:ptCount val="1"/>
                        <c:pt idx="0">
                          <c:v>30.7%</c:v>
                        </c:pt>
                      </c15:dlblFieldTableCache>
                    </c15:dlblFTEntry>
                  </c15:dlblFieldTable>
                  <c15:showDataLabelsRange val="0"/>
                </c:ext>
                <c:ext xmlns:c16="http://schemas.microsoft.com/office/drawing/2014/chart" uri="{C3380CC4-5D6E-409C-BE32-E72D297353CC}">
                  <c16:uniqueId val="{00000003-066B-4605-8BB7-09A29826FA95}"/>
                </c:ext>
              </c:extLst>
            </c:dLbl>
            <c:dLbl>
              <c:idx val="1"/>
              <c:layout/>
              <c:tx>
                <c:strRef>
                  <c:f>Energex!$O$34</c:f>
                  <c:strCache>
                    <c:ptCount val="1"/>
                    <c:pt idx="0">
                      <c:v>25.7%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{19CCAF0F-C223-4164-91E9-9334491205D4}</c15:txfldGUID>
                      <c15:f>Energex!$O$34</c15:f>
                      <c15:dlblFieldTableCache>
                        <c:ptCount val="1"/>
                        <c:pt idx="0">
                          <c:v>25.7%</c:v>
                        </c:pt>
                      </c15:dlblFieldTableCache>
                    </c15:dlblFTEntry>
                  </c15:dlblFieldTable>
                  <c15:showDataLabelsRange val="0"/>
                </c:ext>
                <c:ext xmlns:c16="http://schemas.microsoft.com/office/drawing/2014/chart" uri="{C3380CC4-5D6E-409C-BE32-E72D297353CC}">
                  <c16:uniqueId val="{00000004-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(Energex!$I$34,Energex!$N$34)</c:f>
              <c:numCache>
                <c:formatCode>#,##0.00</c:formatCode>
                <c:ptCount val="2"/>
                <c:pt idx="0">
                  <c:v>462.93939999999998</c:v>
                </c:pt>
                <c:pt idx="1">
                  <c:v>374.59180000000003</c:v>
                </c:pt>
              </c:numCache>
            </c:numRef>
          </c:val>
          <c:extLst>
            <c:ext xmlns:c16="http://schemas.microsoft.com/office/drawing/2014/chart" uri="{C3380CC4-5D6E-409C-BE32-E72D297353CC}">
              <c16:uniqueId val="{00000005-066B-4605-8BB7-09A29826FA95}"/>
            </c:ext>
          </c:extLst>
        </c:ser>
        <c:ser>
          <c:idx val="2"/>
          <c:order val="2"/>
          <c:tx>
            <c:strRef>
              <c:f>Energex!$F$35</c:f>
              <c:strCache>
                <c:ptCount val="1"/>
                <c:pt idx="0">
                  <c:v>Environmental cost</c:v>
                </c:pt>
              </c:strCache>
            </c:strRef>
          </c:tx>
          <c:spPr>
            <a:solidFill>
              <a:schemeClr val="accent3"/>
            </a:solidFill>
            <a:ln>
              <a:noFill/>
            </a:ln>
            <a:effectLst/>
          </c:spPr>
          <c:invertIfNegative val="0"/>
          <c:dLbls>
            <c:dLbl>
              <c:idx val="0"/>
              <c:layout/>
              <c:tx>
                <c:strRef>
                  <c:f>Energex!$J$35</c:f>
                  <c:strCache>
                    <c:ptCount val="1"/>
                    <c:pt idx="0">
                      <c:v>5.1%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{856AF8A0-480C-4F06-8867-3E0DD5337B8D}</c15:txfldGUID>
                      <c15:f>Energex!$J$35</c15:f>
                      <c15:dlblFieldTableCache>
                        <c:ptCount val="1"/>
                        <c:pt idx="0">
                          <c:v>5.1%</c:v>
                        </c:pt>
                      </c15:dlblFieldTableCache>
                    </c15:dlblFTEntry>
                  </c15:dlblFieldTable>
                  <c15:showDataLabelsRange val="0"/>
                </c:ext>
                <c:ext xmlns:c16="http://schemas.microsoft.com/office/drawing/2014/chart" uri="{C3380CC4-5D6E-409C-BE32-E72D297353CC}">
                  <c16:uniqueId val="{00000006-066B-4605-8BB7-09A29826FA95}"/>
                </c:ext>
              </c:extLst>
            </c:dLbl>
            <c:dLbl>
              <c:idx val="1"/>
              <c:layout/>
              <c:tx>
                <c:strRef>
                  <c:f>Energex!$O$35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{03E7847E-EDD6-48DB-AD7E-8ACAD36FE4C5}</c15:txfldGUID>
                      <c15:f>Energex!$O$35</c15:f>
                      <c15:dlblFieldTableCache>
                        <c:ptCount val="1"/>
                        <c:pt idx="0">
                          <c:v>5.8%</c:v>
                        </c:pt>
                      </c15:dlblFieldTableCache>
                    </c15:dlblFTEntry>
                  </c15:dlblFieldTable>
                  <c15:showDataLabelsRange val="0"/>
                </c:ext>
                <c:ext xmlns:c16="http://schemas.microsoft.com/office/drawing/2014/chart" uri="{C3380CC4-5D6E-409C-BE32-E72D297353CC}">
                  <c16:uniqueId val="{00000007-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(Energex!$I$35,Energex!$N$35)</c:f>
              <c:numCache>
                <c:formatCode>#,##0.00</c:formatCode>
                <c:ptCount val="2"/>
                <c:pt idx="0">
                  <c:v>76.405999999999992</c:v>
                </c:pt>
                <c:pt idx="1">
                  <c:v>84.754999999999995</c:v>
                </c:pt>
              </c:numCache>
            </c:numRef>
          </c:val>
          <c:extLst>
            <c:ext xmlns:c16="http://schemas.microsoft.com/office/drawing/2014/chart" uri="{C3380CC4-5D6E-409C-BE32-E72D297353CC}">
              <c16:uniqueId val="{00000008-066B-4605-8BB7-09A29826FA95}"/>
            </c:ext>
          </c:extLst>
        </c:ser>
        <c:ser>
          <c:idx val="3"/>
          <c:order val="3"/>
          <c:tx>
            <c:strRef>
              <c:f>Energex!$F$36</c:f>
              <c:strCache>
                <c:ptCount val="1"/>
                <c:pt idx="0">
                  <c:v>Residual cost</c:v>
                </c:pt>
              </c:strCache>
            </c:strRef>
          </c:tx>
          <c:spPr>
            <a:solidFill>
              <a:schemeClr val="accent6">
                <a:lumMod val="40000"/>
                <a:lumOff val="60000"/>
              </a:schemeClr>
            </a:solidFill>
            <a:ln>
              <a:noFill/>
            </a:ln>
            <a:effectLst/>
          </c:spPr>
          <c:invertIfNegative val="0"/>
          <c:dLbls>
            <c:dLbl>
              <c:idx val="0"/>
              <c:layout/>
              <c:tx>
                <c:strRef>
                  <c:f>Energex!$J$36</c:f>
                  <c:strCache>
                    <c:ptCount val="1"/>
                    <c:pt idx="0">
                      <c:v>20.8%</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{F291D046-2B92-4467-8D55-365ABB1B71E7}</c15:txfldGUID>
                      <c15:f>Energex!$J$36</c15:f>
                      <c15:dlblFieldTableCache>
                        <c:ptCount val="1"/>
                        <c:pt idx="0">
                          <c:v>20.8%</c:v>
                        </c:pt>
                      </c15:dlblFieldTableCache>
                    </c15:dlblFTEntry>
                  </c15:dlblFieldTable>
                  <c15:showDataLabelsRange val="0"/>
                </c:ext>
                <c:ext xmlns:c16="http://schemas.microsoft.com/office/drawing/2014/chart" uri="{C3380CC4-5D6E-409C-BE32-E72D297353CC}">
                  <c16:uniqueId val="{00000009-066B-4605-8BB7-09A29826FA95}"/>
                </c:ext>
              </c:extLst>
            </c:dLbl>
            <c:dLbl>
              <c:idx val="1"/>
              <c:layout/>
              <c:tx>
                <c:strRef>
                  <c:f>Energex!$O$36</c:f>
                  <c:strCache>
                    <c:ptCount val="1"/>
                    <c:pt idx="0">
                      <c:v>21.9%</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{A0E3CB18-A581-4219-86BC-AF8A588BE065}</c15:txfldGUID>
                      <c15:f>Energex!$O$36</c15:f>
                      <c15:dlblFieldTableCache>
                        <c:ptCount val="1"/>
                        <c:pt idx="0">
                          <c:v>21.9%</c:v>
                        </c:pt>
                      </c15:dlblFieldTableCache>
                    </c15:dlblFTEntry>
                  </c15:dlblFieldTable>
                  <c15:showDataLabelsRange val="0"/>
                </c:ext>
                <c:ext xmlns:c16="http://schemas.microsoft.com/office/drawing/2014/chart" uri="{C3380CC4-5D6E-409C-BE32-E72D297353CC}">
                  <c16:uniqueId val="{0000000A-066B-4605-8BB7-09A29826F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(Energex!$I$36,Energex!$N$36)</c:f>
              <c:numCache>
                <c:formatCode>#,##0.00</c:formatCode>
                <c:ptCount val="2"/>
                <c:pt idx="0">
                  <c:v>314.24089499999991</c:v>
                </c:pt>
                <c:pt idx="1">
                  <c:v>318.95450842500009</c:v>
                </c:pt>
              </c:numCache>
            </c:numRef>
          </c:val>
          <c:extLst>
            <c:ext xmlns:c16="http://schemas.microsoft.com/office/drawing/2014/chart" uri="{C3380CC4-5D6E-409C-BE32-E72D297353CC}">
              <c16:uniqueId val="{0000000B-066B-4605-8BB7-09A29826FA95}"/>
            </c:ext>
          </c:extLst>
        </c:ser>
        <c:ser>
          <c:idx val="5"/>
          <c:order val="4"/>
          <c:tx>
            <c:strRef>
              <c:f>Energex!$F$38</c:f>
              <c:strCache>
                <c:ptCount val="1"/>
                <c:pt idx="0">
                  <c:v>Step change</c:v>
                </c:pt>
              </c:strCache>
            </c:strRef>
          </c:tx>
          <c:spPr>
            <a:solidFill>
              <a:schemeClr val="accent6"/>
            </a:solidFill>
            <a:ln>
              <a:noFill/>
            </a:ln>
            <a:effectLst/>
          </c:spPr>
          <c:invertIfNegative val="0"/>
          <c:val>
            <c:numRef>
              <c:f>(Energex!$I$38,Energex!$N$38)</c:f>
              <c:numCache>
                <c:formatCode>#,##0.00</c:formatCode>
                <c:ptCount val="2"/>
                <c:pt idx="0">
                  <c:v>0</c:v>
                </c:pt>
                <c:pt idx="1">
                  <c:v>0</c:v>
                </c:pt>
              </c:numCache>
            </c:numRef>
          </c:val>
          <c:extLst>
            <c:ext xmlns:c16="http://schemas.microsoft.com/office/drawing/2014/chart" uri="{C3380CC4-5D6E-409C-BE32-E72D297353CC}">
              <c16:uniqueId val="{00000000-B3F7-4E15-B9E9-7E900D9A585D}"/>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(Energex!$I$29,Energex!$L$29)</c:f>
              <c:strCache>
                <c:ptCount val="2"/>
                <c:pt idx="0">
                  <c:v>2020-21</c:v>
                </c:pt>
                <c:pt idx="1">
                  <c:v>2021-22</c:v>
                </c:pt>
              </c:strCache>
            </c:strRef>
          </c:cat>
          <c:val>
            <c:numRef>
              <c:f>(Energex!$H$32,Energex!$H$39)</c:f>
              <c:numCache>
                <c:formatCode>#,##0.00</c:formatCode>
                <c:ptCount val="2"/>
                <c:pt idx="0">
                  <c:v>1508</c:v>
                </c:pt>
                <c:pt idx="1">
                  <c:v>1455.0536484250003</c:v>
                </c:pt>
              </c:numCache>
            </c:numRef>
          </c:val>
          <c:extLst>
            <c:ext xmlns:c16="http://schemas.microsoft.com/office/drawing/2014/chart" uri="{C3380CC4-5D6E-409C-BE32-E72D297353CC}">
              <c16:uniqueId val="{0000000C-066B-4605-8BB7-09A29826FA95}"/>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8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Energex!$E$3</c:f>
          <c:strCache>
            <c:ptCount val="1"/>
            <c:pt idx="0">
              <c:v>Energex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Energex!$F$33</c:f>
              <c:strCache>
                <c:ptCount val="1"/>
                <c:pt idx="0">
                  <c:v>Network cost</c:v>
                </c:pt>
              </c:strCache>
            </c:strRef>
          </c:tx>
          <c:spPr>
            <a:solidFill>
              <a:schemeClr val="accent1"/>
            </a:solidFill>
            <a:ln>
              <a:noFill/>
            </a:ln>
            <a:effectLst/>
          </c:spPr>
          <c:invertIfNegative val="0"/>
          <c:dLbls>
            <c:dLbl>
              <c:idx val="0"/>
              <c:tx>
                <c:strRef>
                  <c:f>Energex!$AB$33</c:f>
                  <c:strCache>
                    <c:ptCount val="1"/>
                    <c:pt idx="0">
                      <c:v>38.5%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{9144C48F-AA02-4197-B1B2-F7C282584C7F}</c15:txfldGUID>
                      <c15:f>Energex!$AB$33</c15:f>
                      <c15:dlblFieldTableCache>
                        <c:ptCount val="1"/>
                        <c:pt idx="0">
                          <c:v>38.5%</c:v>
                        </c:pt>
                      </c15:dlblFieldTableCache>
                    </c15:dlblFTEntry>
                  </c15:dlblFieldTable>
                  <c15:showDataLabelsRange val="0"/>
                </c:ext>
                <c:ext xmlns:c16="http://schemas.microsoft.com/office/drawing/2014/chart" uri="{C3380CC4-5D6E-409C-BE32-E72D297353CC}">
                  <c16:uniqueId val="{00000000-7CCD-47B7-AE2B-00C1A509C67F}"/>
                </c:ext>
              </c:extLst>
            </c:dLbl>
            <c:dLbl>
              <c:idx val="1"/>
              <c:tx>
                <c:strRef>
                  <c:f>Energex!$AG$33</c:f>
                  <c:strCache>
                    <c:ptCount val="1"/>
                    <c:pt idx="0">
                      <c:v>41.7%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{5D1865D8-66D0-4C35-9238-571CCC73AF43}</c15:txfldGUID>
                      <c15:f>Energex!$AG$33</c15:f>
                      <c15:dlblFieldTableCache>
                        <c:ptCount val="1"/>
                        <c:pt idx="0">
                          <c:v>41.7%</c:v>
                        </c:pt>
                      </c15:dlblFieldTableCache>
                    </c15:dlblFTEntry>
                  </c15:dlblFieldTable>
                  <c15:showDataLabelsRange val="0"/>
                </c:ext>
                <c:ext xmlns:c16="http://schemas.microsoft.com/office/drawing/2014/chart" uri="{C3380CC4-5D6E-409C-BE32-E72D297353CC}">
                  <c16:uniqueId val="{00000001-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(Energex!$AA$33,Energex!$AF$33)</c:f>
              <c:numCache>
                <c:formatCode>#,##0.00</c:formatCode>
                <c:ptCount val="2"/>
                <c:pt idx="0">
                  <c:v>2215.8615049999999</c:v>
                </c:pt>
                <c:pt idx="1">
                  <c:v>2302.9615400000002</c:v>
                </c:pt>
              </c:numCache>
            </c:numRef>
          </c:val>
          <c:extLst>
            <c:ext xmlns:c16="http://schemas.microsoft.com/office/drawing/2014/chart" uri="{C3380CC4-5D6E-409C-BE32-E72D297353CC}">
              <c16:uniqueId val="{00000002-7CCD-47B7-AE2B-00C1A509C67F}"/>
            </c:ext>
          </c:extLst>
        </c:ser>
        <c:ser>
          <c:idx val="1"/>
          <c:order val="1"/>
          <c:tx>
            <c:strRef>
              <c:f>Energex!$F$34</c:f>
              <c:strCache>
                <c:ptCount val="1"/>
                <c:pt idx="0">
                  <c:v>Wholesale cost</c:v>
                </c:pt>
              </c:strCache>
            </c:strRef>
          </c:tx>
          <c:spPr>
            <a:solidFill>
              <a:schemeClr val="accent2"/>
            </a:solidFill>
            <a:ln>
              <a:noFill/>
            </a:ln>
            <a:effectLst/>
          </c:spPr>
          <c:invertIfNegative val="0"/>
          <c:dLbls>
            <c:dLbl>
              <c:idx val="0"/>
              <c:tx>
                <c:strRef>
                  <c:f>Energex!$AB$34</c:f>
                  <c:strCache>
                    <c:ptCount val="1"/>
                    <c:pt idx="0">
                      <c:v>34.9%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{B025291F-379D-4E29-B7A7-6140687AB5BB}</c15:txfldGUID>
                      <c15:f>Energex!$AB$34</c15:f>
                      <c15:dlblFieldTableCache>
                        <c:ptCount val="1"/>
                        <c:pt idx="0">
                          <c:v>34.9%</c:v>
                        </c:pt>
                      </c15:dlblFieldTableCache>
                    </c15:dlblFTEntry>
                  </c15:dlblFieldTable>
                  <c15:showDataLabelsRange val="0"/>
                </c:ext>
                <c:ext xmlns:c16="http://schemas.microsoft.com/office/drawing/2014/chart" uri="{C3380CC4-5D6E-409C-BE32-E72D297353CC}">
                  <c16:uniqueId val="{00000003-7CCD-47B7-AE2B-00C1A509C67F}"/>
                </c:ext>
              </c:extLst>
            </c:dLbl>
            <c:dLbl>
              <c:idx val="1"/>
              <c:tx>
                <c:strRef>
                  <c:f>Energex!$AG$34</c:f>
                  <c:strCache>
                    <c:ptCount val="1"/>
                    <c:pt idx="0">
                      <c:v>29.5%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{9DF9B84A-303C-49DF-ADC3-D852F5A0CC24}</c15:txfldGUID>
                      <c15:f>Energex!$AG$34</c15:f>
                      <c15:dlblFieldTableCache>
                        <c:ptCount val="1"/>
                        <c:pt idx="0">
                          <c:v>29.5%</c:v>
                        </c:pt>
                      </c15:dlblFieldTableCache>
                    </c15:dlblFTEntry>
                  </c15:dlblFieldTable>
                  <c15:showDataLabelsRange val="0"/>
                </c:ext>
                <c:ext xmlns:c16="http://schemas.microsoft.com/office/drawing/2014/chart" uri="{C3380CC4-5D6E-409C-BE32-E72D297353CC}">
                  <c16:uniqueId val="{00000004-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(Energex!$AA$34,Energex!$AF$34)</c:f>
              <c:numCache>
                <c:formatCode>#,##0.00</c:formatCode>
                <c:ptCount val="2"/>
                <c:pt idx="0">
                  <c:v>2012.78</c:v>
                </c:pt>
                <c:pt idx="1">
                  <c:v>1628.6599999999999</c:v>
                </c:pt>
              </c:numCache>
            </c:numRef>
          </c:val>
          <c:extLst>
            <c:ext xmlns:c16="http://schemas.microsoft.com/office/drawing/2014/chart" uri="{C3380CC4-5D6E-409C-BE32-E72D297353CC}">
              <c16:uniqueId val="{00000005-7CCD-47B7-AE2B-00C1A509C67F}"/>
            </c:ext>
          </c:extLst>
        </c:ser>
        <c:ser>
          <c:idx val="2"/>
          <c:order val="2"/>
          <c:tx>
            <c:strRef>
              <c:f>Energex!$F$35</c:f>
              <c:strCache>
                <c:ptCount val="1"/>
                <c:pt idx="0">
                  <c:v>Environmental cost</c:v>
                </c:pt>
              </c:strCache>
            </c:strRef>
          </c:tx>
          <c:spPr>
            <a:solidFill>
              <a:schemeClr val="accent3"/>
            </a:solidFill>
            <a:ln>
              <a:noFill/>
            </a:ln>
            <a:effectLst/>
          </c:spPr>
          <c:invertIfNegative val="0"/>
          <c:dLbls>
            <c:dLbl>
              <c:idx val="0"/>
              <c:tx>
                <c:strRef>
                  <c:f>Energex!$AB$35</c:f>
                  <c:strCache>
                    <c:ptCount val="1"/>
                    <c:pt idx="0">
                      <c:v>5.8%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{338F1E61-2AAC-4E36-9D1C-687DF67CA86A}</c15:txfldGUID>
                      <c15:f>Energex!$AB$35</c15:f>
                      <c15:dlblFieldTableCache>
                        <c:ptCount val="1"/>
                        <c:pt idx="0">
                          <c:v>5.8%</c:v>
                        </c:pt>
                      </c15:dlblFieldTableCache>
                    </c15:dlblFTEntry>
                  </c15:dlblFieldTable>
                  <c15:showDataLabelsRange val="0"/>
                </c:ext>
                <c:ext xmlns:c16="http://schemas.microsoft.com/office/drawing/2014/chart" uri="{C3380CC4-5D6E-409C-BE32-E72D297353CC}">
                  <c16:uniqueId val="{00000006-7CCD-47B7-AE2B-00C1A509C67F}"/>
                </c:ext>
              </c:extLst>
            </c:dLbl>
            <c:dLbl>
              <c:idx val="1"/>
              <c:tx>
                <c:strRef>
                  <c:f>Energex!$AG$35</c:f>
                  <c:strCache>
                    <c:ptCount val="1"/>
                    <c:pt idx="0">
                      <c:v>6.7%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{A2AB11E7-9494-47E5-ACE5-3B2036DDEB44}</c15:txfldGUID>
                      <c15:f>Energex!$AG$35</c15:f>
                      <c15:dlblFieldTableCache>
                        <c:ptCount val="1"/>
                        <c:pt idx="0">
                          <c:v>6.7%</c:v>
                        </c:pt>
                      </c15:dlblFieldTableCache>
                    </c15:dlblFTEntry>
                  </c15:dlblFieldTable>
                  <c15:showDataLabelsRange val="0"/>
                </c:ext>
                <c:ext xmlns:c16="http://schemas.microsoft.com/office/drawing/2014/chart" uri="{C3380CC4-5D6E-409C-BE32-E72D297353CC}">
                  <c16:uniqueId val="{00000007-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(Energex!$AA$35,Energex!$AF$35)</c:f>
              <c:numCache>
                <c:formatCode>#,##0.00</c:formatCode>
                <c:ptCount val="2"/>
                <c:pt idx="0">
                  <c:v>332.2</c:v>
                </c:pt>
                <c:pt idx="1">
                  <c:v>368.5</c:v>
                </c:pt>
              </c:numCache>
            </c:numRef>
          </c:val>
          <c:extLst>
            <c:ext xmlns:c16="http://schemas.microsoft.com/office/drawing/2014/chart" uri="{C3380CC4-5D6E-409C-BE32-E72D297353CC}">
              <c16:uniqueId val="{00000008-7CCD-47B7-AE2B-00C1A509C67F}"/>
            </c:ext>
          </c:extLst>
        </c:ser>
        <c:ser>
          <c:idx val="3"/>
          <c:order val="3"/>
          <c:tx>
            <c:strRef>
              <c:f>Energex!$F$36</c:f>
              <c:strCache>
                <c:ptCount val="1"/>
                <c:pt idx="0">
                  <c:v>Residual cost</c:v>
                </c:pt>
              </c:strCache>
            </c:strRef>
          </c:tx>
          <c:spPr>
            <a:solidFill>
              <a:schemeClr val="accent6">
                <a:lumMod val="40000"/>
                <a:lumOff val="60000"/>
              </a:schemeClr>
            </a:solidFill>
            <a:ln>
              <a:noFill/>
            </a:ln>
            <a:effectLst/>
          </c:spPr>
          <c:invertIfNegative val="0"/>
          <c:dLbls>
            <c:dLbl>
              <c:idx val="0"/>
              <c:tx>
                <c:strRef>
                  <c:f>Energex!$AB$36</c:f>
                  <c:strCache>
                    <c:ptCount val="1"/>
                    <c:pt idx="0">
                      <c:v>20.8%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{668042CA-B855-4AC2-AC93-F1B79DE7EE61}</c15:txfldGUID>
                      <c15:f>Energex!$AB$36</c15:f>
                      <c15:dlblFieldTableCache>
                        <c:ptCount val="1"/>
                        <c:pt idx="0">
                          <c:v>20.8%</c:v>
                        </c:pt>
                      </c15:dlblFieldTableCache>
                    </c15:dlblFTEntry>
                  </c15:dlblFieldTable>
                  <c15:showDataLabelsRange val="0"/>
                </c:ext>
                <c:ext xmlns:c16="http://schemas.microsoft.com/office/drawing/2014/chart" uri="{C3380CC4-5D6E-409C-BE32-E72D297353CC}">
                  <c16:uniqueId val="{00000009-7CCD-47B7-AE2B-00C1A509C67F}"/>
                </c:ext>
              </c:extLst>
            </c:dLbl>
            <c:dLbl>
              <c:idx val="1"/>
              <c:tx>
                <c:strRef>
                  <c:f>Energex!$AG$36</c:f>
                  <c:strCache>
                    <c:ptCount val="1"/>
                    <c:pt idx="0">
                      <c:v>22.1%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{D0510D31-8C1E-45F8-B2A3-F6099021C5E1}</c15:txfldGUID>
                      <c15:f>Energex!$AG$36</c15:f>
                      <c15:dlblFieldTableCache>
                        <c:ptCount val="1"/>
                        <c:pt idx="0">
                          <c:v>22.1%</c:v>
                        </c:pt>
                      </c15:dlblFieldTableCache>
                    </c15:dlblFTEntry>
                  </c15:dlblFieldTable>
                  <c15:showDataLabelsRange val="0"/>
                </c:ext>
                <c:ext xmlns:c16="http://schemas.microsoft.com/office/drawing/2014/chart" uri="{C3380CC4-5D6E-409C-BE32-E72D297353CC}">
                  <c16:uniqueId val="{0000000A-7CCD-47B7-AE2B-00C1A509C6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(Energex!$AA$36,Energex!$AF$36)</c:f>
              <c:numCache>
                <c:formatCode>#,##0.00</c:formatCode>
                <c:ptCount val="2"/>
                <c:pt idx="0">
                  <c:v>1199.1584950000006</c:v>
                </c:pt>
                <c:pt idx="1">
                  <c:v>1217.1458724249997</c:v>
                </c:pt>
              </c:numCache>
            </c:numRef>
          </c:val>
          <c:extLst>
            <c:ext xmlns:c16="http://schemas.microsoft.com/office/drawing/2014/chart" uri="{C3380CC4-5D6E-409C-BE32-E72D297353CC}">
              <c16:uniqueId val="{0000000B-7CCD-47B7-AE2B-00C1A509C67F}"/>
            </c:ext>
          </c:extLst>
        </c:ser>
        <c:ser>
          <c:idx val="5"/>
          <c:order val="4"/>
          <c:tx>
            <c:strRef>
              <c:f>Energex!$F$38</c:f>
              <c:strCache>
                <c:ptCount val="1"/>
                <c:pt idx="0">
                  <c:v>Step change</c:v>
                </c:pt>
              </c:strCache>
            </c:strRef>
          </c:tx>
          <c:spPr>
            <a:solidFill>
              <a:schemeClr val="accent6"/>
            </a:solidFill>
            <a:ln>
              <a:noFill/>
            </a:ln>
            <a:effectLst/>
          </c:spPr>
          <c:invertIfNegative val="0"/>
          <c:val>
            <c:numRef>
              <c:f>(Energex!$AA$38,Energex!$AF$38)</c:f>
              <c:numCache>
                <c:formatCode>#,##0.00</c:formatCode>
                <c:ptCount val="2"/>
                <c:pt idx="0">
                  <c:v>0</c:v>
                </c:pt>
                <c:pt idx="1">
                  <c:v>0</c:v>
                </c:pt>
              </c:numCache>
            </c:numRef>
          </c:val>
          <c:extLst>
            <c:ext xmlns:c16="http://schemas.microsoft.com/office/drawing/2014/chart" uri="{C3380CC4-5D6E-409C-BE32-E72D297353CC}">
              <c16:uniqueId val="{00000000-0B53-4F6E-B433-3CA308AC220C}"/>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(Energex!$AA$29,Energex!$AD$29)</c:f>
              <c:strCache>
                <c:ptCount val="2"/>
                <c:pt idx="0">
                  <c:v>2020-21</c:v>
                </c:pt>
                <c:pt idx="1">
                  <c:v>2021-22</c:v>
                </c:pt>
              </c:strCache>
            </c:strRef>
          </c:cat>
          <c:val>
            <c:numRef>
              <c:f>(Energex!$Z$32,Energex!$Z$39)</c:f>
              <c:numCache>
                <c:formatCode>#,##0.00</c:formatCode>
                <c:ptCount val="2"/>
                <c:pt idx="0">
                  <c:v>5760</c:v>
                </c:pt>
                <c:pt idx="1">
                  <c:v>5517.2674124249997</c:v>
                </c:pt>
              </c:numCache>
            </c:numRef>
          </c:val>
          <c:extLst>
            <c:ext xmlns:c16="http://schemas.microsoft.com/office/drawing/2014/chart" uri="{C3380CC4-5D6E-409C-BE32-E72D297353CC}">
              <c16:uniqueId val="{0000000C-7CCD-47B7-AE2B-00C1A509C67F}"/>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700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SAPN!$D$3</c:f>
          <c:strCache>
            <c:ptCount val="1"/>
            <c:pt idx="0">
              <c:v>SAPN Residential with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02206813700539E-2"/>
          <c:y val="0.14294554455445543"/>
          <c:w val="0.70596921912538713"/>
          <c:h val="0.76135203087237857"/>
        </c:manualLayout>
      </c:layout>
      <c:barChart>
        <c:barDir val="col"/>
        <c:grouping val="stacked"/>
        <c:varyColors val="0"/>
        <c:ser>
          <c:idx val="0"/>
          <c:order val="0"/>
          <c:tx>
            <c:strRef>
              <c:f>SAPN!$F$33</c:f>
              <c:strCache>
                <c:ptCount val="1"/>
                <c:pt idx="0">
                  <c:v>Network cost</c:v>
                </c:pt>
              </c:strCache>
            </c:strRef>
          </c:tx>
          <c:spPr>
            <a:solidFill>
              <a:schemeClr val="accent1"/>
            </a:solidFill>
            <a:ln>
              <a:noFill/>
            </a:ln>
            <a:effectLst/>
          </c:spPr>
          <c:invertIfNegative val="0"/>
          <c:dLbls>
            <c:dLbl>
              <c:idx val="0"/>
              <c:tx>
                <c:strRef>
                  <c:f>SAPN!$S$33</c:f>
                  <c:strCache>
                    <c:ptCount val="1"/>
                    <c:pt idx="0">
                      <c:v>44.1%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{7845C7A7-312D-416F-8882-3D912E8EAC8C}</c15:txfldGUID>
                      <c15:f>SAPN!$S$33</c15:f>
                      <c15:dlblFieldTableCache>
                        <c:ptCount val="1"/>
                        <c:pt idx="0">
                          <c:v>44.1%</c:v>
                        </c:pt>
                      </c15:dlblFieldTableCache>
                    </c15:dlblFTEntry>
                  </c15:dlblFieldTable>
                  <c15:showDataLabelsRange val="0"/>
                </c:ext>
                <c:ext xmlns:c16="http://schemas.microsoft.com/office/drawing/2014/chart" uri="{C3380CC4-5D6E-409C-BE32-E72D297353CC}">
                  <c16:uniqueId val="{00000000-9475-4999-A85F-048E3A44FAC3}"/>
                </c:ext>
              </c:extLst>
            </c:dLbl>
            <c:dLbl>
              <c:idx val="1"/>
              <c:tx>
                <c:strRef>
                  <c:f>SAPN!$X$33</c:f>
                  <c:strCache>
                    <c:ptCount val="1"/>
                    <c:pt idx="0">
                      <c:v>48.5%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{20E52838-E928-4340-B554-930251E5D995}</c15:txfldGUID>
                      <c15:f>SAPN!$X$33</c15:f>
                      <c15:dlblFieldTableCache>
                        <c:ptCount val="1"/>
                        <c:pt idx="0">
                          <c:v>48.5%</c:v>
                        </c:pt>
                      </c15:dlblFieldTableCache>
                    </c15:dlblFTEntry>
                  </c15:dlblFieldTable>
                  <c15:showDataLabelsRange val="0"/>
                </c:ext>
                <c:ext xmlns:c16="http://schemas.microsoft.com/office/drawing/2014/chart" uri="{C3380CC4-5D6E-409C-BE32-E72D297353CC}">
                  <c16:uniqueId val="{00000001-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(SAPN!$R$33,SAPN!$W$33)</c:f>
              <c:numCache>
                <c:formatCode>#,##0.00</c:formatCode>
                <c:ptCount val="2"/>
                <c:pt idx="0">
                  <c:v>990.55</c:v>
                </c:pt>
                <c:pt idx="1">
                  <c:v>1008.3018000000001</c:v>
                </c:pt>
              </c:numCache>
            </c:numRef>
          </c:val>
          <c:extLst>
            <c:ext xmlns:c16="http://schemas.microsoft.com/office/drawing/2014/chart" uri="{C3380CC4-5D6E-409C-BE32-E72D297353CC}">
              <c16:uniqueId val="{00000002-9475-4999-A85F-048E3A44FAC3}"/>
            </c:ext>
          </c:extLst>
        </c:ser>
        <c:ser>
          <c:idx val="1"/>
          <c:order val="1"/>
          <c:tx>
            <c:strRef>
              <c:f>SAPN!$F$34</c:f>
              <c:strCache>
                <c:ptCount val="1"/>
                <c:pt idx="0">
                  <c:v>Wholesale cost</c:v>
                </c:pt>
              </c:strCache>
            </c:strRef>
          </c:tx>
          <c:spPr>
            <a:solidFill>
              <a:schemeClr val="accent2"/>
            </a:solidFill>
            <a:ln>
              <a:noFill/>
            </a:ln>
            <a:effectLst/>
          </c:spPr>
          <c:invertIfNegative val="0"/>
          <c:dLbls>
            <c:dLbl>
              <c:idx val="0"/>
              <c:tx>
                <c:strRef>
                  <c:f>SAPN!$S$34</c:f>
                  <c:strCache>
                    <c:ptCount val="1"/>
                    <c:pt idx="0">
                      <c:v>39.9%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{726F215D-0C64-4C99-853B-99A56775CEFD}</c15:txfldGUID>
                      <c15:f>SAPN!$S$34</c15:f>
                      <c15:dlblFieldTableCache>
                        <c:ptCount val="1"/>
                        <c:pt idx="0">
                          <c:v>39.9%</c:v>
                        </c:pt>
                      </c15:dlblFieldTableCache>
                    </c15:dlblFTEntry>
                  </c15:dlblFieldTable>
                  <c15:showDataLabelsRange val="0"/>
                </c:ext>
                <c:ext xmlns:c16="http://schemas.microsoft.com/office/drawing/2014/chart" uri="{C3380CC4-5D6E-409C-BE32-E72D297353CC}">
                  <c16:uniqueId val="{00000003-9475-4999-A85F-048E3A44FAC3}"/>
                </c:ext>
              </c:extLst>
            </c:dLbl>
            <c:dLbl>
              <c:idx val="1"/>
              <c:tx>
                <c:strRef>
                  <c:f>SAPN!$X$34</c:f>
                  <c:strCache>
                    <c:ptCount val="1"/>
                    <c:pt idx="0">
                      <c:v>33.5%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{CB6C87AD-51A0-470E-A7D4-6EE5E77EE1CD}</c15:txfldGUID>
                      <c15:f>SAPN!$X$34</c15:f>
                      <c15:dlblFieldTableCache>
                        <c:ptCount val="1"/>
                        <c:pt idx="0">
                          <c:v>33.5%</c:v>
                        </c:pt>
                      </c15:dlblFieldTableCache>
                    </c15:dlblFTEntry>
                  </c15:dlblFieldTable>
                  <c15:showDataLabelsRange val="0"/>
                </c:ext>
                <c:ext xmlns:c16="http://schemas.microsoft.com/office/drawing/2014/chart" uri="{C3380CC4-5D6E-409C-BE32-E72D297353CC}">
                  <c16:uniqueId val="{00000004-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(SAPN!$R$34,SAPN!$W$34)</c:f>
              <c:numCache>
                <c:formatCode>#,##0.00</c:formatCode>
                <c:ptCount val="2"/>
                <c:pt idx="0">
                  <c:v>896.4713999999999</c:v>
                </c:pt>
                <c:pt idx="1">
                  <c:v>696.13499999999999</c:v>
                </c:pt>
              </c:numCache>
            </c:numRef>
          </c:val>
          <c:extLst>
            <c:ext xmlns:c16="http://schemas.microsoft.com/office/drawing/2014/chart" uri="{C3380CC4-5D6E-409C-BE32-E72D297353CC}">
              <c16:uniqueId val="{00000005-9475-4999-A85F-048E3A44FAC3}"/>
            </c:ext>
          </c:extLst>
        </c:ser>
        <c:ser>
          <c:idx val="2"/>
          <c:order val="2"/>
          <c:tx>
            <c:strRef>
              <c:f>SAPN!$F$35</c:f>
              <c:strCache>
                <c:ptCount val="1"/>
                <c:pt idx="0">
                  <c:v>Environmental cost</c:v>
                </c:pt>
              </c:strCache>
            </c:strRef>
          </c:tx>
          <c:spPr>
            <a:solidFill>
              <a:schemeClr val="accent3"/>
            </a:solidFill>
            <a:ln>
              <a:noFill/>
            </a:ln>
            <a:effectLst/>
          </c:spPr>
          <c:invertIfNegative val="0"/>
          <c:dLbls>
            <c:dLbl>
              <c:idx val="0"/>
              <c:tx>
                <c:strRef>
                  <c:f>SAPN!$S$35</c:f>
                  <c:strCache>
                    <c:ptCount val="1"/>
                    <c:pt idx="0">
                      <c:v>5.5%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{AD73CA91-8597-4873-B9CD-500D68F1074D}</c15:txfldGUID>
                      <c15:f>SAPN!$S$35</c15:f>
                      <c15:dlblFieldTableCache>
                        <c:ptCount val="1"/>
                        <c:pt idx="0">
                          <c:v>5.5%</c:v>
                        </c:pt>
                      </c15:dlblFieldTableCache>
                    </c15:dlblFTEntry>
                  </c15:dlblFieldTable>
                  <c15:showDataLabelsRange val="0"/>
                </c:ext>
                <c:ext xmlns:c16="http://schemas.microsoft.com/office/drawing/2014/chart" uri="{C3380CC4-5D6E-409C-BE32-E72D297353CC}">
                  <c16:uniqueId val="{00000006-9475-4999-A85F-048E3A44FAC3}"/>
                </c:ext>
              </c:extLst>
            </c:dLbl>
            <c:dLbl>
              <c:idx val="1"/>
              <c:tx>
                <c:strRef>
                  <c:f>SAPN!$X$35</c:f>
                  <c:strCache>
                    <c:ptCount val="1"/>
                    <c:pt idx="0">
                      <c:v>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{00A7C6CC-7040-4BEC-A30D-5551375E7FEB}</c15:txfldGUID>
                      <c15:f>SAPN!$X$35</c15:f>
                      <c15:dlblFieldTableCache>
                        <c:ptCount val="1"/>
                        <c:pt idx="0">
                          <c:v>6.5%</c:v>
                        </c:pt>
                      </c15:dlblFieldTableCache>
                    </c15:dlblFTEntry>
                  </c15:dlblFieldTable>
                  <c15:showDataLabelsRange val="0"/>
                </c:ext>
                <c:ext xmlns:c16="http://schemas.microsoft.com/office/drawing/2014/chart" uri="{C3380CC4-5D6E-409C-BE32-E72D297353CC}">
                  <c16:uniqueId val="{00000007-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(SAPN!$R$35,SAPN!$W$35)</c:f>
              <c:numCache>
                <c:formatCode>#,##0.00</c:formatCode>
                <c:ptCount val="2"/>
                <c:pt idx="0">
                  <c:v>122.562</c:v>
                </c:pt>
                <c:pt idx="1">
                  <c:v>134.57400000000001</c:v>
                </c:pt>
              </c:numCache>
            </c:numRef>
          </c:val>
          <c:extLst>
            <c:ext xmlns:c16="http://schemas.microsoft.com/office/drawing/2014/chart" uri="{C3380CC4-5D6E-409C-BE32-E72D297353CC}">
              <c16:uniqueId val="{00000008-9475-4999-A85F-048E3A44FAC3}"/>
            </c:ext>
          </c:extLst>
        </c:ser>
        <c:ser>
          <c:idx val="3"/>
          <c:order val="3"/>
          <c:tx>
            <c:strRef>
              <c:f>SAPN!$F$36</c:f>
              <c:strCache>
                <c:ptCount val="1"/>
                <c:pt idx="0">
                  <c:v>Residual cost</c:v>
                </c:pt>
              </c:strCache>
            </c:strRef>
          </c:tx>
          <c:spPr>
            <a:solidFill>
              <a:schemeClr val="accent6">
                <a:lumMod val="40000"/>
                <a:lumOff val="60000"/>
              </a:schemeClr>
            </a:solidFill>
            <a:ln>
              <a:noFill/>
            </a:ln>
            <a:effectLst/>
          </c:spPr>
          <c:invertIfNegative val="0"/>
          <c:dLbls>
            <c:dLbl>
              <c:idx val="0"/>
              <c:tx>
                <c:strRef>
                  <c:f>SAPN!$S$36</c:f>
                  <c:strCache>
                    <c:ptCount val="1"/>
                    <c:pt idx="0">
                      <c:v>10.4%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{048BD3B7-C8BD-4EC6-A408-096D5D6657E0}</c15:txfldGUID>
                      <c15:f>SAPN!$S$36</c15:f>
                      <c15:dlblFieldTableCache>
                        <c:ptCount val="1"/>
                        <c:pt idx="0">
                          <c:v>10.4%</c:v>
                        </c:pt>
                      </c15:dlblFieldTableCache>
                    </c15:dlblFTEntry>
                  </c15:dlblFieldTable>
                  <c15:showDataLabelsRange val="0"/>
                </c:ext>
                <c:ext xmlns:c16="http://schemas.microsoft.com/office/drawing/2014/chart" uri="{C3380CC4-5D6E-409C-BE32-E72D297353CC}">
                  <c16:uniqueId val="{00000009-9475-4999-A85F-048E3A44FAC3}"/>
                </c:ext>
              </c:extLst>
            </c:dLbl>
            <c:dLbl>
              <c:idx val="1"/>
              <c:tx>
                <c:strRef>
                  <c:f>SAPN!$X$36</c:f>
                  <c:strCache>
                    <c:ptCount val="1"/>
                    <c:pt idx="0">
                      <c:v>11.5%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{6C0BF181-8D8D-4A96-BD49-CCC75497506C}</c15:txfldGUID>
                      <c15:f>SAPN!$X$36</c15:f>
                      <c15:dlblFieldTableCache>
                        <c:ptCount val="1"/>
                        <c:pt idx="0">
                          <c:v>11.5%</c:v>
                        </c:pt>
                      </c15:dlblFieldTableCache>
                    </c15:dlblFTEntry>
                  </c15:dlblFieldTable>
                  <c15:showDataLabelsRange val="0"/>
                </c:ext>
                <c:ext xmlns:c16="http://schemas.microsoft.com/office/drawing/2014/chart" uri="{C3380CC4-5D6E-409C-BE32-E72D297353CC}">
                  <c16:uniqueId val="{0000000A-9475-4999-A85F-048E3A44FA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(SAPN!$R$36,SAPN!$W$36)</c:f>
              <c:numCache>
                <c:formatCode>#,##0.00</c:formatCode>
                <c:ptCount val="2"/>
                <c:pt idx="0">
                  <c:v>234.41660000000024</c:v>
                </c:pt>
                <c:pt idx="1">
                  <c:v>237.93284900000026</c:v>
                </c:pt>
              </c:numCache>
            </c:numRef>
          </c:val>
          <c:extLst>
            <c:ext xmlns:c16="http://schemas.microsoft.com/office/drawing/2014/chart" uri="{C3380CC4-5D6E-409C-BE32-E72D297353CC}">
              <c16:uniqueId val="{0000000B-9475-4999-A85F-048E3A44FAC3}"/>
            </c:ext>
          </c:extLst>
        </c:ser>
        <c:ser>
          <c:idx val="5"/>
          <c:order val="4"/>
          <c:tx>
            <c:strRef>
              <c:f>SAPN!$F$38</c:f>
              <c:strCache>
                <c:ptCount val="1"/>
                <c:pt idx="0">
                  <c:v>Step change</c:v>
                </c:pt>
              </c:strCache>
            </c:strRef>
          </c:tx>
          <c:spPr>
            <a:solidFill>
              <a:schemeClr val="accent6"/>
            </a:solidFill>
            <a:ln>
              <a:noFill/>
            </a:ln>
            <a:effectLst/>
          </c:spPr>
          <c:invertIfNegative val="0"/>
          <c:val>
            <c:numRef>
              <c:f>(SAPN!$R$38,SAPN!$W$38)</c:f>
              <c:numCache>
                <c:formatCode>#,##0.00</c:formatCode>
                <c:ptCount val="2"/>
                <c:pt idx="0">
                  <c:v>0</c:v>
                </c:pt>
                <c:pt idx="1">
                  <c:v>0</c:v>
                </c:pt>
              </c:numCache>
            </c:numRef>
          </c:val>
          <c:extLst>
            <c:ext xmlns:c16="http://schemas.microsoft.com/office/drawing/2014/chart" uri="{C3380CC4-5D6E-409C-BE32-E72D297353CC}">
              <c16:uniqueId val="{00000000-4C07-457E-A1FD-FA5D0E7850C8}"/>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(SAPN!$R$29,SAPN!$U$29)</c:f>
              <c:strCache>
                <c:ptCount val="2"/>
                <c:pt idx="0">
                  <c:v>2020-21</c:v>
                </c:pt>
                <c:pt idx="1">
                  <c:v>2021-22</c:v>
                </c:pt>
              </c:strCache>
            </c:strRef>
          </c:cat>
          <c:val>
            <c:numRef>
              <c:f>(SAPN!$Q$32,SAPN!$Q$39)</c:f>
              <c:numCache>
                <c:formatCode>#,##0.00</c:formatCode>
                <c:ptCount val="2"/>
                <c:pt idx="0">
                  <c:v>2244</c:v>
                </c:pt>
                <c:pt idx="1">
                  <c:v>2076.9436490000003</c:v>
                </c:pt>
              </c:numCache>
            </c:numRef>
          </c:val>
          <c:extLst>
            <c:ext xmlns:c16="http://schemas.microsoft.com/office/drawing/2014/chart" uri="{C3380CC4-5D6E-409C-BE32-E72D297353CC}">
              <c16:uniqueId val="{0000000C-9475-4999-A85F-048E3A44FAC3}"/>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7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SAPN!$C$3</c:f>
          <c:strCache>
            <c:ptCount val="1"/>
            <c:pt idx="0">
              <c:v>SAPN Residential without CL</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18079125752019E-2"/>
          <c:y val="0.14294554455445543"/>
          <c:w val="0.69585401089569698"/>
          <c:h val="0.76135203087237857"/>
        </c:manualLayout>
      </c:layout>
      <c:barChart>
        <c:barDir val="col"/>
        <c:grouping val="stacked"/>
        <c:varyColors val="0"/>
        <c:ser>
          <c:idx val="0"/>
          <c:order val="0"/>
          <c:tx>
            <c:strRef>
              <c:f>SAPN!$F$33</c:f>
              <c:strCache>
                <c:ptCount val="1"/>
                <c:pt idx="0">
                  <c:v>Network cost</c:v>
                </c:pt>
              </c:strCache>
            </c:strRef>
          </c:tx>
          <c:spPr>
            <a:solidFill>
              <a:schemeClr val="accent1"/>
            </a:solidFill>
            <a:ln>
              <a:noFill/>
            </a:ln>
            <a:effectLst/>
          </c:spPr>
          <c:invertIfNegative val="0"/>
          <c:dLbls>
            <c:dLbl>
              <c:idx val="0"/>
              <c:layout/>
              <c:tx>
                <c:strRef>
                  <c:f>SAPN!$J$33</c:f>
                  <c:strCache>
                    <c:ptCount val="1"/>
                    <c:pt idx="0">
                      <c:v>43.4%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{E9BD0E4F-AB6B-4950-AA14-19D55D2426A0}</c15:txfldGUID>
                      <c15:f>SAPN!$J$33</c15:f>
                      <c15:dlblFieldTableCache>
                        <c:ptCount val="1"/>
                        <c:pt idx="0">
                          <c:v>43.4%</c:v>
                        </c:pt>
                      </c15:dlblFieldTableCache>
                    </c15:dlblFTEntry>
                  </c15:dlblFieldTable>
                  <c15:showDataLabelsRange val="0"/>
                </c:ext>
                <c:ext xmlns:c16="http://schemas.microsoft.com/office/drawing/2014/chart" uri="{C3380CC4-5D6E-409C-BE32-E72D297353CC}">
                  <c16:uniqueId val="{00000000-2D66-4B5A-AD2E-DB0DB39A2338}"/>
                </c:ext>
              </c:extLst>
            </c:dLbl>
            <c:dLbl>
              <c:idx val="1"/>
              <c:layout/>
              <c:tx>
                <c:strRef>
                  <c:f>SAPN!$O$33</c:f>
                  <c:strCache>
                    <c:ptCount val="1"/>
                    <c:pt idx="0">
                      <c:v>47.7%</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{81528281-D734-4495-833F-DA356FA5148D}</c15:txfldGUID>
                      <c15:f>SAPN!$O$33</c15:f>
                      <c15:dlblFieldTableCache>
                        <c:ptCount val="1"/>
                        <c:pt idx="0">
                          <c:v>47.7%</c:v>
                        </c:pt>
                      </c15:dlblFieldTableCache>
                    </c15:dlblFTEntry>
                  </c15:dlblFieldTable>
                  <c15:showDataLabelsRange val="0"/>
                </c:ext>
                <c:ext xmlns:c16="http://schemas.microsoft.com/office/drawing/2014/chart" uri="{C3380CC4-5D6E-409C-BE32-E72D297353CC}">
                  <c16:uniqueId val="{00000001-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(SAPN!$I$33,SAPN!$N$33)</c:f>
              <c:numCache>
                <c:formatCode>#,##0.00</c:formatCode>
                <c:ptCount val="2"/>
                <c:pt idx="0">
                  <c:v>794.39800000000002</c:v>
                </c:pt>
                <c:pt idx="1">
                  <c:v>818.81580000000008</c:v>
                </c:pt>
              </c:numCache>
            </c:numRef>
          </c:val>
          <c:extLst>
            <c:ext xmlns:c16="http://schemas.microsoft.com/office/drawing/2014/chart" uri="{C3380CC4-5D6E-409C-BE32-E72D297353CC}">
              <c16:uniqueId val="{00000002-2D66-4B5A-AD2E-DB0DB39A2338}"/>
            </c:ext>
          </c:extLst>
        </c:ser>
        <c:ser>
          <c:idx val="1"/>
          <c:order val="1"/>
          <c:tx>
            <c:strRef>
              <c:f>SAPN!$F$34</c:f>
              <c:strCache>
                <c:ptCount val="1"/>
                <c:pt idx="0">
                  <c:v>Wholesale cost</c:v>
                </c:pt>
              </c:strCache>
            </c:strRef>
          </c:tx>
          <c:spPr>
            <a:solidFill>
              <a:schemeClr val="accent2"/>
            </a:solidFill>
            <a:ln>
              <a:noFill/>
            </a:ln>
            <a:effectLst/>
          </c:spPr>
          <c:invertIfNegative val="0"/>
          <c:dLbls>
            <c:dLbl>
              <c:idx val="0"/>
              <c:layout/>
              <c:tx>
                <c:strRef>
                  <c:f>SAPN!$J$34</c:f>
                  <c:strCache>
                    <c:ptCount val="1"/>
                    <c:pt idx="0">
                      <c:v>37.0%</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{CC67C506-5029-45FE-9C3A-BAD5F7B6E504}</c15:txfldGUID>
                      <c15:f>SAPN!$J$34</c15:f>
                      <c15:dlblFieldTableCache>
                        <c:ptCount val="1"/>
                        <c:pt idx="0">
                          <c:v>37.0%</c:v>
                        </c:pt>
                      </c15:dlblFieldTableCache>
                    </c15:dlblFTEntry>
                  </c15:dlblFieldTable>
                  <c15:showDataLabelsRange val="0"/>
                </c:ext>
                <c:ext xmlns:c16="http://schemas.microsoft.com/office/drawing/2014/chart" uri="{C3380CC4-5D6E-409C-BE32-E72D297353CC}">
                  <c16:uniqueId val="{00000003-2D66-4B5A-AD2E-DB0DB39A2338}"/>
                </c:ext>
              </c:extLst>
            </c:dLbl>
            <c:dLbl>
              <c:idx val="1"/>
              <c:layout/>
              <c:tx>
                <c:strRef>
                  <c:f>SAPN!$O$34</c:f>
                  <c:strCache>
                    <c:ptCount val="1"/>
                    <c:pt idx="0">
                      <c:v>30.6%</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{A799703A-7847-4488-B323-FDBAAEBAFDEF}</c15:txfldGUID>
                      <c15:f>SAPN!$O$34</c15:f>
                      <c15:dlblFieldTableCache>
                        <c:ptCount val="1"/>
                        <c:pt idx="0">
                          <c:v>30.6%</c:v>
                        </c:pt>
                      </c15:dlblFieldTableCache>
                    </c15:dlblFTEntry>
                  </c15:dlblFieldTable>
                  <c15:showDataLabelsRange val="0"/>
                </c:ext>
                <c:ext xmlns:c16="http://schemas.microsoft.com/office/drawing/2014/chart" uri="{C3380CC4-5D6E-409C-BE32-E72D297353CC}">
                  <c16:uniqueId val="{00000004-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(SAPN!$I$34,SAPN!$N$34)</c:f>
              <c:numCache>
                <c:formatCode>#,##0.00</c:formatCode>
                <c:ptCount val="2"/>
                <c:pt idx="0">
                  <c:v>678.12800000000004</c:v>
                </c:pt>
                <c:pt idx="1">
                  <c:v>525.66800000000001</c:v>
                </c:pt>
              </c:numCache>
            </c:numRef>
          </c:val>
          <c:extLst>
            <c:ext xmlns:c16="http://schemas.microsoft.com/office/drawing/2014/chart" uri="{C3380CC4-5D6E-409C-BE32-E72D297353CC}">
              <c16:uniqueId val="{00000005-2D66-4B5A-AD2E-DB0DB39A2338}"/>
            </c:ext>
          </c:extLst>
        </c:ser>
        <c:ser>
          <c:idx val="2"/>
          <c:order val="2"/>
          <c:tx>
            <c:strRef>
              <c:f>SAPN!$F$35</c:f>
              <c:strCache>
                <c:ptCount val="1"/>
                <c:pt idx="0">
                  <c:v>Environmental cost</c:v>
                </c:pt>
              </c:strCache>
            </c:strRef>
          </c:tx>
          <c:spPr>
            <a:solidFill>
              <a:schemeClr val="accent3"/>
            </a:solidFill>
            <a:ln>
              <a:noFill/>
            </a:ln>
            <a:effectLst/>
          </c:spPr>
          <c:invertIfNegative val="0"/>
          <c:dLbls>
            <c:dLbl>
              <c:idx val="0"/>
              <c:layout/>
              <c:tx>
                <c:strRef>
                  <c:f>SAPN!$J$35</c:f>
                  <c:strCache>
                    <c:ptCount val="1"/>
                    <c:pt idx="0">
                      <c:v>4.5%</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{7BF07237-D597-4F14-9CAD-8003ACAE013C}</c15:txfldGUID>
                      <c15:f>SAPN!$J$35</c15:f>
                      <c15:dlblFieldTableCache>
                        <c:ptCount val="1"/>
                        <c:pt idx="0">
                          <c:v>4.5%</c:v>
                        </c:pt>
                      </c15:dlblFieldTableCache>
                    </c15:dlblFTEntry>
                  </c15:dlblFieldTable>
                  <c15:showDataLabelsRange val="0"/>
                </c:ext>
                <c:ext xmlns:c16="http://schemas.microsoft.com/office/drawing/2014/chart" uri="{C3380CC4-5D6E-409C-BE32-E72D297353CC}">
                  <c16:uniqueId val="{00000006-2D66-4B5A-AD2E-DB0DB39A2338}"/>
                </c:ext>
              </c:extLst>
            </c:dLbl>
            <c:dLbl>
              <c:idx val="1"/>
              <c:layout/>
              <c:tx>
                <c:strRef>
                  <c:f>SAPN!$O$35</c:f>
                  <c:strCache>
                    <c:ptCount val="1"/>
                    <c:pt idx="0">
                      <c:v>5.2%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{85DBE424-5E7B-4A5A-ACE6-6EF7FBE84AB8}</c15:txfldGUID>
                      <c15:f>SAPN!$O$35</c15:f>
                      <c15:dlblFieldTableCache>
                        <c:ptCount val="1"/>
                        <c:pt idx="0">
                          <c:v>5.2%</c:v>
                        </c:pt>
                      </c15:dlblFieldTableCache>
                    </c15:dlblFTEntry>
                  </c15:dlblFieldTable>
                  <c15:showDataLabelsRange val="0"/>
                </c:ext>
                <c:ext xmlns:c16="http://schemas.microsoft.com/office/drawing/2014/chart" uri="{C3380CC4-5D6E-409C-BE32-E72D297353CC}">
                  <c16:uniqueId val="{00000007-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(SAPN!$I$35,SAPN!$N$35)</c:f>
              <c:numCache>
                <c:formatCode>#,##0.00</c:formatCode>
                <c:ptCount val="2"/>
                <c:pt idx="0">
                  <c:v>81.707999999999998</c:v>
                </c:pt>
                <c:pt idx="1">
                  <c:v>89.716000000000008</c:v>
                </c:pt>
              </c:numCache>
            </c:numRef>
          </c:val>
          <c:extLst>
            <c:ext xmlns:c16="http://schemas.microsoft.com/office/drawing/2014/chart" uri="{C3380CC4-5D6E-409C-BE32-E72D297353CC}">
              <c16:uniqueId val="{00000008-2D66-4B5A-AD2E-DB0DB39A2338}"/>
            </c:ext>
          </c:extLst>
        </c:ser>
        <c:ser>
          <c:idx val="3"/>
          <c:order val="3"/>
          <c:tx>
            <c:strRef>
              <c:f>SAPN!$F$36</c:f>
              <c:strCache>
                <c:ptCount val="1"/>
                <c:pt idx="0">
                  <c:v>Residual cost</c:v>
                </c:pt>
              </c:strCache>
            </c:strRef>
          </c:tx>
          <c:spPr>
            <a:solidFill>
              <a:schemeClr val="accent6">
                <a:lumMod val="40000"/>
                <a:lumOff val="60000"/>
              </a:schemeClr>
            </a:solidFill>
            <a:ln>
              <a:noFill/>
            </a:ln>
            <a:effectLst/>
          </c:spPr>
          <c:invertIfNegative val="0"/>
          <c:dLbls>
            <c:dLbl>
              <c:idx val="0"/>
              <c:layout/>
              <c:tx>
                <c:strRef>
                  <c:f>SAPN!$J$36</c:f>
                  <c:strCache>
                    <c:ptCount val="1"/>
                    <c:pt idx="0">
                      <c:v>15.2%</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{413799C8-E33F-437A-84D0-4A5F8AF98D7D}</c15:txfldGUID>
                      <c15:f>SAPN!$J$36</c15:f>
                      <c15:dlblFieldTableCache>
                        <c:ptCount val="1"/>
                        <c:pt idx="0">
                          <c:v>15.2%</c:v>
                        </c:pt>
                      </c15:dlblFieldTableCache>
                    </c15:dlblFTEntry>
                  </c15:dlblFieldTable>
                  <c15:showDataLabelsRange val="0"/>
                </c:ext>
                <c:ext xmlns:c16="http://schemas.microsoft.com/office/drawing/2014/chart" uri="{C3380CC4-5D6E-409C-BE32-E72D297353CC}">
                  <c16:uniqueId val="{00000009-2D66-4B5A-AD2E-DB0DB39A2338}"/>
                </c:ext>
              </c:extLst>
            </c:dLbl>
            <c:dLbl>
              <c:idx val="1"/>
              <c:layout/>
              <c:tx>
                <c:strRef>
                  <c:f>SAPN!$O$36</c:f>
                  <c:strCache>
                    <c:ptCount val="1"/>
                    <c:pt idx="0">
                      <c:v>16.4%</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{B40FB4FD-5B31-4364-B966-D2DCCF3DD116}</c15:txfldGUID>
                      <c15:f>SAPN!$O$36</c15:f>
                      <c15:dlblFieldTableCache>
                        <c:ptCount val="1"/>
                        <c:pt idx="0">
                          <c:v>16.4%</c:v>
                        </c:pt>
                      </c15:dlblFieldTableCache>
                    </c15:dlblFTEntry>
                  </c15:dlblFieldTable>
                  <c15:showDataLabelsRange val="0"/>
                </c:ext>
                <c:ext xmlns:c16="http://schemas.microsoft.com/office/drawing/2014/chart" uri="{C3380CC4-5D6E-409C-BE32-E72D297353CC}">
                  <c16:uniqueId val="{0000000A-2D66-4B5A-AD2E-DB0DB39A23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(SAPN!$I$36,SAPN!$N$36)</c:f>
              <c:numCache>
                <c:formatCode>#,##0.00</c:formatCode>
                <c:ptCount val="2"/>
                <c:pt idx="0">
                  <c:v>277.76599999999985</c:v>
                </c:pt>
                <c:pt idx="1">
                  <c:v>281.93249000000014</c:v>
                </c:pt>
              </c:numCache>
            </c:numRef>
          </c:val>
          <c:extLst>
            <c:ext xmlns:c16="http://schemas.microsoft.com/office/drawing/2014/chart" uri="{C3380CC4-5D6E-409C-BE32-E72D297353CC}">
              <c16:uniqueId val="{0000000B-2D66-4B5A-AD2E-DB0DB39A2338}"/>
            </c:ext>
          </c:extLst>
        </c:ser>
        <c:ser>
          <c:idx val="5"/>
          <c:order val="4"/>
          <c:tx>
            <c:strRef>
              <c:f>SAPN!$F$38</c:f>
              <c:strCache>
                <c:ptCount val="1"/>
                <c:pt idx="0">
                  <c:v>Step change</c:v>
                </c:pt>
              </c:strCache>
            </c:strRef>
          </c:tx>
          <c:spPr>
            <a:solidFill>
              <a:schemeClr val="accent6"/>
            </a:solidFill>
            <a:ln>
              <a:noFill/>
            </a:ln>
            <a:effectLst/>
          </c:spPr>
          <c:invertIfNegative val="0"/>
          <c:val>
            <c:numRef>
              <c:f>(SAPN!$I$38,SAPN!$N$38)</c:f>
              <c:numCache>
                <c:formatCode>#,##0.00</c:formatCode>
                <c:ptCount val="2"/>
                <c:pt idx="0">
                  <c:v>0</c:v>
                </c:pt>
                <c:pt idx="1">
                  <c:v>0</c:v>
                </c:pt>
              </c:numCache>
            </c:numRef>
          </c:val>
          <c:extLst>
            <c:ext xmlns:c16="http://schemas.microsoft.com/office/drawing/2014/chart" uri="{C3380CC4-5D6E-409C-BE32-E72D297353CC}">
              <c16:uniqueId val="{00000000-1BFB-49E8-AAB3-416BFF9E807E}"/>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(SAPN!$I$29,SAPN!$L$29)</c:f>
              <c:strCache>
                <c:ptCount val="2"/>
                <c:pt idx="0">
                  <c:v>2020-21</c:v>
                </c:pt>
                <c:pt idx="1">
                  <c:v>2021-22</c:v>
                </c:pt>
              </c:strCache>
            </c:strRef>
          </c:cat>
          <c:val>
            <c:numRef>
              <c:f>(SAPN!$H$32,SAPN!$H$39)</c:f>
              <c:numCache>
                <c:formatCode>#,##0.00</c:formatCode>
                <c:ptCount val="2"/>
                <c:pt idx="0">
                  <c:v>1832</c:v>
                </c:pt>
                <c:pt idx="1">
                  <c:v>1716.13229</c:v>
                </c:pt>
              </c:numCache>
            </c:numRef>
          </c:val>
          <c:extLst>
            <c:ext xmlns:c16="http://schemas.microsoft.com/office/drawing/2014/chart" uri="{C3380CC4-5D6E-409C-BE32-E72D297353CC}">
              <c16:uniqueId val="{0000000C-2D66-4B5A-AD2E-DB0DB39A2338}"/>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225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SAPN!$E$3</c:f>
          <c:strCache>
            <c:ptCount val="1"/>
            <c:pt idx="0">
              <c:v>SAPN Small Business without CL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33304365382425E-2"/>
          <c:y val="0.14294554455445543"/>
          <c:w val="0.70526141381156782"/>
          <c:h val="0.76135203087237857"/>
        </c:manualLayout>
      </c:layout>
      <c:barChart>
        <c:barDir val="col"/>
        <c:grouping val="stacked"/>
        <c:varyColors val="0"/>
        <c:ser>
          <c:idx val="0"/>
          <c:order val="0"/>
          <c:tx>
            <c:strRef>
              <c:f>SAPN!$F$33</c:f>
              <c:strCache>
                <c:ptCount val="1"/>
                <c:pt idx="0">
                  <c:v>Network cost</c:v>
                </c:pt>
              </c:strCache>
            </c:strRef>
          </c:tx>
          <c:spPr>
            <a:solidFill>
              <a:schemeClr val="accent1"/>
            </a:solidFill>
            <a:ln>
              <a:noFill/>
            </a:ln>
            <a:effectLst/>
          </c:spPr>
          <c:invertIfNegative val="0"/>
          <c:dLbls>
            <c:dLbl>
              <c:idx val="0"/>
              <c:tx>
                <c:strRef>
                  <c:f>SAPN!$AB$33</c:f>
                  <c:strCache>
                    <c:ptCount val="1"/>
                    <c:pt idx="0">
                      <c:v>37.6%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{82F31098-9541-4D1F-8C16-C282839B8F6E}</c15:txfldGUID>
                      <c15:f>SAPN!$AB$33</c15:f>
                      <c15:dlblFieldTableCache>
                        <c:ptCount val="1"/>
                        <c:pt idx="0">
                          <c:v>37.6%</c:v>
                        </c:pt>
                      </c15:dlblFieldTableCache>
                    </c15:dlblFTEntry>
                  </c15:dlblFieldTable>
                  <c15:showDataLabelsRange val="0"/>
                </c:ext>
                <c:ext xmlns:c16="http://schemas.microsoft.com/office/drawing/2014/chart" uri="{C3380CC4-5D6E-409C-BE32-E72D297353CC}">
                  <c16:uniqueId val="{00000000-C306-40A2-90EE-B4C1C22D761E}"/>
                </c:ext>
              </c:extLst>
            </c:dLbl>
            <c:dLbl>
              <c:idx val="1"/>
              <c:tx>
                <c:strRef>
                  <c:f>SAPN!$AG$33</c:f>
                  <c:strCache>
                    <c:ptCount val="1"/>
                    <c:pt idx="0">
                      <c:v>44.2%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{6EAA21F3-E83D-4BC9-924F-55C7AB82737F}</c15:txfldGUID>
                      <c15:f>SAPN!$AG$33</c15:f>
                      <c15:dlblFieldTableCache>
                        <c:ptCount val="1"/>
                        <c:pt idx="0">
                          <c:v>44.2%</c:v>
                        </c:pt>
                      </c15:dlblFieldTableCache>
                    </c15:dlblFTEntry>
                  </c15:dlblFieldTable>
                  <c15:showDataLabelsRange val="0"/>
                </c:ext>
                <c:ext xmlns:c16="http://schemas.microsoft.com/office/drawing/2014/chart" uri="{C3380CC4-5D6E-409C-BE32-E72D297353CC}">
                  <c16:uniqueId val="{00000001-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(SAPN!$AA$33,SAPN!$AF$33)</c:f>
              <c:numCache>
                <c:formatCode>#,##0.00</c:formatCode>
                <c:ptCount val="2"/>
                <c:pt idx="0">
                  <c:v>3119.578</c:v>
                </c:pt>
                <c:pt idx="1">
                  <c:v>3548.7583999999997</c:v>
                </c:pt>
              </c:numCache>
            </c:numRef>
          </c:val>
          <c:extLst>
            <c:ext xmlns:c16="http://schemas.microsoft.com/office/drawing/2014/chart" uri="{C3380CC4-5D6E-409C-BE32-E72D297353CC}">
              <c16:uniqueId val="{00000002-C306-40A2-90EE-B4C1C22D761E}"/>
            </c:ext>
          </c:extLst>
        </c:ser>
        <c:ser>
          <c:idx val="1"/>
          <c:order val="1"/>
          <c:tx>
            <c:strRef>
              <c:f>SAPN!$F$34</c:f>
              <c:strCache>
                <c:ptCount val="1"/>
                <c:pt idx="0">
                  <c:v>Wholesale cost</c:v>
                </c:pt>
              </c:strCache>
            </c:strRef>
          </c:tx>
          <c:spPr>
            <a:solidFill>
              <a:schemeClr val="accent2"/>
            </a:solidFill>
            <a:ln>
              <a:noFill/>
            </a:ln>
            <a:effectLst/>
          </c:spPr>
          <c:invertIfNegative val="0"/>
          <c:dLbls>
            <c:dLbl>
              <c:idx val="0"/>
              <c:tx>
                <c:strRef>
                  <c:f>SAPN!$AB$34</c:f>
                  <c:strCache>
                    <c:ptCount val="1"/>
                    <c:pt idx="0">
                      <c:v>40.8%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{460CD869-05AD-4E68-ABDF-EF5C99D8880D}</c15:txfldGUID>
                      <c15:f>SAPN!$AB$34</c15:f>
                      <c15:dlblFieldTableCache>
                        <c:ptCount val="1"/>
                        <c:pt idx="0">
                          <c:v>40.8%</c:v>
                        </c:pt>
                      </c15:dlblFieldTableCache>
                    </c15:dlblFTEntry>
                  </c15:dlblFieldTable>
                  <c15:showDataLabelsRange val="0"/>
                </c:ext>
                <c:ext xmlns:c16="http://schemas.microsoft.com/office/drawing/2014/chart" uri="{C3380CC4-5D6E-409C-BE32-E72D297353CC}">
                  <c16:uniqueId val="{00000003-C306-40A2-90EE-B4C1C22D761E}"/>
                </c:ext>
              </c:extLst>
            </c:dLbl>
            <c:dLbl>
              <c:idx val="1"/>
              <c:tx>
                <c:strRef>
                  <c:f>SAPN!$AG$34</c:f>
                  <c:strCache>
                    <c:ptCount val="1"/>
                    <c:pt idx="0">
                      <c:v>32.7%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{0841E4B3-0A5D-49A8-AD11-7B942954CC27}</c15:txfldGUID>
                      <c15:f>SAPN!$AG$34</c15:f>
                      <c15:dlblFieldTableCache>
                        <c:ptCount val="1"/>
                        <c:pt idx="0">
                          <c:v>32.7%</c:v>
                        </c:pt>
                      </c15:dlblFieldTableCache>
                    </c15:dlblFTEntry>
                  </c15:dlblFieldTable>
                  <c15:showDataLabelsRange val="0"/>
                </c:ext>
                <c:ext xmlns:c16="http://schemas.microsoft.com/office/drawing/2014/chart" uri="{C3380CC4-5D6E-409C-BE32-E72D297353CC}">
                  <c16:uniqueId val="{00000004-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(SAPN!$AA$34,SAPN!$AF$34)</c:f>
              <c:numCache>
                <c:formatCode>#,##0.00</c:formatCode>
                <c:ptCount val="2"/>
                <c:pt idx="0">
                  <c:v>3390.6400000000003</c:v>
                </c:pt>
                <c:pt idx="1">
                  <c:v>2628.34</c:v>
                </c:pt>
              </c:numCache>
            </c:numRef>
          </c:val>
          <c:extLst>
            <c:ext xmlns:c16="http://schemas.microsoft.com/office/drawing/2014/chart" uri="{C3380CC4-5D6E-409C-BE32-E72D297353CC}">
              <c16:uniqueId val="{00000005-C306-40A2-90EE-B4C1C22D761E}"/>
            </c:ext>
          </c:extLst>
        </c:ser>
        <c:ser>
          <c:idx val="2"/>
          <c:order val="2"/>
          <c:tx>
            <c:strRef>
              <c:f>SAPN!$F$35</c:f>
              <c:strCache>
                <c:ptCount val="1"/>
                <c:pt idx="0">
                  <c:v>Environmental cost</c:v>
                </c:pt>
              </c:strCache>
            </c:strRef>
          </c:tx>
          <c:spPr>
            <a:solidFill>
              <a:schemeClr val="accent3"/>
            </a:solidFill>
            <a:ln>
              <a:noFill/>
            </a:ln>
            <a:effectLst/>
          </c:spPr>
          <c:invertIfNegative val="0"/>
          <c:dLbls>
            <c:dLbl>
              <c:idx val="0"/>
              <c:tx>
                <c:strRef>
                  <c:f>SAPN!$AB$35</c:f>
                  <c:strCache>
                    <c:ptCount val="1"/>
                    <c:pt idx="0">
                      <c:v>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{0A683E0C-9EF1-434B-91C8-3745937118A1}</c15:txfldGUID>
                      <c15:f>SAPN!$AB$35</c15:f>
                      <c15:dlblFieldTableCache>
                        <c:ptCount val="1"/>
                        <c:pt idx="0">
                          <c:v>4.9%</c:v>
                        </c:pt>
                      </c15:dlblFieldTableCache>
                    </c15:dlblFTEntry>
                  </c15:dlblFieldTable>
                  <c15:showDataLabelsRange val="0"/>
                </c:ext>
                <c:ext xmlns:c16="http://schemas.microsoft.com/office/drawing/2014/chart" uri="{C3380CC4-5D6E-409C-BE32-E72D297353CC}">
                  <c16:uniqueId val="{00000006-C306-40A2-90EE-B4C1C22D761E}"/>
                </c:ext>
              </c:extLst>
            </c:dLbl>
            <c:dLbl>
              <c:idx val="1"/>
              <c:tx>
                <c:strRef>
                  <c:f>SAPN!$AG$35</c:f>
                  <c:strCache>
                    <c:ptCount val="1"/>
                    <c:pt idx="0">
                      <c:v>5.6%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{71A306F8-8890-417A-91A7-056DC5353AC4}</c15:txfldGUID>
                      <c15:f>SAPN!$AG$35</c15:f>
                      <c15:dlblFieldTableCache>
                        <c:ptCount val="1"/>
                        <c:pt idx="0">
                          <c:v>5.6%</c:v>
                        </c:pt>
                      </c15:dlblFieldTableCache>
                    </c15:dlblFTEntry>
                  </c15:dlblFieldTable>
                  <c15:showDataLabelsRange val="0"/>
                </c:ext>
                <c:ext xmlns:c16="http://schemas.microsoft.com/office/drawing/2014/chart" uri="{C3380CC4-5D6E-409C-BE32-E72D297353CC}">
                  <c16:uniqueId val="{00000007-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(SAPN!$AA$35,SAPN!$AF$35)</c:f>
              <c:numCache>
                <c:formatCode>#,##0.00</c:formatCode>
                <c:ptCount val="2"/>
                <c:pt idx="0">
                  <c:v>408.53999999999996</c:v>
                </c:pt>
                <c:pt idx="1">
                  <c:v>448.58000000000004</c:v>
                </c:pt>
              </c:numCache>
            </c:numRef>
          </c:val>
          <c:extLst>
            <c:ext xmlns:c16="http://schemas.microsoft.com/office/drawing/2014/chart" uri="{C3380CC4-5D6E-409C-BE32-E72D297353CC}">
              <c16:uniqueId val="{00000008-C306-40A2-90EE-B4C1C22D761E}"/>
            </c:ext>
          </c:extLst>
        </c:ser>
        <c:ser>
          <c:idx val="3"/>
          <c:order val="3"/>
          <c:tx>
            <c:strRef>
              <c:f>SAPN!$F$36</c:f>
              <c:strCache>
                <c:ptCount val="1"/>
                <c:pt idx="0">
                  <c:v>Residual cost</c:v>
                </c:pt>
              </c:strCache>
            </c:strRef>
          </c:tx>
          <c:spPr>
            <a:solidFill>
              <a:schemeClr val="accent6">
                <a:lumMod val="40000"/>
                <a:lumOff val="60000"/>
              </a:schemeClr>
            </a:solidFill>
            <a:ln>
              <a:noFill/>
            </a:ln>
            <a:effectLst/>
          </c:spPr>
          <c:invertIfNegative val="0"/>
          <c:dLbls>
            <c:dLbl>
              <c:idx val="0"/>
              <c:tx>
                <c:strRef>
                  <c:f>SAPN!$AB$36</c:f>
                  <c:strCache>
                    <c:ptCount val="1"/>
                    <c:pt idx="0">
                      <c:v>16.7%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{90B300EF-40AB-4615-B9B7-98F317A32F9A}</c15:txfldGUID>
                      <c15:f>SAPN!$AB$36</c15:f>
                      <c15:dlblFieldTableCache>
                        <c:ptCount val="1"/>
                        <c:pt idx="0">
                          <c:v>16.7%</c:v>
                        </c:pt>
                      </c15:dlblFieldTableCache>
                    </c15:dlblFTEntry>
                  </c15:dlblFieldTable>
                  <c15:showDataLabelsRange val="0"/>
                </c:ext>
                <c:ext xmlns:c16="http://schemas.microsoft.com/office/drawing/2014/chart" uri="{C3380CC4-5D6E-409C-BE32-E72D297353CC}">
                  <c16:uniqueId val="{00000009-C306-40A2-90EE-B4C1C22D761E}"/>
                </c:ext>
              </c:extLst>
            </c:dLbl>
            <c:dLbl>
              <c:idx val="1"/>
              <c:tx>
                <c:strRef>
                  <c:f>SAPN!$AG$36</c:f>
                  <c:strCache>
                    <c:ptCount val="1"/>
                    <c:pt idx="0">
                      <c:v>17.5%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{06266C76-480D-4919-BA15-64DE4196CAB2}</c15:txfldGUID>
                      <c15:f>SAPN!$AG$36</c15:f>
                      <c15:dlblFieldTableCache>
                        <c:ptCount val="1"/>
                        <c:pt idx="0">
                          <c:v>17.5%</c:v>
                        </c:pt>
                      </c15:dlblFieldTableCache>
                    </c15:dlblFTEntry>
                  </c15:dlblFieldTable>
                  <c15:showDataLabelsRange val="0"/>
                </c:ext>
                <c:ext xmlns:c16="http://schemas.microsoft.com/office/drawing/2014/chart" uri="{C3380CC4-5D6E-409C-BE32-E72D297353CC}">
                  <c16:uniqueId val="{0000000A-C306-40A2-90EE-B4C1C22D76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(SAPN!$AA$36,SAPN!$AF$36)</c:f>
              <c:numCache>
                <c:formatCode>#,##0.00</c:formatCode>
                <c:ptCount val="2"/>
                <c:pt idx="0">
                  <c:v>1386.2419999999993</c:v>
                </c:pt>
                <c:pt idx="1">
                  <c:v>1407.0356299999994</c:v>
                </c:pt>
              </c:numCache>
            </c:numRef>
          </c:val>
          <c:extLst>
            <c:ext xmlns:c16="http://schemas.microsoft.com/office/drawing/2014/chart" uri="{C3380CC4-5D6E-409C-BE32-E72D297353CC}">
              <c16:uniqueId val="{0000000B-C306-40A2-90EE-B4C1C22D761E}"/>
            </c:ext>
          </c:extLst>
        </c:ser>
        <c:ser>
          <c:idx val="5"/>
          <c:order val="4"/>
          <c:tx>
            <c:strRef>
              <c:f>SAPN!$F$38</c:f>
              <c:strCache>
                <c:ptCount val="1"/>
                <c:pt idx="0">
                  <c:v>Step change</c:v>
                </c:pt>
              </c:strCache>
            </c:strRef>
          </c:tx>
          <c:spPr>
            <a:solidFill>
              <a:schemeClr val="accent6"/>
            </a:solidFill>
            <a:ln>
              <a:noFill/>
            </a:ln>
            <a:effectLst/>
          </c:spPr>
          <c:invertIfNegative val="0"/>
          <c:val>
            <c:numRef>
              <c:f>(SAPN!$AA$38,SAPN!$AF$38)</c:f>
              <c:numCache>
                <c:formatCode>#,##0.00</c:formatCode>
                <c:ptCount val="2"/>
                <c:pt idx="0">
                  <c:v>0</c:v>
                </c:pt>
                <c:pt idx="1">
                  <c:v>0</c:v>
                </c:pt>
              </c:numCache>
            </c:numRef>
          </c:val>
          <c:extLst>
            <c:ext xmlns:c16="http://schemas.microsoft.com/office/drawing/2014/chart" uri="{C3380CC4-5D6E-409C-BE32-E72D297353CC}">
              <c16:uniqueId val="{00000000-FABE-47D0-A946-C7C5E394CAFD}"/>
            </c:ext>
          </c:extLst>
        </c:ser>
        <c:ser>
          <c:idx val="4"/>
          <c:order val="5"/>
          <c:tx>
            <c:v>DMO</c:v>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F0"/>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(SAPN!$AA$29,SAPN!$AD$29)</c:f>
              <c:strCache>
                <c:ptCount val="2"/>
                <c:pt idx="0">
                  <c:v>2020-21</c:v>
                </c:pt>
                <c:pt idx="1">
                  <c:v>2021-22</c:v>
                </c:pt>
              </c:strCache>
            </c:strRef>
          </c:cat>
          <c:val>
            <c:numRef>
              <c:f>(SAPN!$Z$32,SAPN!$Z$39)</c:f>
              <c:numCache>
                <c:formatCode>#,##0.00</c:formatCode>
                <c:ptCount val="2"/>
                <c:pt idx="0">
                  <c:v>8305</c:v>
                </c:pt>
                <c:pt idx="1">
                  <c:v>8032.7140299999992</c:v>
                </c:pt>
              </c:numCache>
            </c:numRef>
          </c:val>
          <c:extLst>
            <c:ext xmlns:c16="http://schemas.microsoft.com/office/drawing/2014/chart" uri="{C3380CC4-5D6E-409C-BE32-E72D297353CC}">
              <c16:uniqueId val="{0000000C-C306-40A2-90EE-B4C1C22D761E}"/>
            </c:ext>
          </c:extLst>
        </c:ser>
        <c:dLbls>
          <c:showLegendKey val="0"/>
          <c:showVal val="0"/>
          <c:showCatName val="0"/>
          <c:showSerName val="0"/>
          <c:showPercent val="0"/>
          <c:showBubbleSize val="0"/>
        </c:dLbls>
        <c:gapWidth val="75"/>
        <c:overlap val="100"/>
        <c:axId val="228354912"/>
        <c:axId val="228354256"/>
      </c:barChart>
      <c:catAx>
        <c:axId val="2283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8354256"/>
        <c:crosses val="autoZero"/>
        <c:auto val="1"/>
        <c:lblAlgn val="ctr"/>
        <c:lblOffset val="100"/>
        <c:noMultiLvlLbl val="0"/>
      </c:catAx>
      <c:valAx>
        <c:axId val="228354256"/>
        <c:scaling>
          <c:orientation val="minMax"/>
          <c:max val="10000"/>
          <c:min val="0"/>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54912"/>
        <c:crosses val="autoZero"/>
        <c:crossBetween val="between"/>
      </c:val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Energex!A1"/><Relationship Id="rId13" Type="http://schemas.openxmlformats.org/officeDocument/2006/relationships/hyperlink" Target="#'Res w CL'!A1"/><Relationship Id="rId3" Type="http://schemas.openxmlformats.org/officeDocument/2006/relationships/hyperlink" Target="#'Wholesale cost'!A1"/><Relationship Id="rId7" Type="http://schemas.openxmlformats.org/officeDocument/2006/relationships/hyperlink" Target="#Essential!A1"/><Relationship Id="rId12" Type="http://schemas.openxmlformats.org/officeDocument/2006/relationships/hyperlink" Target="#'Res wo CL'!A1"/><Relationship Id="rId2" Type="http://schemas.openxmlformats.org/officeDocument/2006/relationships/hyperlink" Target="#'Network cost'!A1"/><Relationship Id="rId1" Type="http://schemas.openxmlformats.org/officeDocument/2006/relationships/hyperlink" Target="#'Detail inputs'!A1"/><Relationship Id="rId6" Type="http://schemas.openxmlformats.org/officeDocument/2006/relationships/hyperlink" Target="#Endeavour!A1"/><Relationship Id="rId11" Type="http://schemas.openxmlformats.org/officeDocument/2006/relationships/hyperlink" Target="#Summary!A1"/><Relationship Id="rId5" Type="http://schemas.openxmlformats.org/officeDocument/2006/relationships/hyperlink" Target="#Ausgrid!A1"/><Relationship Id="rId15" Type="http://schemas.openxmlformats.org/officeDocument/2006/relationships/hyperlink" Target="#'Key inputs'!A1"/><Relationship Id="rId10" Type="http://schemas.openxmlformats.org/officeDocument/2006/relationships/hyperlink" Target="#Usage!A1"/><Relationship Id="rId4" Type="http://schemas.openxmlformats.org/officeDocument/2006/relationships/hyperlink" Target="#'Environmental cost'!A1"/><Relationship Id="rId9" Type="http://schemas.openxmlformats.org/officeDocument/2006/relationships/hyperlink" Target="#SAPN!A1"/><Relationship Id="rId14" Type="http://schemas.openxmlformats.org/officeDocument/2006/relationships/hyperlink" Target="#'SB wo CL'!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230937</xdr:rowOff>
    </xdr:from>
    <xdr:to>
      <xdr:col>3</xdr:col>
      <xdr:colOff>179802</xdr:colOff>
      <xdr:row>13</xdr:row>
      <xdr:rowOff>172248</xdr:rowOff>
    </xdr:to>
    <xdr:sp macro="" textlink="">
      <xdr:nvSpPr>
        <xdr:cNvPr id="2" name="Rectangle 1">
          <a:hlinkClick xmlns:r="http://schemas.openxmlformats.org/officeDocument/2006/relationships" r:id="rId1"/>
        </xdr:cNvPr>
        <xdr:cNvSpPr/>
      </xdr:nvSpPr>
      <xdr:spPr>
        <a:xfrm>
          <a:off x="1196340" y="310367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Detail inputs</a:t>
          </a:r>
        </a:p>
      </xdr:txBody>
    </xdr:sp>
    <xdr:clientData/>
  </xdr:twoCellAnchor>
  <xdr:twoCellAnchor>
    <xdr:from>
      <xdr:col>3</xdr:col>
      <xdr:colOff>1199839</xdr:colOff>
      <xdr:row>9</xdr:row>
      <xdr:rowOff>164275</xdr:rowOff>
    </xdr:from>
    <xdr:to>
      <xdr:col>4</xdr:col>
      <xdr:colOff>922441</xdr:colOff>
      <xdr:row>11</xdr:row>
      <xdr:rowOff>105586</xdr:rowOff>
    </xdr:to>
    <xdr:sp macro="" textlink="">
      <xdr:nvSpPr>
        <xdr:cNvPr id="3" name="Rectangle 2">
          <a:hlinkClick xmlns:r="http://schemas.openxmlformats.org/officeDocument/2006/relationships" r:id="rId2"/>
        </xdr:cNvPr>
        <xdr:cNvSpPr/>
      </xdr:nvSpPr>
      <xdr:spPr>
        <a:xfrm>
          <a:off x="3363919" y="2404555"/>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Network cost</a:t>
          </a:r>
        </a:p>
      </xdr:txBody>
    </xdr:sp>
    <xdr:clientData/>
  </xdr:twoCellAnchor>
  <xdr:twoCellAnchor>
    <xdr:from>
      <xdr:col>3</xdr:col>
      <xdr:colOff>1199839</xdr:colOff>
      <xdr:row>11</xdr:row>
      <xdr:rowOff>203267</xdr:rowOff>
    </xdr:from>
    <xdr:to>
      <xdr:col>4</xdr:col>
      <xdr:colOff>922441</xdr:colOff>
      <xdr:row>13</xdr:row>
      <xdr:rowOff>144578</xdr:rowOff>
    </xdr:to>
    <xdr:sp macro="" textlink="">
      <xdr:nvSpPr>
        <xdr:cNvPr id="4" name="Rectangle 3">
          <a:hlinkClick xmlns:r="http://schemas.openxmlformats.org/officeDocument/2006/relationships" r:id="rId3"/>
        </xdr:cNvPr>
        <xdr:cNvSpPr/>
      </xdr:nvSpPr>
      <xdr:spPr>
        <a:xfrm>
          <a:off x="3363919" y="3076007"/>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200" b="1" kern="0">
              <a:solidFill>
                <a:schemeClr val="bg1"/>
              </a:solidFill>
              <a:latin typeface="Calibri" panose="020F0502020204030204"/>
            </a:rPr>
            <a:t>Wholesale cost</a:t>
          </a:r>
          <a:endParaRPr kumimoji="0" lang="en-AU" sz="1200" b="1" i="0" u="none" strike="noStrike" kern="0" cap="none" spc="0" normalizeH="0" baseline="0">
            <a:ln>
              <a:noFill/>
            </a:ln>
            <a:solidFill>
              <a:schemeClr val="bg1"/>
            </a:solidFill>
            <a:effectLst/>
            <a:uLnTx/>
            <a:uFillTx/>
            <a:latin typeface="Calibri" panose="020F0502020204030204"/>
          </a:endParaRPr>
        </a:p>
      </xdr:txBody>
    </xdr:sp>
    <xdr:clientData/>
  </xdr:twoCellAnchor>
  <xdr:twoCellAnchor>
    <xdr:from>
      <xdr:col>3</xdr:col>
      <xdr:colOff>1199839</xdr:colOff>
      <xdr:row>13</xdr:row>
      <xdr:rowOff>246346</xdr:rowOff>
    </xdr:from>
    <xdr:to>
      <xdr:col>4</xdr:col>
      <xdr:colOff>922441</xdr:colOff>
      <xdr:row>17</xdr:row>
      <xdr:rowOff>20017</xdr:rowOff>
    </xdr:to>
    <xdr:sp macro="" textlink="">
      <xdr:nvSpPr>
        <xdr:cNvPr id="5" name="Rectangle 4">
          <a:hlinkClick xmlns:r="http://schemas.openxmlformats.org/officeDocument/2006/relationships" r:id="rId4"/>
        </xdr:cNvPr>
        <xdr:cNvSpPr/>
      </xdr:nvSpPr>
      <xdr:spPr>
        <a:xfrm>
          <a:off x="3363919" y="3751546"/>
          <a:ext cx="1139922" cy="573771"/>
        </a:xfrm>
        <a:prstGeom prst="rect">
          <a:avLst/>
        </a:prstGeom>
        <a:solidFill>
          <a:srgbClr val="0070C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Environmental cost</a:t>
          </a:r>
        </a:p>
      </xdr:txBody>
    </xdr:sp>
    <xdr:clientData/>
  </xdr:twoCellAnchor>
  <xdr:twoCellAnchor>
    <xdr:from>
      <xdr:col>5</xdr:col>
      <xdr:colOff>581290</xdr:colOff>
      <xdr:row>7</xdr:row>
      <xdr:rowOff>99059</xdr:rowOff>
    </xdr:from>
    <xdr:to>
      <xdr:col>6</xdr:col>
      <xdr:colOff>303892</xdr:colOff>
      <xdr:row>9</xdr:row>
      <xdr:rowOff>55610</xdr:rowOff>
    </xdr:to>
    <xdr:sp macro="" textlink="">
      <xdr:nvSpPr>
        <xdr:cNvPr id="6" name="Rectangle 5">
          <a:hlinkClick xmlns:r="http://schemas.openxmlformats.org/officeDocument/2006/relationships" r:id="rId5"/>
        </xdr:cNvPr>
        <xdr:cNvSpPr/>
      </xdr:nvSpPr>
      <xdr:spPr>
        <a:xfrm>
          <a:off x="5580010" y="1706879"/>
          <a:ext cx="1139922" cy="58901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Ausgrid</a:t>
          </a:r>
        </a:p>
      </xdr:txBody>
    </xdr:sp>
    <xdr:clientData/>
  </xdr:twoCellAnchor>
  <xdr:twoCellAnchor>
    <xdr:from>
      <xdr:col>5</xdr:col>
      <xdr:colOff>581290</xdr:colOff>
      <xdr:row>9</xdr:row>
      <xdr:rowOff>157378</xdr:rowOff>
    </xdr:from>
    <xdr:to>
      <xdr:col>6</xdr:col>
      <xdr:colOff>303892</xdr:colOff>
      <xdr:row>11</xdr:row>
      <xdr:rowOff>98689</xdr:rowOff>
    </xdr:to>
    <xdr:sp macro="" textlink="">
      <xdr:nvSpPr>
        <xdr:cNvPr id="7" name="Rectangle 6">
          <a:hlinkClick xmlns:r="http://schemas.openxmlformats.org/officeDocument/2006/relationships" r:id="rId6"/>
        </xdr:cNvPr>
        <xdr:cNvSpPr/>
      </xdr:nvSpPr>
      <xdr:spPr>
        <a:xfrm>
          <a:off x="5580010" y="2397658"/>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Endeavour</a:t>
          </a:r>
        </a:p>
      </xdr:txBody>
    </xdr:sp>
    <xdr:clientData/>
  </xdr:twoCellAnchor>
  <xdr:twoCellAnchor>
    <xdr:from>
      <xdr:col>5</xdr:col>
      <xdr:colOff>581290</xdr:colOff>
      <xdr:row>11</xdr:row>
      <xdr:rowOff>200457</xdr:rowOff>
    </xdr:from>
    <xdr:to>
      <xdr:col>6</xdr:col>
      <xdr:colOff>303892</xdr:colOff>
      <xdr:row>13</xdr:row>
      <xdr:rowOff>141768</xdr:rowOff>
    </xdr:to>
    <xdr:sp macro="" textlink="">
      <xdr:nvSpPr>
        <xdr:cNvPr id="8" name="Rectangle 7">
          <a:hlinkClick xmlns:r="http://schemas.openxmlformats.org/officeDocument/2006/relationships" r:id="rId7"/>
        </xdr:cNvPr>
        <xdr:cNvSpPr/>
      </xdr:nvSpPr>
      <xdr:spPr>
        <a:xfrm>
          <a:off x="5580010" y="3073197"/>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Essential</a:t>
          </a:r>
        </a:p>
      </xdr:txBody>
    </xdr:sp>
    <xdr:clientData/>
  </xdr:twoCellAnchor>
  <xdr:twoCellAnchor>
    <xdr:from>
      <xdr:col>5</xdr:col>
      <xdr:colOff>581290</xdr:colOff>
      <xdr:row>13</xdr:row>
      <xdr:rowOff>242259</xdr:rowOff>
    </xdr:from>
    <xdr:to>
      <xdr:col>6</xdr:col>
      <xdr:colOff>303892</xdr:colOff>
      <xdr:row>17</xdr:row>
      <xdr:rowOff>15930</xdr:rowOff>
    </xdr:to>
    <xdr:sp macro="" textlink="">
      <xdr:nvSpPr>
        <xdr:cNvPr id="9" name="Rectangle 8">
          <a:hlinkClick xmlns:r="http://schemas.openxmlformats.org/officeDocument/2006/relationships" r:id="rId8"/>
        </xdr:cNvPr>
        <xdr:cNvSpPr/>
      </xdr:nvSpPr>
      <xdr:spPr>
        <a:xfrm>
          <a:off x="5580010" y="3747459"/>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Energex</a:t>
          </a:r>
        </a:p>
      </xdr:txBody>
    </xdr:sp>
    <xdr:clientData/>
  </xdr:twoCellAnchor>
  <xdr:twoCellAnchor>
    <xdr:from>
      <xdr:col>5</xdr:col>
      <xdr:colOff>581290</xdr:colOff>
      <xdr:row>17</xdr:row>
      <xdr:rowOff>113611</xdr:rowOff>
    </xdr:from>
    <xdr:to>
      <xdr:col>6</xdr:col>
      <xdr:colOff>303892</xdr:colOff>
      <xdr:row>20</xdr:row>
      <xdr:rowOff>138742</xdr:rowOff>
    </xdr:to>
    <xdr:sp macro="" textlink="">
      <xdr:nvSpPr>
        <xdr:cNvPr id="10" name="Rectangle 9">
          <a:hlinkClick xmlns:r="http://schemas.openxmlformats.org/officeDocument/2006/relationships" r:id="rId9"/>
        </xdr:cNvPr>
        <xdr:cNvSpPr/>
      </xdr:nvSpPr>
      <xdr:spPr>
        <a:xfrm>
          <a:off x="5580010" y="4418911"/>
          <a:ext cx="1139922" cy="573771"/>
        </a:xfrm>
        <a:prstGeom prst="rect">
          <a:avLst/>
        </a:prstGeom>
        <a:solidFill>
          <a:srgbClr val="00B050"/>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chemeClr val="bg1"/>
              </a:solidFill>
              <a:effectLst/>
              <a:uLnTx/>
              <a:uFillTx/>
              <a:latin typeface="Calibri" panose="020F0502020204030204"/>
              <a:ea typeface="+mn-ea"/>
              <a:cs typeface="+mn-cs"/>
            </a:rPr>
            <a:t>SAPN</a:t>
          </a:r>
        </a:p>
      </xdr:txBody>
    </xdr:sp>
    <xdr:clientData/>
  </xdr:twoCellAnchor>
  <xdr:twoCellAnchor>
    <xdr:from>
      <xdr:col>3</xdr:col>
      <xdr:colOff>179802</xdr:colOff>
      <xdr:row>10</xdr:row>
      <xdr:rowOff>199701</xdr:rowOff>
    </xdr:from>
    <xdr:to>
      <xdr:col>3</xdr:col>
      <xdr:colOff>1199839</xdr:colOff>
      <xdr:row>12</xdr:row>
      <xdr:rowOff>266363</xdr:rowOff>
    </xdr:to>
    <xdr:cxnSp macro="">
      <xdr:nvCxnSpPr>
        <xdr:cNvPr id="11" name="Elbow Connector 10"/>
        <xdr:cNvCxnSpPr>
          <a:stCxn id="2" idx="3"/>
          <a:endCxn id="3" idx="1"/>
        </xdr:cNvCxnSpPr>
      </xdr:nvCxnSpPr>
      <xdr:spPr>
        <a:xfrm flipV="1">
          <a:off x="2343882" y="2691441"/>
          <a:ext cx="1020037" cy="69912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266363</xdr:rowOff>
    </xdr:from>
    <xdr:to>
      <xdr:col>3</xdr:col>
      <xdr:colOff>1199839</xdr:colOff>
      <xdr:row>15</xdr:row>
      <xdr:rowOff>98892</xdr:rowOff>
    </xdr:to>
    <xdr:cxnSp macro="">
      <xdr:nvCxnSpPr>
        <xdr:cNvPr id="12" name="Elbow Connector 11"/>
        <xdr:cNvCxnSpPr>
          <a:stCxn id="2" idx="3"/>
          <a:endCxn id="5" idx="1"/>
        </xdr:cNvCxnSpPr>
      </xdr:nvCxnSpPr>
      <xdr:spPr>
        <a:xfrm>
          <a:off x="2343882" y="3390563"/>
          <a:ext cx="1020037" cy="64786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179802</xdr:colOff>
      <xdr:row>12</xdr:row>
      <xdr:rowOff>238693</xdr:rowOff>
    </xdr:from>
    <xdr:to>
      <xdr:col>3</xdr:col>
      <xdr:colOff>1199839</xdr:colOff>
      <xdr:row>12</xdr:row>
      <xdr:rowOff>266363</xdr:rowOff>
    </xdr:to>
    <xdr:cxnSp macro="">
      <xdr:nvCxnSpPr>
        <xdr:cNvPr id="13" name="Elbow Connector 12"/>
        <xdr:cNvCxnSpPr>
          <a:stCxn id="2" idx="3"/>
          <a:endCxn id="4" idx="1"/>
        </xdr:cNvCxnSpPr>
      </xdr:nvCxnSpPr>
      <xdr:spPr>
        <a:xfrm flipV="1">
          <a:off x="2343882" y="3362893"/>
          <a:ext cx="1020037" cy="27670"/>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19</xdr:row>
      <xdr:rowOff>34737</xdr:rowOff>
    </xdr:to>
    <xdr:cxnSp macro="">
      <xdr:nvCxnSpPr>
        <xdr:cNvPr id="14" name="Elbow Connector 13"/>
        <xdr:cNvCxnSpPr>
          <a:stCxn id="4" idx="3"/>
        </xdr:cNvCxnSpPr>
      </xdr:nvCxnSpPr>
      <xdr:spPr>
        <a:xfrm>
          <a:off x="4503841" y="3362893"/>
          <a:ext cx="1076169" cy="134290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238693</xdr:rowOff>
    </xdr:from>
    <xdr:to>
      <xdr:col>5</xdr:col>
      <xdr:colOff>581290</xdr:colOff>
      <xdr:row>15</xdr:row>
      <xdr:rowOff>94805</xdr:rowOff>
    </xdr:to>
    <xdr:cxnSp macro="">
      <xdr:nvCxnSpPr>
        <xdr:cNvPr id="15" name="Elbow Connector 14"/>
        <xdr:cNvCxnSpPr>
          <a:stCxn id="4" idx="3"/>
        </xdr:cNvCxnSpPr>
      </xdr:nvCxnSpPr>
      <xdr:spPr>
        <a:xfrm>
          <a:off x="4503841" y="3362893"/>
          <a:ext cx="1076169" cy="67145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8</xdr:row>
      <xdr:rowOff>142105</xdr:rowOff>
    </xdr:from>
    <xdr:to>
      <xdr:col>5</xdr:col>
      <xdr:colOff>581290</xdr:colOff>
      <xdr:row>12</xdr:row>
      <xdr:rowOff>238693</xdr:rowOff>
    </xdr:to>
    <xdr:cxnSp macro="">
      <xdr:nvCxnSpPr>
        <xdr:cNvPr id="16" name="Elbow Connector 15"/>
        <xdr:cNvCxnSpPr>
          <a:stCxn id="4" idx="3"/>
          <a:endCxn id="6" idx="1"/>
        </xdr:cNvCxnSpPr>
      </xdr:nvCxnSpPr>
      <xdr:spPr>
        <a:xfrm flipV="1">
          <a:off x="4503841" y="2001385"/>
          <a:ext cx="1076169" cy="1361508"/>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192804</xdr:rowOff>
    </xdr:from>
    <xdr:to>
      <xdr:col>5</xdr:col>
      <xdr:colOff>581290</xdr:colOff>
      <xdr:row>12</xdr:row>
      <xdr:rowOff>238693</xdr:rowOff>
    </xdr:to>
    <xdr:cxnSp macro="">
      <xdr:nvCxnSpPr>
        <xdr:cNvPr id="17" name="Elbow Connector 16"/>
        <xdr:cNvCxnSpPr>
          <a:stCxn id="4" idx="3"/>
          <a:endCxn id="7" idx="1"/>
        </xdr:cNvCxnSpPr>
      </xdr:nvCxnSpPr>
      <xdr:spPr>
        <a:xfrm flipV="1">
          <a:off x="4503841" y="2684544"/>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12</xdr:row>
      <xdr:rowOff>235883</xdr:rowOff>
    </xdr:from>
    <xdr:to>
      <xdr:col>5</xdr:col>
      <xdr:colOff>581290</xdr:colOff>
      <xdr:row>15</xdr:row>
      <xdr:rowOff>98892</xdr:rowOff>
    </xdr:to>
    <xdr:cxnSp macro="">
      <xdr:nvCxnSpPr>
        <xdr:cNvPr id="18" name="Elbow Connector 17"/>
        <xdr:cNvCxnSpPr>
          <a:stCxn id="5" idx="3"/>
        </xdr:cNvCxnSpPr>
      </xdr:nvCxnSpPr>
      <xdr:spPr>
        <a:xfrm flipV="1">
          <a:off x="4503841" y="3360083"/>
          <a:ext cx="1076169" cy="67834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922441</xdr:colOff>
      <xdr:row>10</xdr:row>
      <xdr:rowOff>199701</xdr:rowOff>
    </xdr:from>
    <xdr:to>
      <xdr:col>5</xdr:col>
      <xdr:colOff>581290</xdr:colOff>
      <xdr:row>12</xdr:row>
      <xdr:rowOff>235883</xdr:rowOff>
    </xdr:to>
    <xdr:cxnSp macro="">
      <xdr:nvCxnSpPr>
        <xdr:cNvPr id="19" name="Elbow Connector 18"/>
        <xdr:cNvCxnSpPr>
          <a:stCxn id="3" idx="3"/>
        </xdr:cNvCxnSpPr>
      </xdr:nvCxnSpPr>
      <xdr:spPr>
        <a:xfrm>
          <a:off x="4503841" y="2691441"/>
          <a:ext cx="1076169" cy="668642"/>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12</xdr:row>
      <xdr:rowOff>234438</xdr:rowOff>
    </xdr:from>
    <xdr:to>
      <xdr:col>7</xdr:col>
      <xdr:colOff>579121</xdr:colOff>
      <xdr:row>19</xdr:row>
      <xdr:rowOff>34737</xdr:rowOff>
    </xdr:to>
    <xdr:cxnSp macro="">
      <xdr:nvCxnSpPr>
        <xdr:cNvPr id="20" name="Elbow Connector 19"/>
        <xdr:cNvCxnSpPr>
          <a:stCxn id="10" idx="3"/>
          <a:endCxn id="36" idx="1"/>
        </xdr:cNvCxnSpPr>
      </xdr:nvCxnSpPr>
      <xdr:spPr>
        <a:xfrm flipV="1">
          <a:off x="6719932" y="3358638"/>
          <a:ext cx="1098189" cy="1347159"/>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8</xdr:row>
      <xdr:rowOff>142105</xdr:rowOff>
    </xdr:from>
    <xdr:to>
      <xdr:col>7</xdr:col>
      <xdr:colOff>579121</xdr:colOff>
      <xdr:row>15</xdr:row>
      <xdr:rowOff>93480</xdr:rowOff>
    </xdr:to>
    <xdr:cxnSp macro="">
      <xdr:nvCxnSpPr>
        <xdr:cNvPr id="21" name="Elbow Connector 20"/>
        <xdr:cNvCxnSpPr>
          <a:stCxn id="6" idx="3"/>
          <a:endCxn id="37" idx="1"/>
        </xdr:cNvCxnSpPr>
      </xdr:nvCxnSpPr>
      <xdr:spPr>
        <a:xfrm>
          <a:off x="6719932" y="2001385"/>
          <a:ext cx="1098189" cy="2031635"/>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80743</xdr:colOff>
      <xdr:row>12</xdr:row>
      <xdr:rowOff>233546</xdr:rowOff>
    </xdr:from>
    <xdr:to>
      <xdr:col>9</xdr:col>
      <xdr:colOff>419100</xdr:colOff>
      <xdr:row>12</xdr:row>
      <xdr:rowOff>234438</xdr:rowOff>
    </xdr:to>
    <xdr:cxnSp macro="">
      <xdr:nvCxnSpPr>
        <xdr:cNvPr id="22" name="Elbow Connector 21"/>
        <xdr:cNvCxnSpPr>
          <a:stCxn id="36" idx="3"/>
          <a:endCxn id="34" idx="1"/>
        </xdr:cNvCxnSpPr>
      </xdr:nvCxnSpPr>
      <xdr:spPr>
        <a:xfrm flipV="1">
          <a:off x="8965663" y="3357746"/>
          <a:ext cx="338357" cy="89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303892</xdr:colOff>
      <xdr:row>10</xdr:row>
      <xdr:rowOff>192804</xdr:rowOff>
    </xdr:from>
    <xdr:to>
      <xdr:col>7</xdr:col>
      <xdr:colOff>579121</xdr:colOff>
      <xdr:row>12</xdr:row>
      <xdr:rowOff>234438</xdr:rowOff>
    </xdr:to>
    <xdr:cxnSp macro="">
      <xdr:nvCxnSpPr>
        <xdr:cNvPr id="23" name="Elbow Connector 22"/>
        <xdr:cNvCxnSpPr>
          <a:stCxn id="7" idx="3"/>
          <a:endCxn id="36" idx="1"/>
        </xdr:cNvCxnSpPr>
      </xdr:nvCxnSpPr>
      <xdr:spPr>
        <a:xfrm>
          <a:off x="6719932" y="2684544"/>
          <a:ext cx="1098189" cy="674094"/>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3499</xdr:colOff>
      <xdr:row>14</xdr:row>
      <xdr:rowOff>21818</xdr:rowOff>
    </xdr:from>
    <xdr:to>
      <xdr:col>3</xdr:col>
      <xdr:colOff>175681</xdr:colOff>
      <xdr:row>17</xdr:row>
      <xdr:rowOff>46949</xdr:rowOff>
    </xdr:to>
    <xdr:sp macro="" textlink="">
      <xdr:nvSpPr>
        <xdr:cNvPr id="24" name="Rectangle 23">
          <a:hlinkClick xmlns:r="http://schemas.openxmlformats.org/officeDocument/2006/relationships" r:id="rId10"/>
        </xdr:cNvPr>
        <xdr:cNvSpPr/>
      </xdr:nvSpPr>
      <xdr:spPr>
        <a:xfrm>
          <a:off x="1199839" y="3778478"/>
          <a:ext cx="113992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Usage</a:t>
          </a:r>
        </a:p>
      </xdr:txBody>
    </xdr:sp>
    <xdr:clientData/>
  </xdr:twoCellAnchor>
  <xdr:twoCellAnchor>
    <xdr:from>
      <xdr:col>3</xdr:col>
      <xdr:colOff>175681</xdr:colOff>
      <xdr:row>15</xdr:row>
      <xdr:rowOff>98892</xdr:rowOff>
    </xdr:from>
    <xdr:to>
      <xdr:col>3</xdr:col>
      <xdr:colOff>1199839</xdr:colOff>
      <xdr:row>15</xdr:row>
      <xdr:rowOff>125824</xdr:rowOff>
    </xdr:to>
    <xdr:cxnSp macro="">
      <xdr:nvCxnSpPr>
        <xdr:cNvPr id="25" name="Elbow Connector 24"/>
        <xdr:cNvCxnSpPr>
          <a:stCxn id="24" idx="3"/>
          <a:endCxn id="5" idx="1"/>
        </xdr:cNvCxnSpPr>
      </xdr:nvCxnSpPr>
      <xdr:spPr>
        <a:xfrm flipV="1">
          <a:off x="2339761" y="4038432"/>
          <a:ext cx="1024158" cy="26932"/>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656792</xdr:colOff>
      <xdr:row>10</xdr:row>
      <xdr:rowOff>20083</xdr:rowOff>
    </xdr:from>
    <xdr:to>
      <xdr:col>3</xdr:col>
      <xdr:colOff>656792</xdr:colOff>
      <xdr:row>10</xdr:row>
      <xdr:rowOff>20083</xdr:rowOff>
    </xdr:to>
    <xdr:sp macro="" textlink="">
      <xdr:nvSpPr>
        <xdr:cNvPr id="26" name="Oval 25"/>
        <xdr:cNvSpPr/>
      </xdr:nvSpPr>
      <xdr:spPr>
        <a:xfrm>
          <a:off x="2820872" y="2511823"/>
          <a:ext cx="0" cy="0"/>
        </a:xfrm>
        <a:prstGeom prst="ellipse">
          <a:avLst/>
        </a:prstGeom>
        <a:solidFill>
          <a:schemeClr val="accent5">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sz="1600">
            <a:solidFill>
              <a:schemeClr val="bg1">
                <a:lumMod val="50000"/>
              </a:schemeClr>
            </a:solidFill>
          </a:endParaRPr>
        </a:p>
      </xdr:txBody>
    </xdr:sp>
    <xdr:clientData/>
  </xdr:twoCellAnchor>
  <xdr:twoCellAnchor>
    <xdr:from>
      <xdr:col>6</xdr:col>
      <xdr:colOff>303892</xdr:colOff>
      <xdr:row>10</xdr:row>
      <xdr:rowOff>195446</xdr:rowOff>
    </xdr:from>
    <xdr:to>
      <xdr:col>7</xdr:col>
      <xdr:colOff>579121</xdr:colOff>
      <xdr:row>12</xdr:row>
      <xdr:rowOff>235883</xdr:rowOff>
    </xdr:to>
    <xdr:cxnSp macro="">
      <xdr:nvCxnSpPr>
        <xdr:cNvPr id="27" name="Elbow Connector 26"/>
        <xdr:cNvCxnSpPr>
          <a:stCxn id="8" idx="3"/>
          <a:endCxn id="35" idx="1"/>
        </xdr:cNvCxnSpPr>
      </xdr:nvCxnSpPr>
      <xdr:spPr>
        <a:xfrm flipV="1">
          <a:off x="6719932" y="2687186"/>
          <a:ext cx="1098189" cy="67289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68580</xdr:rowOff>
    </xdr:from>
    <xdr:to>
      <xdr:col>3</xdr:col>
      <xdr:colOff>731520</xdr:colOff>
      <xdr:row>13</xdr:row>
      <xdr:rowOff>22860</xdr:rowOff>
    </xdr:to>
    <xdr:sp macro="" textlink="">
      <xdr:nvSpPr>
        <xdr:cNvPr id="28" name="Rectangle 27"/>
        <xdr:cNvSpPr/>
      </xdr:nvSpPr>
      <xdr:spPr>
        <a:xfrm>
          <a:off x="2316480" y="319278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twoCellAnchor>
    <xdr:from>
      <xdr:col>4</xdr:col>
      <xdr:colOff>868680</xdr:colOff>
      <xdr:row>10</xdr:row>
      <xdr:rowOff>350520</xdr:rowOff>
    </xdr:from>
    <xdr:to>
      <xdr:col>5</xdr:col>
      <xdr:colOff>616781</xdr:colOff>
      <xdr:row>12</xdr:row>
      <xdr:rowOff>150108</xdr:rowOff>
    </xdr:to>
    <xdr:sp macro="" textlink="">
      <xdr:nvSpPr>
        <xdr:cNvPr id="29" name="Rectangle 28"/>
        <xdr:cNvSpPr/>
      </xdr:nvSpPr>
      <xdr:spPr>
        <a:xfrm>
          <a:off x="4450080" y="2842260"/>
          <a:ext cx="1165421"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components and % change for each zone</a:t>
          </a:r>
        </a:p>
      </xdr:txBody>
    </xdr:sp>
    <xdr:clientData/>
  </xdr:twoCellAnchor>
  <xdr:twoCellAnchor>
    <xdr:from>
      <xdr:col>6</xdr:col>
      <xdr:colOff>289560</xdr:colOff>
      <xdr:row>11</xdr:row>
      <xdr:rowOff>30480</xdr:rowOff>
    </xdr:from>
    <xdr:to>
      <xdr:col>7</xdr:col>
      <xdr:colOff>529656</xdr:colOff>
      <xdr:row>12</xdr:row>
      <xdr:rowOff>211068</xdr:rowOff>
    </xdr:to>
    <xdr:sp macro="" textlink="">
      <xdr:nvSpPr>
        <xdr:cNvPr id="30" name="Rectangle 29"/>
        <xdr:cNvSpPr/>
      </xdr:nvSpPr>
      <xdr:spPr>
        <a:xfrm>
          <a:off x="6705600" y="2903220"/>
          <a:ext cx="106305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stacks and changes in underlying costs</a:t>
          </a:r>
        </a:p>
      </xdr:txBody>
    </xdr:sp>
    <xdr:clientData/>
  </xdr:twoCellAnchor>
  <xdr:twoCellAnchor>
    <xdr:from>
      <xdr:col>3</xdr:col>
      <xdr:colOff>150714</xdr:colOff>
      <xdr:row>14</xdr:row>
      <xdr:rowOff>76200</xdr:rowOff>
    </xdr:from>
    <xdr:to>
      <xdr:col>3</xdr:col>
      <xdr:colOff>746760</xdr:colOff>
      <xdr:row>16</xdr:row>
      <xdr:rowOff>142488</xdr:rowOff>
    </xdr:to>
    <xdr:sp macro="" textlink="">
      <xdr:nvSpPr>
        <xdr:cNvPr id="31" name="Rectangle 30"/>
        <xdr:cNvSpPr/>
      </xdr:nvSpPr>
      <xdr:spPr>
        <a:xfrm>
          <a:off x="2314794" y="3832860"/>
          <a:ext cx="596046" cy="432048"/>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Usage inputs</a:t>
          </a:r>
        </a:p>
      </xdr:txBody>
    </xdr:sp>
    <xdr:clientData/>
  </xdr:twoCellAnchor>
  <xdr:twoCellAnchor>
    <xdr:from>
      <xdr:col>3</xdr:col>
      <xdr:colOff>1128502</xdr:colOff>
      <xdr:row>5</xdr:row>
      <xdr:rowOff>67560</xdr:rowOff>
    </xdr:from>
    <xdr:to>
      <xdr:col>4</xdr:col>
      <xdr:colOff>853439</xdr:colOff>
      <xdr:row>6</xdr:row>
      <xdr:rowOff>152400</xdr:rowOff>
    </xdr:to>
    <xdr:sp macro="" textlink="">
      <xdr:nvSpPr>
        <xdr:cNvPr id="32" name="Rectangle 31"/>
        <xdr:cNvSpPr/>
      </xdr:nvSpPr>
      <xdr:spPr>
        <a:xfrm>
          <a:off x="32925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calculations for DMO prices</a:t>
          </a:r>
        </a:p>
      </xdr:txBody>
    </xdr:sp>
    <xdr:clientData/>
  </xdr:twoCellAnchor>
  <xdr:twoCellAnchor>
    <xdr:from>
      <xdr:col>5</xdr:col>
      <xdr:colOff>350520</xdr:colOff>
      <xdr:row>5</xdr:row>
      <xdr:rowOff>44700</xdr:rowOff>
    </xdr:from>
    <xdr:to>
      <xdr:col>6</xdr:col>
      <xdr:colOff>487680</xdr:colOff>
      <xdr:row>6</xdr:row>
      <xdr:rowOff>129540</xdr:rowOff>
    </xdr:to>
    <xdr:sp macro="" textlink="">
      <xdr:nvSpPr>
        <xdr:cNvPr id="33" name="Rectangle 32"/>
        <xdr:cNvSpPr/>
      </xdr:nvSpPr>
      <xdr:spPr>
        <a:xfrm>
          <a:off x="5349240" y="1020060"/>
          <a:ext cx="1554480"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rgbClr val="8064A2">
                  <a:lumMod val="75000"/>
                </a:srgbClr>
              </a:solidFill>
              <a:effectLst/>
              <a:uLnTx/>
              <a:uFillTx/>
              <a:latin typeface="+mn-lt"/>
              <a:ea typeface="+mn-ea"/>
              <a:cs typeface="+mn-cs"/>
            </a:rPr>
            <a:t>Index assessment to determine DMO prices</a:t>
          </a:r>
        </a:p>
      </xdr:txBody>
    </xdr:sp>
    <xdr:clientData/>
  </xdr:twoCellAnchor>
  <xdr:twoCellAnchor>
    <xdr:from>
      <xdr:col>9</xdr:col>
      <xdr:colOff>419100</xdr:colOff>
      <xdr:row>11</xdr:row>
      <xdr:rowOff>198120</xdr:rowOff>
    </xdr:from>
    <xdr:to>
      <xdr:col>11</xdr:col>
      <xdr:colOff>347442</xdr:colOff>
      <xdr:row>13</xdr:row>
      <xdr:rowOff>139431</xdr:rowOff>
    </xdr:to>
    <xdr:sp macro="" textlink="">
      <xdr:nvSpPr>
        <xdr:cNvPr id="34" name="Rectangle 33">
          <a:hlinkClick xmlns:r="http://schemas.openxmlformats.org/officeDocument/2006/relationships" r:id="rId11"/>
        </xdr:cNvPr>
        <xdr:cNvSpPr/>
      </xdr:nvSpPr>
      <xdr:spPr>
        <a:xfrm>
          <a:off x="9304020" y="3070860"/>
          <a:ext cx="1147542" cy="573771"/>
        </a:xfrm>
        <a:prstGeom prst="rect">
          <a:avLst/>
        </a:prstGeom>
        <a:solidFill>
          <a:srgbClr val="C14E00">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Overall summary</a:t>
          </a:r>
        </a:p>
      </xdr:txBody>
    </xdr:sp>
    <xdr:clientData/>
  </xdr:twoCellAnchor>
  <xdr:twoCellAnchor>
    <xdr:from>
      <xdr:col>7</xdr:col>
      <xdr:colOff>579121</xdr:colOff>
      <xdr:row>9</xdr:row>
      <xdr:rowOff>160020</xdr:rowOff>
    </xdr:from>
    <xdr:to>
      <xdr:col>9</xdr:col>
      <xdr:colOff>80743</xdr:colOff>
      <xdr:row>11</xdr:row>
      <xdr:rowOff>101331</xdr:rowOff>
    </xdr:to>
    <xdr:sp macro="" textlink="">
      <xdr:nvSpPr>
        <xdr:cNvPr id="35" name="Rectangle 34">
          <a:hlinkClick xmlns:r="http://schemas.openxmlformats.org/officeDocument/2006/relationships" r:id="rId12"/>
        </xdr:cNvPr>
        <xdr:cNvSpPr/>
      </xdr:nvSpPr>
      <xdr:spPr>
        <a:xfrm>
          <a:off x="7818121" y="2400300"/>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Residential </a:t>
          </a:r>
          <a:r>
            <a:rPr kumimoji="0" lang="en-AU" sz="1200" b="1" i="0" u="none" strike="noStrike" kern="0" cap="none" spc="0" normalizeH="0">
              <a:ln>
                <a:noFill/>
              </a:ln>
              <a:solidFill>
                <a:sysClr val="window" lastClr="FFFFFF"/>
              </a:solidFill>
              <a:effectLst/>
              <a:uLnTx/>
              <a:uFillTx/>
              <a:latin typeface="Calibri" panose="020F0502020204030204"/>
            </a:rPr>
            <a:t> without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7</xdr:col>
      <xdr:colOff>579121</xdr:colOff>
      <xdr:row>11</xdr:row>
      <xdr:rowOff>199012</xdr:rowOff>
    </xdr:from>
    <xdr:to>
      <xdr:col>9</xdr:col>
      <xdr:colOff>80743</xdr:colOff>
      <xdr:row>13</xdr:row>
      <xdr:rowOff>140323</xdr:rowOff>
    </xdr:to>
    <xdr:sp macro="" textlink="">
      <xdr:nvSpPr>
        <xdr:cNvPr id="36" name="Rectangle 35">
          <a:hlinkClick xmlns:r="http://schemas.openxmlformats.org/officeDocument/2006/relationships" r:id="rId13"/>
        </xdr:cNvPr>
        <xdr:cNvSpPr/>
      </xdr:nvSpPr>
      <xdr:spPr>
        <a:xfrm>
          <a:off x="7818121" y="3071752"/>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lvl="0" algn="ctr">
            <a:defRPr/>
          </a:pPr>
          <a:r>
            <a:rPr lang="en-AU" sz="1200" b="1" kern="0">
              <a:solidFill>
                <a:sysClr val="window" lastClr="FFFFFF"/>
              </a:solidFill>
              <a:latin typeface="Calibri" panose="020F0502020204030204"/>
            </a:rPr>
            <a:t>Residential with CL</a:t>
          </a:r>
        </a:p>
      </xdr:txBody>
    </xdr:sp>
    <xdr:clientData/>
  </xdr:twoCellAnchor>
  <xdr:twoCellAnchor>
    <xdr:from>
      <xdr:col>7</xdr:col>
      <xdr:colOff>579121</xdr:colOff>
      <xdr:row>13</xdr:row>
      <xdr:rowOff>240934</xdr:rowOff>
    </xdr:from>
    <xdr:to>
      <xdr:col>9</xdr:col>
      <xdr:colOff>80743</xdr:colOff>
      <xdr:row>17</xdr:row>
      <xdr:rowOff>14605</xdr:rowOff>
    </xdr:to>
    <xdr:sp macro="" textlink="">
      <xdr:nvSpPr>
        <xdr:cNvPr id="37" name="Rectangle 36">
          <a:hlinkClick xmlns:r="http://schemas.openxmlformats.org/officeDocument/2006/relationships" r:id="rId14"/>
        </xdr:cNvPr>
        <xdr:cNvSpPr/>
      </xdr:nvSpPr>
      <xdr:spPr>
        <a:xfrm>
          <a:off x="7818121" y="3746134"/>
          <a:ext cx="1147542" cy="573771"/>
        </a:xfrm>
        <a:prstGeom prst="rect">
          <a:avLst/>
        </a:prstGeom>
        <a:solidFill>
          <a:srgbClr val="70303C">
            <a:lumMod val="60000"/>
            <a:lumOff val="40000"/>
          </a:srgb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76A92"/>
              </a:solidFill>
              <a:latin typeface="Arial"/>
            </a:defRPr>
          </a:lvl1pPr>
          <a:lvl2pPr marL="457200" algn="l" defTabSz="914400" rtl="0" eaLnBrk="1" latinLnBrk="0" hangingPunct="1">
            <a:defRPr sz="1800" kern="1200">
              <a:solidFill>
                <a:srgbClr val="076A92"/>
              </a:solidFill>
              <a:latin typeface="Arial"/>
            </a:defRPr>
          </a:lvl2pPr>
          <a:lvl3pPr marL="914400" algn="l" defTabSz="914400" rtl="0" eaLnBrk="1" latinLnBrk="0" hangingPunct="1">
            <a:defRPr sz="1800" kern="1200">
              <a:solidFill>
                <a:srgbClr val="076A92"/>
              </a:solidFill>
              <a:latin typeface="Arial"/>
            </a:defRPr>
          </a:lvl3pPr>
          <a:lvl4pPr marL="1371600" algn="l" defTabSz="914400" rtl="0" eaLnBrk="1" latinLnBrk="0" hangingPunct="1">
            <a:defRPr sz="1800" kern="1200">
              <a:solidFill>
                <a:srgbClr val="076A92"/>
              </a:solidFill>
              <a:latin typeface="Arial"/>
            </a:defRPr>
          </a:lvl4pPr>
          <a:lvl5pPr marL="1828800" algn="l" defTabSz="914400" rtl="0" eaLnBrk="1" latinLnBrk="0" hangingPunct="1">
            <a:defRPr sz="1800" kern="1200">
              <a:solidFill>
                <a:srgbClr val="076A92"/>
              </a:solidFill>
              <a:latin typeface="Arial"/>
            </a:defRPr>
          </a:lvl5pPr>
          <a:lvl6pPr marL="2286000" algn="l" defTabSz="914400" rtl="0" eaLnBrk="1" latinLnBrk="0" hangingPunct="1">
            <a:defRPr sz="1800" kern="1200">
              <a:solidFill>
                <a:srgbClr val="076A92"/>
              </a:solidFill>
              <a:latin typeface="Arial"/>
            </a:defRPr>
          </a:lvl6pPr>
          <a:lvl7pPr marL="2743200" algn="l" defTabSz="914400" rtl="0" eaLnBrk="1" latinLnBrk="0" hangingPunct="1">
            <a:defRPr sz="1800" kern="1200">
              <a:solidFill>
                <a:srgbClr val="076A92"/>
              </a:solidFill>
              <a:latin typeface="Arial"/>
            </a:defRPr>
          </a:lvl7pPr>
          <a:lvl8pPr marL="3200400" algn="l" defTabSz="914400" rtl="0" eaLnBrk="1" latinLnBrk="0" hangingPunct="1">
            <a:defRPr sz="1800" kern="1200">
              <a:solidFill>
                <a:srgbClr val="076A92"/>
              </a:solidFill>
              <a:latin typeface="Arial"/>
            </a:defRPr>
          </a:lvl8pPr>
          <a:lvl9pPr marL="3657600" algn="l" defTabSz="914400" rtl="0" eaLnBrk="1" latinLnBrk="0" hangingPunct="1">
            <a:defRPr sz="1800" kern="1200">
              <a:solidFill>
                <a:srgbClr val="076A92"/>
              </a:solidFill>
              <a:latin typeface="Arial"/>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 lastClr="FFFFFF"/>
              </a:solidFill>
              <a:effectLst/>
              <a:uLnTx/>
              <a:uFillTx/>
              <a:latin typeface="Calibri" panose="020F0502020204030204"/>
            </a:rPr>
            <a:t>Small business  without</a:t>
          </a:r>
          <a:r>
            <a:rPr kumimoji="0" lang="en-AU" sz="1200" b="1" i="0" u="none" strike="noStrike" kern="0" cap="none" spc="0" normalizeH="0">
              <a:ln>
                <a:noFill/>
              </a:ln>
              <a:solidFill>
                <a:sysClr val="window" lastClr="FFFFFF"/>
              </a:solidFill>
              <a:effectLst/>
              <a:uLnTx/>
              <a:uFillTx/>
              <a:latin typeface="Calibri" panose="020F0502020204030204"/>
            </a:rPr>
            <a:t> CL</a:t>
          </a:r>
          <a:endParaRPr kumimoji="0" lang="en-AU" sz="1200" b="1" i="0" u="none" strike="noStrike" kern="0" cap="none" spc="0" normalizeH="0" baseline="0">
            <a:ln>
              <a:noFill/>
            </a:ln>
            <a:solidFill>
              <a:sysClr val="window" lastClr="FFFFFF"/>
            </a:solidFill>
            <a:effectLst/>
            <a:uLnTx/>
            <a:uFillTx/>
            <a:latin typeface="Calibri" panose="020F0502020204030204"/>
          </a:endParaRPr>
        </a:p>
      </xdr:txBody>
    </xdr:sp>
    <xdr:clientData/>
  </xdr:twoCellAnchor>
  <xdr:twoCellAnchor>
    <xdr:from>
      <xdr:col>2</xdr:col>
      <xdr:colOff>0</xdr:colOff>
      <xdr:row>9</xdr:row>
      <xdr:rowOff>200457</xdr:rowOff>
    </xdr:from>
    <xdr:to>
      <xdr:col>3</xdr:col>
      <xdr:colOff>179802</xdr:colOff>
      <xdr:row>11</xdr:row>
      <xdr:rowOff>141768</xdr:rowOff>
    </xdr:to>
    <xdr:sp macro="" textlink="">
      <xdr:nvSpPr>
        <xdr:cNvPr id="38" name="Rectangle 37">
          <a:hlinkClick xmlns:r="http://schemas.openxmlformats.org/officeDocument/2006/relationships" r:id="rId15"/>
        </xdr:cNvPr>
        <xdr:cNvSpPr/>
      </xdr:nvSpPr>
      <xdr:spPr>
        <a:xfrm>
          <a:off x="1196340" y="2440737"/>
          <a:ext cx="1147542" cy="573771"/>
        </a:xfrm>
        <a:prstGeom prst="rect">
          <a:avLst/>
        </a:prstGeom>
        <a:solidFill>
          <a:schemeClr val="bg1">
            <a:lumMod val="85000"/>
          </a:schemeClr>
        </a:solid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a:ln>
                <a:noFill/>
              </a:ln>
              <a:solidFill>
                <a:sysClr val="windowText" lastClr="000000">
                  <a:lumMod val="65000"/>
                  <a:lumOff val="35000"/>
                </a:sysClr>
              </a:solidFill>
              <a:effectLst/>
              <a:uLnTx/>
              <a:uFillTx/>
              <a:latin typeface="Calibri" panose="020F0502020204030204"/>
              <a:ea typeface="+mn-ea"/>
              <a:cs typeface="+mn-cs"/>
            </a:rPr>
            <a:t>Key inputs</a:t>
          </a:r>
        </a:p>
      </xdr:txBody>
    </xdr:sp>
    <xdr:clientData/>
  </xdr:twoCellAnchor>
  <xdr:twoCellAnchor>
    <xdr:from>
      <xdr:col>3</xdr:col>
      <xdr:colOff>179802</xdr:colOff>
      <xdr:row>10</xdr:row>
      <xdr:rowOff>235883</xdr:rowOff>
    </xdr:from>
    <xdr:to>
      <xdr:col>3</xdr:col>
      <xdr:colOff>1199839</xdr:colOff>
      <xdr:row>12</xdr:row>
      <xdr:rowOff>238693</xdr:rowOff>
    </xdr:to>
    <xdr:cxnSp macro="">
      <xdr:nvCxnSpPr>
        <xdr:cNvPr id="39" name="Elbow Connector 38"/>
        <xdr:cNvCxnSpPr>
          <a:stCxn id="38" idx="3"/>
          <a:endCxn id="4" idx="1"/>
        </xdr:cNvCxnSpPr>
      </xdr:nvCxnSpPr>
      <xdr:spPr>
        <a:xfrm>
          <a:off x="2343882" y="2727623"/>
          <a:ext cx="1020037" cy="635270"/>
        </a:xfrm>
        <a:prstGeom prst="bentConnector3">
          <a:avLst>
            <a:gd name="adj1" fmla="val 50000"/>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xdr:colOff>
      <xdr:row>5</xdr:row>
      <xdr:rowOff>67560</xdr:rowOff>
    </xdr:from>
    <xdr:to>
      <xdr:col>3</xdr:col>
      <xdr:colOff>175259</xdr:colOff>
      <xdr:row>6</xdr:row>
      <xdr:rowOff>152400</xdr:rowOff>
    </xdr:to>
    <xdr:sp macro="" textlink="">
      <xdr:nvSpPr>
        <xdr:cNvPr id="40" name="Rectangle 39"/>
        <xdr:cNvSpPr/>
      </xdr:nvSpPr>
      <xdr:spPr>
        <a:xfrm>
          <a:off x="119708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Inputs and assumptions</a:t>
          </a:r>
        </a:p>
      </xdr:txBody>
    </xdr:sp>
    <xdr:clientData/>
  </xdr:twoCellAnchor>
  <xdr:twoCellAnchor>
    <xdr:from>
      <xdr:col>9</xdr:col>
      <xdr:colOff>404602</xdr:colOff>
      <xdr:row>5</xdr:row>
      <xdr:rowOff>67560</xdr:rowOff>
    </xdr:from>
    <xdr:to>
      <xdr:col>11</xdr:col>
      <xdr:colOff>327659</xdr:colOff>
      <xdr:row>6</xdr:row>
      <xdr:rowOff>152400</xdr:rowOff>
    </xdr:to>
    <xdr:sp macro="" textlink="">
      <xdr:nvSpPr>
        <xdr:cNvPr id="41" name="Rectangle 40"/>
        <xdr:cNvSpPr/>
      </xdr:nvSpPr>
      <xdr:spPr>
        <a:xfrm>
          <a:off x="9289522" y="1042920"/>
          <a:ext cx="1142257"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Overview</a:t>
          </a:r>
        </a:p>
      </xdr:txBody>
    </xdr:sp>
    <xdr:clientData/>
  </xdr:twoCellAnchor>
  <xdr:twoCellAnchor>
    <xdr:from>
      <xdr:col>7</xdr:col>
      <xdr:colOff>335280</xdr:colOff>
      <xdr:row>5</xdr:row>
      <xdr:rowOff>67560</xdr:rowOff>
    </xdr:from>
    <xdr:to>
      <xdr:col>9</xdr:col>
      <xdr:colOff>214101</xdr:colOff>
      <xdr:row>6</xdr:row>
      <xdr:rowOff>152400</xdr:rowOff>
    </xdr:to>
    <xdr:sp macro="" textlink="">
      <xdr:nvSpPr>
        <xdr:cNvPr id="42" name="Rectangle 41"/>
        <xdr:cNvSpPr/>
      </xdr:nvSpPr>
      <xdr:spPr>
        <a:xfrm>
          <a:off x="7574280" y="1042920"/>
          <a:ext cx="1524741" cy="33630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a:ln>
                <a:noFill/>
              </a:ln>
              <a:solidFill>
                <a:srgbClr val="8064A2">
                  <a:lumMod val="75000"/>
                </a:srgbClr>
              </a:solidFill>
              <a:effectLst/>
              <a:uLnTx/>
              <a:uFillTx/>
              <a:latin typeface="Calibri" panose="020F0502020204030204"/>
              <a:ea typeface="+mn-ea"/>
              <a:cs typeface="+mn-cs"/>
            </a:rPr>
            <a:t>Cost stacks with changes in underlying costs</a:t>
          </a:r>
        </a:p>
      </xdr:txBody>
    </xdr:sp>
    <xdr:clientData/>
  </xdr:twoCellAnchor>
  <xdr:twoCellAnchor>
    <xdr:from>
      <xdr:col>3</xdr:col>
      <xdr:colOff>480060</xdr:colOff>
      <xdr:row>5</xdr:row>
      <xdr:rowOff>99060</xdr:rowOff>
    </xdr:from>
    <xdr:to>
      <xdr:col>3</xdr:col>
      <xdr:colOff>784860</xdr:colOff>
      <xdr:row>6</xdr:row>
      <xdr:rowOff>152400</xdr:rowOff>
    </xdr:to>
    <xdr:sp macro="" textlink="">
      <xdr:nvSpPr>
        <xdr:cNvPr id="43" name="Right Arrow 42"/>
        <xdr:cNvSpPr/>
      </xdr:nvSpPr>
      <xdr:spPr>
        <a:xfrm>
          <a:off x="264414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1242060</xdr:colOff>
      <xdr:row>5</xdr:row>
      <xdr:rowOff>99060</xdr:rowOff>
    </xdr:from>
    <xdr:to>
      <xdr:col>5</xdr:col>
      <xdr:colOff>129540</xdr:colOff>
      <xdr:row>6</xdr:row>
      <xdr:rowOff>152400</xdr:rowOff>
    </xdr:to>
    <xdr:sp macro="" textlink="">
      <xdr:nvSpPr>
        <xdr:cNvPr id="44" name="Right Arrow 43"/>
        <xdr:cNvSpPr/>
      </xdr:nvSpPr>
      <xdr:spPr>
        <a:xfrm>
          <a:off x="482346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701040</xdr:colOff>
      <xdr:row>5</xdr:row>
      <xdr:rowOff>99060</xdr:rowOff>
    </xdr:from>
    <xdr:to>
      <xdr:col>7</xdr:col>
      <xdr:colOff>182880</xdr:colOff>
      <xdr:row>6</xdr:row>
      <xdr:rowOff>152400</xdr:rowOff>
    </xdr:to>
    <xdr:sp macro="" textlink="">
      <xdr:nvSpPr>
        <xdr:cNvPr id="45" name="Right Arrow 44"/>
        <xdr:cNvSpPr/>
      </xdr:nvSpPr>
      <xdr:spPr>
        <a:xfrm>
          <a:off x="71170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289560</xdr:colOff>
      <xdr:row>5</xdr:row>
      <xdr:rowOff>99060</xdr:rowOff>
    </xdr:from>
    <xdr:to>
      <xdr:col>9</xdr:col>
      <xdr:colOff>594360</xdr:colOff>
      <xdr:row>6</xdr:row>
      <xdr:rowOff>152400</xdr:rowOff>
    </xdr:to>
    <xdr:sp macro="" textlink="">
      <xdr:nvSpPr>
        <xdr:cNvPr id="46" name="Right Arrow 45"/>
        <xdr:cNvSpPr/>
      </xdr:nvSpPr>
      <xdr:spPr>
        <a:xfrm>
          <a:off x="9174480" y="1074420"/>
          <a:ext cx="304800" cy="3048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303892</xdr:colOff>
      <xdr:row>12</xdr:row>
      <xdr:rowOff>234438</xdr:rowOff>
    </xdr:from>
    <xdr:to>
      <xdr:col>7</xdr:col>
      <xdr:colOff>579121</xdr:colOff>
      <xdr:row>15</xdr:row>
      <xdr:rowOff>94805</xdr:rowOff>
    </xdr:to>
    <xdr:cxnSp macro="">
      <xdr:nvCxnSpPr>
        <xdr:cNvPr id="47" name="Elbow Connector 46"/>
        <xdr:cNvCxnSpPr>
          <a:stCxn id="9" idx="3"/>
          <a:endCxn id="36" idx="1"/>
        </xdr:cNvCxnSpPr>
      </xdr:nvCxnSpPr>
      <xdr:spPr>
        <a:xfrm flipV="1">
          <a:off x="6719932" y="3358638"/>
          <a:ext cx="1098189" cy="675707"/>
        </a:xfrm>
        <a:prstGeom prst="bentConnector3">
          <a:avLst/>
        </a:prstGeom>
        <a:ln>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xdr:row>
      <xdr:rowOff>68580</xdr:rowOff>
    </xdr:from>
    <xdr:to>
      <xdr:col>3</xdr:col>
      <xdr:colOff>731520</xdr:colOff>
      <xdr:row>11</xdr:row>
      <xdr:rowOff>22860</xdr:rowOff>
    </xdr:to>
    <xdr:sp macro="" textlink="">
      <xdr:nvSpPr>
        <xdr:cNvPr id="48" name="Rectangle 47"/>
        <xdr:cNvSpPr/>
      </xdr:nvSpPr>
      <xdr:spPr>
        <a:xfrm>
          <a:off x="2257425" y="2564130"/>
          <a:ext cx="579120" cy="335280"/>
        </a:xfrm>
        <a:prstGeom prst="rect">
          <a:avLst/>
        </a:prstGeom>
        <a:noFill/>
        <a:ln w="12700" cap="flat" cmpd="sng" algn="ctr">
          <a:noFill/>
          <a:prstDash val="solid"/>
          <a:miter lim="800000"/>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a:ln>
                <a:noFill/>
              </a:ln>
              <a:solidFill>
                <a:srgbClr val="8064A2">
                  <a:lumMod val="75000"/>
                </a:srgbClr>
              </a:solidFill>
              <a:effectLst/>
              <a:uLnTx/>
              <a:uFillTx/>
              <a:latin typeface="Calibri" panose="020F0502020204030204"/>
              <a:ea typeface="+mn-ea"/>
              <a:cs typeface="+mn-cs"/>
            </a:rPr>
            <a:t>Cost inputs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419100</xdr:colOff>
      <xdr:row>3</xdr:row>
      <xdr:rowOff>76200</xdr:rowOff>
    </xdr:from>
    <xdr:to>
      <xdr:col>16</xdr:col>
      <xdr:colOff>487680</xdr:colOff>
      <xdr:row>20</xdr:row>
      <xdr:rowOff>117240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30480</xdr:colOff>
      <xdr:row>3</xdr:row>
      <xdr:rowOff>76200</xdr:rowOff>
    </xdr:from>
    <xdr:to>
      <xdr:col>24</xdr:col>
      <xdr:colOff>464820</xdr:colOff>
      <xdr:row>20</xdr:row>
      <xdr:rowOff>117240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472440</xdr:colOff>
      <xdr:row>21</xdr:row>
      <xdr:rowOff>38100</xdr:rowOff>
    </xdr:from>
    <xdr:to>
      <xdr:col>12</xdr:col>
      <xdr:colOff>533400</xdr:colOff>
      <xdr:row>38</xdr:row>
      <xdr:rowOff>79140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45720</xdr:colOff>
      <xdr:row>21</xdr:row>
      <xdr:rowOff>38100</xdr:rowOff>
    </xdr:from>
    <xdr:to>
      <xdr:col>20</xdr:col>
      <xdr:colOff>480060</xdr:colOff>
      <xdr:row>38</xdr:row>
      <xdr:rowOff>79140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3</xdr:row>
      <xdr:rowOff>76200</xdr:rowOff>
    </xdr:from>
    <xdr:to>
      <xdr:col>7</xdr:col>
      <xdr:colOff>230505</xdr:colOff>
      <xdr:row>20</xdr:row>
      <xdr:rowOff>117240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16</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30480</xdr:colOff>
      <xdr:row>3</xdr:row>
      <xdr:rowOff>76200</xdr:rowOff>
    </xdr:from>
    <xdr:to>
      <xdr:col>24</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12</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45720</xdr:colOff>
      <xdr:row>21</xdr:row>
      <xdr:rowOff>38100</xdr:rowOff>
    </xdr:from>
    <xdr:to>
      <xdr:col>20</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175260</xdr:colOff>
      <xdr:row>3</xdr:row>
      <xdr:rowOff>76200</xdr:rowOff>
    </xdr:from>
    <xdr:to>
      <xdr:col>7</xdr:col>
      <xdr:colOff>182880</xdr:colOff>
      <xdr:row>20</xdr:row>
      <xdr:rowOff>117240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3</xdr:row>
      <xdr:rowOff>76200</xdr:rowOff>
    </xdr:from>
    <xdr:to>
      <xdr:col>16</xdr:col>
      <xdr:colOff>487680</xdr:colOff>
      <xdr:row>20</xdr:row>
      <xdr:rowOff>117240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30480</xdr:colOff>
      <xdr:row>3</xdr:row>
      <xdr:rowOff>76200</xdr:rowOff>
    </xdr:from>
    <xdr:to>
      <xdr:col>24</xdr:col>
      <xdr:colOff>464820</xdr:colOff>
      <xdr:row>20</xdr:row>
      <xdr:rowOff>117240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472440</xdr:colOff>
      <xdr:row>21</xdr:row>
      <xdr:rowOff>38100</xdr:rowOff>
    </xdr:from>
    <xdr:to>
      <xdr:col>12</xdr:col>
      <xdr:colOff>533400</xdr:colOff>
      <xdr:row>38</xdr:row>
      <xdr:rowOff>79140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45720</xdr:colOff>
      <xdr:row>21</xdr:row>
      <xdr:rowOff>38100</xdr:rowOff>
    </xdr:from>
    <xdr:to>
      <xdr:col>20</xdr:col>
      <xdr:colOff>480060</xdr:colOff>
      <xdr:row>38</xdr:row>
      <xdr:rowOff>79140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20</xdr:row>
      <xdr:rowOff>144780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20</xdr:row>
      <xdr:rowOff>144780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20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4</xdr:row>
      <xdr:rowOff>30480</xdr:rowOff>
    </xdr:from>
    <xdr:to>
      <xdr:col>24</xdr:col>
      <xdr:colOff>22860</xdr:colOff>
      <xdr:row>19</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396240</xdr:colOff>
      <xdr:row>4</xdr:row>
      <xdr:rowOff>30480</xdr:rowOff>
    </xdr:from>
    <xdr:to>
      <xdr:col>15</xdr:col>
      <xdr:colOff>0</xdr:colOff>
      <xdr:row>19</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7620</xdr:colOff>
      <xdr:row>4</xdr:row>
      <xdr:rowOff>38100</xdr:rowOff>
    </xdr:from>
    <xdr:to>
      <xdr:col>33</xdr:col>
      <xdr:colOff>0</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259080</xdr:colOff>
      <xdr:row>4</xdr:row>
      <xdr:rowOff>10318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76200"/>
          <a:ext cx="1897380" cy="665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hyperlink" Target="https://www.aer.gov.au/system/files/Att.5%20Essential%20Energy%20Network%20Price%20List%202020-21.xlsx" TargetMode="External"/><Relationship Id="rId18" Type="http://schemas.openxmlformats.org/officeDocument/2006/relationships/hyperlink" Target="https://www.aer.gov.au/system/files/Energex%20-%20Revised%20Proposal%20-%2010.001%20-%20Attachment%20A%20-%202020-25%20Indicative%20Pricing%20Schedule%20-%20December%202019.xlsx" TargetMode="External"/><Relationship Id="rId26" Type="http://schemas.openxmlformats.org/officeDocument/2006/relationships/hyperlink" Target="https://www.aer.gov.au/system/files/Att.5%20Essential%20Energy%20Network%20Price%20List%202020-21.xlsx" TargetMode="External"/><Relationship Id="rId39" Type="http://schemas.openxmlformats.org/officeDocument/2006/relationships/hyperlink" Target="https://www.aer.gov.au/system/files/SAPN_Attachment%20F_Metering%20Price%20Schedule%20_March%202021.xlsx" TargetMode="External"/><Relationship Id="rId3" Type="http://schemas.openxmlformats.org/officeDocument/2006/relationships/hyperlink" Target="https://www.aer.gov.au/system/files/SAPN_Attachment%20A_2021-22%20Tariff%20Approval%20Model%2031%20March%202021.xlsx" TargetMode="External"/><Relationship Id="rId21" Type="http://schemas.openxmlformats.org/officeDocument/2006/relationships/hyperlink" Target="https://www.aer.gov.au/system/files/SAPN%20-%20Revised%20Proposal%20-%20Attachment%2017%20-%20Tariff%20Structure%20Statement%20Part%20A%20-%20December%202019.pdf" TargetMode="External"/><Relationship Id="rId34" Type="http://schemas.openxmlformats.org/officeDocument/2006/relationships/hyperlink" Target="https://www.aer.gov.au/system/files/Ausgrid%20-%20AER%20approved%202019-20%20Initial%20Pricing%20Proposal%20-%20REVISED%20-%2029%20May%202019%20-%20June%202019.pdf" TargetMode="External"/><Relationship Id="rId42" Type="http://schemas.openxmlformats.org/officeDocument/2006/relationships/hyperlink" Target="https://www.aer.gov.au/system/files/02.%20Ausgrid%202021-22%20Pricing%20Proposal%20-%20March%202021%20-%20PUBLIC.pdf" TargetMode="External"/><Relationship Id="rId47" Type="http://schemas.openxmlformats.org/officeDocument/2006/relationships/hyperlink" Target="https://www.aer.gov.au/system/files/03.%20Appendix%20B%20-%20Ausgrid%202021-22%20Pricing%20Proposal%20-%20ACS%20components%20-31%20March%202021-%20PUBLIC%20%28Replacement%29_0.pdf" TargetMode="External"/><Relationship Id="rId50" Type="http://schemas.openxmlformats.org/officeDocument/2006/relationships/printerSettings" Target="../printerSettings/printerSettings21.bin"/><Relationship Id="rId7" Type="http://schemas.openxmlformats.org/officeDocument/2006/relationships/hyperlink" Target="https://www.aer.gov.au/system/files/Att.4%20Price%20Schedule%20for%20Metering%20Services%201%20July%202021.pdf" TargetMode="External"/><Relationship Id="rId12" Type="http://schemas.openxmlformats.org/officeDocument/2006/relationships/hyperlink" Target="https://www.aer.gov.au/system/files/Endeavour%20Energy%20-%20Attachment%20E%20-%20Indicative%20Pricing%20Schedule%20-%20May%202019.xlsx" TargetMode="External"/><Relationship Id="rId17" Type="http://schemas.openxmlformats.org/officeDocument/2006/relationships/hyperlink" Target="https://www.aer.gov.au/system/files/Energex%20-%20Revised%20Proposal%20-%2010.001%20-%20Attachment%20A%20-%202020-25%20Indicative%20Pricing%20Schedule%20-%20December%202019.xlsx" TargetMode="External"/><Relationship Id="rId25" Type="http://schemas.openxmlformats.org/officeDocument/2006/relationships/hyperlink" Target="https://www.aer.gov.au/system/files/Att.5%20Essential%20Energy%20Network%20Price%20List%202020-21.xlsx" TargetMode="External"/><Relationship Id="rId33" Type="http://schemas.openxmlformats.org/officeDocument/2006/relationships/hyperlink" Target="https://www.aer.gov.au/system/files/Ausgrid%20-%20AER%20approved%202019-20%20Initial%20Pricing%20Proposal%20-%20REVISED%20-%2029%20May%202019%20-%20June%202019.pdf" TargetMode="External"/><Relationship Id="rId38" Type="http://schemas.openxmlformats.org/officeDocument/2006/relationships/hyperlink" Target="https://www.aer.gov.au/system/files/SAPN_Attachment%20F_Metering%20Price%20Schedule%20_March%202021.xlsx" TargetMode="External"/><Relationship Id="rId46" Type="http://schemas.openxmlformats.org/officeDocument/2006/relationships/hyperlink" Target="https://www.aer.gov.au/system/files/03.%20Appendix%20B%20-%20Ausgrid%202021-22%20Pricing%20Proposal%20-%20ACS%20components%20-31%20March%202021-%20PUBLIC%20%28Replacement%29_0.pdf" TargetMode="External"/><Relationship Id="rId2" Type="http://schemas.openxmlformats.org/officeDocument/2006/relationships/hyperlink" Target="https://www.aer.gov.au/system/files/Ausgrid%202020-21%20Pricing%20Proposal%20-%20Revised%20-%20May%202020%20-%20PUBLIC_0.pdf" TargetMode="External"/><Relationship Id="rId16" Type="http://schemas.openxmlformats.org/officeDocument/2006/relationships/hyperlink" Target="https://www.aer.gov.au/system/files/Att.5%20Essential%20Energy%20Network%20Price%20List%202020-21.xlsx" TargetMode="External"/><Relationship Id="rId20" Type="http://schemas.openxmlformats.org/officeDocument/2006/relationships/hyperlink" Target="https://www.aer.gov.au/system/files/Energex%20-%20Revised%20Proposal%20-%2010.001%20-%20Attachment%20A%20-%202020-25%20Indicative%20Pricing%20Schedule%20-%20December%202019.xlsx" TargetMode="External"/><Relationship Id="rId29" Type="http://schemas.openxmlformats.org/officeDocument/2006/relationships/hyperlink" Target="https://www.aer.gov.au/system/files/Energex%20-%20Revised%20Proposal%20-%2010.001%20-%20Attachment%20A%20-%202020-25%20Indicative%20Pricing%20Schedule%20-%20December%202019.xlsx" TargetMode="External"/><Relationship Id="rId41" Type="http://schemas.openxmlformats.org/officeDocument/2006/relationships/hyperlink" Target="https://www.aer.gov.au/system/files/EGX%20Attachment%201%20-%202021-22%20Network%20Price%20List.xlsx" TargetMode="External"/><Relationship Id="rId1" Type="http://schemas.openxmlformats.org/officeDocument/2006/relationships/hyperlink" Target="https://www.rba.gov.au/publications/smp/2021/feb/economic-outlook.html" TargetMode="External"/><Relationship Id="rId6" Type="http://schemas.openxmlformats.org/officeDocument/2006/relationships/hyperlink" Target="https://www.aer.gov.au/system/files/Att.5%20Essential%20Energy%20Network%20Price%20List%202021-22.xlsx" TargetMode="External"/><Relationship Id="rId11" Type="http://schemas.openxmlformats.org/officeDocument/2006/relationships/hyperlink" Target="https://www.aer.gov.au/system/files/Endeavour%20Energy%20-%20Attachment%20E%20-%20Indicative%20Pricing%20Schedule%20-%20May%202019.xlsx" TargetMode="External"/><Relationship Id="rId24" Type="http://schemas.openxmlformats.org/officeDocument/2006/relationships/hyperlink" Target="https://www.aer.gov.au/system/files/Att.5%20Essential%20Energy%20Network%20Price%20List%202020-21.xlsx" TargetMode="External"/><Relationship Id="rId32" Type="http://schemas.openxmlformats.org/officeDocument/2006/relationships/hyperlink" Target="https://www.aer.gov.au/system/files/Ausgrid%20-%20AER%20approved%202019-20%20Initial%20Pricing%20Proposal%20-%20REVISED%20-%2029%20May%202019%20-%20June%202019.pdf" TargetMode="External"/><Relationship Id="rId37" Type="http://schemas.openxmlformats.org/officeDocument/2006/relationships/hyperlink" Target="https://www.aer.gov.au/system/files/SAPN_Attachment%20A_2021-22%20Tariff%20Approval%20Model%2031%20March%202021.xlsx" TargetMode="External"/><Relationship Id="rId40" Type="http://schemas.openxmlformats.org/officeDocument/2006/relationships/hyperlink" Target="https://www.aer.gov.au/system/files/EGX%20Attachment%201%20-%202021-22%20Network%20Price%20List.xlsx" TargetMode="External"/><Relationship Id="rId45" Type="http://schemas.openxmlformats.org/officeDocument/2006/relationships/hyperlink" Target="https://www.aer.gov.au/system/files/Att.5%20Essential%20Energy%20Network%20Price%20List%202021-22.xlsx" TargetMode="External"/><Relationship Id="rId5" Type="http://schemas.openxmlformats.org/officeDocument/2006/relationships/hyperlink" Target="https://www.aer.gov.au/system/files/Attachment%20A%20-%20PUBLIC%20-%20Revenue%20Cap%20Compliance%20Model_3.xlsx" TargetMode="External"/><Relationship Id="rId15" Type="http://schemas.openxmlformats.org/officeDocument/2006/relationships/hyperlink" Target="https://www.aer.gov.au/system/files/Att.5%20Essential%20Energy%20Network%20Price%20List%202020-21.xlsx" TargetMode="External"/><Relationship Id="rId23" Type="http://schemas.openxmlformats.org/officeDocument/2006/relationships/hyperlink" Target="https://www.aer.gov.au/system/files/SAPN%20-%20Revised%20Proposal%20-%20Attachment%2017%20-%20Tariff%20Structure%20Statement%20Part%20A%20-%20December%202019.pdf" TargetMode="External"/><Relationship Id="rId28" Type="http://schemas.openxmlformats.org/officeDocument/2006/relationships/hyperlink" Target="https://www.aer.gov.au/system/files/Energex%20-%20Revised%20Proposal%20-%2010.001%20-%20Attachment%20A%20-%202020-25%20Indicative%20Pricing%20Schedule%20-%20December%202019.xlsx" TargetMode="External"/><Relationship Id="rId36" Type="http://schemas.openxmlformats.org/officeDocument/2006/relationships/hyperlink" Target="https://www.aer.gov.au/system/files/SAPN_Attachment%20A_2021-22%20Tariff%20Approval%20Model%2031%20March%202021.xlsx" TargetMode="External"/><Relationship Id="rId49" Type="http://schemas.openxmlformats.org/officeDocument/2006/relationships/hyperlink" Target="https://www.aer.gov.au/system/files/Att.4%20Price%20Schedule%20for%20Metering%20Services%201%20July%202021.pdf" TargetMode="External"/><Relationship Id="rId10" Type="http://schemas.openxmlformats.org/officeDocument/2006/relationships/hyperlink" Target="https://www.aer.gov.au/system/files/Endeavour%20Energy%20-%20Attachment%20E%20-%20Indicative%20Pricing%20Schedule%20-%20May%202019.xlsx" TargetMode="External"/><Relationship Id="rId19" Type="http://schemas.openxmlformats.org/officeDocument/2006/relationships/hyperlink" Target="https://www.aer.gov.au/system/files/Energex%20-%20Revised%20Proposal%20-%2010.001%20-%20Attachment%20A%20-%202020-25%20Indicative%20Pricing%20Schedule%20-%20December%202019.xlsx" TargetMode="External"/><Relationship Id="rId31" Type="http://schemas.openxmlformats.org/officeDocument/2006/relationships/hyperlink" Target="https://www.aer.gov.au/system/files/Energex%20-%20Revised%20Proposal%20-%2010.001%20-%20Attachment%20A%20-%202020-25%20Indicative%20Pricing%20Schedule%20-%20December%202019.xlsx" TargetMode="External"/><Relationship Id="rId44" Type="http://schemas.openxmlformats.org/officeDocument/2006/relationships/hyperlink" Target="https://www.aer.gov.au/system/files/Attachment%20A%20-%20PUBLIC%20-%20Revenue%20Cap%20Compliance%20Model_3.xlsx" TargetMode="External"/><Relationship Id="rId52" Type="http://schemas.openxmlformats.org/officeDocument/2006/relationships/comments" Target="../comments1.xml"/><Relationship Id="rId4" Type="http://schemas.openxmlformats.org/officeDocument/2006/relationships/hyperlink" Target="https://www.aer.gov.au/system/files/End_FY22%20Pricing%20Proposal_1%20April%202021.pdf" TargetMode="External"/><Relationship Id="rId9" Type="http://schemas.openxmlformats.org/officeDocument/2006/relationships/hyperlink" Target="https://www.aer.gov.au/system/files/Endeavour%20Energy%20-%20Attachment%20E%20-%20Indicative%20Pricing%20Schedule%20-%20May%202019.xlsx" TargetMode="External"/><Relationship Id="rId14" Type="http://schemas.openxmlformats.org/officeDocument/2006/relationships/hyperlink" Target="https://www.aer.gov.au/system/files/Att.5%20Essential%20Energy%20Network%20Price%20List%202020-21.xlsx" TargetMode="External"/><Relationship Id="rId22" Type="http://schemas.openxmlformats.org/officeDocument/2006/relationships/hyperlink" Target="https://www.aer.gov.au/system/files/SAPN%20-%20Revised%20Proposal%20-%20Attachment%2017%20-%20Tariff%20Structure%20Statement%20Part%20A%20-%20December%202019.pdf" TargetMode="External"/><Relationship Id="rId27" Type="http://schemas.openxmlformats.org/officeDocument/2006/relationships/hyperlink" Target="https://www.aer.gov.au/system/files/Att.5%20Essential%20Energy%20Network%20Price%20List%202020-21.xlsx" TargetMode="External"/><Relationship Id="rId30" Type="http://schemas.openxmlformats.org/officeDocument/2006/relationships/hyperlink" Target="https://www.aer.gov.au/system/files/Energex%20-%20Revised%20Proposal%20-%2010.001%20-%20Attachment%20A%20-%202020-25%20Indicative%20Pricing%20Schedule%20-%20December%202019.xlsx" TargetMode="External"/><Relationship Id="rId35" Type="http://schemas.openxmlformats.org/officeDocument/2006/relationships/hyperlink" Target="https://www.aer.gov.au/system/files/Ausgrid%20-%20AER%20approved%202019-20%20Initial%20Pricing%20Proposal%20-%20REVISED%20-%2029%20May%202019%20-%20June%202019.pdf" TargetMode="External"/><Relationship Id="rId43" Type="http://schemas.openxmlformats.org/officeDocument/2006/relationships/hyperlink" Target="https://www.aer.gov.au/system/files/Ausgrid%202020-21%20Pricing%20Proposal%20-%20Revised%20-%20May%202020%20-%20PUBLIC_0.pdf" TargetMode="External"/><Relationship Id="rId48" Type="http://schemas.openxmlformats.org/officeDocument/2006/relationships/hyperlink" Target="https://www.aer.gov.au/system/files/End_FY22%20Pricing%20Proposal_1%20April%202021.pdf" TargetMode="External"/><Relationship Id="rId8" Type="http://schemas.openxmlformats.org/officeDocument/2006/relationships/hyperlink" Target="https://www.aer.gov.au/system/files/EGX%20Attachment%201%20-%202021-22%20Network%20Price%20List.xlsx" TargetMode="External"/><Relationship Id="rId5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F14"/>
  <sheetViews>
    <sheetView tabSelected="1" workbookViewId="0"/>
  </sheetViews>
  <sheetFormatPr defaultColWidth="8.81640625" defaultRowHeight="14.5" x14ac:dyDescent="0.35"/>
  <cols>
    <col min="1" max="16384" width="8.81640625" style="3"/>
  </cols>
  <sheetData>
    <row r="9" spans="6:6" ht="36" x14ac:dyDescent="0.35">
      <c r="F9" s="2" t="s">
        <v>201</v>
      </c>
    </row>
    <row r="10" spans="6:6" ht="36" x14ac:dyDescent="0.35">
      <c r="F10" s="2" t="str">
        <f>FY</f>
        <v>2021-22</v>
      </c>
    </row>
    <row r="11" spans="6:6" ht="23.5" x14ac:dyDescent="0.35">
      <c r="F11" s="4" t="str">
        <f>'Key inputs'!C8&amp;" Determination"</f>
        <v>Final Determination</v>
      </c>
    </row>
    <row r="12" spans="6:6" ht="23.5" x14ac:dyDescent="0.35">
      <c r="F12" s="4"/>
    </row>
    <row r="13" spans="6:6" x14ac:dyDescent="0.35">
      <c r="F13" s="5"/>
    </row>
    <row r="14" spans="6:6" x14ac:dyDescent="0.35">
      <c r="F14" s="5"/>
    </row>
  </sheetData>
  <sheetProtection algorithmName="SHA-256" hashValue="5auKKFr/JpvmV6zBN+X9Mz+R/RuEOYHNx8Pt5e2W+2M=" saltValue="/pbmgHXCRwKJm07w+7mvl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pane ySplit="3" topLeftCell="A4" activePane="bottomLeft" state="frozen"/>
      <selection pane="bottomLeft"/>
    </sheetView>
  </sheetViews>
  <sheetFormatPr defaultColWidth="8.81640625" defaultRowHeight="20.149999999999999" customHeight="1" x14ac:dyDescent="0.35"/>
  <cols>
    <col min="1" max="1" width="1.81640625" style="1" customWidth="1"/>
    <col min="2" max="2" width="11" style="1" bestFit="1" customWidth="1"/>
    <col min="3" max="3" width="21.1796875" style="6" customWidth="1"/>
    <col min="4" max="16384" width="8.81640625" style="1"/>
  </cols>
  <sheetData>
    <row r="1" spans="1:3" s="9" customFormat="1" ht="22.5" customHeight="1" x14ac:dyDescent="0.35">
      <c r="A1" s="19" t="s">
        <v>10</v>
      </c>
      <c r="C1" s="10"/>
    </row>
    <row r="2" spans="1:3" ht="5.15" customHeight="1" x14ac:dyDescent="0.35">
      <c r="B2" s="8"/>
      <c r="C2" s="1"/>
    </row>
    <row r="3" spans="1:3" ht="20.149999999999999" customHeight="1" x14ac:dyDescent="0.35">
      <c r="B3" s="16" t="s">
        <v>11</v>
      </c>
      <c r="C3" s="11" t="s">
        <v>7</v>
      </c>
    </row>
    <row r="4" spans="1:3" ht="20.149999999999999" customHeight="1" x14ac:dyDescent="0.35">
      <c r="B4" s="18">
        <v>1</v>
      </c>
      <c r="C4" s="8" t="s">
        <v>179</v>
      </c>
    </row>
    <row r="5" spans="1:3" ht="20.149999999999999" customHeight="1" x14ac:dyDescent="0.35">
      <c r="B5" s="17">
        <f>B4+0.1</f>
        <v>1.1000000000000001</v>
      </c>
      <c r="C5" s="103" t="s">
        <v>106</v>
      </c>
    </row>
    <row r="6" spans="1:3" ht="20.149999999999999" customHeight="1" x14ac:dyDescent="0.35">
      <c r="B6" s="17">
        <f>B5+0.1</f>
        <v>1.2000000000000002</v>
      </c>
      <c r="C6" s="103" t="s">
        <v>21</v>
      </c>
    </row>
    <row r="7" spans="1:3" ht="20.149999999999999" customHeight="1" x14ac:dyDescent="0.35">
      <c r="B7" s="227">
        <v>2</v>
      </c>
      <c r="C7" s="8" t="s">
        <v>209</v>
      </c>
    </row>
    <row r="8" spans="1:3" ht="20.149999999999999" customHeight="1" x14ac:dyDescent="0.35">
      <c r="B8" s="17">
        <f>B7+0.1</f>
        <v>2.1</v>
      </c>
      <c r="C8" s="103" t="s">
        <v>166</v>
      </c>
    </row>
    <row r="9" spans="1:3" ht="20.149999999999999" customHeight="1" x14ac:dyDescent="0.35">
      <c r="B9" s="17">
        <f>B8+0.1</f>
        <v>2.2000000000000002</v>
      </c>
      <c r="C9" s="103" t="s">
        <v>167</v>
      </c>
    </row>
    <row r="10" spans="1:3" ht="20.149999999999999" customHeight="1" x14ac:dyDescent="0.35">
      <c r="B10" s="17">
        <f>B9+0.1</f>
        <v>2.3000000000000003</v>
      </c>
      <c r="C10" s="103" t="s">
        <v>168</v>
      </c>
    </row>
    <row r="11" spans="1:3" ht="20.149999999999999" customHeight="1" x14ac:dyDescent="0.35">
      <c r="B11" s="7">
        <v>3</v>
      </c>
      <c r="C11" s="8" t="s">
        <v>180</v>
      </c>
    </row>
    <row r="12" spans="1:3" ht="20.149999999999999" customHeight="1" x14ac:dyDescent="0.35">
      <c r="B12" s="17">
        <f t="shared" ref="B12:B20" si="0">B11+0.1</f>
        <v>3.1</v>
      </c>
      <c r="C12" s="103" t="s">
        <v>2</v>
      </c>
    </row>
    <row r="13" spans="1:3" ht="20.149999999999999" customHeight="1" x14ac:dyDescent="0.35">
      <c r="B13" s="17">
        <f t="shared" si="0"/>
        <v>3.2</v>
      </c>
      <c r="C13" s="103" t="s">
        <v>4</v>
      </c>
    </row>
    <row r="14" spans="1:3" ht="20.149999999999999" customHeight="1" x14ac:dyDescent="0.35">
      <c r="B14" s="17">
        <f t="shared" si="0"/>
        <v>3.3000000000000003</v>
      </c>
      <c r="C14" s="103" t="s">
        <v>0</v>
      </c>
    </row>
    <row r="15" spans="1:3" ht="20.149999999999999" customHeight="1" x14ac:dyDescent="0.35">
      <c r="B15" s="17">
        <f t="shared" si="0"/>
        <v>3.4000000000000004</v>
      </c>
      <c r="C15" s="103" t="s">
        <v>3</v>
      </c>
    </row>
    <row r="16" spans="1:3" ht="20.149999999999999" customHeight="1" x14ac:dyDescent="0.35">
      <c r="B16" s="17">
        <f t="shared" si="0"/>
        <v>3.5000000000000004</v>
      </c>
      <c r="C16" s="103" t="s">
        <v>5</v>
      </c>
    </row>
    <row r="17" spans="2:3" ht="20.149999999999999" customHeight="1" x14ac:dyDescent="0.35">
      <c r="B17" s="7">
        <v>4</v>
      </c>
      <c r="C17" s="8" t="s">
        <v>181</v>
      </c>
    </row>
    <row r="18" spans="2:3" ht="20.149999999999999" customHeight="1" x14ac:dyDescent="0.35">
      <c r="B18" s="17">
        <f>B17+0.1</f>
        <v>4.0999999999999996</v>
      </c>
      <c r="C18" s="103" t="s">
        <v>8</v>
      </c>
    </row>
    <row r="19" spans="2:3" ht="20.149999999999999" customHeight="1" x14ac:dyDescent="0.35">
      <c r="B19" s="17">
        <f t="shared" si="0"/>
        <v>4.1999999999999993</v>
      </c>
      <c r="C19" s="103" t="s">
        <v>9</v>
      </c>
    </row>
    <row r="20" spans="2:3" ht="20.149999999999999" customHeight="1" x14ac:dyDescent="0.35">
      <c r="B20" s="17">
        <f t="shared" si="0"/>
        <v>4.2999999999999989</v>
      </c>
      <c r="C20" s="103" t="s">
        <v>20</v>
      </c>
    </row>
    <row r="21" spans="2:3" ht="20.149999999999999" customHeight="1" x14ac:dyDescent="0.35">
      <c r="B21" s="7">
        <v>5</v>
      </c>
      <c r="C21" s="8" t="s">
        <v>182</v>
      </c>
    </row>
    <row r="22" spans="2:3" ht="20.149999999999999" customHeight="1" x14ac:dyDescent="0.35">
      <c r="B22" s="17">
        <f>B21+0.1</f>
        <v>5.0999999999999996</v>
      </c>
      <c r="C22" s="103" t="s">
        <v>104</v>
      </c>
    </row>
    <row r="23" spans="2:3" ht="20.149999999999999" customHeight="1" x14ac:dyDescent="0.35">
      <c r="B23" s="17">
        <f>B22+0.1</f>
        <v>5.1999999999999993</v>
      </c>
      <c r="C23" s="103" t="s">
        <v>103</v>
      </c>
    </row>
    <row r="24" spans="2:3" ht="20.149999999999999" customHeight="1" x14ac:dyDescent="0.35">
      <c r="B24" s="17">
        <f>B23+0.1</f>
        <v>5.2999999999999989</v>
      </c>
      <c r="C24" s="103" t="s">
        <v>28</v>
      </c>
    </row>
    <row r="25" spans="2:3" ht="20.149999999999999" customHeight="1" x14ac:dyDescent="0.35">
      <c r="B25" s="227">
        <v>6</v>
      </c>
      <c r="C25" s="8" t="s">
        <v>189</v>
      </c>
    </row>
    <row r="26" spans="2:3" ht="20.149999999999999" customHeight="1" x14ac:dyDescent="0.35">
      <c r="B26" s="17">
        <f>B25+0.1</f>
        <v>6.1</v>
      </c>
      <c r="C26" s="103" t="s">
        <v>177</v>
      </c>
    </row>
    <row r="27" spans="2:3" ht="20.149999999999999" customHeight="1" x14ac:dyDescent="0.35">
      <c r="B27" s="17">
        <f>B26+0.1</f>
        <v>6.1999999999999993</v>
      </c>
      <c r="C27" s="103" t="s">
        <v>178</v>
      </c>
    </row>
    <row r="28" spans="2:3" ht="20.149999999999999" customHeight="1" x14ac:dyDescent="0.35">
      <c r="B28" s="17"/>
    </row>
  </sheetData>
  <sheetProtection algorithmName="SHA-256" hashValue="b+TMQ8ZMXnjZEFrCpUM12YLpUXfSKQlavaWJKBc9HEE=" saltValue="RvbPqoJ+8Pm8B7x0vmDgYg==" spinCount="100000" sheet="1" objects="1" scenarios="1"/>
  <hyperlinks>
    <hyperlink ref="C22" location="'Key inputs'!A1" display="Key inputs"/>
    <hyperlink ref="C26" location="'Ausgrid adjustment'!A1" display="Ausgrid assumptions"/>
    <hyperlink ref="C27" location="'Residual check'!A1" display="Residual cross check"/>
    <hyperlink ref="C10" location="'SB wo CL'!A1" display="Small business without CL"/>
    <hyperlink ref="C9" location="'Res w CL'!A1" display="Residential with CL"/>
    <hyperlink ref="C8" location="'Res wo CL'!A1" display="Residential without CL"/>
    <hyperlink ref="C5" location="Structure!A1" display="Model Structure"/>
    <hyperlink ref="C6" location="Summary!A1" display="Summary!A1"/>
    <hyperlink ref="C12" location="Ausgrid!A1" display="Ausgrid"/>
    <hyperlink ref="C13" location="Endeavour!A1" display="Endeavour"/>
    <hyperlink ref="C14" location="Energex!A1" display="Energex"/>
    <hyperlink ref="C15" location="Essential!A1" display="Essential"/>
    <hyperlink ref="C16" location="SAPN!A1" display="SAPN"/>
    <hyperlink ref="C18" location="'Network cost'!A1" display="Network costs"/>
    <hyperlink ref="C19" location="'Wholesale cost'!A1" display="Wholesale costs"/>
    <hyperlink ref="C20" location="'Environmental cost'!A1" display="Environmental costs"/>
    <hyperlink ref="C24" location="Usage!A1" display="Usage"/>
    <hyperlink ref="C23" location="'Detail inputs'!A1" display="Detail inpu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F9:F14"/>
  <sheetViews>
    <sheetView workbookViewId="0"/>
  </sheetViews>
  <sheetFormatPr defaultColWidth="8.81640625" defaultRowHeight="14.5" x14ac:dyDescent="0.35"/>
  <cols>
    <col min="1" max="16384" width="8.81640625" style="3"/>
  </cols>
  <sheetData>
    <row r="9" spans="6:6" ht="36" x14ac:dyDescent="0.35">
      <c r="F9" s="2" t="s">
        <v>183</v>
      </c>
    </row>
    <row r="10" spans="6:6" ht="36" x14ac:dyDescent="0.35">
      <c r="F10" s="2" t="str">
        <f>"DMO "&amp;FY</f>
        <v>DMO 2021-22</v>
      </c>
    </row>
    <row r="11" spans="6:6" ht="23.5" x14ac:dyDescent="0.35">
      <c r="F11" s="4"/>
    </row>
    <row r="12" spans="6:6" ht="23.5" x14ac:dyDescent="0.35">
      <c r="F12" s="4"/>
    </row>
    <row r="13" spans="6:6" x14ac:dyDescent="0.35">
      <c r="F13" s="5"/>
    </row>
    <row r="14" spans="6:6" x14ac:dyDescent="0.35">
      <c r="F14" s="5"/>
    </row>
  </sheetData>
  <sheetProtection algorithmName="SHA-256" hashValue="+k5VcoHhiTud5uy+ekFyEFuSDu9Vltx19h6IE/vrtYs=" saltValue="BboMPARtxYM3TU8c23bqw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59"/>
  <sheetViews>
    <sheetView workbookViewId="0">
      <selection sqref="A1:B1"/>
    </sheetView>
  </sheetViews>
  <sheetFormatPr defaultColWidth="8.81640625" defaultRowHeight="14.5" x14ac:dyDescent="0.35"/>
  <cols>
    <col min="1" max="1" width="3.1796875" style="3" customWidth="1"/>
    <col min="2" max="3" width="14.1796875" style="3" customWidth="1"/>
    <col min="4" max="6" width="20.81640625" style="3" customWidth="1"/>
    <col min="7" max="9" width="12" style="3" customWidth="1"/>
    <col min="10" max="16384" width="8.81640625" style="3"/>
  </cols>
  <sheetData>
    <row r="1" spans="1:9" ht="10.4" customHeight="1" x14ac:dyDescent="0.35">
      <c r="A1" s="274" t="s">
        <v>22</v>
      </c>
      <c r="B1" s="274"/>
    </row>
    <row r="2" spans="1:9" s="14" customFormat="1" ht="22.5" customHeight="1" x14ac:dyDescent="0.35">
      <c r="A2" s="15" t="s">
        <v>106</v>
      </c>
    </row>
    <row r="4" spans="1:9" x14ac:dyDescent="0.35">
      <c r="G4" s="96"/>
      <c r="H4" s="96"/>
      <c r="I4" s="96"/>
    </row>
    <row r="5" spans="1:9" ht="15.5" x14ac:dyDescent="0.35">
      <c r="B5" s="38" t="s">
        <v>105</v>
      </c>
      <c r="G5" s="96"/>
      <c r="H5" s="96"/>
      <c r="I5" s="96"/>
    </row>
    <row r="6" spans="1:9" ht="20.149999999999999" customHeight="1" x14ac:dyDescent="0.35">
      <c r="G6" s="96"/>
      <c r="H6" s="96"/>
      <c r="I6" s="96"/>
    </row>
    <row r="7" spans="1:9" s="53" customFormat="1" ht="30" customHeight="1" x14ac:dyDescent="0.35">
      <c r="B7" s="3"/>
      <c r="C7" s="3"/>
      <c r="D7" s="3"/>
      <c r="E7" s="3"/>
      <c r="F7" s="3"/>
      <c r="G7" s="99"/>
      <c r="H7" s="99"/>
      <c r="I7" s="99"/>
    </row>
    <row r="8" spans="1:9" ht="20.149999999999999" customHeight="1" x14ac:dyDescent="0.35">
      <c r="G8" s="96"/>
      <c r="H8" s="96"/>
      <c r="I8" s="96"/>
    </row>
    <row r="9" spans="1:9" s="53" customFormat="1" ht="30" customHeight="1" x14ac:dyDescent="0.35">
      <c r="B9" s="3"/>
      <c r="C9" s="3"/>
      <c r="D9" s="3"/>
      <c r="E9" s="3"/>
      <c r="F9" s="3"/>
      <c r="G9" s="99"/>
      <c r="H9" s="99"/>
      <c r="I9" s="99"/>
    </row>
    <row r="10" spans="1:9" ht="20.149999999999999" customHeight="1" x14ac:dyDescent="0.35">
      <c r="G10" s="96"/>
      <c r="H10" s="96"/>
      <c r="I10" s="96"/>
    </row>
    <row r="11" spans="1:9" s="53" customFormat="1" ht="30" customHeight="1" x14ac:dyDescent="0.35">
      <c r="B11" s="3"/>
      <c r="C11" s="3"/>
      <c r="D11" s="3"/>
      <c r="E11" s="3"/>
      <c r="F11" s="3"/>
      <c r="G11" s="99"/>
      <c r="H11" s="99"/>
      <c r="I11" s="99"/>
    </row>
    <row r="12" spans="1:9" ht="20.149999999999999" customHeight="1" x14ac:dyDescent="0.35"/>
    <row r="13" spans="1:9" s="53" customFormat="1" ht="30" customHeight="1" x14ac:dyDescent="0.35">
      <c r="B13" s="3"/>
      <c r="C13" s="3"/>
      <c r="D13" s="3"/>
      <c r="E13" s="3"/>
      <c r="F13" s="3"/>
    </row>
    <row r="14" spans="1:9" ht="20.149999999999999" customHeight="1" x14ac:dyDescent="0.35"/>
    <row r="23" spans="1:3" x14ac:dyDescent="0.35">
      <c r="B23" s="174" t="s">
        <v>94</v>
      </c>
    </row>
    <row r="25" spans="1:3" ht="15.5" x14ac:dyDescent="0.35">
      <c r="A25" s="5"/>
      <c r="B25" s="38" t="s">
        <v>154</v>
      </c>
    </row>
    <row r="26" spans="1:3" x14ac:dyDescent="0.35">
      <c r="B26" s="3" t="s">
        <v>138</v>
      </c>
      <c r="C26" s="3" t="s">
        <v>139</v>
      </c>
    </row>
    <row r="27" spans="1:3" x14ac:dyDescent="0.35">
      <c r="B27" s="3" t="s">
        <v>18</v>
      </c>
      <c r="C27" s="3" t="s">
        <v>136</v>
      </c>
    </row>
    <row r="28" spans="1:3" x14ac:dyDescent="0.35">
      <c r="B28" s="3" t="s">
        <v>43</v>
      </c>
      <c r="C28" s="3" t="s">
        <v>137</v>
      </c>
    </row>
    <row r="29" spans="1:3" x14ac:dyDescent="0.35">
      <c r="B29" s="3" t="s">
        <v>5</v>
      </c>
      <c r="C29" s="3" t="s">
        <v>165</v>
      </c>
    </row>
    <row r="30" spans="1:3" x14ac:dyDescent="0.35">
      <c r="B30" s="3" t="s">
        <v>57</v>
      </c>
      <c r="C30" s="3" t="s">
        <v>107</v>
      </c>
    </row>
    <row r="31" spans="1:3" x14ac:dyDescent="0.35">
      <c r="B31" s="3" t="s">
        <v>58</v>
      </c>
      <c r="C31" s="3" t="s">
        <v>108</v>
      </c>
    </row>
    <row r="32" spans="1:3" x14ac:dyDescent="0.35">
      <c r="B32" s="3" t="s">
        <v>64</v>
      </c>
      <c r="C32" s="3" t="s">
        <v>109</v>
      </c>
    </row>
    <row r="33" spans="2:3" x14ac:dyDescent="0.35">
      <c r="B33" s="3" t="s">
        <v>59</v>
      </c>
      <c r="C33" s="3" t="s">
        <v>110</v>
      </c>
    </row>
    <row r="34" spans="2:3" x14ac:dyDescent="0.35">
      <c r="B34" s="3" t="s">
        <v>192</v>
      </c>
      <c r="C34" s="3" t="s">
        <v>164</v>
      </c>
    </row>
    <row r="35" spans="2:3" x14ac:dyDescent="0.35">
      <c r="B35" s="3" t="s">
        <v>87</v>
      </c>
      <c r="C35" s="3" t="s">
        <v>111</v>
      </c>
    </row>
    <row r="36" spans="2:3" x14ac:dyDescent="0.35">
      <c r="B36" s="3" t="s">
        <v>68</v>
      </c>
      <c r="C36" s="3" t="s">
        <v>112</v>
      </c>
    </row>
    <row r="37" spans="2:3" x14ac:dyDescent="0.35">
      <c r="B37" s="3" t="s">
        <v>79</v>
      </c>
      <c r="C37" s="3" t="s">
        <v>113</v>
      </c>
    </row>
    <row r="38" spans="2:3" x14ac:dyDescent="0.35">
      <c r="B38" s="3" t="s">
        <v>80</v>
      </c>
      <c r="C38" s="3" t="s">
        <v>114</v>
      </c>
    </row>
    <row r="39" spans="2:3" x14ac:dyDescent="0.35">
      <c r="B39" s="3" t="s">
        <v>88</v>
      </c>
      <c r="C39" s="3" t="s">
        <v>172</v>
      </c>
    </row>
    <row r="40" spans="2:3" x14ac:dyDescent="0.35">
      <c r="B40" s="3" t="s">
        <v>115</v>
      </c>
      <c r="C40" s="3" t="s">
        <v>163</v>
      </c>
    </row>
    <row r="41" spans="2:3" x14ac:dyDescent="0.35">
      <c r="B41" s="3" t="s">
        <v>116</v>
      </c>
      <c r="C41" s="3" t="s">
        <v>118</v>
      </c>
    </row>
    <row r="42" spans="2:3" x14ac:dyDescent="0.35">
      <c r="B42" s="3" t="s">
        <v>117</v>
      </c>
      <c r="C42" s="3" t="s">
        <v>119</v>
      </c>
    </row>
    <row r="43" spans="2:3" x14ac:dyDescent="0.35">
      <c r="B43" s="3" t="s">
        <v>81</v>
      </c>
      <c r="C43" s="3" t="s">
        <v>162</v>
      </c>
    </row>
    <row r="44" spans="2:3" x14ac:dyDescent="0.35">
      <c r="B44" s="3" t="s">
        <v>161</v>
      </c>
      <c r="C44" s="3" t="s">
        <v>120</v>
      </c>
    </row>
    <row r="45" spans="2:3" x14ac:dyDescent="0.35">
      <c r="B45" s="3" t="s">
        <v>121</v>
      </c>
      <c r="C45" s="3" t="s">
        <v>128</v>
      </c>
    </row>
    <row r="46" spans="2:3" x14ac:dyDescent="0.35">
      <c r="B46" s="3" t="s">
        <v>122</v>
      </c>
      <c r="C46" s="3" t="s">
        <v>129</v>
      </c>
    </row>
    <row r="47" spans="2:3" x14ac:dyDescent="0.35">
      <c r="B47" s="3" t="s">
        <v>123</v>
      </c>
      <c r="C47" s="3" t="s">
        <v>130</v>
      </c>
    </row>
    <row r="48" spans="2:3" x14ac:dyDescent="0.35">
      <c r="B48" s="3" t="s">
        <v>124</v>
      </c>
      <c r="C48" s="3" t="s">
        <v>131</v>
      </c>
    </row>
    <row r="49" spans="2:3" x14ac:dyDescent="0.35">
      <c r="B49" s="3" t="s">
        <v>83</v>
      </c>
      <c r="C49" s="3" t="s">
        <v>132</v>
      </c>
    </row>
    <row r="50" spans="2:3" x14ac:dyDescent="0.35">
      <c r="B50" s="3" t="s">
        <v>84</v>
      </c>
      <c r="C50" s="3" t="s">
        <v>133</v>
      </c>
    </row>
    <row r="51" spans="2:3" x14ac:dyDescent="0.35">
      <c r="B51" s="3" t="s">
        <v>85</v>
      </c>
      <c r="C51" s="3" t="s">
        <v>135</v>
      </c>
    </row>
    <row r="52" spans="2:3" x14ac:dyDescent="0.35">
      <c r="B52" s="3" t="s">
        <v>89</v>
      </c>
      <c r="C52" s="3" t="s">
        <v>134</v>
      </c>
    </row>
    <row r="53" spans="2:3" x14ac:dyDescent="0.35">
      <c r="B53" s="3" t="s">
        <v>82</v>
      </c>
      <c r="C53" s="3" t="s">
        <v>127</v>
      </c>
    </row>
    <row r="54" spans="2:3" x14ac:dyDescent="0.35">
      <c r="B54" s="3" t="s">
        <v>125</v>
      </c>
      <c r="C54" s="3" t="s">
        <v>173</v>
      </c>
    </row>
    <row r="55" spans="2:3" x14ac:dyDescent="0.35">
      <c r="B55" s="3" t="s">
        <v>126</v>
      </c>
      <c r="C55" s="3" t="s">
        <v>174</v>
      </c>
    </row>
    <row r="56" spans="2:3" x14ac:dyDescent="0.35">
      <c r="B56" s="3" t="s">
        <v>140</v>
      </c>
      <c r="C56" s="3" t="s">
        <v>141</v>
      </c>
    </row>
    <row r="57" spans="2:3" x14ac:dyDescent="0.35">
      <c r="B57" s="3" t="s">
        <v>142</v>
      </c>
      <c r="C57" s="3" t="s">
        <v>143</v>
      </c>
    </row>
    <row r="58" spans="2:3" x14ac:dyDescent="0.35">
      <c r="B58" s="3" t="s">
        <v>155</v>
      </c>
      <c r="C58" s="3" t="s">
        <v>156</v>
      </c>
    </row>
    <row r="59" spans="2:3" x14ac:dyDescent="0.35">
      <c r="B59" s="3" t="s">
        <v>205</v>
      </c>
      <c r="C59" s="3" t="s">
        <v>206</v>
      </c>
    </row>
  </sheetData>
  <sheetProtection algorithmName="SHA-256" hashValue="W9HNso2G70b6FjyJu6b0sIn8kRjfnPHwfhsZNlJO06w=" saltValue="MsOqIVSgQ0Fo/6UFEukUuA==" spinCount="100000" sheet="1" objects="1" scenarios="1"/>
  <mergeCells count="1">
    <mergeCell ref="A1:B1"/>
  </mergeCells>
  <hyperlinks>
    <hyperlink ref="A1" location="Index!A1" display="&lt;&lt;Back to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65"/>
  <sheetViews>
    <sheetView workbookViewId="0">
      <pane ySplit="7" topLeftCell="A8" activePane="bottomLeft" state="frozen"/>
      <selection pane="bottomLeft" sqref="A1:B1"/>
    </sheetView>
  </sheetViews>
  <sheetFormatPr defaultColWidth="8.81640625" defaultRowHeight="14.5" x14ac:dyDescent="0.35"/>
  <cols>
    <col min="1" max="1" width="3.1796875" style="3" customWidth="1"/>
    <col min="2" max="2" width="14.1796875" style="3" customWidth="1"/>
    <col min="3" max="3" width="11.81640625" style="3" customWidth="1"/>
    <col min="4" max="9" width="10.81640625" style="3" customWidth="1"/>
    <col min="10" max="11" width="12" style="97" customWidth="1"/>
    <col min="12" max="14" width="13.1796875" style="3" customWidth="1"/>
    <col min="15" max="15" width="13.81640625" style="3" customWidth="1"/>
    <col min="16" max="16" width="13.1796875" style="3" customWidth="1"/>
    <col min="17" max="17" width="14.81640625" style="3" customWidth="1"/>
    <col min="18" max="19" width="8.81640625" style="3"/>
    <col min="20" max="22" width="13.1796875" style="3" customWidth="1"/>
    <col min="23" max="23" width="14.1796875" style="3" customWidth="1"/>
    <col min="24" max="24" width="13.1796875" style="3" customWidth="1"/>
    <col min="25" max="16384" width="8.81640625" style="3"/>
  </cols>
  <sheetData>
    <row r="1" spans="1:24" ht="10.4" customHeight="1" x14ac:dyDescent="0.35">
      <c r="A1" s="274" t="s">
        <v>22</v>
      </c>
      <c r="B1" s="300"/>
    </row>
    <row r="2" spans="1:24" s="14" customFormat="1" ht="22.5" customHeight="1" x14ac:dyDescent="0.35">
      <c r="A2" s="15" t="str">
        <f>"DMO "&amp;FY&amp;" "&amp;'Key inputs'!C8&amp;" Determination Prices and Cost Changes"</f>
        <v>DMO 2021-22 Final Determination Prices and Cost Changes</v>
      </c>
      <c r="J2" s="236"/>
      <c r="K2" s="236"/>
    </row>
    <row r="3" spans="1:24" x14ac:dyDescent="0.35">
      <c r="B3" s="139"/>
      <c r="L3" s="5"/>
      <c r="M3" s="21"/>
      <c r="N3" s="21"/>
      <c r="O3" s="21"/>
      <c r="P3" s="21"/>
    </row>
    <row r="4" spans="1:24" ht="15.5" x14ac:dyDescent="0.35">
      <c r="B4" s="38" t="str">
        <f>"DMO "&amp;FY&amp;" Final Determination Prices"</f>
        <v>DMO 2021-22 Final Determination Prices</v>
      </c>
      <c r="L4" s="38" t="str">
        <f>"Summary of cost changes from DMO "&amp;PY&amp;" to DMO "&amp;FY</f>
        <v>Summary of cost changes from DMO 2020-21 to DMO 2021-22</v>
      </c>
      <c r="M4" s="21"/>
      <c r="N4" s="21"/>
      <c r="O4" s="21"/>
      <c r="P4" s="21"/>
      <c r="T4" s="38" t="str">
        <f>"Proportion of costs in base DMO "&amp;PY</f>
        <v>Proportion of costs in base DMO 2020-21</v>
      </c>
    </row>
    <row r="5" spans="1:24" ht="15.5" x14ac:dyDescent="0.35">
      <c r="B5" s="139" t="s">
        <v>144</v>
      </c>
      <c r="L5" s="38"/>
      <c r="M5" s="21"/>
      <c r="N5" s="21"/>
      <c r="O5" s="21"/>
      <c r="P5" s="21"/>
    </row>
    <row r="6" spans="1:24" ht="15.65" customHeight="1" x14ac:dyDescent="0.35">
      <c r="B6" s="299" t="s">
        <v>1</v>
      </c>
      <c r="C6" s="180"/>
      <c r="D6" s="282" t="s">
        <v>6</v>
      </c>
      <c r="E6" s="282"/>
      <c r="F6" s="282" t="s">
        <v>6</v>
      </c>
      <c r="G6" s="282"/>
      <c r="H6" s="282" t="s">
        <v>86</v>
      </c>
      <c r="I6" s="301"/>
      <c r="J6" s="177"/>
      <c r="K6" s="177"/>
      <c r="L6" s="275" t="s">
        <v>36</v>
      </c>
      <c r="M6" s="275" t="s">
        <v>69</v>
      </c>
      <c r="N6" s="275" t="s">
        <v>70</v>
      </c>
      <c r="O6" s="275" t="s">
        <v>71</v>
      </c>
      <c r="P6" s="275" t="s">
        <v>72</v>
      </c>
      <c r="Q6" s="275" t="s">
        <v>78</v>
      </c>
      <c r="T6" s="275" t="s">
        <v>36</v>
      </c>
      <c r="U6" s="275" t="s">
        <v>69</v>
      </c>
      <c r="V6" s="275" t="s">
        <v>70</v>
      </c>
      <c r="W6" s="275" t="s">
        <v>71</v>
      </c>
      <c r="X6" s="275" t="s">
        <v>72</v>
      </c>
    </row>
    <row r="7" spans="1:24" ht="15.5" x14ac:dyDescent="0.35">
      <c r="B7" s="299"/>
      <c r="C7" s="180"/>
      <c r="D7" s="283" t="s">
        <v>150</v>
      </c>
      <c r="E7" s="283"/>
      <c r="F7" s="283" t="s">
        <v>151</v>
      </c>
      <c r="G7" s="283"/>
      <c r="H7" s="283" t="s">
        <v>150</v>
      </c>
      <c r="I7" s="302"/>
      <c r="J7" s="177"/>
      <c r="K7" s="177"/>
      <c r="L7" s="275"/>
      <c r="M7" s="275"/>
      <c r="N7" s="275"/>
      <c r="O7" s="275"/>
      <c r="P7" s="275"/>
      <c r="Q7" s="275"/>
      <c r="T7" s="275"/>
      <c r="U7" s="275"/>
      <c r="V7" s="275"/>
      <c r="W7" s="275"/>
      <c r="X7" s="275"/>
    </row>
    <row r="8" spans="1:24" s="53" customFormat="1" ht="30" customHeight="1" x14ac:dyDescent="0.35">
      <c r="B8" s="62" t="s">
        <v>2</v>
      </c>
      <c r="C8" s="178" t="s">
        <v>93</v>
      </c>
      <c r="D8" s="278">
        <f t="array" aca="1" ref="D8" ca="1">INDEX(INDIRECT("'"&amp;$B8&amp;"'!$B$6:$F$15"),MATCH("DMO "&amp;FY&amp;" price ($ pa, inc GST)",INDIRECT("'"&amp;$B8&amp;"'!$B$6:$B$15"),0),MATCH(D$6&amp;D$7,INDIRECT("'"&amp;$B8&amp;"'!$B$6:$E$6")&amp;INDIRECT("'"&amp;$B8&amp;"'!$B$7:$E$7"),0))</f>
        <v>1393</v>
      </c>
      <c r="E8" s="278"/>
      <c r="F8" s="278">
        <f t="array" aca="1" ref="F8" ca="1">INDEX(INDIRECT("'"&amp;$B8&amp;"'!$B$6:$F$15"),MATCH("DMO "&amp;FY&amp;" price ($ pa, inc GST)",INDIRECT("'"&amp;$B8&amp;"'!$B$6:$B$15"),0),MATCH(F$6&amp;F$7,INDIRECT("'"&amp;$B8&amp;"'!$B$6:$E$6")&amp;INDIRECT("'"&amp;$B8&amp;"'!$B$7:$E$7"),0))</f>
        <v>1912</v>
      </c>
      <c r="G8" s="278"/>
      <c r="H8" s="278">
        <f t="array" aca="1" ref="H8" ca="1">INDEX(INDIRECT("'"&amp;$B8&amp;"'!$B$6:$F$15"),MATCH("DMO "&amp;FY&amp;" price ($ pa, inc GST)",INDIRECT("'"&amp;$B8&amp;"'!$B$6:$B$15"),0),MATCH(H$6&amp;H$7,INDIRECT("'"&amp;$B8&amp;"'!$B$6:$E$6")&amp;INDIRECT("'"&amp;$B8&amp;"'!$B$7:$E$7"),0))</f>
        <v>6900</v>
      </c>
      <c r="I8" s="279"/>
      <c r="J8" s="226"/>
      <c r="K8" s="226"/>
      <c r="L8" s="5" t="str">
        <f>R8&amp;" "&amp;S8</f>
        <v>Residential without CL</v>
      </c>
      <c r="M8" s="21"/>
      <c r="N8" s="21"/>
      <c r="O8" s="213"/>
      <c r="P8" s="213"/>
      <c r="Q8" s="213"/>
      <c r="R8" s="214" t="s">
        <v>6</v>
      </c>
      <c r="S8" s="214" t="s">
        <v>150</v>
      </c>
      <c r="T8" s="5" t="str">
        <f>L8</f>
        <v>Residential without CL</v>
      </c>
      <c r="U8" s="21"/>
      <c r="V8" s="21"/>
      <c r="W8" s="213"/>
      <c r="X8" s="213"/>
    </row>
    <row r="9" spans="1:24" ht="12.65" customHeight="1" x14ac:dyDescent="0.35">
      <c r="B9" s="98" t="s">
        <v>2</v>
      </c>
      <c r="C9" s="294" t="s">
        <v>175</v>
      </c>
      <c r="D9" s="280" t="str">
        <f t="array" aca="1" ref="D9" ca="1">INDEX(INDIRECT("'"&amp;$B8&amp;"'!$B$6:$F$15"),MATCH("Annual usage (kWh)",INDIRECT("'"&amp;$B8&amp;"'!$B$6:$B$15"),0),MATCH(D$6&amp;D$7,INDIRECT("'"&amp;$B8&amp;"'!$B$6:$E$6")&amp;INDIRECT("'"&amp;$B8&amp;"'!$B$7:$E$7"),0))&amp;" kWh"</f>
        <v>3900 kWh</v>
      </c>
      <c r="E9" s="280"/>
      <c r="F9" s="276" t="str">
        <f t="array" aca="1" ref="F9" ca="1">"Flat rate "&amp;INDEX(INDIRECT("'"&amp;$B8&amp;"'!$B$6:$F$15"),MATCH("Flat rate usage (kWh)",INDIRECT("'"&amp;$B8&amp;"'!$B$6:$B$15"),0),MATCH(F$6&amp;F$7,INDIRECT("'"&amp;$B8&amp;"'!$B$6:$E$6")&amp;INDIRECT("'"&amp;$B8&amp;"'!$B$7:$E$7"),0))&amp;" kWh"</f>
        <v>Flat rate 4800 kWh</v>
      </c>
      <c r="G9" s="277"/>
      <c r="H9" s="280" t="str">
        <f t="array" aca="1" ref="H9" ca="1">INDEX(INDIRECT("'"&amp;$B8&amp;"'!$B$6:$F$15"),MATCH("Annual usage (kWh)",INDIRECT("'"&amp;$B8&amp;"'!$B$6:$B$15"),0),MATCH(H$6&amp;H$7,INDIRECT("'"&amp;$B8&amp;"'!$B$6:$E$6")&amp;INDIRECT("'"&amp;$B8&amp;"'!$B$7:$E$7"),0))&amp;" kWh"</f>
        <v>20000 kWh</v>
      </c>
      <c r="I9" s="281"/>
      <c r="L9" s="3" t="s">
        <v>2</v>
      </c>
      <c r="M9" s="194">
        <f t="array" aca="1" ref="M9" ca="1">INDEX(INDIRECT("'"&amp;$L9&amp;"'!F23:AJ38"),MATCH(M$6,INDIRECT("'"&amp;$L9&amp;"'!F23:F38"),0),MATCH($R9&amp;$S9&amp;"Change",INDIRECT("'"&amp;$L9&amp;"'!F23:AJ23")&amp;INDIRECT("'"&amp;$L9&amp;"'!F24:AJ24")&amp;INDIRECT("'"&amp;$L9&amp;"'!F30:AJ30"),0))</f>
        <v>3.0592239621422435E-2</v>
      </c>
      <c r="N9" s="194">
        <f t="array" aca="1" ref="N9" ca="1">INDEX(INDIRECT("'"&amp;$L9&amp;"'!F23:AJ38"),MATCH(N$6,INDIRECT("'"&amp;$L9&amp;"'!F23:F38"),0),MATCH($R9&amp;$S9&amp;"Change",INDIRECT("'"&amp;$L9&amp;"'!F23:AJ23")&amp;INDIRECT("'"&amp;$L9&amp;"'!F24:AJ24")&amp;INDIRECT("'"&amp;$L9&amp;"'!F30:AJ30"),0))</f>
        <v>-0.20817576084999101</v>
      </c>
      <c r="O9" s="194">
        <f t="array" aca="1" ref="O9" ca="1">INDEX(INDIRECT("'"&amp;$L9&amp;"'!F23:AJ38"),MATCH(O$6,INDIRECT("'"&amp;$L9&amp;"'!F23:F38"),0),MATCH($R9&amp;$S9&amp;"Change",INDIRECT("'"&amp;$L9&amp;"'!F23:AJ23")&amp;INDIRECT("'"&amp;$L9&amp;"'!F24:AJ24")&amp;INDIRECT("'"&amp;$L9&amp;"'!F30:AJ30"),0))</f>
        <v>0.11648223645894018</v>
      </c>
      <c r="P9" s="229">
        <f>CPI</f>
        <v>1.4999999999999999E-2</v>
      </c>
      <c r="Q9" s="195">
        <f t="array" aca="1" ref="Q9" ca="1">INDEX(INDIRECT("'"&amp;$L9&amp;"'!$B$6:$F$16"),MATCH("Change from DMO "&amp;PY&amp;" price (%)",INDIRECT("'"&amp;$L9&amp;"'!$B$6:$B$16"),0),MATCH($R9&amp;$S9,INDIRECT("'"&amp;$L9&amp;"'!$B$6:$E$6")&amp;INDIRECT("'"&amp;$L9&amp;"'!$B$7:$E$7"),0))</f>
        <v>-4.7195622435020512E-2</v>
      </c>
      <c r="R9" s="97" t="str">
        <f t="shared" ref="R9:S13" si="0">R8</f>
        <v>Residential</v>
      </c>
      <c r="S9" s="97" t="str">
        <f t="shared" si="0"/>
        <v>without CL</v>
      </c>
      <c r="T9" s="3" t="s">
        <v>2</v>
      </c>
      <c r="U9" s="241">
        <f t="array" aca="1" ref="U9" ca="1">INDEX(INDIRECT("'"&amp;$T9&amp;"'!F23:AJ38"),MATCH(U$6,INDIRECT("'"&amp;$T9&amp;"'!F23:F38"),0),MATCH($R9&amp;$S9&amp;"Proportion",INDIRECT("'"&amp;$T9&amp;"'!F23:AJ23")&amp;INDIRECT("'"&amp;$T9&amp;"'!F24:AJ24")&amp;INDIRECT("'"&amp;$T9&amp;"'!F30:AJ30"),0))</f>
        <v>0.36943738132694942</v>
      </c>
      <c r="V9" s="241">
        <f t="array" aca="1" ref="V9" ca="1">INDEX(INDIRECT("'"&amp;$T9&amp;"'!F23:AJ38"),MATCH(V$6,INDIRECT("'"&amp;$T9&amp;"'!F23:F38"),0),MATCH($R9&amp;$S9&amp;"Proportion",INDIRECT("'"&amp;$T9&amp;"'!F23:AJ23")&amp;INDIRECT("'"&amp;$T9&amp;"'!F24:AJ24")&amp;INDIRECT("'"&amp;$T9&amp;"'!F30:AJ30"),0))</f>
        <v>0.32588741450068398</v>
      </c>
      <c r="W9" s="241">
        <f t="array" aca="1" ref="W9" ca="1">INDEX(INDIRECT("'"&amp;$T9&amp;"'!F23:AJ38"),MATCH(W$6,INDIRECT("'"&amp;$T9&amp;"'!F23:F38"),0),MATCH($R9&amp;$S9&amp;"Proportion",INDIRECT("'"&amp;$T9&amp;"'!F23:AJ23")&amp;INDIRECT("'"&amp;$T9&amp;"'!F24:AJ24")&amp;INDIRECT("'"&amp;$T9&amp;"'!F30:AJ30"),0))</f>
        <v>5.0382558139534878E-2</v>
      </c>
      <c r="X9" s="241">
        <f t="array" aca="1" ref="X9" ca="1">INDEX(INDIRECT("'"&amp;$T9&amp;"'!F23:AJ38"),MATCH(X$6,INDIRECT("'"&amp;$T9&amp;"'!F23:F38"),0),MATCH($R9&amp;$S9&amp;"Proportion",INDIRECT("'"&amp;$T9&amp;"'!F23:AJ23")&amp;INDIRECT("'"&amp;$T9&amp;"'!F24:AJ24")&amp;INDIRECT("'"&amp;$T9&amp;"'!F30:AJ30"),0))</f>
        <v>0.25429264603283169</v>
      </c>
    </row>
    <row r="10" spans="1:24" ht="12.65" customHeight="1" x14ac:dyDescent="0.35">
      <c r="B10" s="98"/>
      <c r="C10" s="294"/>
      <c r="D10" s="181"/>
      <c r="E10" s="182"/>
      <c r="F10" s="276" t="str">
        <f t="array" aca="1" ref="F10" ca="1">"+ CL "&amp;INDEX(INDIRECT("'"&amp;$B8&amp;"'!$B$6:$F$15"),MATCH("Controlled load usage (kWh)",INDIRECT("'"&amp;$B8&amp;"'!$B$6:$B$15"),0),MATCH(F$6&amp;F$7,INDIRECT("'"&amp;$B8&amp;"'!$B$6:$E$6")&amp;INDIRECT("'"&amp;$B8&amp;"'!$B$7:$E$7"),0))&amp;" kWh"</f>
        <v>+ CL 2000 kWh</v>
      </c>
      <c r="G10" s="277"/>
      <c r="H10" s="181"/>
      <c r="I10" s="171"/>
      <c r="L10" s="3" t="s">
        <v>4</v>
      </c>
      <c r="M10" s="194">
        <f t="array" aca="1" ref="M10" ca="1">INDEX(INDIRECT("'"&amp;$L10&amp;"'!F23:AJ38"),MATCH(M$6,INDIRECT("'"&amp;$L10&amp;"'!F23:F38"),0),MATCH($R10&amp;$S10&amp;"Change",INDIRECT("'"&amp;$L10&amp;"'!F23:AJ23")&amp;INDIRECT("'"&amp;$L10&amp;"'!F24:AJ24")&amp;INDIRECT("'"&amp;$L10&amp;"'!F30:AJ30"),0))</f>
        <v>1.843964563385958E-2</v>
      </c>
      <c r="N10" s="194">
        <f t="array" aca="1" ref="N10" ca="1">INDEX(INDIRECT("'"&amp;$L10&amp;"'!F23:AJ38"),MATCH(N$6,INDIRECT("'"&amp;$L10&amp;"'!F23:F38"),0),MATCH($R10&amp;$S10&amp;"Change",INDIRECT("'"&amp;$L10&amp;"'!F23:AJ23")&amp;INDIRECT("'"&amp;$L10&amp;"'!F24:AJ24")&amp;INDIRECT("'"&amp;$L10&amp;"'!F30:AJ30"),0))</f>
        <v>-0.21377037498886609</v>
      </c>
      <c r="O10" s="194">
        <f t="array" aca="1" ref="O10" ca="1">INDEX(INDIRECT("'"&amp;$L10&amp;"'!F23:AJ38"),MATCH(O$6,INDIRECT("'"&amp;$L10&amp;"'!F23:F38"),0),MATCH($R10&amp;$S10&amp;"Change",INDIRECT("'"&amp;$L10&amp;"'!F23:AJ23")&amp;INDIRECT("'"&amp;$L10&amp;"'!F24:AJ24")&amp;INDIRECT("'"&amp;$L10&amp;"'!F30:AJ30"),0))</f>
        <v>0.1123271889400923</v>
      </c>
      <c r="P10" s="229">
        <f>CPI</f>
        <v>1.4999999999999999E-2</v>
      </c>
      <c r="Q10" s="195">
        <f t="array" aca="1" ref="Q10" ca="1">INDEX(INDIRECT("'"&amp;$L10&amp;"'!$B$6:$F$16"),MATCH("Change from DMO "&amp;PY&amp;" price (%)",INDIRECT("'"&amp;$L10&amp;"'!$B$6:$B$16"),0),MATCH($R10&amp;$S10,INDIRECT("'"&amp;$L10&amp;"'!$B$6:$E$6")&amp;INDIRECT("'"&amp;$L10&amp;"'!$B$7:$E$7"),0))</f>
        <v>-5.9614260666277064E-2</v>
      </c>
      <c r="R10" s="97" t="str">
        <f t="shared" si="0"/>
        <v>Residential</v>
      </c>
      <c r="S10" s="97" t="str">
        <f t="shared" si="0"/>
        <v>without CL</v>
      </c>
      <c r="T10" s="3" t="s">
        <v>4</v>
      </c>
      <c r="U10" s="241">
        <f t="array" aca="1" ref="U10" ca="1">INDEX(INDIRECT("'"&amp;$T10&amp;"'!F23:AJ38"),MATCH(U$6,INDIRECT("'"&amp;$T10&amp;"'!F23:F38"),0),MATCH($R10&amp;$S10&amp;"Proportion",INDIRECT("'"&amp;$T10&amp;"'!F23:AJ23")&amp;INDIRECT("'"&amp;$T10&amp;"'!F24:AJ24")&amp;INDIRECT("'"&amp;$T10&amp;"'!F30:AJ30"),0))</f>
        <v>0.3573945002922268</v>
      </c>
      <c r="V10" s="241">
        <f t="array" aca="1" ref="V10" ca="1">INDEX(INDIRECT("'"&amp;$T10&amp;"'!F23:AJ38"),MATCH(V$6,INDIRECT("'"&amp;$T10&amp;"'!F23:F38"),0),MATCH($R10&amp;$S10&amp;"Proportion",INDIRECT("'"&amp;$T10&amp;"'!F23:AJ23")&amp;INDIRECT("'"&amp;$T10&amp;"'!F24:AJ24")&amp;INDIRECT("'"&amp;$T10&amp;"'!F30:AJ30"),0))</f>
        <v>0.35367346580946818</v>
      </c>
      <c r="W10" s="241">
        <f t="array" aca="1" ref="W10" ca="1">INDEX(INDIRECT("'"&amp;$T10&amp;"'!F23:AJ38"),MATCH(W$6,INDIRECT("'"&amp;$T10&amp;"'!F23:F38"),0),MATCH($R10&amp;$S10&amp;"Proportion",INDIRECT("'"&amp;$T10&amp;"'!F23:AJ23")&amp;INDIRECT("'"&amp;$T10&amp;"'!F24:AJ24")&amp;INDIRECT("'"&amp;$T10&amp;"'!F30:AJ30"),0))</f>
        <v>5.468755113968439E-2</v>
      </c>
      <c r="X10" s="241">
        <f t="array" aca="1" ref="X10" ca="1">INDEX(INDIRECT("'"&amp;$T10&amp;"'!F23:AJ38"),MATCH(X$6,INDIRECT("'"&amp;$T10&amp;"'!F23:F38"),0),MATCH($R10&amp;$S10&amp;"Proportion",INDIRECT("'"&amp;$T10&amp;"'!F23:AJ23")&amp;INDIRECT("'"&amp;$T10&amp;"'!F24:AJ24")&amp;INDIRECT("'"&amp;$T10&amp;"'!F30:AJ30"),0))</f>
        <v>0.23424448275862059</v>
      </c>
    </row>
    <row r="11" spans="1:24" ht="12.65" customHeight="1" x14ac:dyDescent="0.35">
      <c r="B11" s="98"/>
      <c r="C11" s="202"/>
      <c r="D11" s="206"/>
      <c r="E11" s="208"/>
      <c r="F11" s="200"/>
      <c r="G11" s="201"/>
      <c r="H11" s="206"/>
      <c r="I11" s="207"/>
      <c r="L11" s="3" t="s">
        <v>3</v>
      </c>
      <c r="M11" s="194">
        <f t="array" aca="1" ref="M11" ca="1">INDEX(INDIRECT("'"&amp;$L11&amp;"'!F23:AJ38"),MATCH(M$6,INDIRECT("'"&amp;$L11&amp;"'!F23:F38"),0),MATCH($R11&amp;$S11&amp;"Change",INDIRECT("'"&amp;$L11&amp;"'!F23:AJ23")&amp;INDIRECT("'"&amp;$L11&amp;"'!F24:AJ24")&amp;INDIRECT("'"&amp;$L11&amp;"'!F30:AJ30"),0))</f>
        <v>5.407847088915152E-2</v>
      </c>
      <c r="N11" s="194">
        <f t="array" aca="1" ref="N11" ca="1">INDEX(INDIRECT("'"&amp;$L11&amp;"'!F23:AJ38"),MATCH(N$6,INDIRECT("'"&amp;$L11&amp;"'!F23:F38"),0),MATCH($R11&amp;$S11&amp;"Change",INDIRECT("'"&amp;$L11&amp;"'!F23:AJ23")&amp;INDIRECT("'"&amp;$L11&amp;"'!F24:AJ24")&amp;INDIRECT("'"&amp;$L11&amp;"'!F30:AJ30"),0))</f>
        <v>-0.22376811594202906</v>
      </c>
      <c r="O11" s="194">
        <f t="array" aca="1" ref="O11" ca="1">INDEX(INDIRECT("'"&amp;$L11&amp;"'!F23:AJ38"),MATCH(O$6,INDIRECT("'"&amp;$L11&amp;"'!F23:F38"),0),MATCH($R11&amp;$S11&amp;"Change",INDIRECT("'"&amp;$L11&amp;"'!F23:AJ23")&amp;INDIRECT("'"&amp;$L11&amp;"'!F24:AJ24")&amp;INDIRECT("'"&amp;$L11&amp;"'!F30:AJ30"),0))</f>
        <v>0.10376811594202895</v>
      </c>
      <c r="P11" s="229">
        <f>CPI</f>
        <v>1.4999999999999999E-2</v>
      </c>
      <c r="Q11" s="195">
        <f t="array" aca="1" ref="Q11" ca="1">INDEX(INDIRECT("'"&amp;$L11&amp;"'!$B$6:$F$16"),MATCH("Change from DMO "&amp;PY&amp;" price (%)",INDIRECT("'"&amp;$L11&amp;"'!$B$6:$B$16"),0),MATCH($R11&amp;$S11,INDIRECT("'"&amp;$L11&amp;"'!$B$6:$E$6")&amp;INDIRECT("'"&amp;$L11&amp;"'!$B$7:$E$7"),0))</f>
        <v>-2.7040816326530659E-2</v>
      </c>
      <c r="R11" s="97" t="str">
        <f t="shared" si="0"/>
        <v>Residential</v>
      </c>
      <c r="S11" s="97" t="str">
        <f t="shared" si="0"/>
        <v>without CL</v>
      </c>
      <c r="T11" s="3" t="s">
        <v>3</v>
      </c>
      <c r="U11" s="241">
        <f t="array" aca="1" ref="U11" ca="1">INDEX(INDIRECT("'"&amp;$T11&amp;"'!F23:AJ38"),MATCH(U$6,INDIRECT("'"&amp;$T11&amp;"'!F23:F38"),0),MATCH($R11&amp;$S11&amp;"Proportion",INDIRECT("'"&amp;$T11&amp;"'!F23:AJ23")&amp;INDIRECT("'"&amp;$T11&amp;"'!F24:AJ24")&amp;INDIRECT("'"&amp;$T11&amp;"'!F30:AJ30"),0))</f>
        <v>0.46082109183673475</v>
      </c>
      <c r="V11" s="241">
        <f t="array" aca="1" ref="V11" ca="1">INDEX(INDIRECT("'"&amp;$T11&amp;"'!F23:AJ38"),MATCH(V$6,INDIRECT("'"&amp;$T11&amp;"'!F23:F38"),0),MATCH($R11&amp;$S11&amp;"Proportion",INDIRECT("'"&amp;$T11&amp;"'!F23:AJ23")&amp;INDIRECT("'"&amp;$T11&amp;"'!F24:AJ24")&amp;INDIRECT("'"&amp;$T11&amp;"'!F30:AJ30"),0))</f>
        <v>0.26719897959183675</v>
      </c>
      <c r="W11" s="241">
        <f t="array" aca="1" ref="W11" ca="1">INDEX(INDIRECT("'"&amp;$T11&amp;"'!F23:AJ38"),MATCH(W$6,INDIRECT("'"&amp;$T11&amp;"'!F23:F38"),0),MATCH($R11&amp;$S11&amp;"Proportion",INDIRECT("'"&amp;$T11&amp;"'!F23:AJ23")&amp;INDIRECT("'"&amp;$T11&amp;"'!F24:AJ24")&amp;INDIRECT("'"&amp;$T11&amp;"'!F30:AJ30"),0))</f>
        <v>4.4533163265306118E-2</v>
      </c>
      <c r="X11" s="241">
        <f t="array" aca="1" ref="X11" ca="1">INDEX(INDIRECT("'"&amp;$T11&amp;"'!F23:AJ38"),MATCH(X$6,INDIRECT("'"&amp;$T11&amp;"'!F23:F38"),0),MATCH($R11&amp;$S11&amp;"Proportion",INDIRECT("'"&amp;$T11&amp;"'!F23:AJ23")&amp;INDIRECT("'"&amp;$T11&amp;"'!F24:AJ24")&amp;INDIRECT("'"&amp;$T11&amp;"'!F30:AJ30"),0))</f>
        <v>0.22744676530612234</v>
      </c>
    </row>
    <row r="12" spans="1:24" ht="12.65" customHeight="1" x14ac:dyDescent="0.35">
      <c r="B12" s="98"/>
      <c r="C12" s="189" t="s">
        <v>159</v>
      </c>
      <c r="D12" s="190">
        <f t="array" aca="1" ref="D12" ca="1">INDEX(INDIRECT("'"&amp;$B8&amp;"'!$B$6:$F$16"),MATCH("Change from DMO "&amp;PY&amp;" price ($)",INDIRECT("'"&amp;$B8&amp;"'!$B$6:$B$16"),0),MATCH(D$6&amp;D$7,INDIRECT("'"&amp;$B8&amp;"'!$B$6:$E$6")&amp;INDIRECT("'"&amp;$B8&amp;"'!$B$7:$E$7"),0))</f>
        <v>-69</v>
      </c>
      <c r="E12" s="191" t="str">
        <f t="array" aca="1" ref="E12" ca="1">"("&amp;ROUND(INDEX(INDIRECT("'"&amp;$B8&amp;"'!$B$6:$F$16"),MATCH("Change from DMO "&amp;PY&amp;" price (%)",INDIRECT("'"&amp;$B8&amp;"'!$B$6:$B$16"),0),MATCH(D$6&amp;D$7,INDIRECT("'"&amp;$B8&amp;"'!$B$6:$E$6")&amp;INDIRECT("'"&amp;$B8&amp;"'!$B$7:$E$7"),0))*100,1)&amp;"%)"</f>
        <v>(-4.7%)</v>
      </c>
      <c r="F12" s="190">
        <f t="array" aca="1" ref="F12" ca="1">INDEX(INDIRECT("'"&amp;$B8&amp;"'!$B$6:$F$16"),MATCH("Change from DMO "&amp;PY&amp;" price ($)",INDIRECT("'"&amp;$B8&amp;"'!$B$6:$B$16"),0),MATCH(F$6&amp;F$7,INDIRECT("'"&amp;$B8&amp;"'!$B$6:$E$6")&amp;INDIRECT("'"&amp;$B8&amp;"'!$B$7:$E$7"),0))</f>
        <v>-112</v>
      </c>
      <c r="G12" s="191" t="str">
        <f t="array" aca="1" ref="G12" ca="1">"("&amp;ROUND(INDEX(INDIRECT("'"&amp;$B8&amp;"'!$B$6:$F$16"),MATCH("Change from DMO "&amp;PY&amp;" price (%)",INDIRECT("'"&amp;$B8&amp;"'!$B$6:$B$16"),0),MATCH(F$6&amp;F$7,INDIRECT("'"&amp;$B8&amp;"'!$B$6:$E$6")&amp;INDIRECT("'"&amp;$B8&amp;"'!$B$7:$E$7"),0))*100,1)&amp;"%)"</f>
        <v>(-5.5%)</v>
      </c>
      <c r="H12" s="190">
        <f t="array" aca="1" ref="H12" ca="1">INDEX(INDIRECT("'"&amp;$B8&amp;"'!$B$6:$F$16"),MATCH("Change from DMO "&amp;PY&amp;" price ($)",INDIRECT("'"&amp;$B8&amp;"'!$B$6:$B$16"),0),MATCH(H$6&amp;H$7,INDIRECT("'"&amp;$B8&amp;"'!$B$6:$E$6")&amp;INDIRECT("'"&amp;$B8&amp;"'!$B$7:$E$7"),0))</f>
        <v>-340</v>
      </c>
      <c r="I12" s="192" t="str">
        <f t="array" aca="1" ref="I12" ca="1">"("&amp;ROUND(INDEX(INDIRECT("'"&amp;$B8&amp;"'!$B$6:$F$16"),MATCH("Change from DMO "&amp;PY&amp;" price (%)",INDIRECT("'"&amp;$B8&amp;"'!$B$6:$B$16"),0),MATCH(H$6&amp;H$7,INDIRECT("'"&amp;$B8&amp;"'!$B$6:$E$6")&amp;INDIRECT("'"&amp;$B8&amp;"'!$B$7:$E$7"),0))*100,1)&amp;"%)"</f>
        <v>(-4.7%)</v>
      </c>
      <c r="L12" s="3" t="s">
        <v>0</v>
      </c>
      <c r="M12" s="194">
        <f t="array" aca="1" ref="M12" ca="1">INDEX(INDIRECT("'"&amp;$L12&amp;"'!F23:AJ38"),MATCH(M$6,INDIRECT("'"&amp;$L12&amp;"'!F23:F38"),0),MATCH($R12&amp;$S12&amp;"Change",INDIRECT("'"&amp;$L12&amp;"'!F23:AJ23")&amp;INDIRECT("'"&amp;$L12&amp;"'!F24:AJ24")&amp;INDIRECT("'"&amp;$L12&amp;"'!F30:AJ30"),0))</f>
        <v>3.4135341037822897E-2</v>
      </c>
      <c r="N12" s="194">
        <f t="array" aca="1" ref="N12" ca="1">INDEX(INDIRECT("'"&amp;$L12&amp;"'!F23:AJ38"),MATCH(N$6,INDIRECT("'"&amp;$L12&amp;"'!F23:F38"),0),MATCH($R12&amp;$S12&amp;"Change",INDIRECT("'"&amp;$L12&amp;"'!F23:AJ23")&amp;INDIRECT("'"&amp;$L12&amp;"'!F24:AJ24")&amp;INDIRECT("'"&amp;$L12&amp;"'!F30:AJ30"),0))</f>
        <v>-0.19084052901956483</v>
      </c>
      <c r="O12" s="194">
        <f t="array" aca="1" ref="O12" ca="1">INDEX(INDIRECT("'"&amp;$L12&amp;"'!F23:AJ38"),MATCH(O$6,INDIRECT("'"&amp;$L12&amp;"'!F23:F38"),0),MATCH($R12&amp;$S12&amp;"Change",INDIRECT("'"&amp;$L12&amp;"'!F23:AJ23")&amp;INDIRECT("'"&amp;$L12&amp;"'!F24:AJ24")&amp;INDIRECT("'"&amp;$L12&amp;"'!F30:AJ30"),0))</f>
        <v>0.10927152317880795</v>
      </c>
      <c r="P12" s="229">
        <f>CPI</f>
        <v>1.4999999999999999E-2</v>
      </c>
      <c r="Q12" s="195">
        <f t="array" aca="1" ref="Q12" ca="1">INDEX(INDIRECT("'"&amp;$L12&amp;"'!$B$6:$F$16"),MATCH("Change from DMO "&amp;PY&amp;" price (%)",INDIRECT("'"&amp;$L12&amp;"'!$B$6:$B$16"),0),MATCH($R12&amp;$S12,INDIRECT("'"&amp;$L12&amp;"'!$B$6:$E$6")&amp;INDIRECT("'"&amp;$L12&amp;"'!$B$7:$E$7"),0))</f>
        <v>-3.5145888594164454E-2</v>
      </c>
      <c r="R12" s="97" t="str">
        <f t="shared" si="0"/>
        <v>Residential</v>
      </c>
      <c r="S12" s="97" t="str">
        <f t="shared" si="0"/>
        <v>without CL</v>
      </c>
      <c r="T12" s="3" t="s">
        <v>0</v>
      </c>
      <c r="U12" s="241">
        <f t="array" aca="1" ref="U12" ca="1">INDEX(INDIRECT("'"&amp;$T12&amp;"'!F23:AJ38"),MATCH(U$6,INDIRECT("'"&amp;$T12&amp;"'!F23:F38"),0),MATCH($R12&amp;$S12&amp;"Proportion",INDIRECT("'"&amp;$T12&amp;"'!F23:AJ23")&amp;INDIRECT("'"&amp;$T12&amp;"'!F24:AJ24")&amp;INDIRECT("'"&amp;$T12&amp;"'!F30:AJ30"),0))</f>
        <v>0.43396134283819632</v>
      </c>
      <c r="V12" s="241">
        <f t="array" aca="1" ref="V12" ca="1">INDEX(INDIRECT("'"&amp;$T12&amp;"'!F23:AJ38"),MATCH(V$6,INDIRECT("'"&amp;$T12&amp;"'!F23:F38"),0),MATCH($R12&amp;$S12&amp;"Proportion",INDIRECT("'"&amp;$T12&amp;"'!F23:AJ23")&amp;INDIRECT("'"&amp;$T12&amp;"'!F24:AJ24")&amp;INDIRECT("'"&amp;$T12&amp;"'!F30:AJ30"),0))</f>
        <v>0.30698899204244029</v>
      </c>
      <c r="W12" s="241">
        <f t="array" aca="1" ref="W12" ca="1">INDEX(INDIRECT("'"&amp;$T12&amp;"'!F23:AJ38"),MATCH(W$6,INDIRECT("'"&amp;$T12&amp;"'!F23:F38"),0),MATCH($R12&amp;$S12&amp;"Proportion",INDIRECT("'"&amp;$T12&amp;"'!F23:AJ23")&amp;INDIRECT("'"&amp;$T12&amp;"'!F24:AJ24")&amp;INDIRECT("'"&amp;$T12&amp;"'!F30:AJ30"),0))</f>
        <v>5.0667108753315641E-2</v>
      </c>
      <c r="X12" s="241">
        <f t="array" aca="1" ref="X12" ca="1">INDEX(INDIRECT("'"&amp;$T12&amp;"'!F23:AJ38"),MATCH(X$6,INDIRECT("'"&amp;$T12&amp;"'!F23:F38"),0),MATCH($R12&amp;$S12&amp;"Proportion",INDIRECT("'"&amp;$T12&amp;"'!F23:AJ23")&amp;INDIRECT("'"&amp;$T12&amp;"'!F24:AJ24")&amp;INDIRECT("'"&amp;$T12&amp;"'!F30:AJ30"),0))</f>
        <v>0.20838255636604769</v>
      </c>
    </row>
    <row r="13" spans="1:24" ht="12.65" customHeight="1" x14ac:dyDescent="0.35">
      <c r="B13" s="98"/>
      <c r="C13" s="189"/>
      <c r="D13" s="190"/>
      <c r="E13" s="191"/>
      <c r="F13" s="190"/>
      <c r="G13" s="191"/>
      <c r="H13" s="190"/>
      <c r="I13" s="192"/>
      <c r="L13" s="3" t="s">
        <v>5</v>
      </c>
      <c r="M13" s="194">
        <f t="array" aca="1" ref="M13" ca="1">INDEX(INDIRECT("'"&amp;$L13&amp;"'!F23:AJ38"),MATCH(M$6,INDIRECT("'"&amp;$L13&amp;"'!F23:F38"),0),MATCH($R13&amp;$S13&amp;"Change",INDIRECT("'"&amp;$L13&amp;"'!F23:AJ23")&amp;INDIRECT("'"&amp;$L13&amp;"'!F24:AJ24")&amp;INDIRECT("'"&amp;$L13&amp;"'!F30:AJ30"),0))</f>
        <v>3.0737489268603424E-2</v>
      </c>
      <c r="N13" s="194">
        <f t="array" aca="1" ref="N13" ca="1">INDEX(INDIRECT("'"&amp;$L13&amp;"'!F23:AJ38"),MATCH(N$6,INDIRECT("'"&amp;$L13&amp;"'!F23:F38"),0),MATCH($R13&amp;$S13&amp;"Change",INDIRECT("'"&amp;$L13&amp;"'!F23:AJ23")&amp;INDIRECT("'"&amp;$L13&amp;"'!F24:AJ24")&amp;INDIRECT("'"&amp;$L13&amp;"'!F30:AJ30"),0))</f>
        <v>-0.22482481183493386</v>
      </c>
      <c r="O13" s="194">
        <f t="array" aca="1" ref="O13" ca="1">INDEX(INDIRECT("'"&amp;$L13&amp;"'!F23:AJ38"),MATCH(O$6,INDIRECT("'"&amp;$L13&amp;"'!F23:F38"),0),MATCH($R13&amp;$S13&amp;"Change",INDIRECT("'"&amp;$L13&amp;"'!F23:AJ23")&amp;INDIRECT("'"&amp;$L13&amp;"'!F24:AJ24")&amp;INDIRECT("'"&amp;$L13&amp;"'!F30:AJ30"),0))</f>
        <v>9.8007539041464753E-2</v>
      </c>
      <c r="P13" s="229">
        <f>CPI</f>
        <v>1.4999999999999999E-2</v>
      </c>
      <c r="Q13" s="195">
        <f t="array" aca="1" ref="Q13" ca="1">INDEX(INDIRECT("'"&amp;$L13&amp;"'!$B$6:$F$16"),MATCH("Change from DMO "&amp;PY&amp;" price (%)",INDIRECT("'"&amp;$L13&amp;"'!$B$6:$B$16"),0),MATCH($R13&amp;$S13,INDIRECT("'"&amp;$L13&amp;"'!$B$6:$E$6")&amp;INDIRECT("'"&amp;$L13&amp;"'!$B$7:$E$7"),0))</f>
        <v>-6.33187772925764E-2</v>
      </c>
      <c r="R13" s="97" t="str">
        <f t="shared" si="0"/>
        <v>Residential</v>
      </c>
      <c r="S13" s="97" t="str">
        <f t="shared" si="0"/>
        <v>without CL</v>
      </c>
      <c r="T13" s="3" t="s">
        <v>5</v>
      </c>
      <c r="U13" s="241">
        <f t="array" aca="1" ref="U13" ca="1">INDEX(INDIRECT("'"&amp;$T13&amp;"'!F23:AJ38"),MATCH(U$6,INDIRECT("'"&amp;$T13&amp;"'!F23:F38"),0),MATCH($R13&amp;$S13&amp;"Proportion",INDIRECT("'"&amp;$T13&amp;"'!F23:AJ23")&amp;INDIRECT("'"&amp;$T13&amp;"'!F24:AJ24")&amp;INDIRECT("'"&amp;$T13&amp;"'!F30:AJ30"),0))</f>
        <v>0.43362336244541488</v>
      </c>
      <c r="V13" s="241">
        <f t="array" aca="1" ref="V13" ca="1">INDEX(INDIRECT("'"&amp;$T13&amp;"'!F23:AJ38"),MATCH(V$6,INDIRECT("'"&amp;$T13&amp;"'!F23:F38"),0),MATCH($R13&amp;$S13&amp;"Proportion",INDIRECT("'"&amp;$T13&amp;"'!F23:AJ23")&amp;INDIRECT("'"&amp;$T13&amp;"'!F24:AJ24")&amp;INDIRECT("'"&amp;$T13&amp;"'!F30:AJ30"),0))</f>
        <v>0.3701572052401747</v>
      </c>
      <c r="W13" s="241">
        <f t="array" aca="1" ref="W13" ca="1">INDEX(INDIRECT("'"&amp;$T13&amp;"'!F23:AJ38"),MATCH(W$6,INDIRECT("'"&amp;$T13&amp;"'!F23:F38"),0),MATCH($R13&amp;$S13&amp;"Proportion",INDIRECT("'"&amp;$T13&amp;"'!F23:AJ23")&amp;INDIRECT("'"&amp;$T13&amp;"'!F24:AJ24")&amp;INDIRECT("'"&amp;$T13&amp;"'!F30:AJ30"),0))</f>
        <v>4.4600436681222703E-2</v>
      </c>
      <c r="X13" s="241">
        <f t="array" aca="1" ref="X13" ca="1">INDEX(INDIRECT("'"&amp;$T13&amp;"'!F23:AJ38"),MATCH(X$6,INDIRECT("'"&amp;$T13&amp;"'!F23:F38"),0),MATCH($R13&amp;$S13&amp;"Proportion",INDIRECT("'"&amp;$T13&amp;"'!F23:AJ23")&amp;INDIRECT("'"&amp;$T13&amp;"'!F24:AJ24")&amp;INDIRECT("'"&amp;$T13&amp;"'!F30:AJ30"),0))</f>
        <v>0.1516189956331877</v>
      </c>
    </row>
    <row r="14" spans="1:24" s="53" customFormat="1" ht="30" customHeight="1" x14ac:dyDescent="0.35">
      <c r="B14" s="100" t="s">
        <v>4</v>
      </c>
      <c r="C14" s="179" t="s">
        <v>93</v>
      </c>
      <c r="D14" s="286">
        <f t="array" aca="1" ref="D14" ca="1">INDEX(INDIRECT("'"&amp;$B14&amp;"'!$B$6:$F$16"),MATCH("DMO "&amp;FY&amp;" price ($ pa, inc GST)",INDIRECT("'"&amp;$B14&amp;"'!$B$6:$B$16"),0),MATCH(D$6&amp;D$7,INDIRECT("'"&amp;$B14&amp;"'!$B$6:$E$6")&amp;INDIRECT("'"&amp;$B14&amp;"'!$B$7:$E$7"),0))</f>
        <v>1609</v>
      </c>
      <c r="E14" s="287"/>
      <c r="F14" s="286">
        <f t="array" aca="1" ref="F14" ca="1">INDEX(INDIRECT("'"&amp;$B14&amp;"'!$B$6:$F$16"),MATCH("DMO "&amp;FY&amp;" price ($ pa, inc GST)",INDIRECT("'"&amp;$B14&amp;"'!$B$6:$B$16"),0),MATCH(F$6&amp;F$7,INDIRECT("'"&amp;$B14&amp;"'!$B$6:$E$6")&amp;INDIRECT("'"&amp;$B14&amp;"'!$B$7:$E$7"),0))</f>
        <v>2014</v>
      </c>
      <c r="G14" s="287"/>
      <c r="H14" s="286">
        <f t="array" aca="1" ref="H14" ca="1">INDEX(INDIRECT("'"&amp;$B14&amp;"'!$B$6:$F$16"),MATCH("DMO "&amp;FY&amp;" price ($ pa, inc GST)",INDIRECT("'"&amp;$B14&amp;"'!$B$6:$B$16"),0),MATCH(H$6&amp;H$7,INDIRECT("'"&amp;$B14&amp;"'!$B$6:$E$6")&amp;INDIRECT("'"&amp;$B14&amp;"'!$B$7:$E$7"),0))</f>
        <v>5736</v>
      </c>
      <c r="I14" s="288"/>
      <c r="J14" s="226"/>
      <c r="K14" s="226"/>
      <c r="L14" s="5" t="str">
        <f>R14&amp;" "&amp;S14</f>
        <v>Residential with CL</v>
      </c>
      <c r="M14" s="196"/>
      <c r="N14" s="196"/>
      <c r="O14" s="213"/>
      <c r="P14" s="230"/>
      <c r="Q14" s="213"/>
      <c r="R14" s="214" t="s">
        <v>6</v>
      </c>
      <c r="S14" s="214" t="s">
        <v>151</v>
      </c>
      <c r="T14" s="5" t="str">
        <f>L14</f>
        <v>Residential with CL</v>
      </c>
      <c r="U14" s="196"/>
      <c r="V14" s="196"/>
      <c r="W14" s="213"/>
      <c r="X14" s="230"/>
    </row>
    <row r="15" spans="1:24" ht="12.65" customHeight="1" x14ac:dyDescent="0.35">
      <c r="B15" s="101" t="s">
        <v>4</v>
      </c>
      <c r="C15" s="295" t="s">
        <v>175</v>
      </c>
      <c r="D15" s="289" t="str">
        <f t="array" aca="1" ref="D15" ca="1">INDEX(INDIRECT("'"&amp;$B14&amp;"'!$B$6:$F$15"),MATCH("Annual usage (kWh)",INDIRECT("'"&amp;$B14&amp;"'!$B$6:$B$15"),0),MATCH(D$6&amp;D$7,INDIRECT("'"&amp;$B14&amp;"'!$B$6:$E$6")&amp;INDIRECT("'"&amp;$B14&amp;"'!$B$7:$E$7"),0))&amp;" kWh"</f>
        <v>4900 kWh</v>
      </c>
      <c r="E15" s="290"/>
      <c r="F15" s="292" t="str">
        <f t="array" aca="1" ref="F15" ca="1">"Flat rate "&amp;INDEX(INDIRECT("'"&amp;$B14&amp;"'!$B$6:$F$15"),MATCH("Flat rate usage (kWh)",INDIRECT("'"&amp;$B14&amp;"'!$B$6:$B$15"),0),MATCH(F$6&amp;F$7,INDIRECT("'"&amp;$B14&amp;"'!$B$6:$E$6")&amp;INDIRECT("'"&amp;$B14&amp;"'!$B$7:$E$7"),0))&amp;" kWh"</f>
        <v>Flat rate 5200 kWh</v>
      </c>
      <c r="G15" s="293"/>
      <c r="H15" s="289" t="str">
        <f t="array" aca="1" ref="H15" ca="1">INDEX(INDIRECT("'"&amp;$B14&amp;"'!$B$6:$F$15"),MATCH("Annual usage (kWh)",INDIRECT("'"&amp;$B14&amp;"'!$B$6:$B$15"),0),MATCH(H$6&amp;H$7,INDIRECT("'"&amp;$B14&amp;"'!$B$6:$E$6")&amp;INDIRECT("'"&amp;$B14&amp;"'!$B$7:$E$7"),0))&amp;" kWh"</f>
        <v>20000 kWh</v>
      </c>
      <c r="I15" s="291"/>
      <c r="L15" s="3" t="s">
        <v>2</v>
      </c>
      <c r="M15" s="194">
        <f t="array" aca="1" ref="M15" ca="1">INDEX(INDIRECT("'"&amp;$L15&amp;"'!F23:AJ38"),MATCH(M$6,INDIRECT("'"&amp;$L15&amp;"'!F23:F38"),0),MATCH($R15&amp;$S15&amp;"Change",INDIRECT("'"&amp;$L15&amp;"'!F23:AJ23")&amp;INDIRECT("'"&amp;$L15&amp;"'!F24:AJ24")&amp;INDIRECT("'"&amp;$L15&amp;"'!F30:AJ30"),0))</f>
        <v>2.6911104286349463E-2</v>
      </c>
      <c r="N15" s="194">
        <f t="array" aca="1" ref="N15" ca="1">INDEX(INDIRECT("'"&amp;$L15&amp;"'!F23:AJ38"),MATCH(N$6,INDIRECT("'"&amp;$L15&amp;"'!F23:F38"),0),MATCH($R15&amp;$S15&amp;"Change",INDIRECT("'"&amp;$L15&amp;"'!F23:AJ23")&amp;INDIRECT("'"&amp;$L15&amp;"'!F24:AJ24")&amp;INDIRECT("'"&amp;$L15&amp;"'!F30:AJ30"),0))</f>
        <v>-0.20420982091507833</v>
      </c>
      <c r="O15" s="194">
        <f t="array" aca="1" ref="O15" ca="1">INDEX(INDIRECT("'"&amp;$L15&amp;"'!F23:AJ38"),MATCH(O$6,INDIRECT("'"&amp;$L15&amp;"'!F23:F38"),0),MATCH($R15&amp;$S15&amp;"Change",INDIRECT("'"&amp;$L15&amp;"'!F23:AJ23")&amp;INDIRECT("'"&amp;$L15&amp;"'!F24:AJ24")&amp;INDIRECT("'"&amp;$L15&amp;"'!F30:AJ30"),0))</f>
        <v>0.11638255630861916</v>
      </c>
      <c r="P15" s="229">
        <f>CPI</f>
        <v>1.4999999999999999E-2</v>
      </c>
      <c r="Q15" s="195">
        <f t="array" aca="1" ref="Q15" ca="1">INDEX(INDIRECT("'"&amp;$L15&amp;"'!$B$6:$F$16"),MATCH("Change from DMO "&amp;PY&amp;" price (%)",INDIRECT("'"&amp;$L15&amp;"'!$B$6:$B$16"),0),MATCH($R15&amp;$S15,INDIRECT("'"&amp;$L15&amp;"'!$B$6:$E$6")&amp;INDIRECT("'"&amp;$L15&amp;"'!$B$7:$E$7"),0))</f>
        <v>-5.5335968379446654E-2</v>
      </c>
      <c r="R15" s="97" t="str">
        <f t="shared" ref="R15:S19" si="1">R14</f>
        <v>Residential</v>
      </c>
      <c r="S15" s="97" t="str">
        <f t="shared" si="1"/>
        <v>with CL</v>
      </c>
      <c r="T15" s="3" t="s">
        <v>2</v>
      </c>
      <c r="U15" s="241">
        <f t="array" aca="1" ref="U15" ca="1">INDEX(INDIRECT("'"&amp;$T15&amp;"'!F23:AJ38"),MATCH(U$6,INDIRECT("'"&amp;$T15&amp;"'!F23:F38"),0),MATCH($R15&amp;$S15&amp;"Proportion",INDIRECT("'"&amp;$T15&amp;"'!F23:AJ23")&amp;INDIRECT("'"&amp;$T15&amp;"'!F24:AJ24")&amp;INDIRECT("'"&amp;$T15&amp;"'!F30:AJ30"),0))</f>
        <v>0.35103999798913033</v>
      </c>
      <c r="V15" s="241">
        <f t="array" aca="1" ref="V15" ca="1">INDEX(INDIRECT("'"&amp;$T15&amp;"'!F23:AJ38"),MATCH(V$6,INDIRECT("'"&amp;$T15&amp;"'!F23:F38"),0),MATCH($R15&amp;$S15&amp;"Proportion",INDIRECT("'"&amp;$T15&amp;"'!F23:AJ23")&amp;INDIRECT("'"&amp;$T15&amp;"'!F24:AJ24")&amp;INDIRECT("'"&amp;$T15&amp;"'!F30:AJ30"),0))</f>
        <v>0.36949315217391293</v>
      </c>
      <c r="W15" s="241">
        <f t="array" aca="1" ref="W15" ca="1">INDEX(INDIRECT("'"&amp;$T15&amp;"'!F23:AJ38"),MATCH(W$6,INDIRECT("'"&amp;$T15&amp;"'!F23:F38"),0),MATCH($R15&amp;$S15&amp;"Proportion",INDIRECT("'"&amp;$T15&amp;"'!F23:AJ23")&amp;INDIRECT("'"&amp;$T15&amp;"'!F24:AJ24")&amp;INDIRECT("'"&amp;$T15&amp;"'!F30:AJ30"),0))</f>
        <v>6.3508695652173916E-2</v>
      </c>
      <c r="X15" s="241">
        <f t="array" aca="1" ref="X15" ca="1">INDEX(INDIRECT("'"&amp;$T15&amp;"'!F23:AJ38"),MATCH(X$6,INDIRECT("'"&amp;$T15&amp;"'!F23:F38"),0),MATCH($R15&amp;$S15&amp;"Proportion",INDIRECT("'"&amp;$T15&amp;"'!F23:AJ23")&amp;INDIRECT("'"&amp;$T15&amp;"'!F24:AJ24")&amp;INDIRECT("'"&amp;$T15&amp;"'!F30:AJ30"),0))</f>
        <v>0.21595815418478284</v>
      </c>
    </row>
    <row r="16" spans="1:24" ht="12.65" customHeight="1" x14ac:dyDescent="0.35">
      <c r="B16" s="101"/>
      <c r="C16" s="296"/>
      <c r="D16" s="183"/>
      <c r="E16" s="184"/>
      <c r="F16" s="292" t="str">
        <f t="array" aca="1" ref="F16" ca="1">"+ CL "&amp;INDEX(INDIRECT("'"&amp;$B14&amp;"'!$B$6:$F$15"),MATCH("Controlled load usage (kWh)",INDIRECT("'"&amp;$B14&amp;"'!$B$6:$B$15"),0),MATCH(F$6&amp;F$7,INDIRECT("'"&amp;$B14&amp;"'!$B$6:$E$6")&amp;INDIRECT("'"&amp;$B14&amp;"'!$B$7:$E$7"),0))&amp;" kWh"</f>
        <v>+ CL 2200 kWh</v>
      </c>
      <c r="G16" s="293"/>
      <c r="H16" s="183"/>
      <c r="I16" s="172"/>
      <c r="L16" s="3" t="s">
        <v>4</v>
      </c>
      <c r="M16" s="194">
        <f t="array" aca="1" ref="M16" ca="1">INDEX(INDIRECT("'"&amp;$L16&amp;"'!F23:AJ38"),MATCH(M$6,INDIRECT("'"&amp;$L16&amp;"'!F23:F38"),0),MATCH($R16&amp;$S16&amp;"Change",INDIRECT("'"&amp;$L16&amp;"'!F23:AJ23")&amp;INDIRECT("'"&amp;$L16&amp;"'!F24:AJ24")&amp;INDIRECT("'"&amp;$L16&amp;"'!F30:AJ30"),0))</f>
        <v>1.9537437226430532E-2</v>
      </c>
      <c r="N16" s="194">
        <f t="array" aca="1" ref="N16" ca="1">INDEX(INDIRECT("'"&amp;$L16&amp;"'!F23:AJ38"),MATCH(N$6,INDIRECT("'"&amp;$L16&amp;"'!F23:F38"),0),MATCH($R16&amp;$S16&amp;"Change",INDIRECT("'"&amp;$L16&amp;"'!F23:AJ23")&amp;INDIRECT("'"&amp;$L16&amp;"'!F24:AJ24")&amp;INDIRECT("'"&amp;$L16&amp;"'!F30:AJ30"),0))</f>
        <v>-0.20947825530385467</v>
      </c>
      <c r="O16" s="194">
        <f t="array" aca="1" ref="O16" ca="1">INDEX(INDIRECT("'"&amp;$L16&amp;"'!F23:AJ38"),MATCH(O$6,INDIRECT("'"&amp;$L16&amp;"'!F23:F38"),0),MATCH($R16&amp;$S16&amp;"Change",INDIRECT("'"&amp;$L16&amp;"'!F23:AJ23")&amp;INDIRECT("'"&amp;$L16&amp;"'!F24:AJ24")&amp;INDIRECT("'"&amp;$L16&amp;"'!F30:AJ30"),0))</f>
        <v>0.1123271889400923</v>
      </c>
      <c r="P16" s="229">
        <f>CPI</f>
        <v>1.4999999999999999E-2</v>
      </c>
      <c r="Q16" s="195">
        <f t="array" aca="1" ref="Q16" ca="1">INDEX(INDIRECT("'"&amp;$L16&amp;"'!$B$6:$F$16"),MATCH("Change from DMO "&amp;PY&amp;" price (%)",INDIRECT("'"&amp;$L16&amp;"'!$B$6:$B$16"),0),MATCH($R16&amp;$S16,INDIRECT("'"&amp;$L16&amp;"'!$B$6:$E$6")&amp;INDIRECT("'"&amp;$L16&amp;"'!$B$7:$E$7"),0))</f>
        <v>-6.9745958429561217E-2</v>
      </c>
      <c r="R16" s="97" t="str">
        <f t="shared" si="1"/>
        <v>Residential</v>
      </c>
      <c r="S16" s="97" t="str">
        <f t="shared" si="1"/>
        <v>with CL</v>
      </c>
      <c r="T16" s="3" t="s">
        <v>4</v>
      </c>
      <c r="U16" s="241">
        <f t="array" aca="1" ref="U16" ca="1">INDEX(INDIRECT("'"&amp;$T16&amp;"'!F23:AJ38"),MATCH(U$6,INDIRECT("'"&amp;$T16&amp;"'!F23:F38"),0),MATCH($R16&amp;$S16&amp;"Proportion",INDIRECT("'"&amp;$T16&amp;"'!F23:AJ23")&amp;INDIRECT("'"&amp;$T16&amp;"'!F24:AJ24")&amp;INDIRECT("'"&amp;$T16&amp;"'!F30:AJ30"),0))</f>
        <v>0.32974578263279447</v>
      </c>
      <c r="V16" s="241">
        <f t="array" aca="1" ref="V16" ca="1">INDEX(INDIRECT("'"&amp;$T16&amp;"'!F23:AJ38"),MATCH(V$6,INDIRECT("'"&amp;$T16&amp;"'!F23:F38"),0),MATCH($R16&amp;$S16&amp;"Proportion",INDIRECT("'"&amp;$T16&amp;"'!F23:AJ23")&amp;INDIRECT("'"&amp;$T16&amp;"'!F24:AJ24")&amp;INDIRECT("'"&amp;$T16&amp;"'!F30:AJ30"),0))</f>
        <v>0.41278096997690533</v>
      </c>
      <c r="W16" s="241">
        <f t="array" aca="1" ref="W16" ca="1">INDEX(INDIRECT("'"&amp;$T16&amp;"'!F23:AJ38"),MATCH(W$6,INDIRECT("'"&amp;$T16&amp;"'!F23:F38"),0),MATCH($R16&amp;$S16&amp;"Proportion",INDIRECT("'"&amp;$T16&amp;"'!F23:AJ23")&amp;INDIRECT("'"&amp;$T16&amp;"'!F24:AJ24")&amp;INDIRECT("'"&amp;$T16&amp;"'!F30:AJ30"),0))</f>
        <v>6.5270392609699759E-2</v>
      </c>
      <c r="X16" s="241">
        <f t="array" aca="1" ref="X16" ca="1">INDEX(INDIRECT("'"&amp;$T16&amp;"'!F23:AJ38"),MATCH(X$6,INDIRECT("'"&amp;$T16&amp;"'!F23:F38"),0),MATCH($R16&amp;$S16&amp;"Proportion",INDIRECT("'"&amp;$T16&amp;"'!F23:AJ23")&amp;INDIRECT("'"&amp;$T16&amp;"'!F24:AJ24")&amp;INDIRECT("'"&amp;$T16&amp;"'!F30:AJ30"),0))</f>
        <v>0.19220285478060042</v>
      </c>
    </row>
    <row r="17" spans="2:24" ht="12.65" customHeight="1" x14ac:dyDescent="0.35">
      <c r="B17" s="101"/>
      <c r="C17" s="203"/>
      <c r="D17" s="204"/>
      <c r="E17" s="205"/>
      <c r="F17" s="209"/>
      <c r="G17" s="210"/>
      <c r="H17" s="204"/>
      <c r="I17" s="211"/>
      <c r="L17" s="3" t="s">
        <v>3</v>
      </c>
      <c r="M17" s="194">
        <f t="array" aca="1" ref="M17" ca="1">INDEX(INDIRECT("'"&amp;$L17&amp;"'!F23:AJ38"),MATCH(M$6,INDIRECT("'"&amp;$L17&amp;"'!F23:F38"),0),MATCH($R17&amp;$S17&amp;"Change",INDIRECT("'"&amp;$L17&amp;"'!F23:AJ23")&amp;INDIRECT("'"&amp;$L17&amp;"'!F24:AJ24")&amp;INDIRECT("'"&amp;$L17&amp;"'!F30:AJ30"),0))</f>
        <v>5.6016542297536276E-2</v>
      </c>
      <c r="N17" s="194">
        <f t="array" aca="1" ref="N17" ca="1">INDEX(INDIRECT("'"&amp;$L17&amp;"'!F23:AJ38"),MATCH(N$6,INDIRECT("'"&amp;$L17&amp;"'!F23:F38"),0),MATCH($R17&amp;$S17&amp;"Change",INDIRECT("'"&amp;$L17&amp;"'!F23:AJ23")&amp;INDIRECT("'"&amp;$L17&amp;"'!F24:AJ24")&amp;INDIRECT("'"&amp;$L17&amp;"'!F30:AJ30"),0))</f>
        <v>-0.22662371529375669</v>
      </c>
      <c r="O17" s="194">
        <f t="array" aca="1" ref="O17" ca="1">INDEX(INDIRECT("'"&amp;$L17&amp;"'!F23:AJ38"),MATCH(O$6,INDIRECT("'"&amp;$L17&amp;"'!F23:F38"),0),MATCH($R17&amp;$S17&amp;"Change",INDIRECT("'"&amp;$L17&amp;"'!F23:AJ23")&amp;INDIRECT("'"&amp;$L17&amp;"'!F24:AJ24")&amp;INDIRECT("'"&amp;$L17&amp;"'!F30:AJ30"),0))</f>
        <v>0.10376811594202895</v>
      </c>
      <c r="P17" s="229">
        <f>CPI</f>
        <v>1.4999999999999999E-2</v>
      </c>
      <c r="Q17" s="195">
        <f t="array" aca="1" ref="Q17" ca="1">INDEX(INDIRECT("'"&amp;$L17&amp;"'!$B$6:$F$16"),MATCH("Change from DMO "&amp;PY&amp;" price (%)",INDIRECT("'"&amp;$L17&amp;"'!$B$6:$B$16"),0),MATCH($R17&amp;$S17,INDIRECT("'"&amp;$L17&amp;"'!$B$6:$E$6")&amp;INDIRECT("'"&amp;$L17&amp;"'!$B$7:$E$7"),0))</f>
        <v>-3.6078098471986397E-2</v>
      </c>
      <c r="R17" s="97" t="str">
        <f t="shared" si="1"/>
        <v>Residential</v>
      </c>
      <c r="S17" s="97" t="str">
        <f t="shared" si="1"/>
        <v>with CL</v>
      </c>
      <c r="T17" s="3" t="s">
        <v>3</v>
      </c>
      <c r="U17" s="241">
        <f t="array" aca="1" ref="U17" ca="1">INDEX(INDIRECT("'"&amp;$T17&amp;"'!F23:AJ38"),MATCH(U$6,INDIRECT("'"&amp;$T17&amp;"'!F23:F38"),0),MATCH($R17&amp;$S17&amp;"Proportion",INDIRECT("'"&amp;$T17&amp;"'!F23:AJ23")&amp;INDIRECT("'"&amp;$T17&amp;"'!F24:AJ24")&amp;INDIRECT("'"&amp;$T17&amp;"'!F30:AJ30"),0))</f>
        <v>0.42982965959252972</v>
      </c>
      <c r="V17" s="241">
        <f t="array" aca="1" ref="V17" ca="1">INDEX(INDIRECT("'"&amp;$T17&amp;"'!F23:AJ38"),MATCH(V$6,INDIRECT("'"&amp;$T17&amp;"'!F23:F38"),0),MATCH($R17&amp;$S17&amp;"Proportion",INDIRECT("'"&amp;$T17&amp;"'!F23:AJ23")&amp;INDIRECT("'"&amp;$T17&amp;"'!F24:AJ24")&amp;INDIRECT("'"&amp;$T17&amp;"'!F30:AJ30"),0))</f>
        <v>0.30436757215619692</v>
      </c>
      <c r="W17" s="241">
        <f t="array" aca="1" ref="W17" ca="1">INDEX(INDIRECT("'"&amp;$T17&amp;"'!F23:AJ38"),MATCH(W$6,INDIRECT("'"&amp;$T17&amp;"'!F23:F38"),0),MATCH($R17&amp;$S17&amp;"Proportion",INDIRECT("'"&amp;$T17&amp;"'!F23:AJ23")&amp;INDIRECT("'"&amp;$T17&amp;"'!F24:AJ24")&amp;INDIRECT("'"&amp;$T17&amp;"'!F30:AJ30"),0))</f>
        <v>5.3155772495755517E-2</v>
      </c>
      <c r="X17" s="241">
        <f t="array" aca="1" ref="X17" ca="1">INDEX(INDIRECT("'"&amp;$T17&amp;"'!F23:AJ38"),MATCH(X$6,INDIRECT("'"&amp;$T17&amp;"'!F23:F38"),0),MATCH($R17&amp;$S17&amp;"Proportion",INDIRECT("'"&amp;$T17&amp;"'!F23:AJ23")&amp;INDIRECT("'"&amp;$T17&amp;"'!F24:AJ24")&amp;INDIRECT("'"&amp;$T17&amp;"'!F30:AJ30"),0))</f>
        <v>0.2126469957555179</v>
      </c>
    </row>
    <row r="18" spans="2:24" ht="12.65" customHeight="1" x14ac:dyDescent="0.35">
      <c r="B18" s="101"/>
      <c r="C18" s="185" t="s">
        <v>159</v>
      </c>
      <c r="D18" s="186">
        <f t="array" aca="1" ref="D18" ca="1">INDEX(INDIRECT("'"&amp;$B14&amp;"'!$B$6:$F$16"),MATCH("Change from DMO "&amp;PY&amp;" price ($)",INDIRECT("'"&amp;$B14&amp;"'!$B$6:$B$16"),0),MATCH(D$6&amp;D$7,INDIRECT("'"&amp;$B14&amp;"'!$B$6:$E$6")&amp;INDIRECT("'"&amp;$B14&amp;"'!$B$7:$E$7"),0))</f>
        <v>-102</v>
      </c>
      <c r="E18" s="187" t="str">
        <f t="array" aca="1" ref="E18" ca="1">"("&amp;ROUND(INDEX(INDIRECT("'"&amp;$B14&amp;"'!$B$6:$F$16"),MATCH("Change from DMO "&amp;PY&amp;" price (%)",INDIRECT("'"&amp;$B14&amp;"'!$B$6:$B$16"),0),MATCH(D$6&amp;D$7,INDIRECT("'"&amp;$B14&amp;"'!$B$6:$E$6")&amp;INDIRECT("'"&amp;$B14&amp;"'!$B$7:$E$7"),0))*100,1)&amp;"%)"</f>
        <v>(-6%)</v>
      </c>
      <c r="F18" s="186">
        <f t="array" aca="1" ref="F18" ca="1">INDEX(INDIRECT("'"&amp;$B14&amp;"'!$B$6:$F$16"),MATCH("Change from DMO "&amp;PY&amp;" price ($)",INDIRECT("'"&amp;$B14&amp;"'!$B$6:$B$16"),0),MATCH(F$6&amp;F$7,INDIRECT("'"&amp;$B14&amp;"'!$B$6:$E$6")&amp;INDIRECT("'"&amp;$B14&amp;"'!$B$7:$E$7"),0))</f>
        <v>-151</v>
      </c>
      <c r="G18" s="187" t="str">
        <f t="array" aca="1" ref="G18" ca="1">"("&amp;ROUND(INDEX(INDIRECT("'"&amp;$B14&amp;"'!$B$6:$F$16"),MATCH("Change from DMO "&amp;PY&amp;" price (%)",INDIRECT("'"&amp;$B14&amp;"'!$B$6:$B$16"),0),MATCH(F$6&amp;F$7,INDIRECT("'"&amp;$B14&amp;"'!$B$6:$E$6")&amp;INDIRECT("'"&amp;$B14&amp;"'!$B$7:$E$7"),0))*100,1)&amp;"%)"</f>
        <v>(-7%)</v>
      </c>
      <c r="H18" s="186">
        <f t="array" aca="1" ref="H18" ca="1">INDEX(INDIRECT("'"&amp;$B14&amp;"'!$B$6:$F$16"),MATCH("Change from DMO "&amp;PY&amp;" price ($)",INDIRECT("'"&amp;$B14&amp;"'!$B$6:$B$16"),0),MATCH(H$6&amp;H$7,INDIRECT("'"&amp;$B14&amp;"'!$B$6:$E$6")&amp;INDIRECT("'"&amp;$B14&amp;"'!$B$7:$E$7"),0))</f>
        <v>-441</v>
      </c>
      <c r="I18" s="188" t="str">
        <f t="array" aca="1" ref="I18" ca="1">"("&amp;ROUND(INDEX(INDIRECT("'"&amp;$B14&amp;"'!$B$6:$F$16"),MATCH("Change from DMO "&amp;PY&amp;" price (%)",INDIRECT("'"&amp;$B14&amp;"'!$B$6:$B$16"),0),MATCH(H$6&amp;H$7,INDIRECT("'"&amp;$B14&amp;"'!$B$6:$E$6")&amp;INDIRECT("'"&amp;$B14&amp;"'!$B$7:$E$7"),0))*100,1)&amp;"%)"</f>
        <v>(-7.1%)</v>
      </c>
      <c r="L18" s="3" t="s">
        <v>0</v>
      </c>
      <c r="M18" s="194">
        <f t="array" aca="1" ref="M18" ca="1">INDEX(INDIRECT("'"&amp;$L18&amp;"'!F23:AJ38"),MATCH(M$6,INDIRECT("'"&amp;$L18&amp;"'!F23:F38"),0),MATCH($R18&amp;$S18&amp;"Change",INDIRECT("'"&amp;$L18&amp;"'!F23:AJ23")&amp;INDIRECT("'"&amp;$L18&amp;"'!F24:AJ24")&amp;INDIRECT("'"&amp;$L18&amp;"'!F30:AJ30"),0))</f>
        <v>3.1568268024334323E-2</v>
      </c>
      <c r="N18" s="194">
        <f t="array" aca="1" ref="N18" ca="1">INDEX(INDIRECT("'"&amp;$L18&amp;"'!F23:AJ38"),MATCH(N$6,INDIRECT("'"&amp;$L18&amp;"'!F23:F38"),0),MATCH($R18&amp;$S18&amp;"Change",INDIRECT("'"&amp;$L18&amp;"'!F23:AJ23")&amp;INDIRECT("'"&amp;$L18&amp;"'!F24:AJ24")&amp;INDIRECT("'"&amp;$L18&amp;"'!F30:AJ30"),0))</f>
        <v>-0.18737056507998884</v>
      </c>
      <c r="O18" s="194">
        <f t="array" aca="1" ref="O18" ca="1">INDEX(INDIRECT("'"&amp;$L18&amp;"'!F23:AJ38"),MATCH(O$6,INDIRECT("'"&amp;$L18&amp;"'!F23:F38"),0),MATCH($R18&amp;$S18&amp;"Change",INDIRECT("'"&amp;$L18&amp;"'!F23:AJ23")&amp;INDIRECT("'"&amp;$L18&amp;"'!F24:AJ24")&amp;INDIRECT("'"&amp;$L18&amp;"'!F30:AJ30"),0))</f>
        <v>0.10927152317880773</v>
      </c>
      <c r="P18" s="229">
        <f>CPI</f>
        <v>1.4999999999999999E-2</v>
      </c>
      <c r="Q18" s="195">
        <f t="array" aca="1" ref="Q18" ca="1">INDEX(INDIRECT("'"&amp;$L18&amp;"'!$B$6:$F$16"),MATCH("Change from DMO "&amp;PY&amp;" price (%)",INDIRECT("'"&amp;$L18&amp;"'!$B$6:$B$16"),0),MATCH($R18&amp;$S18,INDIRECT("'"&amp;$L18&amp;"'!$B$6:$E$6")&amp;INDIRECT("'"&amp;$L18&amp;"'!$B$7:$E$7"),0))</f>
        <v>-3.9183222958057429E-2</v>
      </c>
      <c r="R18" s="97" t="str">
        <f t="shared" si="1"/>
        <v>Residential</v>
      </c>
      <c r="S18" s="97" t="str">
        <f t="shared" si="1"/>
        <v>with CL</v>
      </c>
      <c r="T18" s="3" t="s">
        <v>0</v>
      </c>
      <c r="U18" s="241">
        <f t="array" aca="1" ref="U18" ca="1">INDEX(INDIRECT("'"&amp;$T18&amp;"'!F23:AJ38"),MATCH(U$6,INDIRECT("'"&amp;$T18&amp;"'!F23:F38"),0),MATCH($R18&amp;$S18&amp;"Proportion",INDIRECT("'"&amp;$T18&amp;"'!F23:AJ23")&amp;INDIRECT("'"&amp;$T18&amp;"'!F24:AJ24")&amp;INDIRECT("'"&amp;$T18&amp;"'!F30:AJ30"),0))</f>
        <v>0.4103887527593818</v>
      </c>
      <c r="V18" s="241">
        <f t="array" aca="1" ref="V18" ca="1">INDEX(INDIRECT("'"&amp;$T18&amp;"'!F23:AJ38"),MATCH(V$6,INDIRECT("'"&amp;$T18&amp;"'!F23:F38"),0),MATCH($R18&amp;$S18&amp;"Proportion",INDIRECT("'"&amp;$T18&amp;"'!F23:AJ23")&amp;INDIRECT("'"&amp;$T18&amp;"'!F24:AJ24")&amp;INDIRECT("'"&amp;$T18&amp;"'!F30:AJ30"),0))</f>
        <v>0.32920761754966882</v>
      </c>
      <c r="W18" s="241">
        <f t="array" aca="1" ref="W18" ca="1">INDEX(INDIRECT("'"&amp;$T18&amp;"'!F23:AJ38"),MATCH(W$6,INDIRECT("'"&amp;$T18&amp;"'!F23:F38"),0),MATCH($R18&amp;$S18&amp;"Proportion",INDIRECT("'"&amp;$T18&amp;"'!F23:AJ23")&amp;INDIRECT("'"&amp;$T18&amp;"'!F24:AJ24")&amp;INDIRECT("'"&amp;$T18&amp;"'!F30:AJ30"),0))</f>
        <v>5.7750000000000003E-2</v>
      </c>
      <c r="X18" s="241">
        <f t="array" aca="1" ref="X18" ca="1">INDEX(INDIRECT("'"&amp;$T18&amp;"'!F23:AJ38"),MATCH(X$6,INDIRECT("'"&amp;$T18&amp;"'!F23:F38"),0),MATCH($R18&amp;$S18&amp;"Proportion",INDIRECT("'"&amp;$T18&amp;"'!F23:AJ23")&amp;INDIRECT("'"&amp;$T18&amp;"'!F24:AJ24")&amp;INDIRECT("'"&amp;$T18&amp;"'!F30:AJ30"),0))</f>
        <v>0.2026536296909493</v>
      </c>
    </row>
    <row r="19" spans="2:24" ht="12.65" customHeight="1" x14ac:dyDescent="0.35">
      <c r="B19" s="101"/>
      <c r="C19" s="185"/>
      <c r="D19" s="186"/>
      <c r="E19" s="187"/>
      <c r="F19" s="186"/>
      <c r="G19" s="187"/>
      <c r="H19" s="186"/>
      <c r="I19" s="188"/>
      <c r="L19" s="3" t="s">
        <v>5</v>
      </c>
      <c r="M19" s="194">
        <f t="array" aca="1" ref="M19" ca="1">INDEX(INDIRECT("'"&amp;$L19&amp;"'!F23:AJ38"),MATCH(M$6,INDIRECT("'"&amp;$L19&amp;"'!F23:F38"),0),MATCH($R19&amp;$S19&amp;"Change",INDIRECT("'"&amp;$L19&amp;"'!F23:AJ23")&amp;INDIRECT("'"&amp;$L19&amp;"'!F24:AJ24")&amp;INDIRECT("'"&amp;$L19&amp;"'!F30:AJ30"),0))</f>
        <v>1.7921154913936865E-2</v>
      </c>
      <c r="N19" s="194">
        <f t="array" aca="1" ref="N19" ca="1">INDEX(INDIRECT("'"&amp;$L19&amp;"'!F23:AJ38"),MATCH(N$6,INDIRECT("'"&amp;$L19&amp;"'!F23:F38"),0),MATCH($R19&amp;$S19&amp;"Change",INDIRECT("'"&amp;$L19&amp;"'!F23:AJ23")&amp;INDIRECT("'"&amp;$L19&amp;"'!F24:AJ24")&amp;INDIRECT("'"&amp;$L19&amp;"'!F30:AJ30"),0))</f>
        <v>-0.22347215984804414</v>
      </c>
      <c r="O19" s="194">
        <f t="array" aca="1" ref="O19" ca="1">INDEX(INDIRECT("'"&amp;$L19&amp;"'!F23:AJ38"),MATCH(O$6,INDIRECT("'"&amp;$L19&amp;"'!F23:F38"),0),MATCH($R19&amp;$S19&amp;"Change",INDIRECT("'"&amp;$L19&amp;"'!F23:AJ23")&amp;INDIRECT("'"&amp;$L19&amp;"'!F24:AJ24")&amp;INDIRECT("'"&amp;$L19&amp;"'!F30:AJ30"),0))</f>
        <v>9.8007539041464753E-2</v>
      </c>
      <c r="P19" s="229">
        <f>CPI</f>
        <v>1.4999999999999999E-2</v>
      </c>
      <c r="Q19" s="195">
        <f t="array" aca="1" ref="Q19" ca="1">INDEX(INDIRECT("'"&amp;$L19&amp;"'!$B$6:$F$16"),MATCH("Change from DMO "&amp;PY&amp;" price (%)",INDIRECT("'"&amp;$L19&amp;"'!$B$6:$B$16"),0),MATCH($R19&amp;$S19,INDIRECT("'"&amp;$L19&amp;"'!$B$6:$E$6")&amp;INDIRECT("'"&amp;$L19&amp;"'!$B$7:$E$7"),0))</f>
        <v>-7.4420677361853871E-2</v>
      </c>
      <c r="R19" s="97" t="str">
        <f t="shared" si="1"/>
        <v>Residential</v>
      </c>
      <c r="S19" s="97" t="str">
        <f t="shared" si="1"/>
        <v>with CL</v>
      </c>
      <c r="T19" s="3" t="s">
        <v>5</v>
      </c>
      <c r="U19" s="241">
        <f t="array" aca="1" ref="U19" ca="1">INDEX(INDIRECT("'"&amp;$T19&amp;"'!F23:AJ38"),MATCH(U$6,INDIRECT("'"&amp;$T19&amp;"'!F23:F38"),0),MATCH($R19&amp;$S19&amp;"Proportion",INDIRECT("'"&amp;$T19&amp;"'!F23:AJ23")&amp;INDIRECT("'"&amp;$T19&amp;"'!F24:AJ24")&amp;INDIRECT("'"&amp;$T19&amp;"'!F30:AJ30"),0))</f>
        <v>0.44142156862745097</v>
      </c>
      <c r="V19" s="241">
        <f t="array" aca="1" ref="V19" ca="1">INDEX(INDIRECT("'"&amp;$T19&amp;"'!F23:AJ38"),MATCH(V$6,INDIRECT("'"&amp;$T19&amp;"'!F23:F38"),0),MATCH($R19&amp;$S19&amp;"Proportion",INDIRECT("'"&amp;$T19&amp;"'!F23:AJ23")&amp;INDIRECT("'"&amp;$T19&amp;"'!F24:AJ24")&amp;INDIRECT("'"&amp;$T19&amp;"'!F30:AJ30"),0))</f>
        <v>0.39949705882352937</v>
      </c>
      <c r="W19" s="241">
        <f t="array" aca="1" ref="W19" ca="1">INDEX(INDIRECT("'"&amp;$T19&amp;"'!F23:AJ38"),MATCH(W$6,INDIRECT("'"&amp;$T19&amp;"'!F23:F38"),0),MATCH($R19&amp;$S19&amp;"Proportion",INDIRECT("'"&amp;$T19&amp;"'!F23:AJ23")&amp;INDIRECT("'"&amp;$T19&amp;"'!F24:AJ24")&amp;INDIRECT("'"&amp;$T19&amp;"'!F30:AJ30"),0))</f>
        <v>5.4617647058823528E-2</v>
      </c>
      <c r="X19" s="241">
        <f t="array" aca="1" ref="X19" ca="1">INDEX(INDIRECT("'"&amp;$T19&amp;"'!F23:AJ38"),MATCH(X$6,INDIRECT("'"&amp;$T19&amp;"'!F23:F38"),0),MATCH($R19&amp;$S19&amp;"Proportion",INDIRECT("'"&amp;$T19&amp;"'!F23:AJ23")&amp;INDIRECT("'"&amp;$T19&amp;"'!F24:AJ24")&amp;INDIRECT("'"&amp;$T19&amp;"'!F30:AJ30"),0))</f>
        <v>0.10446372549019618</v>
      </c>
    </row>
    <row r="20" spans="2:24" s="53" customFormat="1" ht="30" customHeight="1" x14ac:dyDescent="0.35">
      <c r="B20" s="62" t="s">
        <v>3</v>
      </c>
      <c r="C20" s="178" t="s">
        <v>93</v>
      </c>
      <c r="D20" s="279">
        <f t="array" aca="1" ref="D20" ca="1">INDEX(INDIRECT("'"&amp;$B20&amp;"'!$B$6:$F$16"),MATCH("DMO "&amp;FY&amp;" price ($ pa, inc GST)",INDIRECT("'"&amp;$B20&amp;"'!$B$6:$B$16"),0),MATCH(D$6&amp;D$7,INDIRECT("'"&amp;$B20&amp;"'!$B$6:$E$6")&amp;INDIRECT("'"&amp;$B20&amp;"'!$B$7:$E$7"),0))</f>
        <v>1907</v>
      </c>
      <c r="E20" s="285"/>
      <c r="F20" s="279">
        <f t="array" aca="1" ref="F20" ca="1">INDEX(INDIRECT("'"&amp;$B20&amp;"'!$B$6:$F$16"),MATCH("DMO "&amp;FY&amp;" price ($ pa, inc GST)",INDIRECT("'"&amp;$B20&amp;"'!$B$6:$B$16"),0),MATCH(F$6&amp;F$7,INDIRECT("'"&amp;$B20&amp;"'!$B$6:$E$6")&amp;INDIRECT("'"&amp;$B20&amp;"'!$B$7:$E$7"),0))</f>
        <v>2271</v>
      </c>
      <c r="G20" s="285"/>
      <c r="H20" s="279">
        <f t="array" aca="1" ref="H20" ca="1">INDEX(INDIRECT("'"&amp;$B20&amp;"'!$B$6:$F$16"),MATCH("DMO "&amp;FY&amp;" price ($ pa, inc GST)",INDIRECT("'"&amp;$B20&amp;"'!$B$6:$B$16"),0),MATCH(H$6&amp;H$7,INDIRECT("'"&amp;$B20&amp;"'!$B$6:$E$6")&amp;INDIRECT("'"&amp;$B20&amp;"'!$B$7:$E$7"),0))</f>
        <v>7791</v>
      </c>
      <c r="I20" s="284"/>
      <c r="J20" s="226"/>
      <c r="K20" s="226"/>
      <c r="L20" s="5" t="str">
        <f>R20&amp;" "&amp;S20</f>
        <v>Small business without CL</v>
      </c>
      <c r="O20" s="213"/>
      <c r="P20" s="230"/>
      <c r="Q20" s="213"/>
      <c r="R20" s="214" t="s">
        <v>15</v>
      </c>
      <c r="S20" s="214" t="s">
        <v>150</v>
      </c>
      <c r="T20" s="5" t="str">
        <f>L20</f>
        <v>Small business without CL</v>
      </c>
      <c r="W20" s="213"/>
      <c r="X20" s="230"/>
    </row>
    <row r="21" spans="2:24" ht="12.65" customHeight="1" x14ac:dyDescent="0.35">
      <c r="B21" s="98" t="s">
        <v>3</v>
      </c>
      <c r="C21" s="294" t="s">
        <v>175</v>
      </c>
      <c r="D21" s="281" t="str">
        <f t="array" aca="1" ref="D21" ca="1">INDEX(INDIRECT("'"&amp;$B20&amp;"'!$B$6:$F$16"),MATCH("Annual usage (kWh)",INDIRECT("'"&amp;$B20&amp;"'!$B$6:$B$16"),0),MATCH(D$6&amp;D$7,INDIRECT("'"&amp;$B20&amp;"'!$B$6:$E$6")&amp;INDIRECT("'"&amp;$B20&amp;"'!$B$7:$E$7"),0))&amp;" kWh"</f>
        <v>4600 kWh</v>
      </c>
      <c r="E21" s="298"/>
      <c r="F21" s="276" t="str">
        <f t="array" aca="1" ref="F21" ca="1">"Flat rate "&amp;INDEX(INDIRECT("'"&amp;$B20&amp;"'!$B$6:$F$15"),MATCH("Flat rate usage (kWh)",INDIRECT("'"&amp;$B20&amp;"'!$B$6:$B$15"),0),MATCH(F$6&amp;F$7,INDIRECT("'"&amp;$B20&amp;"'!$B$6:$E$6")&amp;INDIRECT("'"&amp;$B20&amp;"'!$B$7:$E$7"),0))&amp;" kWh"</f>
        <v>Flat rate 4600 kWh</v>
      </c>
      <c r="G21" s="277"/>
      <c r="H21" s="281" t="str">
        <f t="array" aca="1" ref="H21" ca="1">INDEX(INDIRECT("'"&amp;$B20&amp;"'!$B$6:$F$16"),MATCH("Annual usage (kWh)",INDIRECT("'"&amp;$B20&amp;"'!$B$6:$B$16"),0),MATCH(H$6&amp;H$7,INDIRECT("'"&amp;$B20&amp;"'!$B$6:$E$6")&amp;INDIRECT("'"&amp;$B20&amp;"'!$B$7:$E$7"),0))&amp;" kWh"</f>
        <v>20000 kWh</v>
      </c>
      <c r="I21" s="297"/>
      <c r="L21" s="3" t="s">
        <v>2</v>
      </c>
      <c r="M21" s="194">
        <f t="array" aca="1" ref="M21" ca="1">INDEX(INDIRECT("'"&amp;$L21&amp;"'!F23:AJ38"),MATCH(M$6,INDIRECT("'"&amp;$L21&amp;"'!F23:F38"),0),MATCH($R21&amp;$S21&amp;"Change",INDIRECT("'"&amp;$L21&amp;"'!F23:AJ23")&amp;INDIRECT("'"&amp;$L21&amp;"'!F24:AJ24")&amp;INDIRECT("'"&amp;$L21&amp;"'!F30:AJ30"),0))</f>
        <v>4.1270353554494488E-2</v>
      </c>
      <c r="N21" s="194">
        <f t="array" aca="1" ref="N21" ca="1">INDEX(INDIRECT("'"&amp;$L21&amp;"'!F23:AJ38"),MATCH(N$6,INDIRECT("'"&amp;$L21&amp;"'!F23:F38"),0),MATCH($R21&amp;$S21&amp;"Change",INDIRECT("'"&amp;$L21&amp;"'!F23:AJ23")&amp;INDIRECT("'"&amp;$L21&amp;"'!F24:AJ24")&amp;INDIRECT("'"&amp;$L21&amp;"'!F30:AJ30"),0))</f>
        <v>-0.20817576084999101</v>
      </c>
      <c r="O21" s="194">
        <f t="array" aca="1" ref="O21" ca="1">INDEX(INDIRECT("'"&amp;$L21&amp;"'!F23:AJ38"),MATCH(O$6,INDIRECT("'"&amp;$L21&amp;"'!F23:F38"),0),MATCH($R21&amp;$S21&amp;"Change",INDIRECT("'"&amp;$L21&amp;"'!F23:AJ23")&amp;INDIRECT("'"&amp;$L21&amp;"'!F24:AJ24")&amp;INDIRECT("'"&amp;$L21&amp;"'!F30:AJ30"),0))</f>
        <v>0.11648223645893996</v>
      </c>
      <c r="P21" s="229">
        <f>CPI</f>
        <v>1.4999999999999999E-2</v>
      </c>
      <c r="Q21" s="195">
        <f t="array" aca="1" ref="Q21" ca="1">INDEX(INDIRECT("'"&amp;$L21&amp;"'!$B$6:$F$16"),MATCH("Change from DMO "&amp;PY&amp;" price (%)",INDIRECT("'"&amp;$L21&amp;"'!$B$6:$B$16"),0),MATCH($R21&amp;$S21,INDIRECT("'"&amp;$L21&amp;"'!$B$6:$E$6")&amp;INDIRECT("'"&amp;$L21&amp;"'!$B$7:$E$7"),0))</f>
        <v>-4.6961325966850875E-2</v>
      </c>
      <c r="R21" s="97" t="str">
        <f t="shared" ref="R21:S25" si="2">R20</f>
        <v>Small business</v>
      </c>
      <c r="S21" s="97" t="str">
        <f t="shared" si="2"/>
        <v>without CL</v>
      </c>
      <c r="T21" s="3" t="s">
        <v>2</v>
      </c>
      <c r="U21" s="241">
        <f t="array" aca="1" ref="U21" ca="1">INDEX(INDIRECT("'"&amp;$T21&amp;"'!F23:AJ38"),MATCH(U$6,INDIRECT("'"&amp;$T21&amp;"'!F23:F38"),0),MATCH($R21&amp;$S21&amp;"Proportion",INDIRECT("'"&amp;$T21&amp;"'!F23:AJ23")&amp;INDIRECT("'"&amp;$T21&amp;"'!F24:AJ24")&amp;INDIRECT("'"&amp;$T21&amp;"'!F30:AJ30"),0))</f>
        <v>0.30548274951657456</v>
      </c>
      <c r="V21" s="241">
        <f t="array" aca="1" ref="V21" ca="1">INDEX(INDIRECT("'"&amp;$T21&amp;"'!F23:AJ38"),MATCH(V$6,INDIRECT("'"&amp;$T21&amp;"'!F23:F38"),0),MATCH($R21&amp;$S21&amp;"Proportion",INDIRECT("'"&amp;$T21&amp;"'!F23:AJ23")&amp;INDIRECT("'"&amp;$T21&amp;"'!F24:AJ24")&amp;INDIRECT("'"&amp;$T21&amp;"'!F30:AJ30"),0))</f>
        <v>0.33747513812154695</v>
      </c>
      <c r="W21" s="241">
        <f t="array" aca="1" ref="W21" ca="1">INDEX(INDIRECT("'"&amp;$T21&amp;"'!F23:AJ38"),MATCH(W$6,INDIRECT("'"&amp;$T21&amp;"'!F23:F38"),0),MATCH($R21&amp;$S21&amp;"Proportion",INDIRECT("'"&amp;$T21&amp;"'!F23:AJ23")&amp;INDIRECT("'"&amp;$T21&amp;"'!F24:AJ24")&amp;INDIRECT("'"&amp;$T21&amp;"'!F30:AJ30"),0))</f>
        <v>5.2174033149171274E-2</v>
      </c>
      <c r="X21" s="241">
        <f t="array" aca="1" ref="X21" ca="1">INDEX(INDIRECT("'"&amp;$T21&amp;"'!F23:AJ38"),MATCH(X$6,INDIRECT("'"&amp;$T21&amp;"'!F23:F38"),0),MATCH($R21&amp;$S21&amp;"Proportion",INDIRECT("'"&amp;$T21&amp;"'!F23:AJ23")&amp;INDIRECT("'"&amp;$T21&amp;"'!F24:AJ24")&amp;INDIRECT("'"&amp;$T21&amp;"'!F30:AJ30"),0))</f>
        <v>0.30486807921270731</v>
      </c>
    </row>
    <row r="22" spans="2:24" ht="12.65" customHeight="1" x14ac:dyDescent="0.35">
      <c r="B22" s="98"/>
      <c r="C22" s="296"/>
      <c r="D22" s="181"/>
      <c r="E22" s="182"/>
      <c r="F22" s="276" t="str">
        <f t="array" aca="1" ref="F22" ca="1">"+ CL "&amp;INDEX(INDIRECT("'"&amp;$B20&amp;"'!$B$6:$F$15"),MATCH("Controlled load usage (kWh)",INDIRECT("'"&amp;$B20&amp;"'!$B$6:$B$15"),0),MATCH(F$6&amp;F$7,INDIRECT("'"&amp;$B20&amp;"'!$B$6:$E$6")&amp;INDIRECT("'"&amp;$B20&amp;"'!$B$7:$E$7"),0))&amp;" kWh"</f>
        <v>+ CL 2000 kWh</v>
      </c>
      <c r="G22" s="277"/>
      <c r="H22" s="181"/>
      <c r="I22" s="171"/>
      <c r="L22" s="3" t="s">
        <v>4</v>
      </c>
      <c r="M22" s="194">
        <f t="array" aca="1" ref="M22" ca="1">INDEX(INDIRECT("'"&amp;$L22&amp;"'!F23:AJ38"),MATCH(M$6,INDIRECT("'"&amp;$L22&amp;"'!F23:F38"),0),MATCH($R22&amp;$S22&amp;"Change",INDIRECT("'"&amp;$L22&amp;"'!F23:AJ23")&amp;INDIRECT("'"&amp;$L22&amp;"'!F24:AJ24")&amp;INDIRECT("'"&amp;$L22&amp;"'!F30:AJ30"),0))</f>
        <v>1.2325121459931809E-2</v>
      </c>
      <c r="N22" s="194">
        <f t="array" aca="1" ref="N22" ca="1">INDEX(INDIRECT("'"&amp;$L22&amp;"'!F23:AJ38"),MATCH(N$6,INDIRECT("'"&amp;$L22&amp;"'!F23:F38"),0),MATCH($R22&amp;$S22&amp;"Change",INDIRECT("'"&amp;$L22&amp;"'!F23:AJ23")&amp;INDIRECT("'"&amp;$L22&amp;"'!F24:AJ24")&amp;INDIRECT("'"&amp;$L22&amp;"'!F30:AJ30"),0))</f>
        <v>-0.21377037498886609</v>
      </c>
      <c r="O22" s="194">
        <f t="array" aca="1" ref="O22" ca="1">INDEX(INDIRECT("'"&amp;$L22&amp;"'!F23:AJ38"),MATCH(O$6,INDIRECT("'"&amp;$L22&amp;"'!F23:F38"),0),MATCH($R22&amp;$S22&amp;"Change",INDIRECT("'"&amp;$L22&amp;"'!F23:AJ23")&amp;INDIRECT("'"&amp;$L22&amp;"'!F24:AJ24")&amp;INDIRECT("'"&amp;$L22&amp;"'!F30:AJ30"),0))</f>
        <v>0.1123271889400923</v>
      </c>
      <c r="P22" s="229">
        <f>CPI</f>
        <v>1.4999999999999999E-2</v>
      </c>
      <c r="Q22" s="195">
        <f t="array" aca="1" ref="Q22" ca="1">INDEX(INDIRECT("'"&amp;$L22&amp;"'!$B$6:$F$16"),MATCH("Change from DMO "&amp;PY&amp;" price (%)",INDIRECT("'"&amp;$L22&amp;"'!$B$6:$B$16"),0),MATCH($R22&amp;$S22,INDIRECT("'"&amp;$L22&amp;"'!$B$6:$E$6")&amp;INDIRECT("'"&amp;$L22&amp;"'!$B$7:$E$7"),0))</f>
        <v>-7.1393880524526443E-2</v>
      </c>
      <c r="R22" s="97" t="str">
        <f t="shared" si="2"/>
        <v>Small business</v>
      </c>
      <c r="S22" s="97" t="str">
        <f t="shared" si="2"/>
        <v>without CL</v>
      </c>
      <c r="T22" s="3" t="s">
        <v>4</v>
      </c>
      <c r="U22" s="241">
        <f t="array" aca="1" ref="U22" ca="1">INDEX(INDIRECT("'"&amp;$T22&amp;"'!F23:AJ38"),MATCH(U$6,INDIRECT("'"&amp;$T22&amp;"'!F23:F38"),0),MATCH($R22&amp;$S22&amp;"Proportion",INDIRECT("'"&amp;$T22&amp;"'!F23:AJ23")&amp;INDIRECT("'"&amp;$T22&amp;"'!F24:AJ24")&amp;INDIRECT("'"&amp;$T22&amp;"'!F30:AJ30"),0))</f>
        <v>0.34099269872106203</v>
      </c>
      <c r="V22" s="241">
        <f t="array" aca="1" ref="V22" ca="1">INDEX(INDIRECT("'"&amp;$T22&amp;"'!F23:AJ38"),MATCH(V$6,INDIRECT("'"&amp;$T22&amp;"'!F23:F38"),0),MATCH($R22&amp;$S22&amp;"Proportion",INDIRECT("'"&amp;$T22&amp;"'!F23:AJ23")&amp;INDIRECT("'"&amp;$T22&amp;"'!F24:AJ24")&amp;INDIRECT("'"&amp;$T22&amp;"'!F30:AJ30"),0))</f>
        <v>0.39986077383843288</v>
      </c>
      <c r="W22" s="241">
        <f t="array" aca="1" ref="W22" ca="1">INDEX(INDIRECT("'"&amp;$T22&amp;"'!F23:AJ38"),MATCH(W$6,INDIRECT("'"&amp;$T22&amp;"'!F23:F38"),0),MATCH($R22&amp;$S22&amp;"Proportion",INDIRECT("'"&amp;$T22&amp;"'!F23:AJ23")&amp;INDIRECT("'"&amp;$T22&amp;"'!F24:AJ24")&amp;INDIRECT("'"&amp;$T22&amp;"'!F30:AJ30"),0))</f>
        <v>6.182936700663752E-2</v>
      </c>
      <c r="X22" s="241">
        <f t="array" aca="1" ref="X22" ca="1">INDEX(INDIRECT("'"&amp;$T22&amp;"'!F23:AJ38"),MATCH(X$6,INDIRECT("'"&amp;$T22&amp;"'!F23:F38"),0),MATCH($R22&amp;$S22&amp;"Proportion",INDIRECT("'"&amp;$T22&amp;"'!F23:AJ23")&amp;INDIRECT("'"&amp;$T22&amp;"'!F24:AJ24")&amp;INDIRECT("'"&amp;$T22&amp;"'!F30:AJ30"),0))</f>
        <v>0.19731716043386752</v>
      </c>
    </row>
    <row r="23" spans="2:24" ht="12.65" customHeight="1" x14ac:dyDescent="0.35">
      <c r="B23" s="98"/>
      <c r="C23" s="212"/>
      <c r="D23" s="206"/>
      <c r="E23" s="208"/>
      <c r="F23" s="200"/>
      <c r="G23" s="201"/>
      <c r="H23" s="206"/>
      <c r="I23" s="207"/>
      <c r="L23" s="3" t="s">
        <v>3</v>
      </c>
      <c r="M23" s="194">
        <f t="array" aca="1" ref="M23" ca="1">INDEX(INDIRECT("'"&amp;$L23&amp;"'!F23:AJ38"),MATCH(M$6,INDIRECT("'"&amp;$L23&amp;"'!F23:F38"),0),MATCH($R23&amp;$S23&amp;"Change",INDIRECT("'"&amp;$L23&amp;"'!F23:AJ23")&amp;INDIRECT("'"&amp;$L23&amp;"'!F24:AJ24")&amp;INDIRECT("'"&amp;$L23&amp;"'!F30:AJ30"),0))</f>
        <v>5.4075777451963791E-2</v>
      </c>
      <c r="N23" s="194">
        <f t="array" aca="1" ref="N23" ca="1">INDEX(INDIRECT("'"&amp;$L23&amp;"'!F23:AJ38"),MATCH(N$6,INDIRECT("'"&amp;$L23&amp;"'!F23:F38"),0),MATCH($R23&amp;$S23&amp;"Change",INDIRECT("'"&amp;$L23&amp;"'!F23:AJ23")&amp;INDIRECT("'"&amp;$L23&amp;"'!F24:AJ24")&amp;INDIRECT("'"&amp;$L23&amp;"'!F30:AJ30"),0))</f>
        <v>-0.22376811594202894</v>
      </c>
      <c r="O23" s="194">
        <f t="array" aca="1" ref="O23" ca="1">INDEX(INDIRECT("'"&amp;$L23&amp;"'!F23:AJ38"),MATCH(O$6,INDIRECT("'"&amp;$L23&amp;"'!F23:F38"),0),MATCH($R23&amp;$S23&amp;"Change",INDIRECT("'"&amp;$L23&amp;"'!F23:AJ23")&amp;INDIRECT("'"&amp;$L23&amp;"'!F24:AJ24")&amp;INDIRECT("'"&amp;$L23&amp;"'!F30:AJ30"),0))</f>
        <v>0.10376811594202895</v>
      </c>
      <c r="P23" s="229">
        <f>CPI</f>
        <v>1.4999999999999999E-2</v>
      </c>
      <c r="Q23" s="195">
        <f t="array" aca="1" ref="Q23" ca="1">INDEX(INDIRECT("'"&amp;$L23&amp;"'!$B$6:$F$16"),MATCH("Change from DMO "&amp;PY&amp;" price (%)",INDIRECT("'"&amp;$L23&amp;"'!$B$6:$B$16"),0),MATCH($R23&amp;$S23,INDIRECT("'"&amp;$L23&amp;"'!$B$6:$E$6")&amp;INDIRECT("'"&amp;$L23&amp;"'!$B$7:$E$7"),0))</f>
        <v>-3.1090660365626133E-2</v>
      </c>
      <c r="R23" s="97" t="str">
        <f t="shared" si="2"/>
        <v>Small business</v>
      </c>
      <c r="S23" s="97" t="str">
        <f t="shared" si="2"/>
        <v>without CL</v>
      </c>
      <c r="T23" s="3" t="s">
        <v>3</v>
      </c>
      <c r="U23" s="241">
        <f t="array" aca="1" ref="U23" ca="1">INDEX(INDIRECT("'"&amp;$T23&amp;"'!F23:AJ38"),MATCH(U$6,INDIRECT("'"&amp;$T23&amp;"'!F23:F38"),0),MATCH($R23&amp;$S23&amp;"Proportion",INDIRECT("'"&amp;$T23&amp;"'!F23:AJ23")&amp;INDIRECT("'"&amp;$T23&amp;"'!F24:AJ24")&amp;INDIRECT("'"&amp;$T23&amp;"'!F30:AJ30"),0))</f>
        <v>0.4431942544459645</v>
      </c>
      <c r="V23" s="241">
        <f t="array" aca="1" ref="V23" ca="1">INDEX(INDIRECT("'"&amp;$T23&amp;"'!F23:AJ38"),MATCH(V$6,INDIRECT("'"&amp;$T23&amp;"'!F23:F38"),0),MATCH($R23&amp;$S23&amp;"Proportion",INDIRECT("'"&amp;$T23&amp;"'!F23:AJ23")&amp;INDIRECT("'"&amp;$T23&amp;"'!F24:AJ24")&amp;INDIRECT("'"&amp;$T23&amp;"'!F30:AJ30"),0))</f>
        <v>0.28317373461012313</v>
      </c>
      <c r="W23" s="241">
        <f t="array" aca="1" ref="W23" ca="1">INDEX(INDIRECT("'"&amp;$T23&amp;"'!F23:AJ38"),MATCH(W$6,INDIRECT("'"&amp;$T23&amp;"'!F23:F38"),0),MATCH($R23&amp;$S23&amp;"Proportion",INDIRECT("'"&amp;$T23&amp;"'!F23:AJ23")&amp;INDIRECT("'"&amp;$T23&amp;"'!F24:AJ24")&amp;INDIRECT("'"&amp;$T23&amp;"'!F30:AJ30"),0))</f>
        <v>4.7195622435020519E-2</v>
      </c>
      <c r="X23" s="241">
        <f t="array" aca="1" ref="X23" ca="1">INDEX(INDIRECT("'"&amp;$T23&amp;"'!F23:AJ38"),MATCH(X$6,INDIRECT("'"&amp;$T23&amp;"'!F23:F38"),0),MATCH($R23&amp;$S23&amp;"Proportion",INDIRECT("'"&amp;$T23&amp;"'!F23:AJ23")&amp;INDIRECT("'"&amp;$T23&amp;"'!F24:AJ24")&amp;INDIRECT("'"&amp;$T23&amp;"'!F30:AJ30"),0))</f>
        <v>0.22643638850889189</v>
      </c>
    </row>
    <row r="24" spans="2:24" ht="12.65" customHeight="1" x14ac:dyDescent="0.35">
      <c r="B24" s="98"/>
      <c r="C24" s="189" t="s">
        <v>159</v>
      </c>
      <c r="D24" s="190">
        <f t="array" aca="1" ref="D24" ca="1">INDEX(INDIRECT("'"&amp;$B20&amp;"'!$B$6:$F$16"),MATCH("Change from DMO "&amp;PY&amp;" price ($)",INDIRECT("'"&amp;$B20&amp;"'!$B$6:$B$16"),0),MATCH(D$6&amp;D$7,INDIRECT("'"&amp;$B20&amp;"'!$B$6:$E$6")&amp;INDIRECT("'"&amp;$B20&amp;"'!$B$7:$E$7"),0))</f>
        <v>-53</v>
      </c>
      <c r="E24" s="191" t="str">
        <f t="array" aca="1" ref="E24" ca="1">"("&amp;ROUND(INDEX(INDIRECT("'"&amp;$B20&amp;"'!$B$6:$F$16"),MATCH("Change from DMO "&amp;PY&amp;" price (%)",INDIRECT("'"&amp;$B20&amp;"'!$B$6:$B$16"),0),MATCH(D$6&amp;D$7,INDIRECT("'"&amp;$B20&amp;"'!$B$6:$E$6")&amp;INDIRECT("'"&amp;$B20&amp;"'!$B$7:$E$7"),0))*100,1)&amp;"%)"</f>
        <v>(-2.7%)</v>
      </c>
      <c r="F24" s="190">
        <f t="array" aca="1" ref="F24" ca="1">INDEX(INDIRECT("'"&amp;$B20&amp;"'!$B$6:$F$16"),MATCH("Change from DMO "&amp;PY&amp;" price ($)",INDIRECT("'"&amp;$B20&amp;"'!$B$6:$B$16"),0),MATCH(F$6&amp;F$7,INDIRECT("'"&amp;$B20&amp;"'!$B$6:$E$6")&amp;INDIRECT("'"&amp;$B20&amp;"'!$B$7:$E$7"),0))</f>
        <v>-85</v>
      </c>
      <c r="G24" s="191" t="str">
        <f t="array" aca="1" ref="G24" ca="1">"("&amp;ROUND(INDEX(INDIRECT("'"&amp;$B20&amp;"'!$B$6:$F$16"),MATCH("Change from DMO "&amp;PY&amp;" price (%)",INDIRECT("'"&amp;$B20&amp;"'!$B$6:$B$16"),0),MATCH(F$6&amp;F$7,INDIRECT("'"&amp;$B20&amp;"'!$B$6:$E$6")&amp;INDIRECT("'"&amp;$B20&amp;"'!$B$7:$E$7"),0))*100,1)&amp;"%)"</f>
        <v>(-3.6%)</v>
      </c>
      <c r="H24" s="190">
        <f t="array" aca="1" ref="H24" ca="1">INDEX(INDIRECT("'"&amp;$B20&amp;"'!$B$6:$F$16"),MATCH("Change from DMO "&amp;PY&amp;" price ($)",INDIRECT("'"&amp;$B20&amp;"'!$B$6:$B$16"),0),MATCH(H$6&amp;H$7,INDIRECT("'"&amp;$B20&amp;"'!$B$6:$E$6")&amp;INDIRECT("'"&amp;$B20&amp;"'!$B$7:$E$7"),0))</f>
        <v>-250</v>
      </c>
      <c r="I24" s="192" t="str">
        <f t="array" aca="1" ref="I24" ca="1">"("&amp;ROUND(INDEX(INDIRECT("'"&amp;$B20&amp;"'!$B$6:$F$16"),MATCH("Change from DMO "&amp;PY&amp;" price (%)",INDIRECT("'"&amp;$B20&amp;"'!$B$6:$B$16"),0),MATCH(H$6&amp;H$7,INDIRECT("'"&amp;$B20&amp;"'!$B$6:$E$6")&amp;INDIRECT("'"&amp;$B20&amp;"'!$B$7:$E$7"),0))*100,1)&amp;"%)"</f>
        <v>(-3.1%)</v>
      </c>
      <c r="L24" s="3" t="s">
        <v>0</v>
      </c>
      <c r="M24" s="194">
        <f t="array" aca="1" ref="M24" ca="1">INDEX(INDIRECT("'"&amp;$L24&amp;"'!F23:AJ38"),MATCH(M$6,INDIRECT("'"&amp;$L24&amp;"'!F23:F38"),0),MATCH($R24&amp;$S24&amp;"Change",INDIRECT("'"&amp;$L24&amp;"'!F23:AJ23")&amp;INDIRECT("'"&amp;$L24&amp;"'!F24:AJ24")&amp;INDIRECT("'"&amp;$L24&amp;"'!F30:AJ30"),0))</f>
        <v>3.9307526577569307E-2</v>
      </c>
      <c r="N24" s="194">
        <f t="array" aca="1" ref="N24" ca="1">INDEX(INDIRECT("'"&amp;$L24&amp;"'!F23:AJ38"),MATCH(N$6,INDIRECT("'"&amp;$L24&amp;"'!F23:F38"),0),MATCH($R24&amp;$S24&amp;"Change",INDIRECT("'"&amp;$L24&amp;"'!F23:AJ23")&amp;INDIRECT("'"&amp;$L24&amp;"'!F24:AJ24")&amp;INDIRECT("'"&amp;$L24&amp;"'!F30:AJ30"),0))</f>
        <v>-0.19084052901956505</v>
      </c>
      <c r="O24" s="194">
        <f t="array" aca="1" ref="O24" ca="1">INDEX(INDIRECT("'"&amp;$L24&amp;"'!F23:AJ38"),MATCH(O$6,INDIRECT("'"&amp;$L24&amp;"'!F23:F38"),0),MATCH($R24&amp;$S24&amp;"Change",INDIRECT("'"&amp;$L24&amp;"'!F23:AJ23")&amp;INDIRECT("'"&amp;$L24&amp;"'!F24:AJ24")&amp;INDIRECT("'"&amp;$L24&amp;"'!F30:AJ30"),0))</f>
        <v>0.10927152317880795</v>
      </c>
      <c r="P24" s="229">
        <f>CPI</f>
        <v>1.4999999999999999E-2</v>
      </c>
      <c r="Q24" s="195">
        <f t="array" aca="1" ref="Q24" ca="1">INDEX(INDIRECT("'"&amp;$L24&amp;"'!$B$6:$F$16"),MATCH("Change from DMO "&amp;PY&amp;" price (%)",INDIRECT("'"&amp;$L24&amp;"'!$B$6:$B$16"),0),MATCH($R24&amp;$S24,INDIRECT("'"&amp;$L24&amp;"'!$B$6:$E$6")&amp;INDIRECT("'"&amp;$L24&amp;"'!$B$7:$E$7"),0))</f>
        <v>-4.2187500000000044E-2</v>
      </c>
      <c r="R24" s="97" t="str">
        <f t="shared" si="2"/>
        <v>Small business</v>
      </c>
      <c r="S24" s="97" t="str">
        <f t="shared" si="2"/>
        <v>without CL</v>
      </c>
      <c r="T24" s="3" t="s">
        <v>0</v>
      </c>
      <c r="U24" s="241">
        <f t="array" aca="1" ref="U24" ca="1">INDEX(INDIRECT("'"&amp;$T24&amp;"'!F23:AJ38"),MATCH(U$6,INDIRECT("'"&amp;$T24&amp;"'!F23:F38"),0),MATCH($R24&amp;$S24&amp;"Proportion",INDIRECT("'"&amp;$T24&amp;"'!F23:AJ23")&amp;INDIRECT("'"&amp;$T24&amp;"'!F24:AJ24")&amp;INDIRECT("'"&amp;$T24&amp;"'!F30:AJ30"),0))</f>
        <v>0.38469817795138889</v>
      </c>
      <c r="V24" s="241">
        <f t="array" aca="1" ref="V24" ca="1">INDEX(INDIRECT("'"&amp;$T24&amp;"'!F23:AJ38"),MATCH(V$6,INDIRECT("'"&amp;$T24&amp;"'!F23:F38"),0),MATCH($R24&amp;$S24&amp;"Proportion",INDIRECT("'"&amp;$T24&amp;"'!F23:AJ23")&amp;INDIRECT("'"&amp;$T24&amp;"'!F24:AJ24")&amp;INDIRECT("'"&amp;$T24&amp;"'!F30:AJ30"),0))</f>
        <v>0.3494409722222222</v>
      </c>
      <c r="W24" s="241">
        <f t="array" aca="1" ref="W24" ca="1">INDEX(INDIRECT("'"&amp;$T24&amp;"'!F23:AJ38"),MATCH(W$6,INDIRECT("'"&amp;$T24&amp;"'!F23:F38"),0),MATCH($R24&amp;$S24&amp;"Proportion",INDIRECT("'"&amp;$T24&amp;"'!F23:AJ23")&amp;INDIRECT("'"&amp;$T24&amp;"'!F24:AJ24")&amp;INDIRECT("'"&amp;$T24&amp;"'!F30:AJ30"),0))</f>
        <v>5.7673611111111106E-2</v>
      </c>
      <c r="X24" s="241">
        <f t="array" aca="1" ref="X24" ca="1">INDEX(INDIRECT("'"&amp;$T24&amp;"'!F23:AJ38"),MATCH(X$6,INDIRECT("'"&amp;$T24&amp;"'!F23:F38"),0),MATCH($R24&amp;$S24&amp;"Proportion",INDIRECT("'"&amp;$T24&amp;"'!F23:AJ23")&amp;INDIRECT("'"&amp;$T24&amp;"'!F24:AJ24")&amp;INDIRECT("'"&amp;$T24&amp;"'!F30:AJ30"),0))</f>
        <v>0.20818723871527789</v>
      </c>
    </row>
    <row r="25" spans="2:24" ht="12.65" customHeight="1" x14ac:dyDescent="0.35">
      <c r="B25" s="98"/>
      <c r="C25" s="189"/>
      <c r="D25" s="190"/>
      <c r="E25" s="191"/>
      <c r="F25" s="190"/>
      <c r="G25" s="191"/>
      <c r="H25" s="190"/>
      <c r="I25" s="192"/>
      <c r="L25" s="150" t="s">
        <v>5</v>
      </c>
      <c r="M25" s="198">
        <f t="array" aca="1" ref="M25" ca="1">INDEX(INDIRECT("'"&amp;$L25&amp;"'!F23:AJ38"),MATCH(M$6,INDIRECT("'"&amp;$L25&amp;"'!F23:F38"),0),MATCH($R25&amp;$S25&amp;"Change",INDIRECT("'"&amp;$L25&amp;"'!F23:AJ23")&amp;INDIRECT("'"&amp;$L25&amp;"'!F24:AJ24")&amp;INDIRECT("'"&amp;$L25&amp;"'!F30:AJ30"),0))</f>
        <v>0.13757642860668962</v>
      </c>
      <c r="N25" s="198">
        <f t="array" aca="1" ref="N25" ca="1">INDEX(INDIRECT("'"&amp;$L25&amp;"'!F23:AJ38"),MATCH(N$6,INDIRECT("'"&amp;$L25&amp;"'!F23:F38"),0),MATCH($R25&amp;$S25&amp;"Change",INDIRECT("'"&amp;$L25&amp;"'!F23:AJ23")&amp;INDIRECT("'"&amp;$L25&amp;"'!F24:AJ24")&amp;INDIRECT("'"&amp;$L25&amp;"'!F30:AJ30"),0))</f>
        <v>-0.22482481183493386</v>
      </c>
      <c r="O25" s="198">
        <f t="array" aca="1" ref="O25" ca="1">INDEX(INDIRECT("'"&amp;$L25&amp;"'!F23:AJ38"),MATCH(O$6,INDIRECT("'"&amp;$L25&amp;"'!F23:F38"),0),MATCH($R25&amp;$S25&amp;"Change",INDIRECT("'"&amp;$L25&amp;"'!F23:AJ23")&amp;INDIRECT("'"&amp;$L25&amp;"'!F24:AJ24")&amp;INDIRECT("'"&amp;$L25&amp;"'!F30:AJ30"),0))</f>
        <v>9.8007539041464975E-2</v>
      </c>
      <c r="P25" s="231">
        <f>CPI</f>
        <v>1.4999999999999999E-2</v>
      </c>
      <c r="Q25" s="199">
        <f t="array" aca="1" ref="Q25" ca="1">INDEX(INDIRECT("'"&amp;$L25&amp;"'!$B$6:$F$16"),MATCH("Change from DMO "&amp;PY&amp;" price (%)",INDIRECT("'"&amp;$L25&amp;"'!$B$6:$B$16"),0),MATCH($R25&amp;$S25,INDIRECT("'"&amp;$L25&amp;"'!$B$6:$E$6")&amp;INDIRECT("'"&amp;$L25&amp;"'!$B$7:$E$7"),0))</f>
        <v>-3.2751354605659255E-2</v>
      </c>
      <c r="R25" s="97" t="str">
        <f t="shared" si="2"/>
        <v>Small business</v>
      </c>
      <c r="S25" s="97" t="str">
        <f t="shared" si="2"/>
        <v>without CL</v>
      </c>
      <c r="T25" s="150" t="s">
        <v>5</v>
      </c>
      <c r="U25" s="242">
        <f t="array" aca="1" ref="U25" ca="1">INDEX(INDIRECT("'"&amp;$T25&amp;"'!F23:AJ38"),MATCH(U$6,INDIRECT("'"&amp;$T25&amp;"'!F23:F38"),0),MATCH($R25&amp;$S25&amp;"Proportion",INDIRECT("'"&amp;$T25&amp;"'!F23:AJ23")&amp;INDIRECT("'"&amp;$T25&amp;"'!F24:AJ24")&amp;INDIRECT("'"&amp;$T25&amp;"'!F30:AJ30"),0))</f>
        <v>0.37562649006622517</v>
      </c>
      <c r="V25" s="242">
        <f t="array" aca="1" ref="V25" ca="1">INDEX(INDIRECT("'"&amp;$T25&amp;"'!F23:AJ38"),MATCH(V$6,INDIRECT("'"&amp;$T25&amp;"'!F23:F38"),0),MATCH($R25&amp;$S25&amp;"Proportion",INDIRECT("'"&amp;$T25&amp;"'!F23:AJ23")&amp;INDIRECT("'"&amp;$T25&amp;"'!F24:AJ24")&amp;INDIRECT("'"&amp;$T25&amp;"'!F30:AJ30"),0))</f>
        <v>0.40826490066225168</v>
      </c>
      <c r="W25" s="242">
        <f t="array" aca="1" ref="W25" ca="1">INDEX(INDIRECT("'"&amp;$T25&amp;"'!F23:AJ38"),MATCH(W$6,INDIRECT("'"&amp;$T25&amp;"'!F23:F38"),0),MATCH($R25&amp;$S25&amp;"Proportion",INDIRECT("'"&amp;$T25&amp;"'!F23:AJ23")&amp;INDIRECT("'"&amp;$T25&amp;"'!F24:AJ24")&amp;INDIRECT("'"&amp;$T25&amp;"'!F30:AJ30"),0))</f>
        <v>4.9192052980132447E-2</v>
      </c>
      <c r="X25" s="242">
        <f t="array" aca="1" ref="X25" ca="1">INDEX(INDIRECT("'"&amp;$T25&amp;"'!F23:AJ38"),MATCH(X$6,INDIRECT("'"&amp;$T25&amp;"'!F23:F38"),0),MATCH($R25&amp;$S25&amp;"Proportion",INDIRECT("'"&amp;$T25&amp;"'!F23:AJ23")&amp;INDIRECT("'"&amp;$T25&amp;"'!F24:AJ24")&amp;INDIRECT("'"&amp;$T25&amp;"'!F30:AJ30"),0))</f>
        <v>0.16691655629139066</v>
      </c>
    </row>
    <row r="26" spans="2:24" s="53" customFormat="1" ht="30" customHeight="1" x14ac:dyDescent="0.35">
      <c r="B26" s="100" t="s">
        <v>0</v>
      </c>
      <c r="C26" s="179" t="s">
        <v>93</v>
      </c>
      <c r="D26" s="286">
        <f t="array" aca="1" ref="D26" ca="1">INDEX(INDIRECT("'"&amp;$B27&amp;"'!$B$6:$F$16"),MATCH("DMO "&amp;FY&amp;" price ($ pa, inc GST)",INDIRECT("'"&amp;$B27&amp;"'!$B$6:$B$16"),0),MATCH(D$6&amp;D$7,INDIRECT("'"&amp;$B27&amp;"'!$B$6:$E$6")&amp;INDIRECT("'"&amp;$B27&amp;"'!$B$7:$E$7"),0))</f>
        <v>1455</v>
      </c>
      <c r="E26" s="287"/>
      <c r="F26" s="286">
        <f t="array" aca="1" ref="F26" ca="1">INDEX(INDIRECT("'"&amp;$B27&amp;"'!$B$6:$F$16"),MATCH("DMO "&amp;FY&amp;" price ($ pa, inc GST)",INDIRECT("'"&amp;$B27&amp;"'!$B$6:$B$16"),0),MATCH(F$6&amp;F$7,INDIRECT("'"&amp;$B27&amp;"'!$B$6:$E$6")&amp;INDIRECT("'"&amp;$B27&amp;"'!$B$7:$E$7"),0))</f>
        <v>1741</v>
      </c>
      <c r="G26" s="287"/>
      <c r="H26" s="286">
        <f t="array" aca="1" ref="H26" ca="1">INDEX(INDIRECT("'"&amp;$B27&amp;"'!$B$6:$F$16"),MATCH("DMO "&amp;FY&amp;" price ($ pa, inc GST)",INDIRECT("'"&amp;$B27&amp;"'!$B$6:$B$16"),0),MATCH(H$6&amp;H$7,INDIRECT("'"&amp;$B27&amp;"'!$B$6:$E$6")&amp;INDIRECT("'"&amp;$B27&amp;"'!$B$7:$E$7"),0))</f>
        <v>5517</v>
      </c>
      <c r="I26" s="288"/>
      <c r="J26" s="226"/>
      <c r="K26" s="226"/>
      <c r="L26" s="215" t="s">
        <v>176</v>
      </c>
      <c r="M26" s="196"/>
      <c r="N26" s="196"/>
      <c r="O26" s="196"/>
      <c r="P26" s="196"/>
      <c r="Q26" s="197"/>
    </row>
    <row r="27" spans="2:24" ht="12.65" customHeight="1" x14ac:dyDescent="0.35">
      <c r="B27" s="101" t="s">
        <v>0</v>
      </c>
      <c r="C27" s="295" t="s">
        <v>175</v>
      </c>
      <c r="D27" s="289" t="str">
        <f t="array" aca="1" ref="D27" ca="1">INDEX(INDIRECT("'"&amp;$B27&amp;"'!$B$6:$F$16"),MATCH("Annual usage (kWh)",INDIRECT("'"&amp;$B27&amp;"'!$B$6:$B$16"),0),MATCH(D$6&amp;D$7,INDIRECT("'"&amp;$B27&amp;"'!$B$6:$E$6")&amp;INDIRECT("'"&amp;$B27&amp;"'!$B$7:$E$7"),0))&amp;" kWh"</f>
        <v>4600 kWh</v>
      </c>
      <c r="E27" s="290"/>
      <c r="F27" s="292" t="str">
        <f t="array" aca="1" ref="F27" ca="1">"Flat rate "&amp;INDEX(INDIRECT("'"&amp;$B26&amp;"'!$B$6:$F$15"),MATCH("Flat rate usage (kWh)",INDIRECT("'"&amp;$B26&amp;"'!$B$6:$B$15"),0),MATCH(F$6&amp;F$7,INDIRECT("'"&amp;$B26&amp;"'!$B$6:$E$6")&amp;INDIRECT("'"&amp;$B26&amp;"'!$B$7:$E$7"),0))&amp;" kWh"</f>
        <v>Flat rate 4400 kWh</v>
      </c>
      <c r="G27" s="293"/>
      <c r="H27" s="289" t="str">
        <f t="array" aca="1" ref="H27" ca="1">INDEX(INDIRECT("'"&amp;$B27&amp;"'!$B$6:$F$16"),MATCH("Annual usage (kWh)",INDIRECT("'"&amp;$B27&amp;"'!$B$6:$B$16"),0),MATCH(H$6&amp;H$7,INDIRECT("'"&amp;$B27&amp;"'!$B$6:$E$6")&amp;INDIRECT("'"&amp;$B27&amp;"'!$B$7:$E$7"),0))&amp;" kWh"</f>
        <v>20000 kWh</v>
      </c>
      <c r="I27" s="291"/>
    </row>
    <row r="28" spans="2:24" ht="12.65" customHeight="1" x14ac:dyDescent="0.35">
      <c r="B28" s="101"/>
      <c r="C28" s="296"/>
      <c r="D28" s="183"/>
      <c r="E28" s="184"/>
      <c r="F28" s="292" t="str">
        <f t="array" aca="1" ref="F28" ca="1">"+ CL "&amp;INDEX(INDIRECT("'"&amp;$B26&amp;"'!$B$6:$F$15"),MATCH("Controlled load usage (kWh)",INDIRECT("'"&amp;$B26&amp;"'!$B$6:$B$15"),0),MATCH(F$6&amp;F$7,INDIRECT("'"&amp;$B26&amp;"'!$B$6:$E$6")&amp;INDIRECT("'"&amp;$B26&amp;"'!$B$7:$E$7"),0))&amp;" kWh"</f>
        <v>+ CL 1900 kWh</v>
      </c>
      <c r="G28" s="293"/>
      <c r="H28" s="183"/>
      <c r="I28" s="172"/>
    </row>
    <row r="29" spans="2:24" ht="12.65" customHeight="1" x14ac:dyDescent="0.35">
      <c r="B29" s="101"/>
      <c r="C29" s="203"/>
      <c r="D29" s="204"/>
      <c r="E29" s="205"/>
      <c r="F29" s="209"/>
      <c r="G29" s="210"/>
      <c r="H29" s="204"/>
      <c r="I29" s="211"/>
    </row>
    <row r="30" spans="2:24" ht="12.65" customHeight="1" x14ac:dyDescent="0.35">
      <c r="B30" s="101"/>
      <c r="C30" s="185" t="s">
        <v>159</v>
      </c>
      <c r="D30" s="186">
        <f t="array" aca="1" ref="D30" ca="1">INDEX(INDIRECT("'"&amp;$B26&amp;"'!$B$6:$F$16"),MATCH("Change from DMO "&amp;PY&amp;" price ($)",INDIRECT("'"&amp;$B26&amp;"'!$B$6:$B$16"),0),MATCH(D$6&amp;D$7,INDIRECT("'"&amp;$B26&amp;"'!$B$6:$E$6")&amp;INDIRECT("'"&amp;$B26&amp;"'!$B$7:$E$7"),0))</f>
        <v>-53</v>
      </c>
      <c r="E30" s="187" t="str">
        <f t="array" aca="1" ref="E30" ca="1">"("&amp;ROUND(INDEX(INDIRECT("'"&amp;$B26&amp;"'!$B$6:$F$16"),MATCH("Change from DMO "&amp;PY&amp;" price (%)",INDIRECT("'"&amp;$B26&amp;"'!$B$6:$B$16"),0),MATCH(D$6&amp;D$7,INDIRECT("'"&amp;$B26&amp;"'!$B$6:$E$6")&amp;INDIRECT("'"&amp;$B26&amp;"'!$B$7:$E$7"),0))*100,1)&amp;"%)"</f>
        <v>(-3.5%)</v>
      </c>
      <c r="F30" s="186">
        <f t="array" aca="1" ref="F30" ca="1">INDEX(INDIRECT("'"&amp;$B26&amp;"'!$B$6:$F$16"),MATCH("Change from DMO "&amp;PY&amp;" price ($)",INDIRECT("'"&amp;$B26&amp;"'!$B$6:$B$16"),0),MATCH(F$6&amp;F$7,INDIRECT("'"&amp;$B26&amp;"'!$B$6:$E$6")&amp;INDIRECT("'"&amp;$B26&amp;"'!$B$7:$E$7"),0))</f>
        <v>-71</v>
      </c>
      <c r="G30" s="187" t="str">
        <f t="array" aca="1" ref="G30" ca="1">"("&amp;ROUND(INDEX(INDIRECT("'"&amp;$B26&amp;"'!$B$6:$F$16"),MATCH("Change from DMO "&amp;PY&amp;" price (%)",INDIRECT("'"&amp;$B26&amp;"'!$B$6:$B$16"),0),MATCH(F$6&amp;F$7,INDIRECT("'"&amp;$B26&amp;"'!$B$6:$E$6")&amp;INDIRECT("'"&amp;$B26&amp;"'!$B$7:$E$7"),0))*100,1)&amp;"%)"</f>
        <v>(-3.9%)</v>
      </c>
      <c r="H30" s="186">
        <f t="array" aca="1" ref="H30" ca="1">INDEX(INDIRECT("'"&amp;$B26&amp;"'!$B$6:$F$16"),MATCH("Change from DMO "&amp;PY&amp;" price ($)",INDIRECT("'"&amp;$B26&amp;"'!$B$6:$B$16"),0),MATCH(H$6&amp;H$7,INDIRECT("'"&amp;$B26&amp;"'!$B$6:$E$6")&amp;INDIRECT("'"&amp;$B26&amp;"'!$B$7:$E$7"),0))</f>
        <v>-243</v>
      </c>
      <c r="I30" s="188" t="str">
        <f t="array" aca="1" ref="I30" ca="1">"("&amp;ROUND(INDEX(INDIRECT("'"&amp;$B26&amp;"'!$B$6:$F$16"),MATCH("Change from DMO "&amp;PY&amp;" price (%)",INDIRECT("'"&amp;$B26&amp;"'!$B$6:$B$16"),0),MATCH(H$6&amp;H$7,INDIRECT("'"&amp;$B26&amp;"'!$B$6:$E$6")&amp;INDIRECT("'"&amp;$B26&amp;"'!$B$7:$E$7"),0))*100,1)&amp;"%)"</f>
        <v>(-4.2%)</v>
      </c>
      <c r="M30" s="194"/>
      <c r="N30" s="194"/>
      <c r="O30" s="194"/>
      <c r="P30" s="194"/>
      <c r="Q30" s="195"/>
    </row>
    <row r="31" spans="2:24" ht="12.65" customHeight="1" x14ac:dyDescent="0.35">
      <c r="B31" s="101"/>
      <c r="C31" s="185"/>
      <c r="D31" s="186"/>
      <c r="E31" s="187"/>
      <c r="F31" s="186"/>
      <c r="G31" s="187"/>
      <c r="H31" s="186"/>
      <c r="I31" s="188"/>
    </row>
    <row r="32" spans="2:24" s="53" customFormat="1" ht="30" customHeight="1" x14ac:dyDescent="0.35">
      <c r="B32" s="62" t="s">
        <v>5</v>
      </c>
      <c r="C32" s="178" t="s">
        <v>93</v>
      </c>
      <c r="D32" s="279">
        <f t="array" aca="1" ref="D32" ca="1">INDEX(INDIRECT("'"&amp;$B32&amp;"'!$B$6:$F$16"),MATCH("DMO "&amp;FY&amp;" price ($ pa, inc GST)",INDIRECT("'"&amp;$B32&amp;"'!$B$6:$B$16"),0),MATCH(D$6&amp;D$7,INDIRECT("'"&amp;$B32&amp;"'!$B$6:$E$6")&amp;INDIRECT("'"&amp;$B32&amp;"'!$B$7:$E$7"),0))</f>
        <v>1716</v>
      </c>
      <c r="E32" s="285"/>
      <c r="F32" s="279">
        <f t="array" aca="1" ref="F32" ca="1">INDEX(INDIRECT("'"&amp;$B32&amp;"'!$B$6:$F$16"),MATCH("DMO "&amp;FY&amp;" price ($ pa, inc GST)",INDIRECT("'"&amp;$B32&amp;"'!$B$6:$B$16"),0),MATCH(F$6&amp;F$7,INDIRECT("'"&amp;$B32&amp;"'!$B$6:$E$6")&amp;INDIRECT("'"&amp;$B32&amp;"'!$B$7:$E$7"),0))</f>
        <v>2077</v>
      </c>
      <c r="G32" s="285"/>
      <c r="H32" s="279">
        <f t="array" aca="1" ref="H32" ca="1">INDEX(INDIRECT("'"&amp;$B32&amp;"'!$B$6:$F$16"),MATCH("DMO "&amp;FY&amp;" price ($ pa, inc GST)",INDIRECT("'"&amp;$B32&amp;"'!$B$6:$B$16"),0),MATCH(H$6&amp;H$7,INDIRECT("'"&amp;$B32&amp;"'!$B$6:$E$6")&amp;INDIRECT("'"&amp;$B32&amp;"'!$B$7:$E$7"),0))</f>
        <v>8033</v>
      </c>
      <c r="I32" s="284"/>
      <c r="J32" s="237"/>
      <c r="K32" s="237"/>
      <c r="L32" s="3"/>
      <c r="M32" s="194"/>
      <c r="N32" s="194"/>
      <c r="O32" s="194"/>
      <c r="P32" s="194"/>
      <c r="Q32" s="195"/>
    </row>
    <row r="33" spans="2:18" ht="12.65" customHeight="1" x14ac:dyDescent="0.35">
      <c r="B33" s="98" t="s">
        <v>5</v>
      </c>
      <c r="C33" s="294" t="s">
        <v>175</v>
      </c>
      <c r="D33" s="281" t="str">
        <f t="array" aca="1" ref="D33" ca="1">INDEX(INDIRECT("'"&amp;$B32&amp;"'!$B$6:$F$16"),MATCH("Annual usage (kWh)",INDIRECT("'"&amp;$B32&amp;"'!$B$6:$B$16"),0),MATCH(D$6&amp;D$7,INDIRECT("'"&amp;$B32&amp;"'!$B$6:$E$6")&amp;INDIRECT("'"&amp;$B32&amp;"'!$B$7:$E$7"),0))&amp;" kWh"</f>
        <v>4000 kWh</v>
      </c>
      <c r="E33" s="298"/>
      <c r="F33" s="276" t="str">
        <f t="array" aca="1" ref="F33" ca="1">"Flat rate "&amp;INDEX(INDIRECT("'"&amp;$B32&amp;"'!$B$6:$F$15"),MATCH("Flat rate usage (kWh)",INDIRECT("'"&amp;$B32&amp;"'!$B$6:$B$15"),0),MATCH(F$6&amp;F$7,INDIRECT("'"&amp;$B32&amp;"'!$B$6:$E$6")&amp;INDIRECT("'"&amp;$B32&amp;"'!$B$7:$E$7"),0))&amp;" kWh"</f>
        <v>Flat rate 4200 kWh</v>
      </c>
      <c r="G33" s="277"/>
      <c r="H33" s="281" t="str">
        <f t="array" aca="1" ref="H33" ca="1">INDEX(INDIRECT("'"&amp;$B32&amp;"'!$B$6:$F$16"),MATCH("Annual usage (kWh)",INDIRECT("'"&amp;$B32&amp;"'!$B$6:$B$16"),0),MATCH(H$6&amp;H$7,INDIRECT("'"&amp;$B32&amp;"'!$B$6:$E$6")&amp;INDIRECT("'"&amp;$B32&amp;"'!$B$7:$E$7"),0))&amp;" kWh"</f>
        <v>20000 kWh</v>
      </c>
      <c r="I33" s="297"/>
    </row>
    <row r="34" spans="2:18" ht="12.65" customHeight="1" x14ac:dyDescent="0.35">
      <c r="B34" s="98"/>
      <c r="C34" s="296"/>
      <c r="D34" s="181"/>
      <c r="E34" s="182"/>
      <c r="F34" s="276" t="str">
        <f t="array" aca="1" ref="F34" ca="1">"+ CL "&amp;INDEX(INDIRECT("'"&amp;$B32&amp;"'!$B$6:$F$15"),MATCH("Controlled load usage (kWh)",INDIRECT("'"&amp;$B32&amp;"'!$B$6:$B$15"),0),MATCH(F$6&amp;F$7,INDIRECT("'"&amp;$B32&amp;"'!$B$6:$E$6")&amp;INDIRECT("'"&amp;$B32&amp;"'!$B$7:$E$7"),0))&amp;" kWh"</f>
        <v>+ CL 1800 kWh</v>
      </c>
      <c r="G34" s="277"/>
      <c r="H34" s="181"/>
      <c r="I34" s="171"/>
    </row>
    <row r="35" spans="2:18" ht="12.65" customHeight="1" x14ac:dyDescent="0.35">
      <c r="B35" s="98"/>
      <c r="C35" s="212"/>
      <c r="D35" s="216"/>
      <c r="E35" s="208"/>
      <c r="F35" s="200"/>
      <c r="G35" s="201"/>
      <c r="H35" s="206"/>
      <c r="I35" s="207"/>
    </row>
    <row r="36" spans="2:18" ht="12.65" customHeight="1" x14ac:dyDescent="0.35">
      <c r="B36" s="98"/>
      <c r="C36" s="189" t="s">
        <v>159</v>
      </c>
      <c r="D36" s="190">
        <f t="array" aca="1" ref="D36" ca="1">INDEX(INDIRECT("'"&amp;$B32&amp;"'!$B$6:$F$16"),MATCH("Change from DMO "&amp;PY&amp;" price ($)",INDIRECT("'"&amp;$B32&amp;"'!$B$6:$B$16"),0),MATCH(D$6&amp;D$7,INDIRECT("'"&amp;$B32&amp;"'!$B$6:$E$6")&amp;INDIRECT("'"&amp;$B32&amp;"'!$B$7:$E$7"),0))</f>
        <v>-116</v>
      </c>
      <c r="E36" s="191" t="str">
        <f t="array" aca="1" ref="E36" ca="1">"("&amp;ROUND(INDEX(INDIRECT("'"&amp;$B32&amp;"'!$B$6:$F$16"),MATCH("Change from DMO "&amp;PY&amp;" price (%)",INDIRECT("'"&amp;$B32&amp;"'!$B$6:$B$16"),0),MATCH(D$6&amp;D$7,INDIRECT("'"&amp;$B32&amp;"'!$B$6:$E$6")&amp;INDIRECT("'"&amp;$B32&amp;"'!$B$7:$E$7"),0))*100,1)&amp;"%)"</f>
        <v>(-6.3%)</v>
      </c>
      <c r="F36" s="190">
        <f t="array" aca="1" ref="F36" ca="1">INDEX(INDIRECT("'"&amp;$B32&amp;"'!$B$6:$F$16"),MATCH("Change from DMO "&amp;PY&amp;" price ($)",INDIRECT("'"&amp;$B32&amp;"'!$B$6:$B$16"),0),MATCH(F$6&amp;F$7,INDIRECT("'"&amp;$B32&amp;"'!$B$6:$E$6")&amp;INDIRECT("'"&amp;$B32&amp;"'!$B$7:$E$7"),0))</f>
        <v>-167</v>
      </c>
      <c r="G36" s="220" t="str">
        <f t="array" aca="1" ref="G36" ca="1">"("&amp;ROUND(INDEX(INDIRECT("'"&amp;$B32&amp;"'!$B$6:$F$16"),MATCH("Change from DMO "&amp;PY&amp;" price (%)",INDIRECT("'"&amp;$B32&amp;"'!$B$6:$B$16"),0),MATCH(F$6&amp;F$7,INDIRECT("'"&amp;$B32&amp;"'!$B$6:$E$6")&amp;INDIRECT("'"&amp;$B32&amp;"'!$B$7:$E$7"),0))*100,1)&amp;"%)"</f>
        <v>(-7.4%)</v>
      </c>
      <c r="H36" s="190">
        <f t="array" aca="1" ref="H36" ca="1">INDEX(INDIRECT("'"&amp;$B32&amp;"'!$B$6:$F$16"),MATCH("Change from DMO "&amp;PY&amp;" price ($)",INDIRECT("'"&amp;$B32&amp;"'!$B$6:$B$16"),0),MATCH(H$6&amp;H$7,INDIRECT("'"&amp;$B32&amp;"'!$B$6:$E$6")&amp;INDIRECT("'"&amp;$B32&amp;"'!$B$7:$E$7"),0))</f>
        <v>-272</v>
      </c>
      <c r="I36" s="192" t="str">
        <f t="array" aca="1" ref="I36" ca="1">"("&amp;ROUND(INDEX(INDIRECT("'"&amp;$B32&amp;"'!$B$6:$F$16"),MATCH("Change from DMO "&amp;PY&amp;" price (%)",INDIRECT("'"&amp;$B32&amp;"'!$B$6:$B$16"),0),MATCH(H$6&amp;H$7,INDIRECT("'"&amp;$B32&amp;"'!$B$6:$E$6")&amp;INDIRECT("'"&amp;$B32&amp;"'!$B$7:$E$7"),0))*100,1)&amp;"%)"</f>
        <v>(-3.3%)</v>
      </c>
    </row>
    <row r="37" spans="2:18" ht="12.65" customHeight="1" thickBot="1" x14ac:dyDescent="0.4">
      <c r="B37" s="102"/>
      <c r="C37" s="221"/>
      <c r="D37" s="222"/>
      <c r="E37" s="223"/>
      <c r="F37" s="222"/>
      <c r="G37" s="224"/>
      <c r="H37" s="222"/>
      <c r="I37" s="193"/>
    </row>
    <row r="47" spans="2:18" ht="42" customHeight="1" x14ac:dyDescent="0.35">
      <c r="B47" s="225"/>
      <c r="C47" s="225"/>
      <c r="D47" s="225"/>
      <c r="E47" s="225"/>
      <c r="F47" s="225"/>
      <c r="G47" s="225"/>
      <c r="H47" s="225"/>
      <c r="I47" s="225"/>
      <c r="L47" s="225"/>
      <c r="M47" s="225"/>
      <c r="N47" s="225"/>
      <c r="O47" s="225"/>
      <c r="P47" s="225"/>
      <c r="Q47" s="225"/>
      <c r="R47" s="225"/>
    </row>
    <row r="48" spans="2:18" ht="25.4" customHeight="1" x14ac:dyDescent="0.35">
      <c r="B48" s="225"/>
      <c r="C48" s="225"/>
      <c r="D48" s="225"/>
      <c r="E48" s="225"/>
      <c r="F48" s="225"/>
      <c r="G48" s="225"/>
      <c r="H48" s="225"/>
      <c r="I48" s="225"/>
      <c r="L48" s="225"/>
      <c r="M48" s="225"/>
      <c r="N48" s="225"/>
      <c r="O48" s="225"/>
      <c r="P48" s="225"/>
      <c r="Q48" s="225"/>
      <c r="R48" s="225"/>
    </row>
    <row r="49" spans="2:18" ht="25.4" customHeight="1" x14ac:dyDescent="0.35">
      <c r="D49" s="225"/>
      <c r="E49" s="225"/>
      <c r="F49" s="225"/>
      <c r="G49" s="225"/>
      <c r="H49" s="225"/>
      <c r="I49" s="225"/>
      <c r="L49" s="225"/>
      <c r="M49" s="225"/>
      <c r="N49" s="225"/>
      <c r="O49" s="225"/>
      <c r="P49" s="225"/>
      <c r="Q49" s="225"/>
      <c r="R49" s="225"/>
    </row>
    <row r="50" spans="2:18" ht="25.4" customHeight="1" x14ac:dyDescent="0.35">
      <c r="D50" s="225"/>
      <c r="E50" s="225"/>
      <c r="F50" s="225"/>
      <c r="G50" s="225"/>
      <c r="H50" s="225"/>
      <c r="I50" s="225"/>
      <c r="L50" s="225"/>
      <c r="M50" s="225"/>
      <c r="N50" s="225"/>
      <c r="O50" s="225"/>
      <c r="P50" s="225"/>
      <c r="Q50" s="225"/>
      <c r="R50" s="225"/>
    </row>
    <row r="51" spans="2:18" ht="25.4" customHeight="1" x14ac:dyDescent="0.35">
      <c r="D51" s="225"/>
      <c r="E51" s="225"/>
      <c r="F51" s="225"/>
      <c r="G51" s="225"/>
      <c r="H51" s="225"/>
      <c r="I51" s="225"/>
      <c r="L51" s="225"/>
      <c r="M51" s="225"/>
      <c r="N51" s="225"/>
      <c r="O51" s="225"/>
      <c r="P51" s="225"/>
      <c r="Q51" s="225"/>
      <c r="R51" s="225"/>
    </row>
    <row r="52" spans="2:18" ht="25.4" customHeight="1" x14ac:dyDescent="0.35">
      <c r="D52" s="225"/>
      <c r="E52" s="225"/>
      <c r="F52" s="225"/>
      <c r="G52" s="225"/>
      <c r="H52" s="225"/>
      <c r="I52" s="225"/>
      <c r="L52" s="225"/>
      <c r="M52" s="225"/>
      <c r="N52" s="225"/>
      <c r="O52" s="225"/>
      <c r="P52" s="225"/>
      <c r="Q52" s="225"/>
      <c r="R52" s="225"/>
    </row>
    <row r="53" spans="2:18" ht="25.4" customHeight="1" x14ac:dyDescent="0.35">
      <c r="D53" s="225"/>
      <c r="E53" s="225"/>
      <c r="F53" s="225"/>
      <c r="G53" s="225"/>
      <c r="H53" s="225"/>
      <c r="I53" s="225"/>
      <c r="L53" s="225"/>
      <c r="M53" s="225"/>
      <c r="N53" s="225"/>
      <c r="O53" s="225"/>
      <c r="P53" s="225"/>
      <c r="Q53" s="225"/>
      <c r="R53" s="225"/>
    </row>
    <row r="54" spans="2:18" ht="25.4" customHeight="1" x14ac:dyDescent="0.35">
      <c r="B54" s="225"/>
      <c r="C54" s="225"/>
      <c r="D54" s="225"/>
      <c r="E54" s="225"/>
      <c r="F54" s="225"/>
      <c r="G54" s="225"/>
      <c r="H54" s="225"/>
      <c r="I54" s="225"/>
      <c r="L54" s="225"/>
      <c r="M54" s="225"/>
      <c r="N54" s="225"/>
      <c r="O54" s="225"/>
      <c r="P54" s="225"/>
      <c r="Q54" s="225"/>
      <c r="R54" s="225"/>
    </row>
    <row r="55" spans="2:18" ht="25.4" customHeight="1" x14ac:dyDescent="0.35">
      <c r="D55" s="225"/>
      <c r="E55" s="225"/>
      <c r="F55" s="225"/>
      <c r="G55" s="225"/>
      <c r="H55" s="225"/>
      <c r="I55" s="225"/>
      <c r="L55" s="225"/>
      <c r="M55" s="225"/>
      <c r="N55" s="225"/>
      <c r="O55" s="225"/>
      <c r="P55" s="225"/>
      <c r="Q55" s="225"/>
      <c r="R55" s="225"/>
    </row>
    <row r="56" spans="2:18" ht="25.4" customHeight="1" x14ac:dyDescent="0.35">
      <c r="D56" s="225"/>
      <c r="E56" s="225"/>
      <c r="F56" s="225"/>
      <c r="G56" s="225"/>
      <c r="H56" s="225"/>
      <c r="I56" s="225"/>
      <c r="L56" s="225"/>
      <c r="M56" s="225"/>
      <c r="N56" s="225"/>
      <c r="O56" s="225"/>
      <c r="P56" s="225"/>
      <c r="Q56" s="225"/>
      <c r="R56" s="225"/>
    </row>
    <row r="57" spans="2:18" ht="25.4" customHeight="1" x14ac:dyDescent="0.35">
      <c r="D57" s="225"/>
      <c r="E57" s="225"/>
      <c r="F57" s="225"/>
      <c r="G57" s="225"/>
      <c r="H57" s="225"/>
      <c r="I57" s="225"/>
      <c r="L57" s="225"/>
      <c r="M57" s="225"/>
      <c r="N57" s="225"/>
      <c r="O57" s="225"/>
      <c r="P57" s="225"/>
      <c r="Q57" s="225"/>
      <c r="R57" s="225"/>
    </row>
    <row r="58" spans="2:18" ht="25.4" customHeight="1" x14ac:dyDescent="0.35">
      <c r="D58" s="225"/>
      <c r="E58" s="225"/>
      <c r="F58" s="225"/>
      <c r="G58" s="225"/>
      <c r="H58" s="225"/>
      <c r="I58" s="225"/>
      <c r="L58" s="225"/>
      <c r="M58" s="225"/>
      <c r="N58" s="225"/>
      <c r="O58" s="225"/>
      <c r="P58" s="225"/>
      <c r="Q58" s="225"/>
      <c r="R58" s="225"/>
    </row>
    <row r="59" spans="2:18" ht="25.4" customHeight="1" x14ac:dyDescent="0.35">
      <c r="D59" s="225"/>
      <c r="E59" s="225"/>
      <c r="F59" s="225"/>
      <c r="G59" s="225"/>
      <c r="H59" s="225"/>
      <c r="I59" s="225"/>
      <c r="L59" s="225"/>
      <c r="M59" s="225"/>
      <c r="N59" s="225"/>
      <c r="O59" s="225"/>
      <c r="P59" s="225"/>
      <c r="Q59" s="225"/>
      <c r="R59" s="225"/>
    </row>
    <row r="60" spans="2:18" ht="25.4" customHeight="1" x14ac:dyDescent="0.35">
      <c r="B60" s="225"/>
      <c r="C60" s="225"/>
      <c r="D60" s="225"/>
      <c r="E60" s="225"/>
      <c r="F60" s="225"/>
      <c r="G60" s="225"/>
      <c r="H60" s="225"/>
      <c r="I60" s="225"/>
      <c r="L60" s="225"/>
      <c r="M60" s="225"/>
      <c r="N60" s="225"/>
      <c r="O60" s="225"/>
      <c r="P60" s="225"/>
      <c r="Q60" s="225"/>
      <c r="R60" s="225"/>
    </row>
    <row r="61" spans="2:18" ht="25.4" customHeight="1" x14ac:dyDescent="0.35">
      <c r="D61" s="225"/>
      <c r="E61" s="225"/>
      <c r="F61" s="225"/>
      <c r="G61" s="225"/>
      <c r="H61" s="225"/>
      <c r="I61" s="225"/>
      <c r="L61" s="225"/>
      <c r="M61" s="225"/>
      <c r="N61" s="225"/>
      <c r="O61" s="225"/>
      <c r="P61" s="225"/>
      <c r="Q61" s="225"/>
      <c r="R61" s="225"/>
    </row>
    <row r="62" spans="2:18" ht="25.4" customHeight="1" x14ac:dyDescent="0.35">
      <c r="D62" s="225"/>
      <c r="E62" s="225"/>
      <c r="F62" s="225"/>
      <c r="G62" s="225"/>
      <c r="H62" s="225"/>
      <c r="I62" s="225"/>
      <c r="L62" s="225"/>
      <c r="M62" s="225"/>
      <c r="N62" s="225"/>
      <c r="O62" s="225"/>
      <c r="P62" s="225"/>
      <c r="Q62" s="225"/>
      <c r="R62" s="225"/>
    </row>
    <row r="63" spans="2:18" ht="25.4" customHeight="1" x14ac:dyDescent="0.35">
      <c r="D63" s="225"/>
      <c r="E63" s="225"/>
      <c r="F63" s="225"/>
      <c r="G63" s="225"/>
      <c r="H63" s="225"/>
      <c r="I63" s="225"/>
      <c r="L63" s="225"/>
      <c r="M63" s="225"/>
      <c r="N63" s="225"/>
      <c r="O63" s="225"/>
      <c r="P63" s="225"/>
      <c r="Q63" s="225"/>
      <c r="R63" s="225"/>
    </row>
    <row r="64" spans="2:18" ht="25.4" customHeight="1" x14ac:dyDescent="0.35">
      <c r="D64" s="225"/>
      <c r="E64" s="225"/>
      <c r="F64" s="225"/>
      <c r="G64" s="225"/>
      <c r="H64" s="225"/>
      <c r="I64" s="225"/>
      <c r="L64" s="225"/>
      <c r="M64" s="225"/>
      <c r="N64" s="225"/>
      <c r="O64" s="225"/>
      <c r="P64" s="225"/>
      <c r="Q64" s="225"/>
      <c r="R64" s="225"/>
    </row>
    <row r="65" spans="4:18" ht="25.4" customHeight="1" x14ac:dyDescent="0.35">
      <c r="D65" s="225"/>
      <c r="E65" s="225"/>
      <c r="F65" s="225"/>
      <c r="G65" s="225"/>
      <c r="H65" s="225"/>
      <c r="I65" s="225"/>
      <c r="L65" s="225"/>
      <c r="M65" s="225"/>
      <c r="N65" s="225"/>
      <c r="O65" s="225"/>
      <c r="P65" s="225"/>
      <c r="Q65" s="225"/>
      <c r="R65" s="225"/>
    </row>
  </sheetData>
  <sheetProtection algorithmName="SHA-256" hashValue="np3ccRDI+ek/QD/CMl4lYRWZVg4OXFmIEBIk/JBVInI=" saltValue="M3WwQXRd5NWjUlgRFGCvFQ==" spinCount="100000" sheet="1" objects="1" scenarios="1"/>
  <mergeCells count="59">
    <mergeCell ref="O6:O7"/>
    <mergeCell ref="B6:B7"/>
    <mergeCell ref="F16:G16"/>
    <mergeCell ref="A1:B1"/>
    <mergeCell ref="L6:L7"/>
    <mergeCell ref="M6:M7"/>
    <mergeCell ref="N6:N7"/>
    <mergeCell ref="H15:I15"/>
    <mergeCell ref="D14:E14"/>
    <mergeCell ref="F14:G14"/>
    <mergeCell ref="H14:I14"/>
    <mergeCell ref="H6:I6"/>
    <mergeCell ref="H7:I7"/>
    <mergeCell ref="D9:E9"/>
    <mergeCell ref="D8:E8"/>
    <mergeCell ref="F8:G8"/>
    <mergeCell ref="F33:G33"/>
    <mergeCell ref="Q6:Q7"/>
    <mergeCell ref="P6:P7"/>
    <mergeCell ref="F34:G34"/>
    <mergeCell ref="C9:C10"/>
    <mergeCell ref="C15:C16"/>
    <mergeCell ref="C21:C22"/>
    <mergeCell ref="C27:C28"/>
    <mergeCell ref="C33:C34"/>
    <mergeCell ref="D15:E15"/>
    <mergeCell ref="H33:I33"/>
    <mergeCell ref="D33:E33"/>
    <mergeCell ref="D21:E21"/>
    <mergeCell ref="H21:I21"/>
    <mergeCell ref="F10:G10"/>
    <mergeCell ref="F15:G15"/>
    <mergeCell ref="H32:I32"/>
    <mergeCell ref="F32:G32"/>
    <mergeCell ref="D32:E32"/>
    <mergeCell ref="D27:E27"/>
    <mergeCell ref="H27:I27"/>
    <mergeCell ref="F27:G27"/>
    <mergeCell ref="F28:G28"/>
    <mergeCell ref="H20:I20"/>
    <mergeCell ref="F20:G20"/>
    <mergeCell ref="D20:E20"/>
    <mergeCell ref="D26:E26"/>
    <mergeCell ref="F26:G26"/>
    <mergeCell ref="H26:I26"/>
    <mergeCell ref="F21:G21"/>
    <mergeCell ref="F22:G22"/>
    <mergeCell ref="F9:G9"/>
    <mergeCell ref="H8:I8"/>
    <mergeCell ref="H9:I9"/>
    <mergeCell ref="D6:E6"/>
    <mergeCell ref="D7:E7"/>
    <mergeCell ref="F6:G6"/>
    <mergeCell ref="F7:G7"/>
    <mergeCell ref="X6:X7"/>
    <mergeCell ref="T6:T7"/>
    <mergeCell ref="U6:U7"/>
    <mergeCell ref="V6:V7"/>
    <mergeCell ref="W6:W7"/>
  </mergeCells>
  <conditionalFormatting sqref="L8:Q25">
    <cfRule type="expression" dxfId="1346" priority="6">
      <formula>MOD(ROW(),2)=0</formula>
    </cfRule>
  </conditionalFormatting>
  <conditionalFormatting sqref="T8:X25">
    <cfRule type="expression" dxfId="1345" priority="1">
      <formula>MOD(ROW(),2)=0</formula>
    </cfRule>
  </conditionalFormatting>
  <hyperlinks>
    <hyperlink ref="A1" location="Index!A1" display="&lt;&lt;Back to Index"/>
  </hyperlinks>
  <pageMargins left="0.7" right="0.7" top="0.75" bottom="0.75" header="0.3" footer="0.3"/>
  <pageSetup paperSize="9" orientation="portrait" r:id="rId1"/>
  <ignoredErrors>
    <ignoredError sqref="E12:I12 H32:I33 H26:I27 H20:I21 D33:E33 D27:E27 D32:E32 D21:E21 D26:E26 D20:E20 D18:E18 D24:E24 D30:E30 D36:I36 F9 H18:I18 H24:I24 H30:I30 F30:G30 F24:G24 F18:G18 F20:G20 F26:G26 F32:G32 F15:G15 F33:G33 F27:G27 F21:G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F9:F14"/>
  <sheetViews>
    <sheetView workbookViewId="0"/>
  </sheetViews>
  <sheetFormatPr defaultColWidth="8.81640625" defaultRowHeight="14.5" x14ac:dyDescent="0.35"/>
  <cols>
    <col min="1" max="16384" width="8.81640625" style="3"/>
  </cols>
  <sheetData>
    <row r="9" spans="6:6" ht="36" x14ac:dyDescent="0.35">
      <c r="F9" s="2" t="s">
        <v>208</v>
      </c>
    </row>
    <row r="10" spans="6:6" ht="36" x14ac:dyDescent="0.35">
      <c r="F10" s="2" t="str">
        <f>"DMO "&amp;FY</f>
        <v>DMO 2021-22</v>
      </c>
    </row>
    <row r="11" spans="6:6" ht="23.5" x14ac:dyDescent="0.35">
      <c r="F11" s="4" t="s">
        <v>190</v>
      </c>
    </row>
    <row r="12" spans="6:6" ht="23.5" x14ac:dyDescent="0.35">
      <c r="F12" s="4"/>
    </row>
    <row r="13" spans="6:6" x14ac:dyDescent="0.35">
      <c r="F13" s="5"/>
    </row>
    <row r="14" spans="6:6" x14ac:dyDescent="0.35">
      <c r="F14" s="5"/>
    </row>
  </sheetData>
  <sheetProtection algorithmName="SHA-256" hashValue="1/Pu+tQaxG/+VLMYHE7M9dKw9lJSGQ7PyEwxxjPIAW8=" saltValue="vmQlF4RpFbAQCFymwVb74g=="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S79"/>
  <sheetViews>
    <sheetView zoomScaleNormal="100" workbookViewId="0">
      <selection sqref="A1:B1"/>
    </sheetView>
  </sheetViews>
  <sheetFormatPr defaultColWidth="8.81640625" defaultRowHeight="14.5" x14ac:dyDescent="0.35"/>
  <cols>
    <col min="1" max="1" width="3.1796875" style="3" customWidth="1"/>
    <col min="2" max="2" width="10.1796875" style="3" bestFit="1" customWidth="1"/>
    <col min="3" max="3" width="17.453125" style="3" bestFit="1" customWidth="1"/>
    <col min="4" max="4" width="7.81640625" style="3" bestFit="1" customWidth="1"/>
    <col min="5" max="5" width="12.1796875" style="3" bestFit="1" customWidth="1"/>
    <col min="6" max="6" width="13.81640625" style="3" bestFit="1" customWidth="1"/>
    <col min="7" max="7" width="17.453125" style="3" bestFit="1" customWidth="1"/>
    <col min="8" max="8" width="11.81640625" style="3" bestFit="1" customWidth="1"/>
    <col min="9" max="9" width="11.81640625" style="3" customWidth="1"/>
    <col min="10" max="10" width="7.81640625" style="3" bestFit="1" customWidth="1"/>
    <col min="11" max="11" width="7.1796875" style="3" bestFit="1" customWidth="1"/>
    <col min="12" max="24" width="10.81640625" style="3" customWidth="1"/>
    <col min="25" max="25" width="12" style="3" customWidth="1"/>
    <col min="26" max="16384" width="8.81640625" style="3"/>
  </cols>
  <sheetData>
    <row r="1" spans="1:2" ht="10.4" customHeight="1" x14ac:dyDescent="0.35">
      <c r="A1" s="274" t="s">
        <v>22</v>
      </c>
      <c r="B1" s="300"/>
    </row>
    <row r="2" spans="1:2" s="14" customFormat="1" ht="22.5" customHeight="1" x14ac:dyDescent="0.35">
      <c r="A2" s="15" t="s">
        <v>169</v>
      </c>
      <c r="B2" s="15"/>
    </row>
    <row r="3" spans="1:2" x14ac:dyDescent="0.35">
      <c r="B3" s="139" t="s">
        <v>152</v>
      </c>
    </row>
    <row r="41" spans="1:19" x14ac:dyDescent="0.35">
      <c r="B41" s="157" t="s">
        <v>149</v>
      </c>
    </row>
    <row r="44" spans="1:19" s="5" customFormat="1" x14ac:dyDescent="0.35">
      <c r="B44" s="153" t="s">
        <v>6</v>
      </c>
      <c r="C44" s="154" t="s">
        <v>150</v>
      </c>
      <c r="D44" s="155" t="str">
        <f>PY</f>
        <v>2020-21</v>
      </c>
      <c r="E44" s="155" t="s">
        <v>69</v>
      </c>
      <c r="F44" s="155" t="s">
        <v>70</v>
      </c>
      <c r="G44" s="155" t="s">
        <v>71</v>
      </c>
      <c r="H44" s="155" t="s">
        <v>72</v>
      </c>
      <c r="I44" s="155" t="s">
        <v>76</v>
      </c>
      <c r="J44" s="155" t="str">
        <f>FY</f>
        <v>2021-22</v>
      </c>
      <c r="K44" s="156" t="s">
        <v>24</v>
      </c>
      <c r="M44" s="167" t="s">
        <v>102</v>
      </c>
    </row>
    <row r="45" spans="1:19" x14ac:dyDescent="0.35">
      <c r="A45" s="97" t="str">
        <f>B45&amp;" "&amp;$B$44&amp;" "&amp;$C$44&amp;" $"</f>
        <v>Ausgrid Residential without CL $</v>
      </c>
      <c r="B45" s="142" t="s">
        <v>2</v>
      </c>
      <c r="C45" s="143" t="s">
        <v>191</v>
      </c>
      <c r="D45" s="144">
        <v>0</v>
      </c>
      <c r="E45" s="144">
        <f ca="1">IF($K46&lt;0,SUM(D45:D49)+$K46,SUM(D45:D49))</f>
        <v>1462</v>
      </c>
      <c r="F45" s="144">
        <f ca="1">IF($K47&lt;0,IF($K46&lt;0,E45+$K47,E45+$K46+$K47),IF($K46&lt;0,E45,E45+$K46))</f>
        <v>1379.3386025</v>
      </c>
      <c r="G45" s="144">
        <f ca="1">IF($K48&lt;0,IF($K47&lt;0,F45+$K48,F45+$K47+$K48),IF($K47&lt;0,F45,F45+$K47))</f>
        <v>1379.3386025</v>
      </c>
      <c r="H45" s="144">
        <f ca="1">IF($K49&lt;0,IF($K48&lt;0,G45+$K49,G45+$K48+$K49),IF($K48&lt;0,G45,G45+$K48))</f>
        <v>1387.9186024999999</v>
      </c>
      <c r="I45" s="144">
        <f ca="1">IF($K50&lt;0,IF($K49&lt;0,H45+$K50,H45+$K49+$K50),IF($K49&lt;0,H45,H45+$K49))</f>
        <v>1393.4952402275001</v>
      </c>
      <c r="J45" s="144">
        <v>0</v>
      </c>
      <c r="K45" s="145"/>
      <c r="M45" s="41"/>
      <c r="N45" s="41"/>
      <c r="O45" s="41"/>
      <c r="P45" s="41"/>
      <c r="Q45" s="41"/>
      <c r="R45" s="41"/>
      <c r="S45" s="41"/>
    </row>
    <row r="46" spans="1:19" x14ac:dyDescent="0.35">
      <c r="A46" s="97"/>
      <c r="B46" s="146" t="str">
        <f>B45</f>
        <v>Ausgrid</v>
      </c>
      <c r="C46" s="36" t="s">
        <v>69</v>
      </c>
      <c r="D46" s="13">
        <f t="array" aca="1" ref="D46" ca="1">INDEX(INDIRECT("'"&amp;$B46&amp;"'!$F$23:$AJ$39"),MATCH($C46,INDIRECT("'"&amp;$B46&amp;"'!$F$23:$F$39"),0),MATCH($B$44&amp;$C$44&amp;D$44&amp;"Cost",INDIRECT("'"&amp;$B46&amp;"'!$F$23:$AJ$23")&amp;INDIRECT("'"&amp;$B46&amp;"'!$F$24:$AJ$24")&amp;INDIRECT("'"&amp;$B46&amp;"'!$F$25:$AJ$25")&amp;INDIRECT("'"&amp;$B46&amp;"'!$F$30:$AJ$30"),0))</f>
        <v>540.11745150000002</v>
      </c>
      <c r="E46" s="147">
        <f ca="1">ABS($J46-$D46)</f>
        <v>16.523402499999975</v>
      </c>
      <c r="F46" s="147"/>
      <c r="G46" s="147"/>
      <c r="H46" s="147"/>
      <c r="I46" s="147"/>
      <c r="J46" s="13">
        <f t="array" aca="1" ref="J46" ca="1">INDEX(INDIRECT("'"&amp;$B46&amp;"'!$F$23:$AJ$39"),MATCH($C46,INDIRECT("'"&amp;$B46&amp;"'!$F$23:$F$39"),0),MATCH($B$44&amp;$C$44&amp;J$44&amp;"Cost",INDIRECT("'"&amp;$B46&amp;"'!$F$23:$AJ$23")&amp;INDIRECT("'"&amp;$B46&amp;"'!$F$24:$AJ$24")&amp;INDIRECT("'"&amp;$B46&amp;"'!$F$25:$AJ$25")&amp;INDIRECT("'"&amp;$B46&amp;"'!$F$30:$AJ$30"),0))</f>
        <v>556.64085399999999</v>
      </c>
      <c r="K46" s="148">
        <f ca="1">J46-D46</f>
        <v>16.523402499999975</v>
      </c>
      <c r="L46" s="141"/>
      <c r="M46" s="41"/>
      <c r="N46" s="41"/>
      <c r="O46" s="41"/>
      <c r="P46" s="41"/>
      <c r="Q46" s="41"/>
      <c r="R46" s="41"/>
      <c r="S46" s="41"/>
    </row>
    <row r="47" spans="1:19" x14ac:dyDescent="0.35">
      <c r="A47" s="97"/>
      <c r="B47" s="146" t="str">
        <f>B46</f>
        <v>Ausgrid</v>
      </c>
      <c r="C47" s="36" t="s">
        <v>70</v>
      </c>
      <c r="D47" s="13">
        <f t="array" aca="1" ref="D47" ca="1">INDEX(INDIRECT("'"&amp;$B47&amp;"'!$F$23:$AJ$39"),MATCH($C47,INDIRECT("'"&amp;$B47&amp;"'!$F$23:$F$39"),0),MATCH($B$44&amp;$C$44&amp;D$44&amp;"Cost",INDIRECT("'"&amp;$B47&amp;"'!$F$23:$AJ$23")&amp;INDIRECT("'"&amp;$B47&amp;"'!$F$24:$AJ$24")&amp;INDIRECT("'"&amp;$B47&amp;"'!$F$25:$AJ$25")&amp;INDIRECT("'"&amp;$B47&amp;"'!$F$30:$AJ$30"),0))</f>
        <v>476.44740000000002</v>
      </c>
      <c r="E47" s="147"/>
      <c r="F47" s="147">
        <f ca="1">ABS($J47-$D47)</f>
        <v>99.184799999999996</v>
      </c>
      <c r="G47" s="147"/>
      <c r="H47" s="147"/>
      <c r="I47" s="147"/>
      <c r="J47" s="13">
        <f t="array" aca="1" ref="J47" ca="1">INDEX(INDIRECT("'"&amp;$B47&amp;"'!$F$23:$AJ$39"),MATCH($C47,INDIRECT("'"&amp;$B47&amp;"'!$F$23:$F$39"),0),MATCH($B$44&amp;$C$44&amp;J$44&amp;"Cost",INDIRECT("'"&amp;$B47&amp;"'!$F$23:$AJ$23")&amp;INDIRECT("'"&amp;$B47&amp;"'!$F$24:$AJ$24")&amp;INDIRECT("'"&amp;$B47&amp;"'!$F$25:$AJ$25")&amp;INDIRECT("'"&amp;$B47&amp;"'!$F$30:$AJ$30"),0))</f>
        <v>377.26260000000002</v>
      </c>
      <c r="K47" s="148">
        <f ca="1">J47-D47</f>
        <v>-99.184799999999996</v>
      </c>
      <c r="M47" s="41"/>
      <c r="N47" s="41"/>
      <c r="O47" s="41"/>
      <c r="P47" s="41"/>
      <c r="Q47" s="41"/>
      <c r="R47" s="41"/>
      <c r="S47" s="41"/>
    </row>
    <row r="48" spans="1:19" x14ac:dyDescent="0.35">
      <c r="A48" s="97"/>
      <c r="B48" s="146" t="str">
        <f>B47</f>
        <v>Ausgrid</v>
      </c>
      <c r="C48" s="36" t="s">
        <v>71</v>
      </c>
      <c r="D48" s="13">
        <f t="array" aca="1" ref="D48" ca="1">INDEX(INDIRECT("'"&amp;$B48&amp;"'!$F$23:$AJ$39"),MATCH($C48,INDIRECT("'"&amp;$B48&amp;"'!$F$23:$F$39"),0),MATCH($B$44&amp;$C$44&amp;D$44&amp;"Cost",INDIRECT("'"&amp;$B48&amp;"'!$F$23:$AJ$23")&amp;INDIRECT("'"&amp;$B48&amp;"'!$F$24:$AJ$24")&amp;INDIRECT("'"&amp;$B48&amp;"'!$F$25:$AJ$25")&amp;INDIRECT("'"&amp;$B48&amp;"'!$F$30:$AJ$30"),0))</f>
        <v>73.659299999999988</v>
      </c>
      <c r="E48" s="147"/>
      <c r="F48" s="147"/>
      <c r="G48" s="147">
        <f ca="1">ABS($J48-$D48)</f>
        <v>8.5800000000000125</v>
      </c>
      <c r="H48" s="147"/>
      <c r="I48" s="147"/>
      <c r="J48" s="13">
        <f t="array" aca="1" ref="J48" ca="1">INDEX(INDIRECT("'"&amp;$B48&amp;"'!$F$23:$AJ$39"),MATCH($C48,INDIRECT("'"&amp;$B48&amp;"'!$F$23:$F$39"),0),MATCH($B$44&amp;$C$44&amp;J$44&amp;"Cost",INDIRECT("'"&amp;$B48&amp;"'!$F$23:$AJ$23")&amp;INDIRECT("'"&amp;$B48&amp;"'!$F$24:$AJ$24")&amp;INDIRECT("'"&amp;$B48&amp;"'!$F$25:$AJ$25")&amp;INDIRECT("'"&amp;$B48&amp;"'!$F$30:$AJ$30"),0))</f>
        <v>82.2393</v>
      </c>
      <c r="K48" s="148">
        <f ca="1">J48-D48</f>
        <v>8.5800000000000125</v>
      </c>
      <c r="M48" s="41"/>
      <c r="N48" s="41"/>
      <c r="O48" s="41"/>
      <c r="P48" s="41"/>
      <c r="Q48" s="41"/>
      <c r="R48" s="41"/>
      <c r="S48" s="41"/>
    </row>
    <row r="49" spans="1:19" x14ac:dyDescent="0.35">
      <c r="A49" s="97"/>
      <c r="B49" s="146" t="str">
        <f>B48</f>
        <v>Ausgrid</v>
      </c>
      <c r="C49" s="36" t="s">
        <v>72</v>
      </c>
      <c r="D49" s="13">
        <f t="array" aca="1" ref="D49" ca="1">INDEX(INDIRECT("'"&amp;$B49&amp;"'!$F$23:$AJ$39"),MATCH($C49,INDIRECT("'"&amp;$B49&amp;"'!$F$23:$F$39"),0),MATCH($B$44&amp;$C$44&amp;D$44&amp;"Cost",INDIRECT("'"&amp;$B49&amp;"'!$F$23:$AJ$23")&amp;INDIRECT("'"&amp;$B49&amp;"'!$F$24:$AJ$24")&amp;INDIRECT("'"&amp;$B49&amp;"'!$F$25:$AJ$25")&amp;INDIRECT("'"&amp;$B49&amp;"'!$F$30:$AJ$30"),0))</f>
        <v>371.77584849999994</v>
      </c>
      <c r="E49" s="147"/>
      <c r="F49" s="147"/>
      <c r="G49" s="147"/>
      <c r="H49" s="147">
        <f ca="1">ABS($J49-$D49)</f>
        <v>5.576637727500156</v>
      </c>
      <c r="I49" s="147"/>
      <c r="J49" s="13">
        <f t="array" aca="1" ref="J49" ca="1">INDEX(INDIRECT("'"&amp;$B49&amp;"'!$F$23:$AJ$39"),MATCH($C49,INDIRECT("'"&amp;$B49&amp;"'!$F$23:$F$39"),0),MATCH($B$44&amp;$C$44&amp;J$44&amp;"Cost",INDIRECT("'"&amp;$B49&amp;"'!$F$23:$AJ$23")&amp;INDIRECT("'"&amp;$B49&amp;"'!$F$24:$AJ$24")&amp;INDIRECT("'"&amp;$B49&amp;"'!$F$25:$AJ$25")&amp;INDIRECT("'"&amp;$B49&amp;"'!$F$30:$AJ$30"),0))</f>
        <v>377.35248622750009</v>
      </c>
      <c r="K49" s="148">
        <f ca="1">J49-D49</f>
        <v>5.576637727500156</v>
      </c>
      <c r="M49" s="41"/>
      <c r="N49" s="41"/>
      <c r="O49" s="41"/>
      <c r="P49" s="41"/>
      <c r="Q49" s="41"/>
      <c r="R49" s="41"/>
      <c r="S49" s="41"/>
    </row>
    <row r="50" spans="1:19" x14ac:dyDescent="0.35">
      <c r="A50" s="97"/>
      <c r="B50" s="146" t="str">
        <f>B49</f>
        <v>Ausgrid</v>
      </c>
      <c r="C50" s="36" t="s">
        <v>76</v>
      </c>
      <c r="D50" s="13">
        <f t="array" aca="1" ref="D50" ca="1">INDEX(INDIRECT("'"&amp;$B50&amp;"'!$F$23:$AJ$39"),MATCH($C50,INDIRECT("'"&amp;$B50&amp;"'!$F$23:$F$39"),0),MATCH($B$44&amp;$C$44&amp;D$44&amp;"Cost",INDIRECT("'"&amp;$B50&amp;"'!$F$23:$AJ$23")&amp;INDIRECT("'"&amp;$B50&amp;"'!$F$24:$AJ$24")&amp;INDIRECT("'"&amp;$B50&amp;"'!$F$25:$AJ$25")&amp;INDIRECT("'"&amp;$B50&amp;"'!$F$30:$AJ$30"),0))</f>
        <v>0</v>
      </c>
      <c r="E50" s="147"/>
      <c r="F50" s="147"/>
      <c r="G50" s="147"/>
      <c r="H50" s="147"/>
      <c r="I50" s="147">
        <f ca="1">ABS($J50-$D50)</f>
        <v>0</v>
      </c>
      <c r="J50" s="13">
        <f t="array" aca="1" ref="J50" ca="1">INDEX(INDIRECT("'"&amp;$B50&amp;"'!$F$23:$AJ$39"),MATCH($C50,INDIRECT("'"&amp;$B50&amp;"'!$F$23:$F$39"),0),MATCH($B$44&amp;$C$44&amp;J$44&amp;"Cost",INDIRECT("'"&amp;$B50&amp;"'!$F$23:$AJ$23")&amp;INDIRECT("'"&amp;$B50&amp;"'!$F$24:$AJ$24")&amp;INDIRECT("'"&amp;$B50&amp;"'!$F$25:$AJ$25")&amp;INDIRECT("'"&amp;$B50&amp;"'!$F$30:$AJ$30"),0))</f>
        <v>0</v>
      </c>
      <c r="K50" s="148">
        <f ca="1">J50-D50</f>
        <v>0</v>
      </c>
      <c r="M50" s="41"/>
      <c r="N50" s="41"/>
      <c r="O50" s="41"/>
      <c r="P50" s="41"/>
      <c r="Q50" s="41"/>
      <c r="R50" s="41"/>
      <c r="S50" s="41"/>
    </row>
    <row r="51" spans="1:19" x14ac:dyDescent="0.35">
      <c r="A51" s="97"/>
      <c r="B51" s="149" t="str">
        <f>B49</f>
        <v>Ausgrid</v>
      </c>
      <c r="C51" s="150" t="s">
        <v>138</v>
      </c>
      <c r="D51" s="151">
        <f ca="1">SUM(D45:D49)</f>
        <v>1462</v>
      </c>
      <c r="E51" s="151"/>
      <c r="F51" s="151"/>
      <c r="G51" s="151"/>
      <c r="H51" s="151"/>
      <c r="I51" s="151"/>
      <c r="J51" s="151">
        <f ca="1">SUM(J45:J50)</f>
        <v>1393.4952402275001</v>
      </c>
      <c r="K51" s="152"/>
      <c r="M51" s="168" t="b">
        <f ca="1">IF(K50&gt;0,J51=SUM(I45,K50),J51=I45)</f>
        <v>1</v>
      </c>
      <c r="N51" s="41"/>
      <c r="O51" s="41"/>
      <c r="P51" s="41"/>
      <c r="Q51" s="41"/>
      <c r="R51" s="41"/>
      <c r="S51" s="41"/>
    </row>
    <row r="52" spans="1:19" x14ac:dyDescent="0.35">
      <c r="A52" s="97" t="str">
        <f>B52&amp;" "&amp;$B$44&amp;" "&amp;$C$44&amp;" $"</f>
        <v>Endeavour Residential without CL $</v>
      </c>
      <c r="B52" s="142" t="s">
        <v>4</v>
      </c>
      <c r="C52" s="143" t="s">
        <v>191</v>
      </c>
      <c r="D52" s="144">
        <v>0</v>
      </c>
      <c r="E52" s="144">
        <f ca="1">IF($K53&lt;0,SUM(D52:D56)+$K53,SUM(D52:D56))</f>
        <v>1711</v>
      </c>
      <c r="F52" s="144">
        <f ca="1">IF($K54&lt;0,IF($K53&lt;0,E52+$K54,E52+$K53+$K54),IF($K53&lt;0,E52,E52+$K53))</f>
        <v>1592.91588</v>
      </c>
      <c r="G52" s="144">
        <f ca="1">IF($K55&lt;0,IF($K54&lt;0,F52+$K55,F52+$K54+$K55),IF($K54&lt;0,F52,F52+$K54))</f>
        <v>1592.91588</v>
      </c>
      <c r="H52" s="144">
        <f ca="1">IF($K56&lt;0,IF($K55&lt;0,G52+$K56,G52+$K55+$K56),IF($K55&lt;0,G52,G52+$K55))</f>
        <v>1603.4263800000001</v>
      </c>
      <c r="I52" s="144">
        <f ca="1">IF($K57&lt;0,IF($K56&lt;0,H52+$K57,H52+$K56+$K57),IF($K56&lt;0,H52,H52+$K56))</f>
        <v>1609.4382646500001</v>
      </c>
      <c r="J52" s="144">
        <v>0</v>
      </c>
      <c r="K52" s="145"/>
      <c r="M52" s="161"/>
    </row>
    <row r="53" spans="1:19" x14ac:dyDescent="0.35">
      <c r="A53" s="97"/>
      <c r="B53" s="146" t="str">
        <f>B52</f>
        <v>Endeavour</v>
      </c>
      <c r="C53" s="36" t="s">
        <v>69</v>
      </c>
      <c r="D53" s="13">
        <f t="array" aca="1" ref="D53" ca="1">INDEX(INDIRECT("'"&amp;$B53&amp;"'!$F$23:$AJ$39"),MATCH($C53,INDIRECT("'"&amp;$B53&amp;"'!$F$23:$F$39"),0),MATCH($B$44&amp;$C$44&amp;D$44&amp;"Cost",INDIRECT("'"&amp;$B53&amp;"'!$F$23:$AJ$23")&amp;INDIRECT("'"&amp;$B53&amp;"'!$F$24:$AJ$24")&amp;INDIRECT("'"&amp;$B53&amp;"'!$F$25:$AJ$25")&amp;INDIRECT("'"&amp;$B53&amp;"'!$F$30:$AJ$30"),0))</f>
        <v>611.50199000000009</v>
      </c>
      <c r="E53" s="147">
        <f ca="1">ABS($J53-$D53)</f>
        <v>11.275879999999916</v>
      </c>
      <c r="F53" s="147"/>
      <c r="G53" s="147"/>
      <c r="H53" s="147"/>
      <c r="I53" s="147"/>
      <c r="J53" s="13">
        <f t="array" aca="1" ref="J53" ca="1">INDEX(INDIRECT("'"&amp;$B53&amp;"'!$F$23:$AJ$39"),MATCH($C53,INDIRECT("'"&amp;$B53&amp;"'!$F$23:$F$39"),0),MATCH($B$44&amp;$C$44&amp;J$44&amp;"Cost",INDIRECT("'"&amp;$B53&amp;"'!$F$23:$AJ$23")&amp;INDIRECT("'"&amp;$B53&amp;"'!$F$24:$AJ$24")&amp;INDIRECT("'"&amp;$B53&amp;"'!$F$25:$AJ$25")&amp;INDIRECT("'"&amp;$B53&amp;"'!$F$30:$AJ$30"),0))</f>
        <v>622.77787000000001</v>
      </c>
      <c r="K53" s="148">
        <f ca="1">J53-D53</f>
        <v>11.275879999999916</v>
      </c>
      <c r="M53" s="161"/>
    </row>
    <row r="54" spans="1:19" x14ac:dyDescent="0.35">
      <c r="A54" s="97"/>
      <c r="B54" s="146" t="str">
        <f>B53</f>
        <v>Endeavour</v>
      </c>
      <c r="C54" s="36" t="s">
        <v>70</v>
      </c>
      <c r="D54" s="13">
        <f t="array" aca="1" ref="D54" ca="1">INDEX(INDIRECT("'"&amp;$B54&amp;"'!$F$23:$AJ$39"),MATCH($C54,INDIRECT("'"&amp;$B54&amp;"'!$F$23:$F$39"),0),MATCH($B$44&amp;$C$44&amp;D$44&amp;"Cost",INDIRECT("'"&amp;$B54&amp;"'!$F$23:$AJ$23")&amp;INDIRECT("'"&amp;$B54&amp;"'!$F$24:$AJ$24")&amp;INDIRECT("'"&amp;$B54&amp;"'!$F$25:$AJ$25")&amp;INDIRECT("'"&amp;$B54&amp;"'!$F$30:$AJ$30"),0))</f>
        <v>605.13530000000003</v>
      </c>
      <c r="E54" s="147"/>
      <c r="F54" s="147">
        <f ca="1">ABS($J54-$D54)</f>
        <v>129.36000000000001</v>
      </c>
      <c r="G54" s="147"/>
      <c r="H54" s="147"/>
      <c r="I54" s="147"/>
      <c r="J54" s="13">
        <f t="array" aca="1" ref="J54" ca="1">INDEX(INDIRECT("'"&amp;$B54&amp;"'!$F$23:$AJ$39"),MATCH($C54,INDIRECT("'"&amp;$B54&amp;"'!$F$23:$F$39"),0),MATCH($B$44&amp;$C$44&amp;J$44&amp;"Cost",INDIRECT("'"&amp;$B54&amp;"'!$F$23:$AJ$23")&amp;INDIRECT("'"&amp;$B54&amp;"'!$F$24:$AJ$24")&amp;INDIRECT("'"&amp;$B54&amp;"'!$F$25:$AJ$25")&amp;INDIRECT("'"&amp;$B54&amp;"'!$F$30:$AJ$30"),0))</f>
        <v>475.77530000000002</v>
      </c>
      <c r="K54" s="148">
        <f ca="1">J54-D54</f>
        <v>-129.36000000000001</v>
      </c>
      <c r="M54" s="161"/>
    </row>
    <row r="55" spans="1:19" x14ac:dyDescent="0.35">
      <c r="A55" s="97"/>
      <c r="B55" s="146" t="str">
        <f>B54</f>
        <v>Endeavour</v>
      </c>
      <c r="C55" s="36" t="s">
        <v>71</v>
      </c>
      <c r="D55" s="13">
        <f t="array" aca="1" ref="D55" ca="1">INDEX(INDIRECT("'"&amp;$B55&amp;"'!$F$23:$AJ$39"),MATCH($C55,INDIRECT("'"&amp;$B55&amp;"'!$F$23:$F$39"),0),MATCH($B$44&amp;$C$44&amp;D$44&amp;"Cost",INDIRECT("'"&amp;$B55&amp;"'!$F$23:$AJ$23")&amp;INDIRECT("'"&amp;$B55&amp;"'!$F$24:$AJ$24")&amp;INDIRECT("'"&amp;$B55&amp;"'!$F$25:$AJ$25")&amp;INDIRECT("'"&amp;$B55&amp;"'!$F$30:$AJ$30"),0))</f>
        <v>93.570399999999992</v>
      </c>
      <c r="E55" s="147"/>
      <c r="F55" s="147"/>
      <c r="G55" s="147">
        <f ca="1">ABS($J55-$D55)</f>
        <v>10.510500000000008</v>
      </c>
      <c r="H55" s="147"/>
      <c r="I55" s="147"/>
      <c r="J55" s="13">
        <f t="array" aca="1" ref="J55" ca="1">INDEX(INDIRECT("'"&amp;$B55&amp;"'!$F$23:$AJ$39"),MATCH($C55,INDIRECT("'"&amp;$B55&amp;"'!$F$23:$F$39"),0),MATCH($B$44&amp;$C$44&amp;J$44&amp;"Cost",INDIRECT("'"&amp;$B55&amp;"'!$F$23:$AJ$23")&amp;INDIRECT("'"&amp;$B55&amp;"'!$F$24:$AJ$24")&amp;INDIRECT("'"&amp;$B55&amp;"'!$F$25:$AJ$25")&amp;INDIRECT("'"&amp;$B55&amp;"'!$F$30:$AJ$30"),0))</f>
        <v>104.0809</v>
      </c>
      <c r="K55" s="148">
        <f ca="1">J55-D55</f>
        <v>10.510500000000008</v>
      </c>
      <c r="M55" s="161"/>
    </row>
    <row r="56" spans="1:19" x14ac:dyDescent="0.35">
      <c r="A56" s="97"/>
      <c r="B56" s="146" t="str">
        <f>B55</f>
        <v>Endeavour</v>
      </c>
      <c r="C56" s="36" t="s">
        <v>72</v>
      </c>
      <c r="D56" s="13">
        <f t="array" aca="1" ref="D56" ca="1">INDEX(INDIRECT("'"&amp;$B56&amp;"'!$F$23:$AJ$39"),MATCH($C56,INDIRECT("'"&amp;$B56&amp;"'!$F$23:$F$39"),0),MATCH($B$44&amp;$C$44&amp;D$44&amp;"Cost",INDIRECT("'"&amp;$B56&amp;"'!$F$23:$AJ$23")&amp;INDIRECT("'"&amp;$B56&amp;"'!$F$24:$AJ$24")&amp;INDIRECT("'"&amp;$B56&amp;"'!$F$25:$AJ$25")&amp;INDIRECT("'"&amp;$B56&amp;"'!$F$30:$AJ$30"),0))</f>
        <v>400.79230999999982</v>
      </c>
      <c r="E56" s="147"/>
      <c r="F56" s="147"/>
      <c r="G56" s="147"/>
      <c r="H56" s="147">
        <f ca="1">ABS($J56-$D56)</f>
        <v>6.0118846499999563</v>
      </c>
      <c r="I56" s="147"/>
      <c r="J56" s="13">
        <f t="array" aca="1" ref="J56" ca="1">INDEX(INDIRECT("'"&amp;$B56&amp;"'!$F$23:$AJ$39"),MATCH($C56,INDIRECT("'"&amp;$B56&amp;"'!$F$23:$F$39"),0),MATCH($B$44&amp;$C$44&amp;J$44&amp;"Cost",INDIRECT("'"&amp;$B56&amp;"'!$F$23:$AJ$23")&amp;INDIRECT("'"&amp;$B56&amp;"'!$F$24:$AJ$24")&amp;INDIRECT("'"&amp;$B56&amp;"'!$F$25:$AJ$25")&amp;INDIRECT("'"&amp;$B56&amp;"'!$F$30:$AJ$30"),0))</f>
        <v>406.80419464999977</v>
      </c>
      <c r="K56" s="148">
        <f ca="1">J56-D56</f>
        <v>6.0118846499999563</v>
      </c>
      <c r="M56" s="161"/>
    </row>
    <row r="57" spans="1:19" x14ac:dyDescent="0.35">
      <c r="A57" s="97"/>
      <c r="B57" s="146" t="str">
        <f>B56</f>
        <v>Endeavour</v>
      </c>
      <c r="C57" s="36" t="s">
        <v>76</v>
      </c>
      <c r="D57" s="13">
        <f t="array" aca="1" ref="D57" ca="1">INDEX(INDIRECT("'"&amp;$B57&amp;"'!$F$23:$AJ$39"),MATCH($C57,INDIRECT("'"&amp;$B57&amp;"'!$F$23:$F$39"),0),MATCH($B$44&amp;$C$44&amp;D$44&amp;"Cost",INDIRECT("'"&amp;$B57&amp;"'!$F$23:$AJ$23")&amp;INDIRECT("'"&amp;$B57&amp;"'!$F$24:$AJ$24")&amp;INDIRECT("'"&amp;$B57&amp;"'!$F$25:$AJ$25")&amp;INDIRECT("'"&amp;$B57&amp;"'!$F$30:$AJ$30"),0))</f>
        <v>0</v>
      </c>
      <c r="E57" s="147"/>
      <c r="F57" s="147"/>
      <c r="G57" s="147"/>
      <c r="H57" s="147"/>
      <c r="I57" s="147">
        <f ca="1">ABS($J57-$D57)</f>
        <v>0</v>
      </c>
      <c r="J57" s="13">
        <f t="array" aca="1" ref="J57" ca="1">INDEX(INDIRECT("'"&amp;$B57&amp;"'!$F$23:$AJ$39"),MATCH($C57,INDIRECT("'"&amp;$B57&amp;"'!$F$23:$F$39"),0),MATCH($B$44&amp;$C$44&amp;J$44&amp;"Cost",INDIRECT("'"&amp;$B57&amp;"'!$F$23:$AJ$23")&amp;INDIRECT("'"&amp;$B57&amp;"'!$F$24:$AJ$24")&amp;INDIRECT("'"&amp;$B57&amp;"'!$F$25:$AJ$25")&amp;INDIRECT("'"&amp;$B57&amp;"'!$F$30:$AJ$30"),0))</f>
        <v>0</v>
      </c>
      <c r="K57" s="148">
        <f ca="1">J57-D57</f>
        <v>0</v>
      </c>
      <c r="M57" s="161"/>
    </row>
    <row r="58" spans="1:19" x14ac:dyDescent="0.35">
      <c r="A58" s="97"/>
      <c r="B58" s="149" t="str">
        <f>B56</f>
        <v>Endeavour</v>
      </c>
      <c r="C58" s="150" t="s">
        <v>138</v>
      </c>
      <c r="D58" s="151">
        <f ca="1">SUM(D52:D56)</f>
        <v>1711</v>
      </c>
      <c r="E58" s="151"/>
      <c r="F58" s="151"/>
      <c r="G58" s="151"/>
      <c r="H58" s="151"/>
      <c r="I58" s="151"/>
      <c r="J58" s="151">
        <f ca="1">SUM(J52:J57)</f>
        <v>1609.4382646499998</v>
      </c>
      <c r="K58" s="152"/>
      <c r="M58" s="168" t="b">
        <f ca="1">IF(K57&gt;0,J58=SUM(I52,K57),J58=I52)</f>
        <v>1</v>
      </c>
    </row>
    <row r="59" spans="1:19" x14ac:dyDescent="0.35">
      <c r="A59" s="97" t="str">
        <f>B59&amp;" "&amp;$B$44&amp;" "&amp;$C$44&amp;" $"</f>
        <v>Essential Residential without CL $</v>
      </c>
      <c r="B59" s="142" t="s">
        <v>3</v>
      </c>
      <c r="C59" s="143" t="s">
        <v>191</v>
      </c>
      <c r="D59" s="144">
        <v>0</v>
      </c>
      <c r="E59" s="144">
        <f ca="1">IF($K60&lt;0,SUM(D59:D63)+$K60,SUM(D59:D63))</f>
        <v>1960</v>
      </c>
      <c r="F59" s="144">
        <f ca="1">IF($K61&lt;0,IF($K60&lt;0,E59+$K61,E59+$K60+$K61),IF($K60&lt;0,E59,E59+$K60))</f>
        <v>1891.6545799999999</v>
      </c>
      <c r="G59" s="144">
        <f ca="1">IF($K62&lt;0,IF($K61&lt;0,F59+$K62,F59+$K61+$K62),IF($K61&lt;0,F59,F59+$K61))</f>
        <v>1891.6545799999999</v>
      </c>
      <c r="H59" s="144">
        <f ca="1">IF($K63&lt;0,IF($K62&lt;0,G59+$K63,G59+$K62+$K63),IF($K62&lt;0,G59,G59+$K62))</f>
        <v>1900.7119799999998</v>
      </c>
      <c r="I59" s="144">
        <f ca="1">IF($K64&lt;0,IF($K63&lt;0,H59+$K64,H59+$K63+$K64),IF($K63&lt;0,H59,H59+$K63))</f>
        <v>1907.3989148999999</v>
      </c>
      <c r="J59" s="144">
        <v>0</v>
      </c>
      <c r="K59" s="145"/>
      <c r="M59" s="161"/>
    </row>
    <row r="60" spans="1:19" x14ac:dyDescent="0.35">
      <c r="A60" s="97"/>
      <c r="B60" s="146" t="str">
        <f>B59</f>
        <v>Essential</v>
      </c>
      <c r="C60" s="36" t="s">
        <v>69</v>
      </c>
      <c r="D60" s="13">
        <f t="array" aca="1" ref="D60" ca="1">INDEX(INDIRECT("'"&amp;$B60&amp;"'!$F$23:$AJ$39"),MATCH($C60,INDIRECT("'"&amp;$B60&amp;"'!$F$23:$F$39"),0),MATCH($B$44&amp;$C$44&amp;D$44&amp;"Cost",INDIRECT("'"&amp;$B60&amp;"'!$F$23:$AJ$23")&amp;INDIRECT("'"&amp;$B60&amp;"'!$F$24:$AJ$24")&amp;INDIRECT("'"&amp;$B60&amp;"'!$F$25:$AJ$25")&amp;INDIRECT("'"&amp;$B60&amp;"'!$F$30:$AJ$30"),0))</f>
        <v>903.20934000000011</v>
      </c>
      <c r="E60" s="147">
        <f ca="1">ABS($J60-$D60)</f>
        <v>48.844179999999824</v>
      </c>
      <c r="F60" s="147"/>
      <c r="G60" s="147"/>
      <c r="H60" s="147"/>
      <c r="I60" s="147"/>
      <c r="J60" s="13">
        <f t="array" aca="1" ref="J60" ca="1">INDEX(INDIRECT("'"&amp;$B60&amp;"'!$F$23:$AJ$39"),MATCH($C60,INDIRECT("'"&amp;$B60&amp;"'!$F$23:$F$39"),0),MATCH($B$44&amp;$C$44&amp;J$44&amp;"Cost",INDIRECT("'"&amp;$B60&amp;"'!$F$23:$AJ$23")&amp;INDIRECT("'"&amp;$B60&amp;"'!$F$24:$AJ$24")&amp;INDIRECT("'"&amp;$B60&amp;"'!$F$25:$AJ$25")&amp;INDIRECT("'"&amp;$B60&amp;"'!$F$30:$AJ$30"),0))</f>
        <v>952.05351999999993</v>
      </c>
      <c r="K60" s="148">
        <f ca="1">J60-D60</f>
        <v>48.844179999999824</v>
      </c>
      <c r="M60" s="161"/>
    </row>
    <row r="61" spans="1:19" x14ac:dyDescent="0.35">
      <c r="A61" s="97"/>
      <c r="B61" s="146" t="str">
        <f>B60</f>
        <v>Essential</v>
      </c>
      <c r="C61" s="36" t="s">
        <v>70</v>
      </c>
      <c r="D61" s="13">
        <f t="array" aca="1" ref="D61" ca="1">INDEX(INDIRECT("'"&amp;$B61&amp;"'!$F$23:$AJ$39"),MATCH($C61,INDIRECT("'"&amp;$B61&amp;"'!$F$23:$F$39"),0),MATCH($B$44&amp;$C$44&amp;D$44&amp;"Cost",INDIRECT("'"&amp;$B61&amp;"'!$F$23:$AJ$23")&amp;INDIRECT("'"&amp;$B61&amp;"'!$F$24:$AJ$24")&amp;INDIRECT("'"&amp;$B61&amp;"'!$F$25:$AJ$25")&amp;INDIRECT("'"&amp;$B61&amp;"'!$F$30:$AJ$30"),0))</f>
        <v>523.71</v>
      </c>
      <c r="E61" s="147"/>
      <c r="F61" s="147">
        <f ca="1">ABS($J61-$D61)</f>
        <v>117.18960000000004</v>
      </c>
      <c r="G61" s="147"/>
      <c r="H61" s="147"/>
      <c r="I61" s="147"/>
      <c r="J61" s="13">
        <f t="array" aca="1" ref="J61" ca="1">INDEX(INDIRECT("'"&amp;$B61&amp;"'!$F$23:$AJ$39"),MATCH($C61,INDIRECT("'"&amp;$B61&amp;"'!$F$23:$F$39"),0),MATCH($B$44&amp;$C$44&amp;J$44&amp;"Cost",INDIRECT("'"&amp;$B61&amp;"'!$F$23:$AJ$23")&amp;INDIRECT("'"&amp;$B61&amp;"'!$F$24:$AJ$24")&amp;INDIRECT("'"&amp;$B61&amp;"'!$F$25:$AJ$25")&amp;INDIRECT("'"&amp;$B61&amp;"'!$F$30:$AJ$30"),0))</f>
        <v>406.5204</v>
      </c>
      <c r="K61" s="148">
        <f ca="1">J61-D61</f>
        <v>-117.18960000000004</v>
      </c>
      <c r="M61" s="161"/>
    </row>
    <row r="62" spans="1:19" x14ac:dyDescent="0.35">
      <c r="A62" s="97"/>
      <c r="B62" s="146" t="str">
        <f>B61</f>
        <v>Essential</v>
      </c>
      <c r="C62" s="36" t="s">
        <v>71</v>
      </c>
      <c r="D62" s="13">
        <f t="array" aca="1" ref="D62" ca="1">INDEX(INDIRECT("'"&amp;$B62&amp;"'!$F$23:$AJ$39"),MATCH($C62,INDIRECT("'"&amp;$B62&amp;"'!$F$23:$F$39"),0),MATCH($B$44&amp;$C$44&amp;D$44&amp;"Cost",INDIRECT("'"&amp;$B62&amp;"'!$F$23:$AJ$23")&amp;INDIRECT("'"&amp;$B62&amp;"'!$F$24:$AJ$24")&amp;INDIRECT("'"&amp;$B62&amp;"'!$F$25:$AJ$25")&amp;INDIRECT("'"&amp;$B62&amp;"'!$F$30:$AJ$30"),0))</f>
        <v>87.284999999999997</v>
      </c>
      <c r="E62" s="147"/>
      <c r="F62" s="147"/>
      <c r="G62" s="147">
        <f ca="1">ABS($J62-$D62)</f>
        <v>9.0574000000000012</v>
      </c>
      <c r="H62" s="147"/>
      <c r="I62" s="147"/>
      <c r="J62" s="13">
        <f t="array" aca="1" ref="J62" ca="1">INDEX(INDIRECT("'"&amp;$B62&amp;"'!$F$23:$AJ$39"),MATCH($C62,INDIRECT("'"&amp;$B62&amp;"'!$F$23:$F$39"),0),MATCH($B$44&amp;$C$44&amp;J$44&amp;"Cost",INDIRECT("'"&amp;$B62&amp;"'!$F$23:$AJ$23")&amp;INDIRECT("'"&amp;$B62&amp;"'!$F$24:$AJ$24")&amp;INDIRECT("'"&amp;$B62&amp;"'!$F$25:$AJ$25")&amp;INDIRECT("'"&amp;$B62&amp;"'!$F$30:$AJ$30"),0))</f>
        <v>96.342399999999998</v>
      </c>
      <c r="K62" s="148">
        <f ca="1">J62-D62</f>
        <v>9.0574000000000012</v>
      </c>
      <c r="M62" s="161"/>
    </row>
    <row r="63" spans="1:19" x14ac:dyDescent="0.35">
      <c r="A63" s="97"/>
      <c r="B63" s="146" t="str">
        <f>B62</f>
        <v>Essential</v>
      </c>
      <c r="C63" s="36" t="s">
        <v>72</v>
      </c>
      <c r="D63" s="13">
        <f t="array" aca="1" ref="D63" ca="1">INDEX(INDIRECT("'"&amp;$B63&amp;"'!$F$23:$AJ$39"),MATCH($C63,INDIRECT("'"&amp;$B63&amp;"'!$F$23:$F$39"),0),MATCH($B$44&amp;$C$44&amp;D$44&amp;"Cost",INDIRECT("'"&amp;$B63&amp;"'!$F$23:$AJ$23")&amp;INDIRECT("'"&amp;$B63&amp;"'!$F$24:$AJ$24")&amp;INDIRECT("'"&amp;$B63&amp;"'!$F$25:$AJ$25")&amp;INDIRECT("'"&amp;$B63&amp;"'!$F$30:$AJ$30"),0))</f>
        <v>445.79565999999977</v>
      </c>
      <c r="E63" s="147"/>
      <c r="F63" s="147"/>
      <c r="G63" s="147"/>
      <c r="H63" s="147">
        <f ca="1">ABS($J63-$D63)</f>
        <v>6.6869349000000966</v>
      </c>
      <c r="I63" s="147"/>
      <c r="J63" s="13">
        <f t="array" aca="1" ref="J63" ca="1">INDEX(INDIRECT("'"&amp;$B63&amp;"'!$F$23:$AJ$39"),MATCH($C63,INDIRECT("'"&amp;$B63&amp;"'!$F$23:$F$39"),0),MATCH($B$44&amp;$C$44&amp;J$44&amp;"Cost",INDIRECT("'"&amp;$B63&amp;"'!$F$23:$AJ$23")&amp;INDIRECT("'"&amp;$B63&amp;"'!$F$24:$AJ$24")&amp;INDIRECT("'"&amp;$B63&amp;"'!$F$25:$AJ$25")&amp;INDIRECT("'"&amp;$B63&amp;"'!$F$30:$AJ$30"),0))</f>
        <v>452.48259489999987</v>
      </c>
      <c r="K63" s="148">
        <f ca="1">J63-D63</f>
        <v>6.6869349000000966</v>
      </c>
      <c r="M63" s="161"/>
    </row>
    <row r="64" spans="1:19" x14ac:dyDescent="0.35">
      <c r="A64" s="97"/>
      <c r="B64" s="146" t="str">
        <f>B63</f>
        <v>Essential</v>
      </c>
      <c r="C64" s="36" t="s">
        <v>76</v>
      </c>
      <c r="D64" s="13">
        <f t="array" aca="1" ref="D64" ca="1">INDEX(INDIRECT("'"&amp;$B64&amp;"'!$F$23:$AJ$39"),MATCH($C64,INDIRECT("'"&amp;$B64&amp;"'!$F$23:$F$39"),0),MATCH($B$44&amp;$C$44&amp;D$44&amp;"Cost",INDIRECT("'"&amp;$B64&amp;"'!$F$23:$AJ$23")&amp;INDIRECT("'"&amp;$B64&amp;"'!$F$24:$AJ$24")&amp;INDIRECT("'"&amp;$B64&amp;"'!$F$25:$AJ$25")&amp;INDIRECT("'"&amp;$B64&amp;"'!$F$30:$AJ$30"),0))</f>
        <v>0</v>
      </c>
      <c r="E64" s="147"/>
      <c r="F64" s="147"/>
      <c r="G64" s="147"/>
      <c r="H64" s="147"/>
      <c r="I64" s="147">
        <f ca="1">ABS($J64-$D64)</f>
        <v>0</v>
      </c>
      <c r="J64" s="13">
        <f t="array" aca="1" ref="J64" ca="1">INDEX(INDIRECT("'"&amp;$B64&amp;"'!$F$23:$AJ$39"),MATCH($C64,INDIRECT("'"&amp;$B64&amp;"'!$F$23:$F$39"),0),MATCH($B$44&amp;$C$44&amp;J$44&amp;"Cost",INDIRECT("'"&amp;$B64&amp;"'!$F$23:$AJ$23")&amp;INDIRECT("'"&amp;$B64&amp;"'!$F$24:$AJ$24")&amp;INDIRECT("'"&amp;$B64&amp;"'!$F$25:$AJ$25")&amp;INDIRECT("'"&amp;$B64&amp;"'!$F$30:$AJ$30"),0))</f>
        <v>0</v>
      </c>
      <c r="K64" s="148">
        <f ca="1">J64-D64</f>
        <v>0</v>
      </c>
      <c r="M64" s="161"/>
    </row>
    <row r="65" spans="1:13" x14ac:dyDescent="0.35">
      <c r="A65" s="97"/>
      <c r="B65" s="149" t="str">
        <f>B63</f>
        <v>Essential</v>
      </c>
      <c r="C65" s="150" t="s">
        <v>138</v>
      </c>
      <c r="D65" s="151">
        <f ca="1">SUM(D59:D63)</f>
        <v>1960</v>
      </c>
      <c r="E65" s="151"/>
      <c r="F65" s="151"/>
      <c r="G65" s="151"/>
      <c r="H65" s="151"/>
      <c r="I65" s="151"/>
      <c r="J65" s="151">
        <f ca="1">SUM(J59:J64)</f>
        <v>1907.3989148999997</v>
      </c>
      <c r="K65" s="152"/>
      <c r="M65" s="168" t="b">
        <f ca="1">IF(K64&gt;0,J65=SUM(I59,K64),J65=I59)</f>
        <v>1</v>
      </c>
    </row>
    <row r="66" spans="1:13" x14ac:dyDescent="0.35">
      <c r="A66" s="97" t="str">
        <f>B66&amp;" "&amp;$B$44&amp;" "&amp;$C$44&amp;" $"</f>
        <v>Energex Residential without CL $</v>
      </c>
      <c r="B66" s="142" t="s">
        <v>0</v>
      </c>
      <c r="C66" s="143" t="s">
        <v>191</v>
      </c>
      <c r="D66" s="144">
        <v>0</v>
      </c>
      <c r="E66" s="144">
        <f ca="1">IF($K67&lt;0,SUM(D66:D70)+$K67,SUM(D66:D70))</f>
        <v>1508</v>
      </c>
      <c r="F66" s="144">
        <f ca="1">IF($K68&lt;0,IF($K67&lt;0,E66+$K68,E66+$K67+$K68),IF($K67&lt;0,E66,E66+$K67))</f>
        <v>1441.991035</v>
      </c>
      <c r="G66" s="144">
        <f ca="1">IF($K69&lt;0,IF($K68&lt;0,F66+$K69,F66+$K68+$K69),IF($K68&lt;0,F66,F66+$K68))</f>
        <v>1441.991035</v>
      </c>
      <c r="H66" s="144">
        <f ca="1">IF($K70&lt;0,IF($K69&lt;0,G66+$K70,G66+$K69+$K70),IF($K69&lt;0,G66,G66+$K69))</f>
        <v>1450.3400349999999</v>
      </c>
      <c r="I66" s="144">
        <f ca="1">IF($K71&lt;0,IF($K70&lt;0,H66+$K71,H66+$K70+$K71),IF($K70&lt;0,H66,H66+$K70))</f>
        <v>1455.0536484250001</v>
      </c>
      <c r="J66" s="144">
        <v>0</v>
      </c>
      <c r="K66" s="145"/>
      <c r="M66" s="161"/>
    </row>
    <row r="67" spans="1:13" x14ac:dyDescent="0.35">
      <c r="A67" s="97"/>
      <c r="B67" s="146" t="str">
        <f>B66</f>
        <v>Energex</v>
      </c>
      <c r="C67" s="36" t="s">
        <v>69</v>
      </c>
      <c r="D67" s="13">
        <f t="array" aca="1" ref="D67" ca="1">INDEX(INDIRECT("'"&amp;$B67&amp;"'!$F$23:$AJ$39"),MATCH($C67,INDIRECT("'"&amp;$B67&amp;"'!$F$23:$F$39"),0),MATCH($B$44&amp;$C$44&amp;D$44&amp;"Cost",INDIRECT("'"&amp;$B67&amp;"'!$F$23:$AJ$23")&amp;INDIRECT("'"&amp;$B67&amp;"'!$F$24:$AJ$24")&amp;INDIRECT("'"&amp;$B67&amp;"'!$F$25:$AJ$25")&amp;INDIRECT("'"&amp;$B67&amp;"'!$F$30:$AJ$30"),0))</f>
        <v>654.41370500000005</v>
      </c>
      <c r="E67" s="147">
        <f ca="1">ABS($J67-$D67)</f>
        <v>22.338635000000181</v>
      </c>
      <c r="F67" s="147"/>
      <c r="G67" s="147"/>
      <c r="H67" s="147"/>
      <c r="I67" s="147"/>
      <c r="J67" s="13">
        <f t="array" aca="1" ref="J67" ca="1">INDEX(INDIRECT("'"&amp;$B67&amp;"'!$F$23:$AJ$39"),MATCH($C67,INDIRECT("'"&amp;$B67&amp;"'!$F$23:$F$39"),0),MATCH($B$44&amp;$C$44&amp;J$44&amp;"Cost",INDIRECT("'"&amp;$B67&amp;"'!$F$23:$AJ$23")&amp;INDIRECT("'"&amp;$B67&amp;"'!$F$24:$AJ$24")&amp;INDIRECT("'"&amp;$B67&amp;"'!$F$25:$AJ$25")&amp;INDIRECT("'"&amp;$B67&amp;"'!$F$30:$AJ$30"),0))</f>
        <v>676.75234000000023</v>
      </c>
      <c r="K67" s="148">
        <f ca="1">J67-D67</f>
        <v>22.338635000000181</v>
      </c>
      <c r="M67" s="161"/>
    </row>
    <row r="68" spans="1:13" x14ac:dyDescent="0.35">
      <c r="A68" s="97"/>
      <c r="B68" s="146" t="str">
        <f>B67</f>
        <v>Energex</v>
      </c>
      <c r="C68" s="36" t="s">
        <v>70</v>
      </c>
      <c r="D68" s="13">
        <f t="array" aca="1" ref="D68" ca="1">INDEX(INDIRECT("'"&amp;$B68&amp;"'!$F$23:$AJ$39"),MATCH($C68,INDIRECT("'"&amp;$B68&amp;"'!$F$23:$F$39"),0),MATCH($B$44&amp;$C$44&amp;D$44&amp;"Cost",INDIRECT("'"&amp;$B68&amp;"'!$F$23:$AJ$23")&amp;INDIRECT("'"&amp;$B68&amp;"'!$F$24:$AJ$24")&amp;INDIRECT("'"&amp;$B68&amp;"'!$F$25:$AJ$25")&amp;INDIRECT("'"&amp;$B68&amp;"'!$F$30:$AJ$30"),0))</f>
        <v>462.93939999999998</v>
      </c>
      <c r="E68" s="147"/>
      <c r="F68" s="147">
        <f ca="1">ABS($J68-$D68)</f>
        <v>88.347599999999943</v>
      </c>
      <c r="G68" s="147"/>
      <c r="H68" s="147"/>
      <c r="I68" s="147"/>
      <c r="J68" s="13">
        <f t="array" aca="1" ref="J68" ca="1">INDEX(INDIRECT("'"&amp;$B68&amp;"'!$F$23:$AJ$39"),MATCH($C68,INDIRECT("'"&amp;$B68&amp;"'!$F$23:$F$39"),0),MATCH($B$44&amp;$C$44&amp;J$44&amp;"Cost",INDIRECT("'"&amp;$B68&amp;"'!$F$23:$AJ$23")&amp;INDIRECT("'"&amp;$B68&amp;"'!$F$24:$AJ$24")&amp;INDIRECT("'"&amp;$B68&amp;"'!$F$25:$AJ$25")&amp;INDIRECT("'"&amp;$B68&amp;"'!$F$30:$AJ$30"),0))</f>
        <v>374.59180000000003</v>
      </c>
      <c r="K68" s="148">
        <f ca="1">J68-D68</f>
        <v>-88.347599999999943</v>
      </c>
      <c r="M68" s="161"/>
    </row>
    <row r="69" spans="1:13" x14ac:dyDescent="0.35">
      <c r="A69" s="97"/>
      <c r="B69" s="146" t="str">
        <f>B68</f>
        <v>Energex</v>
      </c>
      <c r="C69" s="36" t="s">
        <v>71</v>
      </c>
      <c r="D69" s="13">
        <f t="array" aca="1" ref="D69" ca="1">INDEX(INDIRECT("'"&amp;$B69&amp;"'!$F$23:$AJ$39"),MATCH($C69,INDIRECT("'"&amp;$B69&amp;"'!$F$23:$F$39"),0),MATCH($B$44&amp;$C$44&amp;D$44&amp;"Cost",INDIRECT("'"&amp;$B69&amp;"'!$F$23:$AJ$23")&amp;INDIRECT("'"&amp;$B69&amp;"'!$F$24:$AJ$24")&amp;INDIRECT("'"&amp;$B69&amp;"'!$F$25:$AJ$25")&amp;INDIRECT("'"&amp;$B69&amp;"'!$F$30:$AJ$30"),0))</f>
        <v>76.405999999999992</v>
      </c>
      <c r="E69" s="147"/>
      <c r="F69" s="147"/>
      <c r="G69" s="147">
        <f ca="1">ABS($J69-$D69)</f>
        <v>8.3490000000000038</v>
      </c>
      <c r="H69" s="147"/>
      <c r="I69" s="147"/>
      <c r="J69" s="13">
        <f t="array" aca="1" ref="J69" ca="1">INDEX(INDIRECT("'"&amp;$B69&amp;"'!$F$23:$AJ$39"),MATCH($C69,INDIRECT("'"&amp;$B69&amp;"'!$F$23:$F$39"),0),MATCH($B$44&amp;$C$44&amp;J$44&amp;"Cost",INDIRECT("'"&amp;$B69&amp;"'!$F$23:$AJ$23")&amp;INDIRECT("'"&amp;$B69&amp;"'!$F$24:$AJ$24")&amp;INDIRECT("'"&amp;$B69&amp;"'!$F$25:$AJ$25")&amp;INDIRECT("'"&amp;$B69&amp;"'!$F$30:$AJ$30"),0))</f>
        <v>84.754999999999995</v>
      </c>
      <c r="K69" s="148">
        <f ca="1">J69-D69</f>
        <v>8.3490000000000038</v>
      </c>
      <c r="M69" s="161"/>
    </row>
    <row r="70" spans="1:13" x14ac:dyDescent="0.35">
      <c r="A70" s="97"/>
      <c r="B70" s="146" t="str">
        <f>B69</f>
        <v>Energex</v>
      </c>
      <c r="C70" s="36" t="s">
        <v>72</v>
      </c>
      <c r="D70" s="13">
        <f t="array" aca="1" ref="D70" ca="1">INDEX(INDIRECT("'"&amp;$B70&amp;"'!$F$23:$AJ$39"),MATCH($C70,INDIRECT("'"&amp;$B70&amp;"'!$F$23:$F$39"),0),MATCH($B$44&amp;$C$44&amp;D$44&amp;"Cost",INDIRECT("'"&amp;$B70&amp;"'!$F$23:$AJ$23")&amp;INDIRECT("'"&amp;$B70&amp;"'!$F$24:$AJ$24")&amp;INDIRECT("'"&amp;$B70&amp;"'!$F$25:$AJ$25")&amp;INDIRECT("'"&amp;$B70&amp;"'!$F$30:$AJ$30"),0))</f>
        <v>314.24089499999991</v>
      </c>
      <c r="E70" s="147"/>
      <c r="F70" s="147"/>
      <c r="G70" s="147"/>
      <c r="H70" s="147">
        <f ca="1">ABS($J70-$D70)</f>
        <v>4.713613425000176</v>
      </c>
      <c r="I70" s="147"/>
      <c r="J70" s="13">
        <f t="array" aca="1" ref="J70" ca="1">INDEX(INDIRECT("'"&amp;$B70&amp;"'!$F$23:$AJ$39"),MATCH($C70,INDIRECT("'"&amp;$B70&amp;"'!$F$23:$F$39"),0),MATCH($B$44&amp;$C$44&amp;J$44&amp;"Cost",INDIRECT("'"&amp;$B70&amp;"'!$F$23:$AJ$23")&amp;INDIRECT("'"&amp;$B70&amp;"'!$F$24:$AJ$24")&amp;INDIRECT("'"&amp;$B70&amp;"'!$F$25:$AJ$25")&amp;INDIRECT("'"&amp;$B70&amp;"'!$F$30:$AJ$30"),0))</f>
        <v>318.95450842500009</v>
      </c>
      <c r="K70" s="148">
        <f ca="1">J70-D70</f>
        <v>4.713613425000176</v>
      </c>
      <c r="M70" s="161"/>
    </row>
    <row r="71" spans="1:13" x14ac:dyDescent="0.35">
      <c r="A71" s="97"/>
      <c r="B71" s="146" t="str">
        <f>B70</f>
        <v>Energex</v>
      </c>
      <c r="C71" s="36" t="s">
        <v>76</v>
      </c>
      <c r="D71" s="13">
        <f t="array" aca="1" ref="D71" ca="1">INDEX(INDIRECT("'"&amp;$B71&amp;"'!$F$23:$AJ$39"),MATCH($C71,INDIRECT("'"&amp;$B71&amp;"'!$F$23:$F$39"),0),MATCH($B$44&amp;$C$44&amp;D$44&amp;"Cost",INDIRECT("'"&amp;$B71&amp;"'!$F$23:$AJ$23")&amp;INDIRECT("'"&amp;$B71&amp;"'!$F$24:$AJ$24")&amp;INDIRECT("'"&amp;$B71&amp;"'!$F$25:$AJ$25")&amp;INDIRECT("'"&amp;$B71&amp;"'!$F$30:$AJ$30"),0))</f>
        <v>0</v>
      </c>
      <c r="E71" s="147"/>
      <c r="F71" s="147"/>
      <c r="G71" s="147"/>
      <c r="H71" s="147"/>
      <c r="I71" s="147">
        <f ca="1">ABS($J71-$D71)</f>
        <v>0</v>
      </c>
      <c r="J71" s="13">
        <f t="array" aca="1" ref="J71" ca="1">INDEX(INDIRECT("'"&amp;$B71&amp;"'!$F$23:$AJ$39"),MATCH($C71,INDIRECT("'"&amp;$B71&amp;"'!$F$23:$F$39"),0),MATCH($B$44&amp;$C$44&amp;J$44&amp;"Cost",INDIRECT("'"&amp;$B71&amp;"'!$F$23:$AJ$23")&amp;INDIRECT("'"&amp;$B71&amp;"'!$F$24:$AJ$24")&amp;INDIRECT("'"&amp;$B71&amp;"'!$F$25:$AJ$25")&amp;INDIRECT("'"&amp;$B71&amp;"'!$F$30:$AJ$30"),0))</f>
        <v>0</v>
      </c>
      <c r="K71" s="148">
        <f ca="1">J71-D71</f>
        <v>0</v>
      </c>
      <c r="M71" s="161"/>
    </row>
    <row r="72" spans="1:13" x14ac:dyDescent="0.35">
      <c r="A72" s="97"/>
      <c r="B72" s="149" t="str">
        <f>B70</f>
        <v>Energex</v>
      </c>
      <c r="C72" s="150" t="s">
        <v>138</v>
      </c>
      <c r="D72" s="151">
        <f ca="1">SUM(D66:D70)</f>
        <v>1508</v>
      </c>
      <c r="E72" s="151"/>
      <c r="F72" s="151"/>
      <c r="G72" s="151"/>
      <c r="H72" s="151"/>
      <c r="I72" s="151"/>
      <c r="J72" s="151">
        <f ca="1">SUM(J66:J71)</f>
        <v>1455.0536484250003</v>
      </c>
      <c r="K72" s="152"/>
      <c r="M72" s="168" t="b">
        <f ca="1">IF(K71&gt;0,J72=SUM(I66,K71),J72=I66)</f>
        <v>1</v>
      </c>
    </row>
    <row r="73" spans="1:13" x14ac:dyDescent="0.35">
      <c r="A73" s="97" t="str">
        <f>B73&amp;" "&amp;$B$44&amp;" "&amp;$C$44&amp;" $"</f>
        <v>SAPN Residential without CL $</v>
      </c>
      <c r="B73" s="142" t="s">
        <v>5</v>
      </c>
      <c r="C73" s="143" t="s">
        <v>191</v>
      </c>
      <c r="D73" s="144">
        <v>0</v>
      </c>
      <c r="E73" s="144">
        <f ca="1">IF($K74&lt;0,SUM(D73:D77)+$K74,SUM(D73:D77))</f>
        <v>1832</v>
      </c>
      <c r="F73" s="144">
        <f ca="1">IF($K75&lt;0,IF($K74&lt;0,E73+$K75,E73+$K74+$K75),IF($K74&lt;0,E73,E73+$K74))</f>
        <v>1703.9578000000001</v>
      </c>
      <c r="G73" s="144">
        <f ca="1">IF($K76&lt;0,IF($K75&lt;0,F73+$K76,F73+$K75+$K76),IF($K75&lt;0,F73,F73+$K75))</f>
        <v>1703.9578000000001</v>
      </c>
      <c r="H73" s="144">
        <f ca="1">IF($K77&lt;0,IF($K76&lt;0,G73+$K77,G73+$K76+$K77),IF($K76&lt;0,G73,G73+$K76))</f>
        <v>1711.9658000000002</v>
      </c>
      <c r="I73" s="144">
        <f ca="1">IF($K78&lt;0,IF($K77&lt;0,H73+$K78,H73+$K77+$K78),IF($K77&lt;0,H73,H73+$K77))</f>
        <v>1716.1322900000005</v>
      </c>
      <c r="J73" s="144">
        <v>0</v>
      </c>
      <c r="K73" s="145"/>
      <c r="M73" s="161"/>
    </row>
    <row r="74" spans="1:13" x14ac:dyDescent="0.35">
      <c r="A74" s="97"/>
      <c r="B74" s="146" t="str">
        <f>B73</f>
        <v>SAPN</v>
      </c>
      <c r="C74" s="36" t="s">
        <v>69</v>
      </c>
      <c r="D74" s="13">
        <f t="array" aca="1" ref="D74" ca="1">INDEX(INDIRECT("'"&amp;$B74&amp;"'!$F$23:$AJ$39"),MATCH($C74,INDIRECT("'"&amp;$B74&amp;"'!$F$23:$F$39"),0),MATCH($B$44&amp;$C$44&amp;D$44&amp;"Cost",INDIRECT("'"&amp;$B74&amp;"'!$F$23:$AJ$23")&amp;INDIRECT("'"&amp;$B74&amp;"'!$F$24:$AJ$24")&amp;INDIRECT("'"&amp;$B74&amp;"'!$F$25:$AJ$25")&amp;INDIRECT("'"&amp;$B74&amp;"'!$F$30:$AJ$30"),0))</f>
        <v>794.39800000000002</v>
      </c>
      <c r="E74" s="147">
        <f ca="1">ABS($J74-$D74)</f>
        <v>24.417800000000057</v>
      </c>
      <c r="F74" s="147"/>
      <c r="G74" s="147"/>
      <c r="H74" s="147"/>
      <c r="I74" s="147"/>
      <c r="J74" s="13">
        <f t="array" aca="1" ref="J74" ca="1">INDEX(INDIRECT("'"&amp;$B74&amp;"'!$F$23:$AJ$39"),MATCH($C74,INDIRECT("'"&amp;$B74&amp;"'!$F$23:$F$39"),0),MATCH($B$44&amp;$C$44&amp;J$44&amp;"Cost",INDIRECT("'"&amp;$B74&amp;"'!$F$23:$AJ$23")&amp;INDIRECT("'"&amp;$B74&amp;"'!$F$24:$AJ$24")&amp;INDIRECT("'"&amp;$B74&amp;"'!$F$25:$AJ$25")&amp;INDIRECT("'"&amp;$B74&amp;"'!$F$30:$AJ$30"),0))</f>
        <v>818.81580000000008</v>
      </c>
      <c r="K74" s="148">
        <f ca="1">J74-D74</f>
        <v>24.417800000000057</v>
      </c>
      <c r="M74" s="161"/>
    </row>
    <row r="75" spans="1:13" x14ac:dyDescent="0.35">
      <c r="A75" s="97"/>
      <c r="B75" s="146" t="str">
        <f>B74</f>
        <v>SAPN</v>
      </c>
      <c r="C75" s="36" t="s">
        <v>70</v>
      </c>
      <c r="D75" s="13">
        <f t="array" aca="1" ref="D75" ca="1">INDEX(INDIRECT("'"&amp;$B75&amp;"'!$F$23:$AJ$39"),MATCH($C75,INDIRECT("'"&amp;$B75&amp;"'!$F$23:$F$39"),0),MATCH($B$44&amp;$C$44&amp;D$44&amp;"Cost",INDIRECT("'"&amp;$B75&amp;"'!$F$23:$AJ$23")&amp;INDIRECT("'"&amp;$B75&amp;"'!$F$24:$AJ$24")&amp;INDIRECT("'"&amp;$B75&amp;"'!$F$25:$AJ$25")&amp;INDIRECT("'"&amp;$B75&amp;"'!$F$30:$AJ$30"),0))</f>
        <v>678.12800000000004</v>
      </c>
      <c r="E75" s="147"/>
      <c r="F75" s="147">
        <f ca="1">ABS($J75-$D75)</f>
        <v>152.46000000000004</v>
      </c>
      <c r="G75" s="147"/>
      <c r="H75" s="147"/>
      <c r="I75" s="147"/>
      <c r="J75" s="13">
        <f t="array" aca="1" ref="J75" ca="1">INDEX(INDIRECT("'"&amp;$B75&amp;"'!$F$23:$AJ$39"),MATCH($C75,INDIRECT("'"&amp;$B75&amp;"'!$F$23:$F$39"),0),MATCH($B$44&amp;$C$44&amp;J$44&amp;"Cost",INDIRECT("'"&amp;$B75&amp;"'!$F$23:$AJ$23")&amp;INDIRECT("'"&amp;$B75&amp;"'!$F$24:$AJ$24")&amp;INDIRECT("'"&amp;$B75&amp;"'!$F$25:$AJ$25")&amp;INDIRECT("'"&amp;$B75&amp;"'!$F$30:$AJ$30"),0))</f>
        <v>525.66800000000001</v>
      </c>
      <c r="K75" s="148">
        <f ca="1">J75-D75</f>
        <v>-152.46000000000004</v>
      </c>
      <c r="M75" s="161"/>
    </row>
    <row r="76" spans="1:13" x14ac:dyDescent="0.35">
      <c r="A76" s="97"/>
      <c r="B76" s="146" t="str">
        <f>B75</f>
        <v>SAPN</v>
      </c>
      <c r="C76" s="36" t="s">
        <v>71</v>
      </c>
      <c r="D76" s="13">
        <f t="array" aca="1" ref="D76" ca="1">INDEX(INDIRECT("'"&amp;$B76&amp;"'!$F$23:$AJ$39"),MATCH($C76,INDIRECT("'"&amp;$B76&amp;"'!$F$23:$F$39"),0),MATCH($B$44&amp;$C$44&amp;D$44&amp;"Cost",INDIRECT("'"&amp;$B76&amp;"'!$F$23:$AJ$23")&amp;INDIRECT("'"&amp;$B76&amp;"'!$F$24:$AJ$24")&amp;INDIRECT("'"&amp;$B76&amp;"'!$F$25:$AJ$25")&amp;INDIRECT("'"&amp;$B76&amp;"'!$F$30:$AJ$30"),0))</f>
        <v>81.707999999999998</v>
      </c>
      <c r="E76" s="147"/>
      <c r="F76" s="147"/>
      <c r="G76" s="147">
        <f ca="1">ABS($J76-$D76)</f>
        <v>8.0080000000000098</v>
      </c>
      <c r="H76" s="147"/>
      <c r="I76" s="147"/>
      <c r="J76" s="13">
        <f t="array" aca="1" ref="J76" ca="1">INDEX(INDIRECT("'"&amp;$B76&amp;"'!$F$23:$AJ$39"),MATCH($C76,INDIRECT("'"&amp;$B76&amp;"'!$F$23:$F$39"),0),MATCH($B$44&amp;$C$44&amp;J$44&amp;"Cost",INDIRECT("'"&amp;$B76&amp;"'!$F$23:$AJ$23")&amp;INDIRECT("'"&amp;$B76&amp;"'!$F$24:$AJ$24")&amp;INDIRECT("'"&amp;$B76&amp;"'!$F$25:$AJ$25")&amp;INDIRECT("'"&amp;$B76&amp;"'!$F$30:$AJ$30"),0))</f>
        <v>89.716000000000008</v>
      </c>
      <c r="K76" s="148">
        <f ca="1">J76-D76</f>
        <v>8.0080000000000098</v>
      </c>
      <c r="M76" s="161"/>
    </row>
    <row r="77" spans="1:13" x14ac:dyDescent="0.35">
      <c r="A77" s="97"/>
      <c r="B77" s="146" t="str">
        <f>B76</f>
        <v>SAPN</v>
      </c>
      <c r="C77" s="36" t="s">
        <v>72</v>
      </c>
      <c r="D77" s="13">
        <f t="array" aca="1" ref="D77" ca="1">INDEX(INDIRECT("'"&amp;$B77&amp;"'!$F$23:$AJ$39"),MATCH($C77,INDIRECT("'"&amp;$B77&amp;"'!$F$23:$F$39"),0),MATCH($B$44&amp;$C$44&amp;D$44&amp;"Cost",INDIRECT("'"&amp;$B77&amp;"'!$F$23:$AJ$23")&amp;INDIRECT("'"&amp;$B77&amp;"'!$F$24:$AJ$24")&amp;INDIRECT("'"&amp;$B77&amp;"'!$F$25:$AJ$25")&amp;INDIRECT("'"&amp;$B77&amp;"'!$F$30:$AJ$30"),0))</f>
        <v>277.76599999999985</v>
      </c>
      <c r="E77" s="147"/>
      <c r="F77" s="147"/>
      <c r="G77" s="147"/>
      <c r="H77" s="147">
        <f ca="1">ABS($J77-$D77)</f>
        <v>4.1664900000002945</v>
      </c>
      <c r="I77" s="147"/>
      <c r="J77" s="13">
        <f t="array" aca="1" ref="J77" ca="1">INDEX(INDIRECT("'"&amp;$B77&amp;"'!$F$23:$AJ$39"),MATCH($C77,INDIRECT("'"&amp;$B77&amp;"'!$F$23:$F$39"),0),MATCH($B$44&amp;$C$44&amp;J$44&amp;"Cost",INDIRECT("'"&amp;$B77&amp;"'!$F$23:$AJ$23")&amp;INDIRECT("'"&amp;$B77&amp;"'!$F$24:$AJ$24")&amp;INDIRECT("'"&amp;$B77&amp;"'!$F$25:$AJ$25")&amp;INDIRECT("'"&amp;$B77&amp;"'!$F$30:$AJ$30"),0))</f>
        <v>281.93249000000014</v>
      </c>
      <c r="K77" s="148">
        <f ca="1">J77-D77</f>
        <v>4.1664900000002945</v>
      </c>
      <c r="M77" s="161"/>
    </row>
    <row r="78" spans="1:13" x14ac:dyDescent="0.35">
      <c r="A78" s="97"/>
      <c r="B78" s="146" t="str">
        <f>B77</f>
        <v>SAPN</v>
      </c>
      <c r="C78" s="36" t="s">
        <v>76</v>
      </c>
      <c r="D78" s="13">
        <f t="array" aca="1" ref="D78" ca="1">INDEX(INDIRECT("'"&amp;$B78&amp;"'!$F$23:$AJ$39"),MATCH($C78,INDIRECT("'"&amp;$B78&amp;"'!$F$23:$F$39"),0),MATCH($B$44&amp;$C$44&amp;D$44&amp;"Cost",INDIRECT("'"&amp;$B78&amp;"'!$F$23:$AJ$23")&amp;INDIRECT("'"&amp;$B78&amp;"'!$F$24:$AJ$24")&amp;INDIRECT("'"&amp;$B78&amp;"'!$F$25:$AJ$25")&amp;INDIRECT("'"&amp;$B78&amp;"'!$F$30:$AJ$30"),0))</f>
        <v>0</v>
      </c>
      <c r="E78" s="147"/>
      <c r="F78" s="147"/>
      <c r="G78" s="147"/>
      <c r="H78" s="147"/>
      <c r="I78" s="147">
        <f ca="1">ABS($J78-$D78)</f>
        <v>0</v>
      </c>
      <c r="J78" s="13">
        <f t="array" aca="1" ref="J78" ca="1">INDEX(INDIRECT("'"&amp;$B78&amp;"'!$F$23:$AJ$39"),MATCH($C78,INDIRECT("'"&amp;$B78&amp;"'!$F$23:$F$39"),0),MATCH($B$44&amp;$C$44&amp;J$44&amp;"Cost",INDIRECT("'"&amp;$B78&amp;"'!$F$23:$AJ$23")&amp;INDIRECT("'"&amp;$B78&amp;"'!$F$24:$AJ$24")&amp;INDIRECT("'"&amp;$B78&amp;"'!$F$25:$AJ$25")&amp;INDIRECT("'"&amp;$B78&amp;"'!$F$30:$AJ$30"),0))</f>
        <v>0</v>
      </c>
      <c r="K78" s="148">
        <f ca="1">J78-D78</f>
        <v>0</v>
      </c>
      <c r="M78" s="161"/>
    </row>
    <row r="79" spans="1:13" x14ac:dyDescent="0.35">
      <c r="A79" s="97"/>
      <c r="B79" s="149" t="str">
        <f>B77</f>
        <v>SAPN</v>
      </c>
      <c r="C79" s="150" t="s">
        <v>138</v>
      </c>
      <c r="D79" s="151">
        <f ca="1">SUM(D73:D77)</f>
        <v>1832</v>
      </c>
      <c r="E79" s="151"/>
      <c r="F79" s="151"/>
      <c r="G79" s="151"/>
      <c r="H79" s="151"/>
      <c r="I79" s="151"/>
      <c r="J79" s="151">
        <f ca="1">SUM(J73:J78)</f>
        <v>1716.13229</v>
      </c>
      <c r="K79" s="152"/>
      <c r="M79" s="168" t="b">
        <f ca="1">IF(K78&gt;0,J79=SUM(I73,K78),J79=I73)</f>
        <v>1</v>
      </c>
    </row>
  </sheetData>
  <sheetProtection algorithmName="SHA-256" hashValue="cxDGkg8fdaqMPxTO7OgJx9ycoQUSbyPsPA/NzT8IbeA=" saltValue="eaBmZuV2oOpdZWBpVIiqNg==" spinCount="100000" sheet="1" objects="1" scenarios="1"/>
  <mergeCells count="1">
    <mergeCell ref="A1:B1"/>
  </mergeCells>
  <conditionalFormatting sqref="B45:K79">
    <cfRule type="expression" dxfId="1344" priority="13">
      <formula>MOD(ROW(),2)=0</formula>
    </cfRule>
  </conditionalFormatting>
  <conditionalFormatting sqref="M52:M57 M59:M64 M66:M71 M73:M78">
    <cfRule type="cellIs" dxfId="1343" priority="11" operator="equal">
      <formula>FALSE</formula>
    </cfRule>
    <cfRule type="cellIs" dxfId="1342" priority="12" operator="equal">
      <formula>TRUE</formula>
    </cfRule>
  </conditionalFormatting>
  <conditionalFormatting sqref="M51">
    <cfRule type="cellIs" dxfId="1341" priority="9" operator="equal">
      <formula>FALSE</formula>
    </cfRule>
    <cfRule type="cellIs" dxfId="1340" priority="10" operator="equal">
      <formula>TRUE</formula>
    </cfRule>
  </conditionalFormatting>
  <conditionalFormatting sqref="M58">
    <cfRule type="cellIs" dxfId="1339" priority="7" operator="equal">
      <formula>FALSE</formula>
    </cfRule>
    <cfRule type="cellIs" dxfId="1338" priority="8" operator="equal">
      <formula>TRUE</formula>
    </cfRule>
  </conditionalFormatting>
  <conditionalFormatting sqref="M65">
    <cfRule type="cellIs" dxfId="1337" priority="5" operator="equal">
      <formula>FALSE</formula>
    </cfRule>
    <cfRule type="cellIs" dxfId="1336" priority="6" operator="equal">
      <formula>TRUE</formula>
    </cfRule>
  </conditionalFormatting>
  <conditionalFormatting sqref="M72">
    <cfRule type="cellIs" dxfId="1335" priority="3" operator="equal">
      <formula>FALSE</formula>
    </cfRule>
    <cfRule type="cellIs" dxfId="1334" priority="4" operator="equal">
      <formula>TRUE</formula>
    </cfRule>
  </conditionalFormatting>
  <conditionalFormatting sqref="M79">
    <cfRule type="cellIs" dxfId="1333" priority="1" operator="equal">
      <formula>FALSE</formula>
    </cfRule>
    <cfRule type="cellIs" dxfId="1332"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S79"/>
  <sheetViews>
    <sheetView workbookViewId="0">
      <selection sqref="A1:B1"/>
    </sheetView>
  </sheetViews>
  <sheetFormatPr defaultColWidth="8.81640625" defaultRowHeight="14.5" x14ac:dyDescent="0.35"/>
  <cols>
    <col min="1" max="1" width="3.1796875" style="3" customWidth="1"/>
    <col min="2" max="2" width="10.1796875" style="3" bestFit="1" customWidth="1"/>
    <col min="3" max="3" width="17.453125" style="3" bestFit="1" customWidth="1"/>
    <col min="4" max="4" width="7.81640625" style="3" bestFit="1" customWidth="1"/>
    <col min="5" max="5" width="12.1796875" style="3" bestFit="1" customWidth="1"/>
    <col min="6" max="6" width="13.81640625" style="3" bestFit="1" customWidth="1"/>
    <col min="7" max="7" width="17.453125" style="3" bestFit="1" customWidth="1"/>
    <col min="8" max="8" width="11.81640625" style="3" bestFit="1" customWidth="1"/>
    <col min="9" max="9" width="11.81640625" style="3" customWidth="1"/>
    <col min="10" max="10" width="7.81640625" style="3" bestFit="1" customWidth="1"/>
    <col min="11" max="11" width="7.1796875" style="3" bestFit="1" customWidth="1"/>
    <col min="12" max="24" width="10.81640625" style="3" customWidth="1"/>
    <col min="25" max="25" width="12" style="3" customWidth="1"/>
    <col min="26" max="16384" width="8.81640625" style="3"/>
  </cols>
  <sheetData>
    <row r="1" spans="1:2" ht="10.4" customHeight="1" x14ac:dyDescent="0.35">
      <c r="A1" s="274" t="s">
        <v>22</v>
      </c>
      <c r="B1" s="300"/>
    </row>
    <row r="2" spans="1:2" s="14" customFormat="1" ht="22.5" customHeight="1" x14ac:dyDescent="0.35">
      <c r="A2" s="15" t="s">
        <v>170</v>
      </c>
      <c r="B2" s="15"/>
    </row>
    <row r="3" spans="1:2" x14ac:dyDescent="0.35">
      <c r="B3" s="163" t="s">
        <v>152</v>
      </c>
    </row>
    <row r="41" spans="1:19" x14ac:dyDescent="0.35">
      <c r="B41" s="157" t="s">
        <v>149</v>
      </c>
    </row>
    <row r="44" spans="1:19" s="5" customFormat="1" x14ac:dyDescent="0.35">
      <c r="B44" s="153" t="s">
        <v>6</v>
      </c>
      <c r="C44" s="154" t="s">
        <v>151</v>
      </c>
      <c r="D44" s="155" t="str">
        <f>PY</f>
        <v>2020-21</v>
      </c>
      <c r="E44" s="155" t="s">
        <v>69</v>
      </c>
      <c r="F44" s="155" t="s">
        <v>70</v>
      </c>
      <c r="G44" s="155" t="s">
        <v>71</v>
      </c>
      <c r="H44" s="155" t="s">
        <v>72</v>
      </c>
      <c r="I44" s="155" t="s">
        <v>76</v>
      </c>
      <c r="J44" s="155" t="str">
        <f>FY</f>
        <v>2021-22</v>
      </c>
      <c r="K44" s="156" t="s">
        <v>24</v>
      </c>
      <c r="M44" s="167" t="s">
        <v>102</v>
      </c>
    </row>
    <row r="45" spans="1:19" x14ac:dyDescent="0.35">
      <c r="A45" s="97" t="str">
        <f>B45&amp;" "&amp;$B$44&amp;" "&amp;$C$44&amp;" $"</f>
        <v>Ausgrid Residential with CL $</v>
      </c>
      <c r="B45" s="142" t="s">
        <v>2</v>
      </c>
      <c r="C45" s="143" t="s">
        <v>191</v>
      </c>
      <c r="D45" s="144">
        <v>0</v>
      </c>
      <c r="E45" s="144">
        <f ca="1">IF($K46&lt;0,SUM(D45:D49)+$K46,SUM(D45:D49))</f>
        <v>2024</v>
      </c>
      <c r="F45" s="144">
        <f ca="1">IF($K47&lt;0,IF($K46&lt;0,E45+$K47,E45+$K46+$K47),IF($K46&lt;0,E45,E45+$K46))</f>
        <v>1890.4013129650004</v>
      </c>
      <c r="G45" s="144">
        <f ca="1">IF($K48&lt;0,IF($K47&lt;0,F45+$K48,F45+$K47+$K48),IF($K47&lt;0,F45,F45+$K47))</f>
        <v>1890.4013129650004</v>
      </c>
      <c r="H45" s="144">
        <f ca="1">IF($K49&lt;0,IF($K48&lt;0,G45+$K49,G45+$K48+$K49),IF($K48&lt;0,G45,G45+$K48))</f>
        <v>1905.3613129650005</v>
      </c>
      <c r="I45" s="144">
        <f ca="1">IF($K50&lt;0,IF($K49&lt;0,H45+$K50,H45+$K49+$K50),IF($K49&lt;0,H45,H45+$K49))</f>
        <v>1911.9178025260503</v>
      </c>
      <c r="J45" s="144">
        <v>0</v>
      </c>
      <c r="K45" s="145"/>
      <c r="M45" s="41"/>
      <c r="N45" s="41"/>
      <c r="O45" s="41"/>
      <c r="P45" s="41"/>
      <c r="Q45" s="41"/>
      <c r="R45" s="41"/>
      <c r="S45" s="41"/>
    </row>
    <row r="46" spans="1:19" x14ac:dyDescent="0.35">
      <c r="A46" s="97"/>
      <c r="B46" s="146" t="str">
        <f>B45</f>
        <v>Ausgrid</v>
      </c>
      <c r="C46" s="36" t="s">
        <v>69</v>
      </c>
      <c r="D46" s="13">
        <f t="array" aca="1" ref="D46" ca="1">INDEX(INDIRECT("'"&amp;$B46&amp;"'!$F$23:$AJ$39"),MATCH($C46,INDIRECT("'"&amp;$B46&amp;"'!$F$23:$F$39"),0),MATCH($B$44&amp;$C$44&amp;D$44&amp;"Cost",INDIRECT("'"&amp;$B46&amp;"'!$F$23:$AJ$23")&amp;INDIRECT("'"&amp;$B46&amp;"'!$F$24:$AJ$24")&amp;INDIRECT("'"&amp;$B46&amp;"'!$F$25:$AJ$25")&amp;INDIRECT("'"&amp;$B46&amp;"'!$F$30:$AJ$30"),0))</f>
        <v>710.50495592999982</v>
      </c>
      <c r="E46" s="147">
        <f ca="1">ABS($J46-$D46)</f>
        <v>19.120472965000317</v>
      </c>
      <c r="F46" s="147"/>
      <c r="G46" s="147"/>
      <c r="H46" s="147"/>
      <c r="I46" s="147"/>
      <c r="J46" s="13">
        <f t="array" aca="1" ref="J46" ca="1">INDEX(INDIRECT("'"&amp;$B46&amp;"'!$F$23:$AJ$39"),MATCH($C46,INDIRECT("'"&amp;$B46&amp;"'!$F$23:$F$39"),0),MATCH($B$44&amp;$C$44&amp;J$44&amp;"Cost",INDIRECT("'"&amp;$B46&amp;"'!$F$23:$AJ$23")&amp;INDIRECT("'"&amp;$B46&amp;"'!$F$24:$AJ$24")&amp;INDIRECT("'"&amp;$B46&amp;"'!$F$25:$AJ$25")&amp;INDIRECT("'"&amp;$B46&amp;"'!$F$30:$AJ$30"),0))</f>
        <v>729.62542889500014</v>
      </c>
      <c r="K46" s="148">
        <f ca="1">J46-D46</f>
        <v>19.120472965000317</v>
      </c>
      <c r="L46" s="141"/>
      <c r="M46" s="41"/>
      <c r="N46" s="41"/>
      <c r="O46" s="41"/>
      <c r="P46" s="41"/>
      <c r="Q46" s="41"/>
      <c r="R46" s="41"/>
      <c r="S46" s="41"/>
    </row>
    <row r="47" spans="1:19" x14ac:dyDescent="0.35">
      <c r="A47" s="97"/>
      <c r="B47" s="146" t="str">
        <f>B46</f>
        <v>Ausgrid</v>
      </c>
      <c r="C47" s="36" t="s">
        <v>70</v>
      </c>
      <c r="D47" s="13">
        <f t="array" aca="1" ref="D47" ca="1">INDEX(INDIRECT("'"&amp;$B47&amp;"'!$F$23:$AJ$39"),MATCH($C47,INDIRECT("'"&amp;$B47&amp;"'!$F$23:$F$39"),0),MATCH($B$44&amp;$C$44&amp;D$44&amp;"Cost",INDIRECT("'"&amp;$B47&amp;"'!$F$23:$AJ$23")&amp;INDIRECT("'"&amp;$B47&amp;"'!$F$24:$AJ$24")&amp;INDIRECT("'"&amp;$B47&amp;"'!$F$25:$AJ$25")&amp;INDIRECT("'"&amp;$B47&amp;"'!$F$30:$AJ$30"),0))</f>
        <v>747.8541399999998</v>
      </c>
      <c r="E47" s="147"/>
      <c r="F47" s="147">
        <f ca="1">ABS($J47-$D47)</f>
        <v>152.71915999999987</v>
      </c>
      <c r="G47" s="147"/>
      <c r="H47" s="147"/>
      <c r="I47" s="147"/>
      <c r="J47" s="13">
        <f t="array" aca="1" ref="J47" ca="1">INDEX(INDIRECT("'"&amp;$B47&amp;"'!$F$23:$AJ$39"),MATCH($C47,INDIRECT("'"&amp;$B47&amp;"'!$F$23:$F$39"),0),MATCH($B$44&amp;$C$44&amp;J$44&amp;"Cost",INDIRECT("'"&amp;$B47&amp;"'!$F$23:$AJ$23")&amp;INDIRECT("'"&amp;$B47&amp;"'!$F$24:$AJ$24")&amp;INDIRECT("'"&amp;$B47&amp;"'!$F$25:$AJ$25")&amp;INDIRECT("'"&amp;$B47&amp;"'!$F$30:$AJ$30"),0))</f>
        <v>595.13497999999993</v>
      </c>
      <c r="K47" s="148">
        <f ca="1">J47-D47</f>
        <v>-152.71915999999987</v>
      </c>
      <c r="M47" s="41"/>
      <c r="N47" s="41"/>
      <c r="O47" s="41"/>
      <c r="P47" s="41"/>
      <c r="Q47" s="41"/>
      <c r="R47" s="41"/>
      <c r="S47" s="41"/>
    </row>
    <row r="48" spans="1:19" x14ac:dyDescent="0.35">
      <c r="A48" s="97"/>
      <c r="B48" s="146" t="str">
        <f>B47</f>
        <v>Ausgrid</v>
      </c>
      <c r="C48" s="36" t="s">
        <v>71</v>
      </c>
      <c r="D48" s="13">
        <f t="array" aca="1" ref="D48" ca="1">INDEX(INDIRECT("'"&amp;$B48&amp;"'!$F$23:$AJ$39"),MATCH($C48,INDIRECT("'"&amp;$B48&amp;"'!$F$23:$F$39"),0),MATCH($B$44&amp;$C$44&amp;D$44&amp;"Cost",INDIRECT("'"&amp;$B48&amp;"'!$F$23:$AJ$23")&amp;INDIRECT("'"&amp;$B48&amp;"'!$F$24:$AJ$24")&amp;INDIRECT("'"&amp;$B48&amp;"'!$F$25:$AJ$25")&amp;INDIRECT("'"&amp;$B48&amp;"'!$F$30:$AJ$30"),0))</f>
        <v>128.54160000000002</v>
      </c>
      <c r="E48" s="147"/>
      <c r="F48" s="147"/>
      <c r="G48" s="147">
        <f ca="1">ABS($J48-$D48)</f>
        <v>14.960000000000008</v>
      </c>
      <c r="H48" s="147"/>
      <c r="I48" s="147"/>
      <c r="J48" s="13">
        <f t="array" aca="1" ref="J48" ca="1">INDEX(INDIRECT("'"&amp;$B48&amp;"'!$F$23:$AJ$39"),MATCH($C48,INDIRECT("'"&amp;$B48&amp;"'!$F$23:$F$39"),0),MATCH($B$44&amp;$C$44&amp;J$44&amp;"Cost",INDIRECT("'"&amp;$B48&amp;"'!$F$23:$AJ$23")&amp;INDIRECT("'"&amp;$B48&amp;"'!$F$24:$AJ$24")&amp;INDIRECT("'"&amp;$B48&amp;"'!$F$25:$AJ$25")&amp;INDIRECT("'"&amp;$B48&amp;"'!$F$30:$AJ$30"),0))</f>
        <v>143.50160000000002</v>
      </c>
      <c r="K48" s="148">
        <f ca="1">J48-D48</f>
        <v>14.960000000000008</v>
      </c>
      <c r="M48" s="41"/>
      <c r="N48" s="41"/>
      <c r="O48" s="41"/>
      <c r="P48" s="41"/>
      <c r="Q48" s="41"/>
      <c r="R48" s="41"/>
      <c r="S48" s="41"/>
    </row>
    <row r="49" spans="1:19" x14ac:dyDescent="0.35">
      <c r="A49" s="97"/>
      <c r="B49" s="146" t="str">
        <f>B48</f>
        <v>Ausgrid</v>
      </c>
      <c r="C49" s="36" t="s">
        <v>72</v>
      </c>
      <c r="D49" s="13">
        <f t="array" aca="1" ref="D49" ca="1">INDEX(INDIRECT("'"&amp;$B49&amp;"'!$F$23:$AJ$39"),MATCH($C49,INDIRECT("'"&amp;$B49&amp;"'!$F$23:$F$39"),0),MATCH($B$44&amp;$C$44&amp;D$44&amp;"Cost",INDIRECT("'"&amp;$B49&amp;"'!$F$23:$AJ$23")&amp;INDIRECT("'"&amp;$B49&amp;"'!$F$24:$AJ$24")&amp;INDIRECT("'"&amp;$B49&amp;"'!$F$25:$AJ$25")&amp;INDIRECT("'"&amp;$B49&amp;"'!$F$30:$AJ$30"),0))</f>
        <v>437.09930407000047</v>
      </c>
      <c r="E49" s="147"/>
      <c r="F49" s="147"/>
      <c r="G49" s="147"/>
      <c r="H49" s="147">
        <f ca="1">ABS($J49-$D49)</f>
        <v>6.5564895610498297</v>
      </c>
      <c r="I49" s="147"/>
      <c r="J49" s="13">
        <f t="array" aca="1" ref="J49" ca="1">INDEX(INDIRECT("'"&amp;$B49&amp;"'!$F$23:$AJ$39"),MATCH($C49,INDIRECT("'"&amp;$B49&amp;"'!$F$23:$F$39"),0),MATCH($B$44&amp;$C$44&amp;J$44&amp;"Cost",INDIRECT("'"&amp;$B49&amp;"'!$F$23:$AJ$23")&amp;INDIRECT("'"&amp;$B49&amp;"'!$F$24:$AJ$24")&amp;INDIRECT("'"&amp;$B49&amp;"'!$F$25:$AJ$25")&amp;INDIRECT("'"&amp;$B49&amp;"'!$F$30:$AJ$30"),0))</f>
        <v>443.6557936310503</v>
      </c>
      <c r="K49" s="148">
        <f ca="1">J49-D49</f>
        <v>6.5564895610498297</v>
      </c>
      <c r="M49" s="41"/>
      <c r="N49" s="41"/>
      <c r="O49" s="41"/>
      <c r="P49" s="41"/>
      <c r="Q49" s="41"/>
      <c r="R49" s="41"/>
      <c r="S49" s="41"/>
    </row>
    <row r="50" spans="1:19" x14ac:dyDescent="0.35">
      <c r="A50" s="97"/>
      <c r="B50" s="146" t="str">
        <f>B49</f>
        <v>Ausgrid</v>
      </c>
      <c r="C50" s="36" t="s">
        <v>76</v>
      </c>
      <c r="D50" s="13">
        <f t="array" aca="1" ref="D50" ca="1">INDEX(INDIRECT("'"&amp;$B50&amp;"'!$F$23:$AJ$39"),MATCH($C50,INDIRECT("'"&amp;$B50&amp;"'!$F$23:$F$39"),0),MATCH($B$44&amp;$C$44&amp;D$44&amp;"Cost",INDIRECT("'"&amp;$B50&amp;"'!$F$23:$AJ$23")&amp;INDIRECT("'"&amp;$B50&amp;"'!$F$24:$AJ$24")&amp;INDIRECT("'"&amp;$B50&amp;"'!$F$25:$AJ$25")&amp;INDIRECT("'"&amp;$B50&amp;"'!$F$30:$AJ$30"),0))</f>
        <v>0</v>
      </c>
      <c r="E50" s="147"/>
      <c r="F50" s="147"/>
      <c r="G50" s="147"/>
      <c r="H50" s="147"/>
      <c r="I50" s="147">
        <f ca="1">ABS($J50-$D50)</f>
        <v>0</v>
      </c>
      <c r="J50" s="13">
        <f t="array" aca="1" ref="J50" ca="1">INDEX(INDIRECT("'"&amp;$B50&amp;"'!$F$23:$AJ$39"),MATCH($C50,INDIRECT("'"&amp;$B50&amp;"'!$F$23:$F$39"),0),MATCH($B$44&amp;$C$44&amp;J$44&amp;"Cost",INDIRECT("'"&amp;$B50&amp;"'!$F$23:$AJ$23")&amp;INDIRECT("'"&amp;$B50&amp;"'!$F$24:$AJ$24")&amp;INDIRECT("'"&amp;$B50&amp;"'!$F$25:$AJ$25")&amp;INDIRECT("'"&amp;$B50&amp;"'!$F$30:$AJ$30"),0))</f>
        <v>0</v>
      </c>
      <c r="K50" s="148">
        <f ca="1">J50-D50</f>
        <v>0</v>
      </c>
      <c r="M50" s="41"/>
      <c r="N50" s="41"/>
      <c r="O50" s="41"/>
      <c r="P50" s="41"/>
      <c r="Q50" s="41"/>
      <c r="R50" s="41"/>
      <c r="S50" s="41"/>
    </row>
    <row r="51" spans="1:19" x14ac:dyDescent="0.35">
      <c r="A51" s="97"/>
      <c r="B51" s="149" t="str">
        <f>B49</f>
        <v>Ausgrid</v>
      </c>
      <c r="C51" s="150" t="s">
        <v>138</v>
      </c>
      <c r="D51" s="151">
        <f ca="1">SUM(D45:D49)</f>
        <v>2024</v>
      </c>
      <c r="E51" s="151"/>
      <c r="F51" s="151"/>
      <c r="G51" s="151"/>
      <c r="H51" s="151"/>
      <c r="I51" s="151"/>
      <c r="J51" s="151">
        <f ca="1">SUM(J45:J50)</f>
        <v>1911.9178025260505</v>
      </c>
      <c r="K51" s="152"/>
      <c r="M51" s="168" t="b">
        <f ca="1">IF(K50&gt;0,J51=SUM(I45,K50),J51=I45)</f>
        <v>1</v>
      </c>
      <c r="N51" s="41"/>
      <c r="O51" s="41"/>
      <c r="P51" s="41"/>
      <c r="Q51" s="41"/>
      <c r="R51" s="41"/>
      <c r="S51" s="41"/>
    </row>
    <row r="52" spans="1:19" x14ac:dyDescent="0.35">
      <c r="A52" s="97" t="str">
        <f>B52&amp;" "&amp;$B$44&amp;" "&amp;$C$44&amp;" $"</f>
        <v>Endeavour Residential with CL $</v>
      </c>
      <c r="B52" s="142" t="s">
        <v>4</v>
      </c>
      <c r="C52" s="143" t="s">
        <v>191</v>
      </c>
      <c r="D52" s="144">
        <v>0</v>
      </c>
      <c r="E52" s="144">
        <f ca="1">IF($K53&lt;0,SUM(D52:D56)+$K53,SUM(D52:D56))</f>
        <v>2165</v>
      </c>
      <c r="F52" s="144">
        <f ca="1">IF($K54&lt;0,IF($K53&lt;0,E52+$K54,E52+$K53+$K54),IF($K53&lt;0,E52,E52+$K53))</f>
        <v>1991.7431690000003</v>
      </c>
      <c r="G52" s="144">
        <f ca="1">IF($K55&lt;0,IF($K54&lt;0,F52+$K55,F52+$K54+$K55),IF($K54&lt;0,F52,F52+$K54))</f>
        <v>1991.7431690000003</v>
      </c>
      <c r="H52" s="144">
        <f ca="1">IF($K56&lt;0,IF($K55&lt;0,G52+$K56,G52+$K55+$K56),IF($K55&lt;0,G52,G52+$K55))</f>
        <v>2007.6161690000004</v>
      </c>
      <c r="I52" s="144">
        <f ca="1">IF($K57&lt;0,IF($K57&lt;0,H52+$K57,H52+$K56+$K57),IF($K56&lt;0,H52,H52+$K56))</f>
        <v>2013.8579567090003</v>
      </c>
      <c r="J52" s="144">
        <v>0</v>
      </c>
      <c r="K52" s="145"/>
      <c r="M52" s="161"/>
    </row>
    <row r="53" spans="1:19" x14ac:dyDescent="0.35">
      <c r="A53" s="97"/>
      <c r="B53" s="146" t="str">
        <f>B52</f>
        <v>Endeavour</v>
      </c>
      <c r="C53" s="36" t="s">
        <v>69</v>
      </c>
      <c r="D53" s="13">
        <f t="array" aca="1" ref="D53" ca="1">INDEX(INDIRECT("'"&amp;$B53&amp;"'!$F$23:$AJ$39"),MATCH($C53,INDIRECT("'"&amp;$B53&amp;"'!$F$23:$F$39"),0),MATCH($B$44&amp;$C$44&amp;D$44&amp;"Cost",INDIRECT("'"&amp;$B53&amp;"'!$F$23:$AJ$23")&amp;INDIRECT("'"&amp;$B53&amp;"'!$F$24:$AJ$24")&amp;INDIRECT("'"&amp;$B53&amp;"'!$F$25:$AJ$25")&amp;INDIRECT("'"&amp;$B53&amp;"'!$F$30:$AJ$30"),0))</f>
        <v>713.89961940000001</v>
      </c>
      <c r="E53" s="147">
        <f ca="1">ABS($J53-$D53)</f>
        <v>13.947769000000108</v>
      </c>
      <c r="F53" s="147"/>
      <c r="G53" s="147"/>
      <c r="H53" s="147"/>
      <c r="I53" s="147"/>
      <c r="J53" s="13">
        <f t="array" aca="1" ref="J53" ca="1">INDEX(INDIRECT("'"&amp;$B53&amp;"'!$F$23:$AJ$39"),MATCH($C53,INDIRECT("'"&amp;$B53&amp;"'!$F$23:$F$39"),0),MATCH($B$44&amp;$C$44&amp;J$44&amp;"Cost",INDIRECT("'"&amp;$B53&amp;"'!$F$23:$AJ$23")&amp;INDIRECT("'"&amp;$B53&amp;"'!$F$24:$AJ$24")&amp;INDIRECT("'"&amp;$B53&amp;"'!$F$25:$AJ$25")&amp;INDIRECT("'"&amp;$B53&amp;"'!$F$30:$AJ$30"),0))</f>
        <v>727.84738840000011</v>
      </c>
      <c r="K53" s="148">
        <f ca="1">J53-D53</f>
        <v>13.947769000000108</v>
      </c>
      <c r="M53" s="161"/>
    </row>
    <row r="54" spans="1:19" x14ac:dyDescent="0.35">
      <c r="A54" s="97"/>
      <c r="B54" s="146" t="str">
        <f>B53</f>
        <v>Endeavour</v>
      </c>
      <c r="C54" s="36" t="s">
        <v>70</v>
      </c>
      <c r="D54" s="13">
        <f t="array" aca="1" ref="D54" ca="1">INDEX(INDIRECT("'"&amp;$B54&amp;"'!$F$23:$AJ$39"),MATCH($C54,INDIRECT("'"&amp;$B54&amp;"'!$F$23:$F$39"),0),MATCH($B$44&amp;$C$44&amp;D$44&amp;"Cost",INDIRECT("'"&amp;$B54&amp;"'!$F$23:$AJ$23")&amp;INDIRECT("'"&amp;$B54&amp;"'!$F$24:$AJ$24")&amp;INDIRECT("'"&amp;$B54&amp;"'!$F$25:$AJ$25")&amp;INDIRECT("'"&amp;$B54&amp;"'!$F$30:$AJ$30"),0))</f>
        <v>893.67079999999999</v>
      </c>
      <c r="E54" s="147"/>
      <c r="F54" s="147">
        <f ca="1">ABS($J54-$D54)</f>
        <v>187.20460000000003</v>
      </c>
      <c r="G54" s="147"/>
      <c r="H54" s="147"/>
      <c r="I54" s="147"/>
      <c r="J54" s="13">
        <f t="array" aca="1" ref="J54" ca="1">INDEX(INDIRECT("'"&amp;$B54&amp;"'!$F$23:$AJ$39"),MATCH($C54,INDIRECT("'"&amp;$B54&amp;"'!$F$23:$F$39"),0),MATCH($B$44&amp;$C$44&amp;J$44&amp;"Cost",INDIRECT("'"&amp;$B54&amp;"'!$F$23:$AJ$23")&amp;INDIRECT("'"&amp;$B54&amp;"'!$F$24:$AJ$24")&amp;INDIRECT("'"&amp;$B54&amp;"'!$F$25:$AJ$25")&amp;INDIRECT("'"&amp;$B54&amp;"'!$F$30:$AJ$30"),0))</f>
        <v>706.46619999999996</v>
      </c>
      <c r="K54" s="148">
        <f ca="1">J54-D54</f>
        <v>-187.20460000000003</v>
      </c>
      <c r="M54" s="161"/>
    </row>
    <row r="55" spans="1:19" x14ac:dyDescent="0.35">
      <c r="A55" s="97"/>
      <c r="B55" s="146" t="str">
        <f>B54</f>
        <v>Endeavour</v>
      </c>
      <c r="C55" s="36" t="s">
        <v>71</v>
      </c>
      <c r="D55" s="13">
        <f t="array" aca="1" ref="D55" ca="1">INDEX(INDIRECT("'"&amp;$B55&amp;"'!$F$23:$AJ$39"),MATCH($C55,INDIRECT("'"&amp;$B55&amp;"'!$F$23:$F$39"),0),MATCH($B$44&amp;$C$44&amp;D$44&amp;"Cost",INDIRECT("'"&amp;$B55&amp;"'!$F$23:$AJ$23")&amp;INDIRECT("'"&amp;$B55&amp;"'!$F$24:$AJ$24")&amp;INDIRECT("'"&amp;$B55&amp;"'!$F$25:$AJ$25")&amp;INDIRECT("'"&amp;$B55&amp;"'!$F$30:$AJ$30"),0))</f>
        <v>141.31039999999999</v>
      </c>
      <c r="E55" s="147"/>
      <c r="F55" s="147"/>
      <c r="G55" s="147">
        <f ca="1">ABS($J55-$D55)</f>
        <v>15.873000000000019</v>
      </c>
      <c r="H55" s="147"/>
      <c r="I55" s="147"/>
      <c r="J55" s="13">
        <f t="array" aca="1" ref="J55" ca="1">INDEX(INDIRECT("'"&amp;$B55&amp;"'!$F$23:$AJ$39"),MATCH($C55,INDIRECT("'"&amp;$B55&amp;"'!$F$23:$F$39"),0),MATCH($B$44&amp;$C$44&amp;J$44&amp;"Cost",INDIRECT("'"&amp;$B55&amp;"'!$F$23:$AJ$23")&amp;INDIRECT("'"&amp;$B55&amp;"'!$F$24:$AJ$24")&amp;INDIRECT("'"&amp;$B55&amp;"'!$F$25:$AJ$25")&amp;INDIRECT("'"&amp;$B55&amp;"'!$F$30:$AJ$30"),0))</f>
        <v>157.18340000000001</v>
      </c>
      <c r="K55" s="148">
        <f ca="1">J55-D55</f>
        <v>15.873000000000019</v>
      </c>
      <c r="M55" s="161"/>
    </row>
    <row r="56" spans="1:19" x14ac:dyDescent="0.35">
      <c r="A56" s="97"/>
      <c r="B56" s="146" t="str">
        <f>B55</f>
        <v>Endeavour</v>
      </c>
      <c r="C56" s="36" t="s">
        <v>72</v>
      </c>
      <c r="D56" s="13">
        <f t="array" aca="1" ref="D56" ca="1">INDEX(INDIRECT("'"&amp;$B56&amp;"'!$F$23:$AJ$39"),MATCH($C56,INDIRECT("'"&amp;$B56&amp;"'!$F$23:$F$39"),0),MATCH($B$44&amp;$C$44&amp;D$44&amp;"Cost",INDIRECT("'"&amp;$B56&amp;"'!$F$23:$AJ$23")&amp;INDIRECT("'"&amp;$B56&amp;"'!$F$24:$AJ$24")&amp;INDIRECT("'"&amp;$B56&amp;"'!$F$25:$AJ$25")&amp;INDIRECT("'"&amp;$B56&amp;"'!$F$30:$AJ$30"),0))</f>
        <v>416.11918059999994</v>
      </c>
      <c r="E56" s="147"/>
      <c r="F56" s="147"/>
      <c r="G56" s="147"/>
      <c r="H56" s="147">
        <f ca="1">ABS($J56-$D56)</f>
        <v>6.2417877089999365</v>
      </c>
      <c r="I56" s="147"/>
      <c r="J56" s="13">
        <f t="array" aca="1" ref="J56" ca="1">INDEX(INDIRECT("'"&amp;$B56&amp;"'!$F$23:$AJ$39"),MATCH($C56,INDIRECT("'"&amp;$B56&amp;"'!$F$23:$F$39"),0),MATCH($B$44&amp;$C$44&amp;J$44&amp;"Cost",INDIRECT("'"&amp;$B56&amp;"'!$F$23:$AJ$23")&amp;INDIRECT("'"&amp;$B56&amp;"'!$F$24:$AJ$24")&amp;INDIRECT("'"&amp;$B56&amp;"'!$F$25:$AJ$25")&amp;INDIRECT("'"&amp;$B56&amp;"'!$F$30:$AJ$30"),0))</f>
        <v>422.36096830899987</v>
      </c>
      <c r="K56" s="148">
        <f ca="1">J56-D56</f>
        <v>6.2417877089999365</v>
      </c>
      <c r="M56" s="161"/>
    </row>
    <row r="57" spans="1:19" x14ac:dyDescent="0.35">
      <c r="A57" s="97"/>
      <c r="B57" s="146" t="str">
        <f>B56</f>
        <v>Endeavour</v>
      </c>
      <c r="C57" s="36" t="s">
        <v>76</v>
      </c>
      <c r="D57" s="13">
        <f t="array" aca="1" ref="D57" ca="1">INDEX(INDIRECT("'"&amp;$B57&amp;"'!$F$23:$AJ$39"),MATCH($C57,INDIRECT("'"&amp;$B57&amp;"'!$F$23:$F$39"),0),MATCH($B$44&amp;$C$44&amp;D$44&amp;"Cost",INDIRECT("'"&amp;$B57&amp;"'!$F$23:$AJ$23")&amp;INDIRECT("'"&amp;$B57&amp;"'!$F$24:$AJ$24")&amp;INDIRECT("'"&amp;$B57&amp;"'!$F$25:$AJ$25")&amp;INDIRECT("'"&amp;$B57&amp;"'!$F$30:$AJ$30"),0))</f>
        <v>0</v>
      </c>
      <c r="E57" s="147"/>
      <c r="F57" s="147"/>
      <c r="G57" s="147"/>
      <c r="H57" s="147"/>
      <c r="I57" s="147">
        <f ca="1">ABS($J57-$D57)</f>
        <v>0</v>
      </c>
      <c r="J57" s="13">
        <f t="array" aca="1" ref="J57" ca="1">INDEX(INDIRECT("'"&amp;$B57&amp;"'!$F$23:$AJ$39"),MATCH($C57,INDIRECT("'"&amp;$B57&amp;"'!$F$23:$F$39"),0),MATCH($B$44&amp;$C$44&amp;J$44&amp;"Cost",INDIRECT("'"&amp;$B57&amp;"'!$F$23:$AJ$23")&amp;INDIRECT("'"&amp;$B57&amp;"'!$F$24:$AJ$24")&amp;INDIRECT("'"&amp;$B57&amp;"'!$F$25:$AJ$25")&amp;INDIRECT("'"&amp;$B57&amp;"'!$F$30:$AJ$30"),0))</f>
        <v>0</v>
      </c>
      <c r="K57" s="148">
        <f ca="1">J57-D57</f>
        <v>0</v>
      </c>
      <c r="M57" s="161"/>
    </row>
    <row r="58" spans="1:19" x14ac:dyDescent="0.35">
      <c r="A58" s="97"/>
      <c r="B58" s="149" t="str">
        <f>B56</f>
        <v>Endeavour</v>
      </c>
      <c r="C58" s="150" t="s">
        <v>138</v>
      </c>
      <c r="D58" s="151">
        <f ca="1">SUM(D52:D56)</f>
        <v>2165</v>
      </c>
      <c r="E58" s="151"/>
      <c r="F58" s="151"/>
      <c r="G58" s="151"/>
      <c r="H58" s="151"/>
      <c r="I58" s="151"/>
      <c r="J58" s="151">
        <f ca="1">SUM(J52:J57)</f>
        <v>2013.8579567090001</v>
      </c>
      <c r="K58" s="152"/>
      <c r="M58" s="168" t="b">
        <f ca="1">IF(K57&gt;0,J58=SUM(I52,K57),J58=I52)</f>
        <v>1</v>
      </c>
    </row>
    <row r="59" spans="1:19" x14ac:dyDescent="0.35">
      <c r="A59" s="97" t="str">
        <f>B59&amp;" "&amp;$B$44&amp;" "&amp;$C$44&amp;" $"</f>
        <v>Essential Residential with CL $</v>
      </c>
      <c r="B59" s="142" t="s">
        <v>3</v>
      </c>
      <c r="C59" s="143" t="s">
        <v>191</v>
      </c>
      <c r="D59" s="144">
        <v>0</v>
      </c>
      <c r="E59" s="144">
        <f ca="1">IF($K60&lt;0,SUM(D59:D63)+$K60,SUM(D59:D63))</f>
        <v>2356</v>
      </c>
      <c r="F59" s="144">
        <f ca="1">IF($K61&lt;0,IF($K60&lt;0,E59+$K61,E59+$K60+$K61),IF($K60&lt;0,E59,E59+$K60))</f>
        <v>2250.2171579999999</v>
      </c>
      <c r="G59" s="144">
        <f ca="1">IF($K62&lt;0,IF($K61&lt;0,F59+$K62,F59+$K61+$K62),IF($K61&lt;0,F59,F59+$K61))</f>
        <v>2250.2171579999999</v>
      </c>
      <c r="H59" s="144">
        <f ca="1">IF($K63&lt;0,IF($K62&lt;0,G59+$K63,G59+$K62+$K63),IF($K62&lt;0,G59,G59+$K62))</f>
        <v>2263.2125579999997</v>
      </c>
      <c r="I59" s="144">
        <f ca="1">IF($K64&lt;0,IF($K63&lt;0,H59+$K64,H59+$K63+$K64),IF($K63&lt;0,H59,H59+$K63))</f>
        <v>2270.72750283</v>
      </c>
      <c r="J59" s="144">
        <v>0</v>
      </c>
      <c r="K59" s="145"/>
      <c r="M59" s="161"/>
    </row>
    <row r="60" spans="1:19" x14ac:dyDescent="0.35">
      <c r="A60" s="97"/>
      <c r="B60" s="146" t="str">
        <f>B59</f>
        <v>Essential</v>
      </c>
      <c r="C60" s="36" t="s">
        <v>69</v>
      </c>
      <c r="D60" s="13">
        <f t="array" aca="1" ref="D60" ca="1">INDEX(INDIRECT("'"&amp;$B60&amp;"'!$F$23:$AJ$39"),MATCH($C60,INDIRECT("'"&amp;$B60&amp;"'!$F$23:$F$39"),0),MATCH($B$44&amp;$C$44&amp;D$44&amp;"Cost",INDIRECT("'"&amp;$B60&amp;"'!$F$23:$AJ$23")&amp;INDIRECT("'"&amp;$B60&amp;"'!$F$24:$AJ$24")&amp;INDIRECT("'"&amp;$B60&amp;"'!$F$25:$AJ$25")&amp;INDIRECT("'"&amp;$B60&amp;"'!$F$30:$AJ$30"),0))</f>
        <v>1012.678678</v>
      </c>
      <c r="E60" s="147">
        <f ca="1">ABS($J60-$D60)</f>
        <v>56.726758000000018</v>
      </c>
      <c r="F60" s="147"/>
      <c r="G60" s="147"/>
      <c r="H60" s="147"/>
      <c r="I60" s="147"/>
      <c r="J60" s="13">
        <f t="array" aca="1" ref="J60" ca="1">INDEX(INDIRECT("'"&amp;$B60&amp;"'!$F$23:$AJ$39"),MATCH($C60,INDIRECT("'"&amp;$B60&amp;"'!$F$23:$F$39"),0),MATCH($B$44&amp;$C$44&amp;J$44&amp;"Cost",INDIRECT("'"&amp;$B60&amp;"'!$F$23:$AJ$23")&amp;INDIRECT("'"&amp;$B60&amp;"'!$F$24:$AJ$24")&amp;INDIRECT("'"&amp;$B60&amp;"'!$F$25:$AJ$25")&amp;INDIRECT("'"&amp;$B60&amp;"'!$F$30:$AJ$30"),0))</f>
        <v>1069.405436</v>
      </c>
      <c r="K60" s="148">
        <f ca="1">J60-D60</f>
        <v>56.726758000000018</v>
      </c>
      <c r="M60" s="161"/>
    </row>
    <row r="61" spans="1:19" x14ac:dyDescent="0.35">
      <c r="A61" s="97"/>
      <c r="B61" s="146" t="str">
        <f>B60</f>
        <v>Essential</v>
      </c>
      <c r="C61" s="36" t="s">
        <v>70</v>
      </c>
      <c r="D61" s="13">
        <f t="array" aca="1" ref="D61" ca="1">INDEX(INDIRECT("'"&amp;$B61&amp;"'!$F$23:$AJ$39"),MATCH($C61,INDIRECT("'"&amp;$B61&amp;"'!$F$23:$F$39"),0),MATCH($B$44&amp;$C$44&amp;D$44&amp;"Cost",INDIRECT("'"&amp;$B61&amp;"'!$F$23:$AJ$23")&amp;INDIRECT("'"&amp;$B61&amp;"'!$F$24:$AJ$24")&amp;INDIRECT("'"&amp;$B61&amp;"'!$F$25:$AJ$25")&amp;INDIRECT("'"&amp;$B61&amp;"'!$F$30:$AJ$30"),0))</f>
        <v>717.08999999999992</v>
      </c>
      <c r="E61" s="147"/>
      <c r="F61" s="147">
        <f ca="1">ABS($J61-$D61)</f>
        <v>162.50959999999998</v>
      </c>
      <c r="G61" s="147"/>
      <c r="H61" s="147"/>
      <c r="I61" s="147"/>
      <c r="J61" s="13">
        <f t="array" aca="1" ref="J61" ca="1">INDEX(INDIRECT("'"&amp;$B61&amp;"'!$F$23:$AJ$39"),MATCH($C61,INDIRECT("'"&amp;$B61&amp;"'!$F$23:$F$39"),0),MATCH($B$44&amp;$C$44&amp;J$44&amp;"Cost",INDIRECT("'"&amp;$B61&amp;"'!$F$23:$AJ$23")&amp;INDIRECT("'"&amp;$B61&amp;"'!$F$24:$AJ$24")&amp;INDIRECT("'"&amp;$B61&amp;"'!$F$25:$AJ$25")&amp;INDIRECT("'"&amp;$B61&amp;"'!$F$30:$AJ$30"),0))</f>
        <v>554.58039999999994</v>
      </c>
      <c r="K61" s="148">
        <f ca="1">J61-D61</f>
        <v>-162.50959999999998</v>
      </c>
      <c r="M61" s="161"/>
    </row>
    <row r="62" spans="1:19" x14ac:dyDescent="0.35">
      <c r="A62" s="97"/>
      <c r="B62" s="146" t="str">
        <f>B61</f>
        <v>Essential</v>
      </c>
      <c r="C62" s="36" t="s">
        <v>71</v>
      </c>
      <c r="D62" s="13">
        <f t="array" aca="1" ref="D62" ca="1">INDEX(INDIRECT("'"&amp;$B62&amp;"'!$F$23:$AJ$39"),MATCH($C62,INDIRECT("'"&amp;$B62&amp;"'!$F$23:$F$39"),0),MATCH($B$44&amp;$C$44&amp;D$44&amp;"Cost",INDIRECT("'"&amp;$B62&amp;"'!$F$23:$AJ$23")&amp;INDIRECT("'"&amp;$B62&amp;"'!$F$24:$AJ$24")&amp;INDIRECT("'"&amp;$B62&amp;"'!$F$25:$AJ$25")&amp;INDIRECT("'"&amp;$B62&amp;"'!$F$30:$AJ$30"),0))</f>
        <v>125.235</v>
      </c>
      <c r="E62" s="147"/>
      <c r="F62" s="147"/>
      <c r="G62" s="147">
        <f ca="1">ABS($J62-$D62)</f>
        <v>12.995400000000004</v>
      </c>
      <c r="H62" s="147"/>
      <c r="I62" s="147"/>
      <c r="J62" s="13">
        <f t="array" aca="1" ref="J62" ca="1">INDEX(INDIRECT("'"&amp;$B62&amp;"'!$F$23:$AJ$39"),MATCH($C62,INDIRECT("'"&amp;$B62&amp;"'!$F$23:$F$39"),0),MATCH($B$44&amp;$C$44&amp;J$44&amp;"Cost",INDIRECT("'"&amp;$B62&amp;"'!$F$23:$AJ$23")&amp;INDIRECT("'"&amp;$B62&amp;"'!$F$24:$AJ$24")&amp;INDIRECT("'"&amp;$B62&amp;"'!$F$25:$AJ$25")&amp;INDIRECT("'"&amp;$B62&amp;"'!$F$30:$AJ$30"),0))</f>
        <v>138.2304</v>
      </c>
      <c r="K62" s="148">
        <f ca="1">J62-D62</f>
        <v>12.995400000000004</v>
      </c>
      <c r="M62" s="161"/>
    </row>
    <row r="63" spans="1:19" x14ac:dyDescent="0.35">
      <c r="A63" s="97"/>
      <c r="B63" s="146" t="str">
        <f>B62</f>
        <v>Essential</v>
      </c>
      <c r="C63" s="36" t="s">
        <v>72</v>
      </c>
      <c r="D63" s="13">
        <f t="array" aca="1" ref="D63" ca="1">INDEX(INDIRECT("'"&amp;$B63&amp;"'!$F$23:$AJ$39"),MATCH($C63,INDIRECT("'"&amp;$B63&amp;"'!$F$23:$F$39"),0),MATCH($B$44&amp;$C$44&amp;D$44&amp;"Cost",INDIRECT("'"&amp;$B63&amp;"'!$F$23:$AJ$23")&amp;INDIRECT("'"&amp;$B63&amp;"'!$F$24:$AJ$24")&amp;INDIRECT("'"&amp;$B63&amp;"'!$F$25:$AJ$25")&amp;INDIRECT("'"&amp;$B63&amp;"'!$F$30:$AJ$30"),0))</f>
        <v>500.99632200000019</v>
      </c>
      <c r="E63" s="147"/>
      <c r="F63" s="147"/>
      <c r="G63" s="147"/>
      <c r="H63" s="147">
        <f ca="1">ABS($J63-$D63)</f>
        <v>7.514944830000104</v>
      </c>
      <c r="I63" s="147"/>
      <c r="J63" s="13">
        <f t="array" aca="1" ref="J63" ca="1">INDEX(INDIRECT("'"&amp;$B63&amp;"'!$F$23:$AJ$39"),MATCH($C63,INDIRECT("'"&amp;$B63&amp;"'!$F$23:$F$39"),0),MATCH($B$44&amp;$C$44&amp;J$44&amp;"Cost",INDIRECT("'"&amp;$B63&amp;"'!$F$23:$AJ$23")&amp;INDIRECT("'"&amp;$B63&amp;"'!$F$24:$AJ$24")&amp;INDIRECT("'"&amp;$B63&amp;"'!$F$25:$AJ$25")&amp;INDIRECT("'"&amp;$B63&amp;"'!$F$30:$AJ$30"),0))</f>
        <v>508.5112668300003</v>
      </c>
      <c r="K63" s="148">
        <f ca="1">J63-D63</f>
        <v>7.514944830000104</v>
      </c>
      <c r="M63" s="161"/>
    </row>
    <row r="64" spans="1:19" x14ac:dyDescent="0.35">
      <c r="A64" s="97"/>
      <c r="B64" s="146" t="str">
        <f>B63</f>
        <v>Essential</v>
      </c>
      <c r="C64" s="36" t="s">
        <v>76</v>
      </c>
      <c r="D64" s="13">
        <f t="array" aca="1" ref="D64" ca="1">INDEX(INDIRECT("'"&amp;$B64&amp;"'!$F$23:$AJ$39"),MATCH($C64,INDIRECT("'"&amp;$B64&amp;"'!$F$23:$F$39"),0),MATCH($B$44&amp;$C$44&amp;D$44&amp;"Cost",INDIRECT("'"&amp;$B64&amp;"'!$F$23:$AJ$23")&amp;INDIRECT("'"&amp;$B64&amp;"'!$F$24:$AJ$24")&amp;INDIRECT("'"&amp;$B64&amp;"'!$F$25:$AJ$25")&amp;INDIRECT("'"&amp;$B64&amp;"'!$F$30:$AJ$30"),0))</f>
        <v>0</v>
      </c>
      <c r="E64" s="147"/>
      <c r="F64" s="147"/>
      <c r="G64" s="147"/>
      <c r="H64" s="147"/>
      <c r="I64" s="147">
        <f ca="1">ABS($J64-$D64)</f>
        <v>0</v>
      </c>
      <c r="J64" s="13">
        <f t="array" aca="1" ref="J64" ca="1">INDEX(INDIRECT("'"&amp;$B64&amp;"'!$F$23:$AJ$39"),MATCH($C64,INDIRECT("'"&amp;$B64&amp;"'!$F$23:$F$39"),0),MATCH($B$44&amp;$C$44&amp;J$44&amp;"Cost",INDIRECT("'"&amp;$B64&amp;"'!$F$23:$AJ$23")&amp;INDIRECT("'"&amp;$B64&amp;"'!$F$24:$AJ$24")&amp;INDIRECT("'"&amp;$B64&amp;"'!$F$25:$AJ$25")&amp;INDIRECT("'"&amp;$B64&amp;"'!$F$30:$AJ$30"),0))</f>
        <v>0</v>
      </c>
      <c r="K64" s="148">
        <f ca="1">J64-D64</f>
        <v>0</v>
      </c>
      <c r="M64" s="161"/>
    </row>
    <row r="65" spans="1:13" x14ac:dyDescent="0.35">
      <c r="A65" s="97"/>
      <c r="B65" s="149" t="str">
        <f>B63</f>
        <v>Essential</v>
      </c>
      <c r="C65" s="150" t="s">
        <v>138</v>
      </c>
      <c r="D65" s="151">
        <f ca="1">SUM(D59:D63)</f>
        <v>2356</v>
      </c>
      <c r="E65" s="151"/>
      <c r="F65" s="151"/>
      <c r="G65" s="151"/>
      <c r="H65" s="151"/>
      <c r="I65" s="151"/>
      <c r="J65" s="151">
        <f ca="1">SUM(J59:J64)</f>
        <v>2270.72750283</v>
      </c>
      <c r="K65" s="152"/>
      <c r="M65" s="168" t="b">
        <f ca="1">IF(K64&gt;0,J65=SUM(I59,K64),J65=I59)</f>
        <v>1</v>
      </c>
    </row>
    <row r="66" spans="1:13" x14ac:dyDescent="0.35">
      <c r="A66" s="97" t="str">
        <f>B66&amp;" "&amp;$B$44&amp;" "&amp;$C$44&amp;" $"</f>
        <v>Energex Residential with CL $</v>
      </c>
      <c r="B66" s="142" t="s">
        <v>0</v>
      </c>
      <c r="C66" s="143" t="s">
        <v>191</v>
      </c>
      <c r="D66" s="144">
        <v>0</v>
      </c>
      <c r="E66" s="144">
        <f ca="1">IF($K67&lt;0,SUM(D66:D70)+$K67,SUM(D66:D70))</f>
        <v>1812</v>
      </c>
      <c r="F66" s="144">
        <f ca="1">IF($K68&lt;0,IF($K67&lt;0,E66+$K68,E66+$K67+$K68),IF($K67&lt;0,E66,E66+$K67))</f>
        <v>1723.7038580000003</v>
      </c>
      <c r="G66" s="144">
        <f ca="1">IF($K69&lt;0,IF($K68&lt;0,F66+$K69,F66+$K68+$K69),IF($K68&lt;0,F66,F66+$K68))</f>
        <v>1723.7038580000003</v>
      </c>
      <c r="H66" s="144">
        <f ca="1">IF($K70&lt;0,IF($K69&lt;0,G66+$K70,G66+$K69+$K70),IF($K69&lt;0,G66,G66+$K69))</f>
        <v>1735.1383580000004</v>
      </c>
      <c r="I66" s="144">
        <f ca="1">IF($K71&lt;0,IF($K70&lt;0,H66+$K71,H66+$K70+$K71),IF($K70&lt;0,H66,H66+$K70))</f>
        <v>1740.6464836550001</v>
      </c>
      <c r="J66" s="144">
        <v>0</v>
      </c>
      <c r="K66" s="145"/>
      <c r="M66" s="161"/>
    </row>
    <row r="67" spans="1:13" x14ac:dyDescent="0.35">
      <c r="A67" s="97"/>
      <c r="B67" s="146" t="str">
        <f>B66</f>
        <v>Energex</v>
      </c>
      <c r="C67" s="36" t="s">
        <v>69</v>
      </c>
      <c r="D67" s="13">
        <f t="array" aca="1" ref="D67" ca="1">INDEX(INDIRECT("'"&amp;$B67&amp;"'!$F$23:$AJ$39"),MATCH($C67,INDIRECT("'"&amp;$B67&amp;"'!$F$23:$F$39"),0),MATCH($B$44&amp;$C$44&amp;D$44&amp;"Cost",INDIRECT("'"&amp;$B67&amp;"'!$F$23:$AJ$23")&amp;INDIRECT("'"&amp;$B67&amp;"'!$F$24:$AJ$24")&amp;INDIRECT("'"&amp;$B67&amp;"'!$F$25:$AJ$25")&amp;INDIRECT("'"&amp;$B67&amp;"'!$F$30:$AJ$30"),0))</f>
        <v>743.62441999999987</v>
      </c>
      <c r="E67" s="147">
        <f ca="1">ABS($J67-$D67)</f>
        <v>23.474935000000187</v>
      </c>
      <c r="F67" s="147"/>
      <c r="G67" s="147"/>
      <c r="H67" s="147"/>
      <c r="I67" s="147"/>
      <c r="J67" s="13">
        <f t="array" aca="1" ref="J67" ca="1">INDEX(INDIRECT("'"&amp;$B67&amp;"'!$F$23:$AJ$39"),MATCH($C67,INDIRECT("'"&amp;$B67&amp;"'!$F$23:$F$39"),0),MATCH($B$44&amp;$C$44&amp;J$44&amp;"Cost",INDIRECT("'"&amp;$B67&amp;"'!$F$23:$AJ$23")&amp;INDIRECT("'"&amp;$B67&amp;"'!$F$24:$AJ$24")&amp;INDIRECT("'"&amp;$B67&amp;"'!$F$25:$AJ$25")&amp;INDIRECT("'"&amp;$B67&amp;"'!$F$30:$AJ$30"),0))</f>
        <v>767.09935500000006</v>
      </c>
      <c r="K67" s="148">
        <f ca="1">J67-D67</f>
        <v>23.474935000000187</v>
      </c>
      <c r="M67" s="161"/>
    </row>
    <row r="68" spans="1:13" x14ac:dyDescent="0.35">
      <c r="A68" s="97"/>
      <c r="B68" s="146" t="str">
        <f>B67</f>
        <v>Energex</v>
      </c>
      <c r="C68" s="36" t="s">
        <v>70</v>
      </c>
      <c r="D68" s="13">
        <f t="array" aca="1" ref="D68" ca="1">INDEX(INDIRECT("'"&amp;$B68&amp;"'!$F$23:$AJ$39"),MATCH($C68,INDIRECT("'"&amp;$B68&amp;"'!$F$23:$F$39"),0),MATCH($B$44&amp;$C$44&amp;D$44&amp;"Cost",INDIRECT("'"&amp;$B68&amp;"'!$F$23:$AJ$23")&amp;INDIRECT("'"&amp;$B68&amp;"'!$F$24:$AJ$24")&amp;INDIRECT("'"&amp;$B68&amp;"'!$F$25:$AJ$25")&amp;INDIRECT("'"&amp;$B68&amp;"'!$F$30:$AJ$30"),0))</f>
        <v>596.52420299999994</v>
      </c>
      <c r="E68" s="147"/>
      <c r="F68" s="147">
        <f ca="1">ABS($J68-$D68)</f>
        <v>111.77107699999993</v>
      </c>
      <c r="G68" s="147"/>
      <c r="H68" s="147"/>
      <c r="I68" s="147"/>
      <c r="J68" s="13">
        <f t="array" aca="1" ref="J68" ca="1">INDEX(INDIRECT("'"&amp;$B68&amp;"'!$F$23:$AJ$39"),MATCH($C68,INDIRECT("'"&amp;$B68&amp;"'!$F$23:$F$39"),0),MATCH($B$44&amp;$C$44&amp;J$44&amp;"Cost",INDIRECT("'"&amp;$B68&amp;"'!$F$23:$AJ$23")&amp;INDIRECT("'"&amp;$B68&amp;"'!$F$24:$AJ$24")&amp;INDIRECT("'"&amp;$B68&amp;"'!$F$25:$AJ$25")&amp;INDIRECT("'"&amp;$B68&amp;"'!$F$30:$AJ$30"),0))</f>
        <v>484.75312600000001</v>
      </c>
      <c r="K68" s="148">
        <f ca="1">J68-D68</f>
        <v>-111.77107699999993</v>
      </c>
      <c r="M68" s="161"/>
    </row>
    <row r="69" spans="1:13" x14ac:dyDescent="0.35">
      <c r="A69" s="97"/>
      <c r="B69" s="146" t="str">
        <f>B68</f>
        <v>Energex</v>
      </c>
      <c r="C69" s="36" t="s">
        <v>71</v>
      </c>
      <c r="D69" s="13">
        <f t="array" aca="1" ref="D69" ca="1">INDEX(INDIRECT("'"&amp;$B69&amp;"'!$F$23:$AJ$39"),MATCH($C69,INDIRECT("'"&amp;$B69&amp;"'!$F$23:$F$39"),0),MATCH($B$44&amp;$C$44&amp;D$44&amp;"Cost",INDIRECT("'"&amp;$B69&amp;"'!$F$23:$AJ$23")&amp;INDIRECT("'"&amp;$B69&amp;"'!$F$24:$AJ$24")&amp;INDIRECT("'"&amp;$B69&amp;"'!$F$25:$AJ$25")&amp;INDIRECT("'"&amp;$B69&amp;"'!$F$30:$AJ$30"),0))</f>
        <v>104.643</v>
      </c>
      <c r="E69" s="147"/>
      <c r="F69" s="147"/>
      <c r="G69" s="147">
        <f ca="1">ABS($J69-$D69)</f>
        <v>11.434499999999986</v>
      </c>
      <c r="H69" s="147"/>
      <c r="I69" s="147"/>
      <c r="J69" s="13">
        <f t="array" aca="1" ref="J69" ca="1">INDEX(INDIRECT("'"&amp;$B69&amp;"'!$F$23:$AJ$39"),MATCH($C69,INDIRECT("'"&amp;$B69&amp;"'!$F$23:$F$39"),0),MATCH($B$44&amp;$C$44&amp;J$44&amp;"Cost",INDIRECT("'"&amp;$B69&amp;"'!$F$23:$AJ$23")&amp;INDIRECT("'"&amp;$B69&amp;"'!$F$24:$AJ$24")&amp;INDIRECT("'"&amp;$B69&amp;"'!$F$25:$AJ$25")&amp;INDIRECT("'"&amp;$B69&amp;"'!$F$30:$AJ$30"),0))</f>
        <v>116.07749999999999</v>
      </c>
      <c r="K69" s="148">
        <f ca="1">J69-D69</f>
        <v>11.434499999999986</v>
      </c>
      <c r="M69" s="161"/>
    </row>
    <row r="70" spans="1:13" x14ac:dyDescent="0.35">
      <c r="A70" s="97"/>
      <c r="B70" s="146" t="str">
        <f>B69</f>
        <v>Energex</v>
      </c>
      <c r="C70" s="36" t="s">
        <v>72</v>
      </c>
      <c r="D70" s="13">
        <f t="array" aca="1" ref="D70" ca="1">INDEX(INDIRECT("'"&amp;$B70&amp;"'!$F$23:$AJ$39"),MATCH($C70,INDIRECT("'"&amp;$B70&amp;"'!$F$23:$F$39"),0),MATCH($B$44&amp;$C$44&amp;D$44&amp;"Cost",INDIRECT("'"&amp;$B70&amp;"'!$F$23:$AJ$23")&amp;INDIRECT("'"&amp;$B70&amp;"'!$F$24:$AJ$24")&amp;INDIRECT("'"&amp;$B70&amp;"'!$F$25:$AJ$25")&amp;INDIRECT("'"&amp;$B70&amp;"'!$F$30:$AJ$30"),0))</f>
        <v>367.20837700000016</v>
      </c>
      <c r="E70" s="147"/>
      <c r="F70" s="147"/>
      <c r="G70" s="147"/>
      <c r="H70" s="147">
        <f ca="1">ABS($J70-$D70)</f>
        <v>5.5081256549997306</v>
      </c>
      <c r="I70" s="147"/>
      <c r="J70" s="13">
        <f t="array" aca="1" ref="J70" ca="1">INDEX(INDIRECT("'"&amp;$B70&amp;"'!$F$23:$AJ$39"),MATCH($C70,INDIRECT("'"&amp;$B70&amp;"'!$F$23:$F$39"),0),MATCH($B$44&amp;$C$44&amp;J$44&amp;"Cost",INDIRECT("'"&amp;$B70&amp;"'!$F$23:$AJ$23")&amp;INDIRECT("'"&amp;$B70&amp;"'!$F$24:$AJ$24")&amp;INDIRECT("'"&amp;$B70&amp;"'!$F$25:$AJ$25")&amp;INDIRECT("'"&amp;$B70&amp;"'!$F$30:$AJ$30"),0))</f>
        <v>372.71650265499989</v>
      </c>
      <c r="K70" s="148">
        <f ca="1">J70-D70</f>
        <v>5.5081256549997306</v>
      </c>
      <c r="M70" s="161"/>
    </row>
    <row r="71" spans="1:13" x14ac:dyDescent="0.35">
      <c r="A71" s="97"/>
      <c r="B71" s="146" t="str">
        <f>B70</f>
        <v>Energex</v>
      </c>
      <c r="C71" s="36" t="s">
        <v>76</v>
      </c>
      <c r="D71" s="13">
        <f t="array" aca="1" ref="D71" ca="1">INDEX(INDIRECT("'"&amp;$B71&amp;"'!$F$23:$AJ$39"),MATCH($C71,INDIRECT("'"&amp;$B71&amp;"'!$F$23:$F$39"),0),MATCH($B$44&amp;$C$44&amp;D$44&amp;"Cost",INDIRECT("'"&amp;$B71&amp;"'!$F$23:$AJ$23")&amp;INDIRECT("'"&amp;$B71&amp;"'!$F$24:$AJ$24")&amp;INDIRECT("'"&amp;$B71&amp;"'!$F$25:$AJ$25")&amp;INDIRECT("'"&amp;$B71&amp;"'!$F$30:$AJ$30"),0))</f>
        <v>0</v>
      </c>
      <c r="E71" s="147"/>
      <c r="F71" s="147"/>
      <c r="G71" s="147"/>
      <c r="H71" s="147"/>
      <c r="I71" s="147">
        <f ca="1">ABS($J71-$D71)</f>
        <v>0</v>
      </c>
      <c r="J71" s="13">
        <f t="array" aca="1" ref="J71" ca="1">INDEX(INDIRECT("'"&amp;$B71&amp;"'!$F$23:$AJ$39"),MATCH($C71,INDIRECT("'"&amp;$B71&amp;"'!$F$23:$F$39"),0),MATCH($B$44&amp;$C$44&amp;J$44&amp;"Cost",INDIRECT("'"&amp;$B71&amp;"'!$F$23:$AJ$23")&amp;INDIRECT("'"&amp;$B71&amp;"'!$F$24:$AJ$24")&amp;INDIRECT("'"&amp;$B71&amp;"'!$F$25:$AJ$25")&amp;INDIRECT("'"&amp;$B71&amp;"'!$F$30:$AJ$30"),0))</f>
        <v>0</v>
      </c>
      <c r="K71" s="148">
        <f ca="1">J71-D71</f>
        <v>0</v>
      </c>
      <c r="M71" s="161"/>
    </row>
    <row r="72" spans="1:13" x14ac:dyDescent="0.35">
      <c r="A72" s="97"/>
      <c r="B72" s="149" t="str">
        <f>B70</f>
        <v>Energex</v>
      </c>
      <c r="C72" s="150" t="s">
        <v>138</v>
      </c>
      <c r="D72" s="151">
        <f ca="1">SUM(D66:D70)</f>
        <v>1812</v>
      </c>
      <c r="E72" s="151"/>
      <c r="F72" s="151"/>
      <c r="G72" s="151"/>
      <c r="H72" s="151"/>
      <c r="I72" s="151"/>
      <c r="J72" s="151">
        <f ca="1">SUM(J66:J71)</f>
        <v>1740.6464836550001</v>
      </c>
      <c r="K72" s="152"/>
      <c r="M72" s="168" t="b">
        <f ca="1">IF(K71&gt;0,J72=SUM(I66,K71),J72=I66)</f>
        <v>1</v>
      </c>
    </row>
    <row r="73" spans="1:13" x14ac:dyDescent="0.35">
      <c r="A73" s="97" t="str">
        <f>B73&amp;" "&amp;$B$44&amp;" "&amp;$C$44&amp;" $"</f>
        <v>SAPN Residential with CL $</v>
      </c>
      <c r="B73" s="142" t="s">
        <v>5</v>
      </c>
      <c r="C73" s="143" t="s">
        <v>191</v>
      </c>
      <c r="D73" s="144">
        <v>0</v>
      </c>
      <c r="E73" s="144">
        <f ca="1">IF($K74&lt;0,SUM(D73:D77)+$K74,SUM(D73:D77))</f>
        <v>2244</v>
      </c>
      <c r="F73" s="144">
        <f ca="1">IF($K75&lt;0,IF($K74&lt;0,E73+$K75,E73+$K74+$K75),IF($K74&lt;0,E73,E73+$K74))</f>
        <v>2061.4153999999999</v>
      </c>
      <c r="G73" s="144">
        <f ca="1">IF($K76&lt;0,IF($K75&lt;0,F73+$K76,F73+$K75+$K76),IF($K75&lt;0,F73,F73+$K75))</f>
        <v>2061.4153999999999</v>
      </c>
      <c r="H73" s="144">
        <f ca="1">IF($K77&lt;0,IF($K76&lt;0,G73+$K77,G73+$K76+$K77),IF($K76&lt;0,G73,G73+$K76))</f>
        <v>2073.4274</v>
      </c>
      <c r="I73" s="144">
        <f ca="1">IF($K78&lt;0,IF($K77&lt;0,H73+$K78,H73+$K77+$K78),IF($K77&lt;0,H73,H73+$K77))</f>
        <v>2076.9436489999998</v>
      </c>
      <c r="J73" s="144">
        <v>0</v>
      </c>
      <c r="K73" s="145"/>
      <c r="M73" s="161"/>
    </row>
    <row r="74" spans="1:13" x14ac:dyDescent="0.35">
      <c r="A74" s="97"/>
      <c r="B74" s="146" t="str">
        <f>B73</f>
        <v>SAPN</v>
      </c>
      <c r="C74" s="36" t="s">
        <v>69</v>
      </c>
      <c r="D74" s="13">
        <f t="array" aca="1" ref="D74" ca="1">INDEX(INDIRECT("'"&amp;$B74&amp;"'!$F$23:$AJ$39"),MATCH($C74,INDIRECT("'"&amp;$B74&amp;"'!$F$23:$F$39"),0),MATCH($B$44&amp;$C$44&amp;D$44&amp;"Cost",INDIRECT("'"&amp;$B74&amp;"'!$F$23:$AJ$23")&amp;INDIRECT("'"&amp;$B74&amp;"'!$F$24:$AJ$24")&amp;INDIRECT("'"&amp;$B74&amp;"'!$F$25:$AJ$25")&amp;INDIRECT("'"&amp;$B74&amp;"'!$F$30:$AJ$30"),0))</f>
        <v>990.55</v>
      </c>
      <c r="E74" s="147">
        <f ca="1">ABS($J74-$D74)</f>
        <v>17.751800000000117</v>
      </c>
      <c r="F74" s="147"/>
      <c r="G74" s="147"/>
      <c r="H74" s="147"/>
      <c r="I74" s="147"/>
      <c r="J74" s="13">
        <f t="array" aca="1" ref="J74" ca="1">INDEX(INDIRECT("'"&amp;$B74&amp;"'!$F$23:$AJ$39"),MATCH($C74,INDIRECT("'"&amp;$B74&amp;"'!$F$23:$F$39"),0),MATCH($B$44&amp;$C$44&amp;J$44&amp;"Cost",INDIRECT("'"&amp;$B74&amp;"'!$F$23:$AJ$23")&amp;INDIRECT("'"&amp;$B74&amp;"'!$F$24:$AJ$24")&amp;INDIRECT("'"&amp;$B74&amp;"'!$F$25:$AJ$25")&amp;INDIRECT("'"&amp;$B74&amp;"'!$F$30:$AJ$30"),0))</f>
        <v>1008.3018000000001</v>
      </c>
      <c r="K74" s="148">
        <f ca="1">J74-D74</f>
        <v>17.751800000000117</v>
      </c>
      <c r="M74" s="161"/>
    </row>
    <row r="75" spans="1:13" x14ac:dyDescent="0.35">
      <c r="A75" s="97"/>
      <c r="B75" s="146" t="str">
        <f>B74</f>
        <v>SAPN</v>
      </c>
      <c r="C75" s="36" t="s">
        <v>70</v>
      </c>
      <c r="D75" s="13">
        <f t="array" aca="1" ref="D75" ca="1">INDEX(INDIRECT("'"&amp;$B75&amp;"'!$F$23:$AJ$39"),MATCH($C75,INDIRECT("'"&amp;$B75&amp;"'!$F$23:$F$39"),0),MATCH($B$44&amp;$C$44&amp;D$44&amp;"Cost",INDIRECT("'"&amp;$B75&amp;"'!$F$23:$AJ$23")&amp;INDIRECT("'"&amp;$B75&amp;"'!$F$24:$AJ$24")&amp;INDIRECT("'"&amp;$B75&amp;"'!$F$25:$AJ$25")&amp;INDIRECT("'"&amp;$B75&amp;"'!$F$30:$AJ$30"),0))</f>
        <v>896.4713999999999</v>
      </c>
      <c r="E75" s="147"/>
      <c r="F75" s="147">
        <f ca="1">ABS($J75-$D75)</f>
        <v>200.33639999999991</v>
      </c>
      <c r="G75" s="147"/>
      <c r="H75" s="147"/>
      <c r="I75" s="147"/>
      <c r="J75" s="13">
        <f t="array" aca="1" ref="J75" ca="1">INDEX(INDIRECT("'"&amp;$B75&amp;"'!$F$23:$AJ$39"),MATCH($C75,INDIRECT("'"&amp;$B75&amp;"'!$F$23:$F$39"),0),MATCH($B$44&amp;$C$44&amp;J$44&amp;"Cost",INDIRECT("'"&amp;$B75&amp;"'!$F$23:$AJ$23")&amp;INDIRECT("'"&amp;$B75&amp;"'!$F$24:$AJ$24")&amp;INDIRECT("'"&amp;$B75&amp;"'!$F$25:$AJ$25")&amp;INDIRECT("'"&amp;$B75&amp;"'!$F$30:$AJ$30"),0))</f>
        <v>696.13499999999999</v>
      </c>
      <c r="K75" s="148">
        <f ca="1">J75-D75</f>
        <v>-200.33639999999991</v>
      </c>
      <c r="M75" s="161"/>
    </row>
    <row r="76" spans="1:13" x14ac:dyDescent="0.35">
      <c r="A76" s="97"/>
      <c r="B76" s="146" t="str">
        <f>B75</f>
        <v>SAPN</v>
      </c>
      <c r="C76" s="36" t="s">
        <v>71</v>
      </c>
      <c r="D76" s="13">
        <f t="array" aca="1" ref="D76" ca="1">INDEX(INDIRECT("'"&amp;$B76&amp;"'!$F$23:$AJ$39"),MATCH($C76,INDIRECT("'"&amp;$B76&amp;"'!$F$23:$F$39"),0),MATCH($B$44&amp;$C$44&amp;D$44&amp;"Cost",INDIRECT("'"&amp;$B76&amp;"'!$F$23:$AJ$23")&amp;INDIRECT("'"&amp;$B76&amp;"'!$F$24:$AJ$24")&amp;INDIRECT("'"&amp;$B76&amp;"'!$F$25:$AJ$25")&amp;INDIRECT("'"&amp;$B76&amp;"'!$F$30:$AJ$30"),0))</f>
        <v>122.562</v>
      </c>
      <c r="E76" s="147"/>
      <c r="F76" s="147"/>
      <c r="G76" s="147">
        <f ca="1">ABS($J76-$D76)</f>
        <v>12.012000000000015</v>
      </c>
      <c r="H76" s="147"/>
      <c r="I76" s="147"/>
      <c r="J76" s="13">
        <f t="array" aca="1" ref="J76" ca="1">INDEX(INDIRECT("'"&amp;$B76&amp;"'!$F$23:$AJ$39"),MATCH($C76,INDIRECT("'"&amp;$B76&amp;"'!$F$23:$F$39"),0),MATCH($B$44&amp;$C$44&amp;J$44&amp;"Cost",INDIRECT("'"&amp;$B76&amp;"'!$F$23:$AJ$23")&amp;INDIRECT("'"&amp;$B76&amp;"'!$F$24:$AJ$24")&amp;INDIRECT("'"&amp;$B76&amp;"'!$F$25:$AJ$25")&amp;INDIRECT("'"&amp;$B76&amp;"'!$F$30:$AJ$30"),0))</f>
        <v>134.57400000000001</v>
      </c>
      <c r="K76" s="148">
        <f ca="1">J76-D76</f>
        <v>12.012000000000015</v>
      </c>
      <c r="M76" s="161"/>
    </row>
    <row r="77" spans="1:13" x14ac:dyDescent="0.35">
      <c r="A77" s="97"/>
      <c r="B77" s="146" t="str">
        <f>B76</f>
        <v>SAPN</v>
      </c>
      <c r="C77" s="36" t="s">
        <v>72</v>
      </c>
      <c r="D77" s="13">
        <f t="array" aca="1" ref="D77" ca="1">INDEX(INDIRECT("'"&amp;$B77&amp;"'!$F$23:$AJ$39"),MATCH($C77,INDIRECT("'"&amp;$B77&amp;"'!$F$23:$F$39"),0),MATCH($B$44&amp;$C$44&amp;D$44&amp;"Cost",INDIRECT("'"&amp;$B77&amp;"'!$F$23:$AJ$23")&amp;INDIRECT("'"&amp;$B77&amp;"'!$F$24:$AJ$24")&amp;INDIRECT("'"&amp;$B77&amp;"'!$F$25:$AJ$25")&amp;INDIRECT("'"&amp;$B77&amp;"'!$F$30:$AJ$30"),0))</f>
        <v>234.41660000000024</v>
      </c>
      <c r="E77" s="147"/>
      <c r="F77" s="147"/>
      <c r="G77" s="147"/>
      <c r="H77" s="147">
        <f ca="1">ABS($J77-$D77)</f>
        <v>3.5162490000000162</v>
      </c>
      <c r="I77" s="147"/>
      <c r="J77" s="13">
        <f t="array" aca="1" ref="J77" ca="1">INDEX(INDIRECT("'"&amp;$B77&amp;"'!$F$23:$AJ$39"),MATCH($C77,INDIRECT("'"&amp;$B77&amp;"'!$F$23:$F$39"),0),MATCH($B$44&amp;$C$44&amp;J$44&amp;"Cost",INDIRECT("'"&amp;$B77&amp;"'!$F$23:$AJ$23")&amp;INDIRECT("'"&amp;$B77&amp;"'!$F$24:$AJ$24")&amp;INDIRECT("'"&amp;$B77&amp;"'!$F$25:$AJ$25")&amp;INDIRECT("'"&amp;$B77&amp;"'!$F$30:$AJ$30"),0))</f>
        <v>237.93284900000026</v>
      </c>
      <c r="K77" s="148">
        <f ca="1">J77-D77</f>
        <v>3.5162490000000162</v>
      </c>
      <c r="M77" s="161"/>
    </row>
    <row r="78" spans="1:13" x14ac:dyDescent="0.35">
      <c r="A78" s="97"/>
      <c r="B78" s="146" t="str">
        <f>B77</f>
        <v>SAPN</v>
      </c>
      <c r="C78" s="36" t="s">
        <v>76</v>
      </c>
      <c r="D78" s="13">
        <f t="array" aca="1" ref="D78" ca="1">INDEX(INDIRECT("'"&amp;$B78&amp;"'!$F$23:$AJ$39"),MATCH($C78,INDIRECT("'"&amp;$B78&amp;"'!$F$23:$F$39"),0),MATCH($B$44&amp;$C$44&amp;D$44&amp;"Cost",INDIRECT("'"&amp;$B78&amp;"'!$F$23:$AJ$23")&amp;INDIRECT("'"&amp;$B78&amp;"'!$F$24:$AJ$24")&amp;INDIRECT("'"&amp;$B78&amp;"'!$F$25:$AJ$25")&amp;INDIRECT("'"&amp;$B78&amp;"'!$F$30:$AJ$30"),0))</f>
        <v>0</v>
      </c>
      <c r="E78" s="147"/>
      <c r="F78" s="147"/>
      <c r="G78" s="147"/>
      <c r="H78" s="147"/>
      <c r="I78" s="147">
        <f ca="1">ABS($J78-$D78)</f>
        <v>0</v>
      </c>
      <c r="J78" s="13">
        <f t="array" aca="1" ref="J78" ca="1">INDEX(INDIRECT("'"&amp;$B78&amp;"'!$F$23:$AJ$39"),MATCH($C78,INDIRECT("'"&amp;$B78&amp;"'!$F$23:$F$39"),0),MATCH($B$44&amp;$C$44&amp;J$44&amp;"Cost",INDIRECT("'"&amp;$B78&amp;"'!$F$23:$AJ$23")&amp;INDIRECT("'"&amp;$B78&amp;"'!$F$24:$AJ$24")&amp;INDIRECT("'"&amp;$B78&amp;"'!$F$25:$AJ$25")&amp;INDIRECT("'"&amp;$B78&amp;"'!$F$30:$AJ$30"),0))</f>
        <v>0</v>
      </c>
      <c r="K78" s="148">
        <f ca="1">J78-D78</f>
        <v>0</v>
      </c>
      <c r="M78" s="161"/>
    </row>
    <row r="79" spans="1:13" x14ac:dyDescent="0.35">
      <c r="A79" s="97"/>
      <c r="B79" s="149" t="str">
        <f>B77</f>
        <v>SAPN</v>
      </c>
      <c r="C79" s="150" t="s">
        <v>138</v>
      </c>
      <c r="D79" s="151">
        <f ca="1">SUM(D73:D77)</f>
        <v>2244</v>
      </c>
      <c r="E79" s="151"/>
      <c r="F79" s="151"/>
      <c r="G79" s="151"/>
      <c r="H79" s="151"/>
      <c r="I79" s="151"/>
      <c r="J79" s="151">
        <f ca="1">SUM(J73:J78)</f>
        <v>2076.9436490000003</v>
      </c>
      <c r="K79" s="152"/>
      <c r="M79" s="168" t="b">
        <f ca="1">IF(K78&gt;0,J79=SUM(I73,K78),J79=I73)</f>
        <v>1</v>
      </c>
    </row>
  </sheetData>
  <sheetProtection algorithmName="SHA-256" hashValue="pzay2fA6Tl29uYd1+0npl5Otz+mDSJ2T8sBnh/p4gNM=" saltValue="+nNbhWUgXbXuPfxN06lL0w==" spinCount="100000" sheet="1" objects="1" scenarios="1"/>
  <mergeCells count="1">
    <mergeCell ref="A1:B1"/>
  </mergeCells>
  <conditionalFormatting sqref="B45:K79">
    <cfRule type="expression" dxfId="1331" priority="13">
      <formula>MOD(ROW(),2)=0</formula>
    </cfRule>
  </conditionalFormatting>
  <conditionalFormatting sqref="M52:M57 M59:M64 M66:M71 M73:M78">
    <cfRule type="cellIs" dxfId="1330" priority="11" operator="equal">
      <formula>FALSE</formula>
    </cfRule>
    <cfRule type="cellIs" dxfId="1329" priority="12" operator="equal">
      <formula>TRUE</formula>
    </cfRule>
  </conditionalFormatting>
  <conditionalFormatting sqref="M51">
    <cfRule type="cellIs" dxfId="1328" priority="9" operator="equal">
      <formula>FALSE</formula>
    </cfRule>
    <cfRule type="cellIs" dxfId="1327" priority="10" operator="equal">
      <formula>TRUE</formula>
    </cfRule>
  </conditionalFormatting>
  <conditionalFormatting sqref="M58">
    <cfRule type="cellIs" dxfId="1326" priority="7" operator="equal">
      <formula>FALSE</formula>
    </cfRule>
    <cfRule type="cellIs" dxfId="1325" priority="8" operator="equal">
      <formula>TRUE</formula>
    </cfRule>
  </conditionalFormatting>
  <conditionalFormatting sqref="M65">
    <cfRule type="cellIs" dxfId="1324" priority="5" operator="equal">
      <formula>FALSE</formula>
    </cfRule>
    <cfRule type="cellIs" dxfId="1323" priority="6" operator="equal">
      <formula>TRUE</formula>
    </cfRule>
  </conditionalFormatting>
  <conditionalFormatting sqref="M72">
    <cfRule type="cellIs" dxfId="1322" priority="3" operator="equal">
      <formula>FALSE</formula>
    </cfRule>
    <cfRule type="cellIs" dxfId="1321" priority="4" operator="equal">
      <formula>TRUE</formula>
    </cfRule>
  </conditionalFormatting>
  <conditionalFormatting sqref="M79">
    <cfRule type="cellIs" dxfId="1320" priority="1" operator="equal">
      <formula>FALSE</formula>
    </cfRule>
    <cfRule type="cellIs" dxfId="1319"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6C7C"/>
  </sheetPr>
  <dimension ref="A1:S79"/>
  <sheetViews>
    <sheetView workbookViewId="0">
      <selection sqref="A1:B1"/>
    </sheetView>
  </sheetViews>
  <sheetFormatPr defaultColWidth="8.81640625" defaultRowHeight="14.5" x14ac:dyDescent="0.35"/>
  <cols>
    <col min="1" max="1" width="3.1796875" style="3" customWidth="1"/>
    <col min="2" max="2" width="10.1796875" style="3" bestFit="1" customWidth="1"/>
    <col min="3" max="3" width="17.453125" style="3" bestFit="1" customWidth="1"/>
    <col min="4" max="4" width="7.81640625" style="3" bestFit="1" customWidth="1"/>
    <col min="5" max="5" width="12.1796875" style="3" bestFit="1" customWidth="1"/>
    <col min="6" max="6" width="13.81640625" style="3" bestFit="1" customWidth="1"/>
    <col min="7" max="7" width="17.453125" style="3" bestFit="1" customWidth="1"/>
    <col min="8" max="8" width="11.81640625" style="3" bestFit="1" customWidth="1"/>
    <col min="9" max="9" width="11.81640625" style="3" customWidth="1"/>
    <col min="10" max="10" width="7.81640625" style="3" bestFit="1" customWidth="1"/>
    <col min="11" max="11" width="7.1796875" style="3" bestFit="1" customWidth="1"/>
    <col min="12" max="24" width="10.81640625" style="3" customWidth="1"/>
    <col min="25" max="25" width="12" style="3" customWidth="1"/>
    <col min="26" max="16384" width="8.81640625" style="3"/>
  </cols>
  <sheetData>
    <row r="1" spans="1:2" ht="10.4" customHeight="1" x14ac:dyDescent="0.35">
      <c r="A1" s="274" t="s">
        <v>22</v>
      </c>
      <c r="B1" s="300"/>
    </row>
    <row r="2" spans="1:2" s="14" customFormat="1" ht="22.5" customHeight="1" x14ac:dyDescent="0.35">
      <c r="A2" s="15" t="s">
        <v>171</v>
      </c>
      <c r="B2" s="15"/>
    </row>
    <row r="3" spans="1:2" x14ac:dyDescent="0.35">
      <c r="B3" s="163" t="s">
        <v>152</v>
      </c>
    </row>
    <row r="41" spans="1:19" x14ac:dyDescent="0.35">
      <c r="B41" s="157" t="s">
        <v>149</v>
      </c>
    </row>
    <row r="44" spans="1:19" s="5" customFormat="1" x14ac:dyDescent="0.35">
      <c r="B44" s="153" t="s">
        <v>86</v>
      </c>
      <c r="C44" s="154" t="s">
        <v>150</v>
      </c>
      <c r="D44" s="155" t="str">
        <f>PY</f>
        <v>2020-21</v>
      </c>
      <c r="E44" s="155" t="s">
        <v>69</v>
      </c>
      <c r="F44" s="155" t="s">
        <v>70</v>
      </c>
      <c r="G44" s="155" t="s">
        <v>71</v>
      </c>
      <c r="H44" s="155" t="s">
        <v>72</v>
      </c>
      <c r="I44" s="155" t="s">
        <v>76</v>
      </c>
      <c r="J44" s="155" t="str">
        <f>FY</f>
        <v>2021-22</v>
      </c>
      <c r="K44" s="156" t="s">
        <v>24</v>
      </c>
      <c r="M44" s="166" t="s">
        <v>102</v>
      </c>
    </row>
    <row r="45" spans="1:19" x14ac:dyDescent="0.35">
      <c r="A45" s="97" t="str">
        <f>B45&amp;" "&amp;$B$44&amp;" "&amp;$C$44&amp;" $"</f>
        <v>Ausgrid Small Business without CL $</v>
      </c>
      <c r="B45" s="142" t="s">
        <v>2</v>
      </c>
      <c r="C45" s="143" t="s">
        <v>191</v>
      </c>
      <c r="D45" s="144">
        <v>0</v>
      </c>
      <c r="E45" s="144">
        <f ca="1">IF($K46&lt;0,SUM(D45:D49)+$K46,SUM(D45:D49))</f>
        <v>7240</v>
      </c>
      <c r="F45" s="144">
        <f ca="1">IF($K47&lt;0,IF($K46&lt;0,E45+$K47,E45+$K46+$K47),IF($K46&lt;0,E45,E45+$K46))</f>
        <v>6822.6374390000001</v>
      </c>
      <c r="G45" s="144">
        <f ca="1">IF($K48&lt;0,IF($K47&lt;0,F45+$K48,F45+$K47+$K48),IF($K47&lt;0,F45,F45+$K47))</f>
        <v>6822.6374390000001</v>
      </c>
      <c r="H45" s="144">
        <f ca="1">IF($K49&lt;0,IF($K48&lt;0,G45+$K49,G45+$K48+$K49),IF($K48&lt;0,G45,G45+$K48))</f>
        <v>6866.6374390000001</v>
      </c>
      <c r="I45" s="144">
        <f ca="1">IF($K50&lt;0,IF($K49&lt;0,H45+$K50,H45+$K49+$K50),IF($K49&lt;0,H45,H45+$K49))</f>
        <v>6899.7461124024994</v>
      </c>
      <c r="J45" s="144">
        <v>0</v>
      </c>
      <c r="K45" s="145"/>
      <c r="M45" s="41"/>
      <c r="N45" s="41"/>
      <c r="O45" s="41"/>
      <c r="P45" s="41"/>
      <c r="Q45" s="41"/>
      <c r="R45" s="41"/>
      <c r="S45" s="41"/>
    </row>
    <row r="46" spans="1:19" x14ac:dyDescent="0.35">
      <c r="A46" s="97"/>
      <c r="B46" s="146" t="str">
        <f>B45</f>
        <v>Ausgrid</v>
      </c>
      <c r="C46" s="36" t="s">
        <v>69</v>
      </c>
      <c r="D46" s="13">
        <f t="array" aca="1" ref="D46" ca="1">INDEX(INDIRECT("'"&amp;$B46&amp;"'!$F$23:$AJ$39"),MATCH($C46,INDIRECT("'"&amp;$B46&amp;"'!$F$23:$F$39"),0),MATCH($B$44&amp;$C$44&amp;D$44&amp;"Cost",INDIRECT("'"&amp;$B46&amp;"'!$F$23:$AJ$23")&amp;INDIRECT("'"&amp;$B46&amp;"'!$F$24:$AJ$24")&amp;INDIRECT("'"&amp;$B46&amp;"'!$F$25:$AJ$25")&amp;INDIRECT("'"&amp;$B46&amp;"'!$F$30:$AJ$30"),0))</f>
        <v>2211.6951064999998</v>
      </c>
      <c r="E46" s="147">
        <f ca="1">ABS($J46-$D46)</f>
        <v>91.277439000000413</v>
      </c>
      <c r="F46" s="147"/>
      <c r="G46" s="147"/>
      <c r="H46" s="147"/>
      <c r="I46" s="147"/>
      <c r="J46" s="13">
        <f t="array" aca="1" ref="J46" ca="1">INDEX(INDIRECT("'"&amp;$B46&amp;"'!$F$23:$AJ$39"),MATCH($C46,INDIRECT("'"&amp;$B46&amp;"'!$F$23:$F$39"),0),MATCH($B$44&amp;$C$44&amp;J$44&amp;"Cost",INDIRECT("'"&amp;$B46&amp;"'!$F$23:$AJ$23")&amp;INDIRECT("'"&amp;$B46&amp;"'!$F$24:$AJ$24")&amp;INDIRECT("'"&amp;$B46&amp;"'!$F$25:$AJ$25")&amp;INDIRECT("'"&amp;$B46&amp;"'!$F$30:$AJ$30"),0))</f>
        <v>2302.9725455000003</v>
      </c>
      <c r="K46" s="148">
        <f ca="1">J46-D46</f>
        <v>91.277439000000413</v>
      </c>
      <c r="L46" s="141"/>
      <c r="M46" s="41"/>
      <c r="N46" s="41"/>
      <c r="O46" s="41"/>
      <c r="P46" s="41"/>
      <c r="Q46" s="41"/>
      <c r="R46" s="41"/>
      <c r="S46" s="41"/>
    </row>
    <row r="47" spans="1:19" x14ac:dyDescent="0.35">
      <c r="A47" s="97"/>
      <c r="B47" s="146" t="str">
        <f>B46</f>
        <v>Ausgrid</v>
      </c>
      <c r="C47" s="36" t="s">
        <v>70</v>
      </c>
      <c r="D47" s="13">
        <f t="array" aca="1" ref="D47" ca="1">INDEX(INDIRECT("'"&amp;$B47&amp;"'!$F$23:$AJ$39"),MATCH($C47,INDIRECT("'"&amp;$B47&amp;"'!$F$23:$F$39"),0),MATCH($B$44&amp;$C$44&amp;D$44&amp;"Cost",INDIRECT("'"&amp;$B47&amp;"'!$F$23:$AJ$23")&amp;INDIRECT("'"&amp;$B47&amp;"'!$F$24:$AJ$24")&amp;INDIRECT("'"&amp;$B47&amp;"'!$F$25:$AJ$25")&amp;INDIRECT("'"&amp;$B47&amp;"'!$F$30:$AJ$30"),0))</f>
        <v>2443.3199999999997</v>
      </c>
      <c r="E47" s="147"/>
      <c r="F47" s="147">
        <f ca="1">ABS($J47-$D47)</f>
        <v>508.63999999999987</v>
      </c>
      <c r="G47" s="147"/>
      <c r="H47" s="147"/>
      <c r="I47" s="147"/>
      <c r="J47" s="13">
        <f t="array" aca="1" ref="J47" ca="1">INDEX(INDIRECT("'"&amp;$B47&amp;"'!$F$23:$AJ$39"),MATCH($C47,INDIRECT("'"&amp;$B47&amp;"'!$F$23:$F$39"),0),MATCH($B$44&amp;$C$44&amp;J$44&amp;"Cost",INDIRECT("'"&amp;$B47&amp;"'!$F$23:$AJ$23")&amp;INDIRECT("'"&amp;$B47&amp;"'!$F$24:$AJ$24")&amp;INDIRECT("'"&amp;$B47&amp;"'!$F$25:$AJ$25")&amp;INDIRECT("'"&amp;$B47&amp;"'!$F$30:$AJ$30"),0))</f>
        <v>1934.6799999999998</v>
      </c>
      <c r="K47" s="148">
        <f ca="1">J47-D47</f>
        <v>-508.63999999999987</v>
      </c>
      <c r="M47" s="41"/>
      <c r="N47" s="41"/>
      <c r="O47" s="41"/>
      <c r="P47" s="41"/>
      <c r="Q47" s="41"/>
      <c r="R47" s="41"/>
      <c r="S47" s="41"/>
    </row>
    <row r="48" spans="1:19" x14ac:dyDescent="0.35">
      <c r="A48" s="97"/>
      <c r="B48" s="146" t="str">
        <f>B47</f>
        <v>Ausgrid</v>
      </c>
      <c r="C48" s="36" t="s">
        <v>71</v>
      </c>
      <c r="D48" s="13">
        <f t="array" aca="1" ref="D48" ca="1">INDEX(INDIRECT("'"&amp;$B48&amp;"'!$F$23:$AJ$39"),MATCH($C48,INDIRECT("'"&amp;$B48&amp;"'!$F$23:$F$39"),0),MATCH($B$44&amp;$C$44&amp;D$44&amp;"Cost",INDIRECT("'"&amp;$B48&amp;"'!$F$23:$AJ$23")&amp;INDIRECT("'"&amp;$B48&amp;"'!$F$24:$AJ$24")&amp;INDIRECT("'"&amp;$B48&amp;"'!$F$25:$AJ$25")&amp;INDIRECT("'"&amp;$B48&amp;"'!$F$30:$AJ$30"),0))</f>
        <v>377.74</v>
      </c>
      <c r="E48" s="147"/>
      <c r="F48" s="147"/>
      <c r="G48" s="147">
        <f ca="1">ABS($J48-$D48)</f>
        <v>44</v>
      </c>
      <c r="H48" s="147"/>
      <c r="I48" s="147"/>
      <c r="J48" s="13">
        <f t="array" aca="1" ref="J48" ca="1">INDEX(INDIRECT("'"&amp;$B48&amp;"'!$F$23:$AJ$39"),MATCH($C48,INDIRECT("'"&amp;$B48&amp;"'!$F$23:$F$39"),0),MATCH($B$44&amp;$C$44&amp;J$44&amp;"Cost",INDIRECT("'"&amp;$B48&amp;"'!$F$23:$AJ$23")&amp;INDIRECT("'"&amp;$B48&amp;"'!$F$24:$AJ$24")&amp;INDIRECT("'"&amp;$B48&amp;"'!$F$25:$AJ$25")&amp;INDIRECT("'"&amp;$B48&amp;"'!$F$30:$AJ$30"),0))</f>
        <v>421.74</v>
      </c>
      <c r="K48" s="148">
        <f ca="1">J48-D48</f>
        <v>44</v>
      </c>
      <c r="M48" s="41"/>
      <c r="N48" s="41"/>
      <c r="O48" s="41"/>
      <c r="P48" s="41"/>
      <c r="Q48" s="41"/>
      <c r="R48" s="41"/>
      <c r="S48" s="41"/>
    </row>
    <row r="49" spans="1:19" x14ac:dyDescent="0.35">
      <c r="A49" s="97"/>
      <c r="B49" s="146" t="str">
        <f>B48</f>
        <v>Ausgrid</v>
      </c>
      <c r="C49" s="36" t="s">
        <v>72</v>
      </c>
      <c r="D49" s="13">
        <f t="array" aca="1" ref="D49" ca="1">INDEX(INDIRECT("'"&amp;$B49&amp;"'!$F$23:$AJ$39"),MATCH($C49,INDIRECT("'"&amp;$B49&amp;"'!$F$23:$F$39"),0),MATCH($B$44&amp;$C$44&amp;D$44&amp;"Cost",INDIRECT("'"&amp;$B49&amp;"'!$F$23:$AJ$23")&amp;INDIRECT("'"&amp;$B49&amp;"'!$F$24:$AJ$24")&amp;INDIRECT("'"&amp;$B49&amp;"'!$F$25:$AJ$25")&amp;INDIRECT("'"&amp;$B49&amp;"'!$F$30:$AJ$30"),0))</f>
        <v>2207.2448935000011</v>
      </c>
      <c r="E49" s="147"/>
      <c r="F49" s="147"/>
      <c r="G49" s="147"/>
      <c r="H49" s="147">
        <f ca="1">ABS($J49-$D49)</f>
        <v>33.108673402499335</v>
      </c>
      <c r="I49" s="147"/>
      <c r="J49" s="13">
        <f t="array" aca="1" ref="J49" ca="1">INDEX(INDIRECT("'"&amp;$B49&amp;"'!$F$23:$AJ$39"),MATCH($C49,INDIRECT("'"&amp;$B49&amp;"'!$F$23:$F$39"),0),MATCH($B$44&amp;$C$44&amp;J$44&amp;"Cost",INDIRECT("'"&amp;$B49&amp;"'!$F$23:$AJ$23")&amp;INDIRECT("'"&amp;$B49&amp;"'!$F$24:$AJ$24")&amp;INDIRECT("'"&amp;$B49&amp;"'!$F$25:$AJ$25")&amp;INDIRECT("'"&amp;$B49&amp;"'!$F$30:$AJ$30"),0))</f>
        <v>2240.3535669025005</v>
      </c>
      <c r="K49" s="148">
        <f ca="1">J49-D49</f>
        <v>33.108673402499335</v>
      </c>
      <c r="M49" s="41"/>
      <c r="N49" s="41"/>
      <c r="O49" s="41"/>
      <c r="P49" s="41"/>
      <c r="Q49" s="41"/>
      <c r="R49" s="41"/>
      <c r="S49" s="41"/>
    </row>
    <row r="50" spans="1:19" x14ac:dyDescent="0.35">
      <c r="A50" s="97"/>
      <c r="B50" s="146" t="str">
        <f>B49</f>
        <v>Ausgrid</v>
      </c>
      <c r="C50" s="36" t="s">
        <v>76</v>
      </c>
      <c r="D50" s="13">
        <f t="array" aca="1" ref="D50" ca="1">INDEX(INDIRECT("'"&amp;$B50&amp;"'!$F$23:$AJ$39"),MATCH($C50,INDIRECT("'"&amp;$B50&amp;"'!$F$23:$F$39"),0),MATCH($B$44&amp;$C$44&amp;D$44&amp;"Cost",INDIRECT("'"&amp;$B50&amp;"'!$F$23:$AJ$23")&amp;INDIRECT("'"&amp;$B50&amp;"'!$F$24:$AJ$24")&amp;INDIRECT("'"&amp;$B50&amp;"'!$F$25:$AJ$25")&amp;INDIRECT("'"&amp;$B50&amp;"'!$F$30:$AJ$30"),0))</f>
        <v>0</v>
      </c>
      <c r="E50" s="147"/>
      <c r="F50" s="147"/>
      <c r="G50" s="147"/>
      <c r="H50" s="147"/>
      <c r="I50" s="147">
        <f ca="1">ABS($J50-$D50)</f>
        <v>0</v>
      </c>
      <c r="J50" s="13">
        <f t="array" aca="1" ref="J50" ca="1">INDEX(INDIRECT("'"&amp;$B50&amp;"'!$F$23:$AJ$39"),MATCH($C50,INDIRECT("'"&amp;$B50&amp;"'!$F$23:$F$39"),0),MATCH($B$44&amp;$C$44&amp;J$44&amp;"Cost",INDIRECT("'"&amp;$B50&amp;"'!$F$23:$AJ$23")&amp;INDIRECT("'"&amp;$B50&amp;"'!$F$24:$AJ$24")&amp;INDIRECT("'"&amp;$B50&amp;"'!$F$25:$AJ$25")&amp;INDIRECT("'"&amp;$B50&amp;"'!$F$30:$AJ$30"),0))</f>
        <v>0</v>
      </c>
      <c r="K50" s="148">
        <f ca="1">J50-D50</f>
        <v>0</v>
      </c>
      <c r="M50" s="41"/>
      <c r="N50" s="41"/>
      <c r="O50" s="41"/>
      <c r="P50" s="41"/>
      <c r="Q50" s="41"/>
      <c r="R50" s="41"/>
      <c r="S50" s="41"/>
    </row>
    <row r="51" spans="1:19" x14ac:dyDescent="0.35">
      <c r="A51" s="97"/>
      <c r="B51" s="149" t="str">
        <f>B49</f>
        <v>Ausgrid</v>
      </c>
      <c r="C51" s="150" t="s">
        <v>138</v>
      </c>
      <c r="D51" s="151">
        <f ca="1">SUM(D45:D49)</f>
        <v>7240</v>
      </c>
      <c r="E51" s="151"/>
      <c r="F51" s="151"/>
      <c r="G51" s="151"/>
      <c r="H51" s="151"/>
      <c r="I51" s="151"/>
      <c r="J51" s="151">
        <f ca="1">SUM(J45:J50)</f>
        <v>6899.7461124025003</v>
      </c>
      <c r="K51" s="152"/>
      <c r="M51" s="168" t="b">
        <f ca="1">IF(K50&gt;0,J51=SUM(I45,K50),J51=I45)</f>
        <v>1</v>
      </c>
      <c r="N51" s="41"/>
      <c r="O51" s="41"/>
      <c r="P51" s="41"/>
      <c r="Q51" s="41"/>
      <c r="R51" s="41"/>
      <c r="S51" s="41"/>
    </row>
    <row r="52" spans="1:19" x14ac:dyDescent="0.35">
      <c r="A52" s="97" t="str">
        <f>B52&amp;" "&amp;$B$44&amp;" "&amp;$C$44&amp;" $"</f>
        <v>Endeavour Small Business without CL $</v>
      </c>
      <c r="B52" s="142" t="s">
        <v>4</v>
      </c>
      <c r="C52" s="143" t="s">
        <v>191</v>
      </c>
      <c r="D52" s="144">
        <v>0</v>
      </c>
      <c r="E52" s="144">
        <f ca="1">IF($K53&lt;0,SUM(D52:D56)+$K53,SUM(D52:D56))</f>
        <v>6177</v>
      </c>
      <c r="F52" s="144">
        <f ca="1">IF($K54&lt;0,IF($K53&lt;0,E52+$K54,E52+$K53+$K54),IF($K53&lt;0,E52,E52+$K53))</f>
        <v>5674.9605499999998</v>
      </c>
      <c r="G52" s="144">
        <f ca="1">IF($K55&lt;0,IF($K54&lt;0,F52+$K55,F52+$K54+$K55),IF($K54&lt;0,F52,F52+$K54))</f>
        <v>5674.9605499999998</v>
      </c>
      <c r="H52" s="144">
        <f ca="1">IF($K56&lt;0,IF($K55&lt;0,G52+$K56,G52+$K55+$K56),IF($K55&lt;0,G52,G52+$K55))</f>
        <v>5717.8605499999994</v>
      </c>
      <c r="I52" s="144">
        <f ca="1">IF($K57&lt;0,IF($K56&lt;0,H52+$K57,H52+$K56+$K57),IF($K56&lt;0,H52,H52+$K56))</f>
        <v>5736.1429715000004</v>
      </c>
      <c r="J52" s="144">
        <v>0</v>
      </c>
      <c r="K52" s="145"/>
      <c r="M52" s="161"/>
    </row>
    <row r="53" spans="1:19" x14ac:dyDescent="0.35">
      <c r="A53" s="97"/>
      <c r="B53" s="146" t="str">
        <f>B52</f>
        <v>Endeavour</v>
      </c>
      <c r="C53" s="36" t="s">
        <v>69</v>
      </c>
      <c r="D53" s="13">
        <f t="array" aca="1" ref="D53" ca="1">INDEX(INDIRECT("'"&amp;$B53&amp;"'!$F$23:$AJ$39"),MATCH($C53,INDIRECT("'"&amp;$B53&amp;"'!$F$23:$F$39"),0),MATCH($B$44&amp;$C$44&amp;D$44&amp;"Cost",INDIRECT("'"&amp;$B53&amp;"'!$F$23:$AJ$23")&amp;INDIRECT("'"&amp;$B53&amp;"'!$F$24:$AJ$24")&amp;INDIRECT("'"&amp;$B53&amp;"'!$F$25:$AJ$25")&amp;INDIRECT("'"&amp;$B53&amp;"'!$F$30:$AJ$30"),0))</f>
        <v>2106.3119000000002</v>
      </c>
      <c r="E53" s="147">
        <f ca="1">ABS($J53-$D53)</f>
        <v>25.960549999999785</v>
      </c>
      <c r="F53" s="147"/>
      <c r="G53" s="147"/>
      <c r="H53" s="147"/>
      <c r="I53" s="147"/>
      <c r="J53" s="13">
        <f t="array" aca="1" ref="J53" ca="1">INDEX(INDIRECT("'"&amp;$B53&amp;"'!$F$23:$AJ$39"),MATCH($C53,INDIRECT("'"&amp;$B53&amp;"'!$F$23:$F$39"),0),MATCH($B$44&amp;$C$44&amp;J$44&amp;"Cost",INDIRECT("'"&amp;$B53&amp;"'!$F$23:$AJ$23")&amp;INDIRECT("'"&amp;$B53&amp;"'!$F$24:$AJ$24")&amp;INDIRECT("'"&amp;$B53&amp;"'!$F$25:$AJ$25")&amp;INDIRECT("'"&amp;$B53&amp;"'!$F$30:$AJ$30"),0))</f>
        <v>2132.2724499999999</v>
      </c>
      <c r="K53" s="148">
        <f ca="1">J53-D53</f>
        <v>25.960549999999785</v>
      </c>
      <c r="M53" s="161"/>
    </row>
    <row r="54" spans="1:19" x14ac:dyDescent="0.35">
      <c r="A54" s="97"/>
      <c r="B54" s="146" t="str">
        <f>B53</f>
        <v>Endeavour</v>
      </c>
      <c r="C54" s="36" t="s">
        <v>70</v>
      </c>
      <c r="D54" s="13">
        <f t="array" aca="1" ref="D54" ca="1">INDEX(INDIRECT("'"&amp;$B54&amp;"'!$F$23:$AJ$39"),MATCH($C54,INDIRECT("'"&amp;$B54&amp;"'!$F$23:$F$39"),0),MATCH($B$44&amp;$C$44&amp;D$44&amp;"Cost",INDIRECT("'"&amp;$B54&amp;"'!$F$23:$AJ$23")&amp;INDIRECT("'"&amp;$B54&amp;"'!$F$24:$AJ$24")&amp;INDIRECT("'"&amp;$B54&amp;"'!$F$25:$AJ$25")&amp;INDIRECT("'"&amp;$B54&amp;"'!$F$30:$AJ$30"),0))</f>
        <v>2469.94</v>
      </c>
      <c r="E54" s="147"/>
      <c r="F54" s="147">
        <f ca="1">ABS($J54-$D54)</f>
        <v>528</v>
      </c>
      <c r="G54" s="147"/>
      <c r="H54" s="147"/>
      <c r="I54" s="147"/>
      <c r="J54" s="13">
        <f t="array" aca="1" ref="J54" ca="1">INDEX(INDIRECT("'"&amp;$B54&amp;"'!$F$23:$AJ$39"),MATCH($C54,INDIRECT("'"&amp;$B54&amp;"'!$F$23:$F$39"),0),MATCH($B$44&amp;$C$44&amp;J$44&amp;"Cost",INDIRECT("'"&amp;$B54&amp;"'!$F$23:$AJ$23")&amp;INDIRECT("'"&amp;$B54&amp;"'!$F$24:$AJ$24")&amp;INDIRECT("'"&amp;$B54&amp;"'!$F$25:$AJ$25")&amp;INDIRECT("'"&amp;$B54&amp;"'!$F$30:$AJ$30"),0))</f>
        <v>1941.94</v>
      </c>
      <c r="K54" s="148">
        <f ca="1">J54-D54</f>
        <v>-528</v>
      </c>
      <c r="M54" s="161"/>
    </row>
    <row r="55" spans="1:19" x14ac:dyDescent="0.35">
      <c r="A55" s="97"/>
      <c r="B55" s="146" t="str">
        <f>B54</f>
        <v>Endeavour</v>
      </c>
      <c r="C55" s="36" t="s">
        <v>71</v>
      </c>
      <c r="D55" s="13">
        <f t="array" aca="1" ref="D55" ca="1">INDEX(INDIRECT("'"&amp;$B55&amp;"'!$F$23:$AJ$39"),MATCH($C55,INDIRECT("'"&amp;$B55&amp;"'!$F$23:$F$39"),0),MATCH($B$44&amp;$C$44&amp;D$44&amp;"Cost",INDIRECT("'"&amp;$B55&amp;"'!$F$23:$AJ$23")&amp;INDIRECT("'"&amp;$B55&amp;"'!$F$24:$AJ$24")&amp;INDIRECT("'"&amp;$B55&amp;"'!$F$25:$AJ$25")&amp;INDIRECT("'"&amp;$B55&amp;"'!$F$30:$AJ$30"),0))</f>
        <v>381.91999999999996</v>
      </c>
      <c r="E55" s="147"/>
      <c r="F55" s="147"/>
      <c r="G55" s="147">
        <f ca="1">ABS($J55-$D55)</f>
        <v>42.900000000000034</v>
      </c>
      <c r="H55" s="147"/>
      <c r="I55" s="147"/>
      <c r="J55" s="13">
        <f t="array" aca="1" ref="J55" ca="1">INDEX(INDIRECT("'"&amp;$B55&amp;"'!$F$23:$AJ$39"),MATCH($C55,INDIRECT("'"&amp;$B55&amp;"'!$F$23:$F$39"),0),MATCH($B$44&amp;$C$44&amp;J$44&amp;"Cost",INDIRECT("'"&amp;$B55&amp;"'!$F$23:$AJ$23")&amp;INDIRECT("'"&amp;$B55&amp;"'!$F$24:$AJ$24")&amp;INDIRECT("'"&amp;$B55&amp;"'!$F$25:$AJ$25")&amp;INDIRECT("'"&amp;$B55&amp;"'!$F$30:$AJ$30"),0))</f>
        <v>424.82</v>
      </c>
      <c r="K55" s="148">
        <f ca="1">J55-D55</f>
        <v>42.900000000000034</v>
      </c>
      <c r="M55" s="161"/>
    </row>
    <row r="56" spans="1:19" x14ac:dyDescent="0.35">
      <c r="A56" s="97"/>
      <c r="B56" s="146" t="str">
        <f>B55</f>
        <v>Endeavour</v>
      </c>
      <c r="C56" s="36" t="s">
        <v>72</v>
      </c>
      <c r="D56" s="13">
        <f t="array" aca="1" ref="D56" ca="1">INDEX(INDIRECT("'"&amp;$B56&amp;"'!$F$23:$AJ$39"),MATCH($C56,INDIRECT("'"&amp;$B56&amp;"'!$F$23:$F$39"),0),MATCH($B$44&amp;$C$44&amp;D$44&amp;"Cost",INDIRECT("'"&amp;$B56&amp;"'!$F$23:$AJ$23")&amp;INDIRECT("'"&amp;$B56&amp;"'!$F$24:$AJ$24")&amp;INDIRECT("'"&amp;$B56&amp;"'!$F$25:$AJ$25")&amp;INDIRECT("'"&amp;$B56&amp;"'!$F$30:$AJ$30"),0))</f>
        <v>1218.8280999999997</v>
      </c>
      <c r="E56" s="147"/>
      <c r="F56" s="147"/>
      <c r="G56" s="147"/>
      <c r="H56" s="147">
        <f ca="1">ABS($J56-$D56)</f>
        <v>18.282421500000964</v>
      </c>
      <c r="I56" s="147"/>
      <c r="J56" s="13">
        <f t="array" aca="1" ref="J56" ca="1">INDEX(INDIRECT("'"&amp;$B56&amp;"'!$F$23:$AJ$39"),MATCH($C56,INDIRECT("'"&amp;$B56&amp;"'!$F$23:$F$39"),0),MATCH($B$44&amp;$C$44&amp;J$44&amp;"Cost",INDIRECT("'"&amp;$B56&amp;"'!$F$23:$AJ$23")&amp;INDIRECT("'"&amp;$B56&amp;"'!$F$24:$AJ$24")&amp;INDIRECT("'"&amp;$B56&amp;"'!$F$25:$AJ$25")&amp;INDIRECT("'"&amp;$B56&amp;"'!$F$30:$AJ$30"),0))</f>
        <v>1237.1105215000007</v>
      </c>
      <c r="K56" s="148">
        <f ca="1">J56-D56</f>
        <v>18.282421500000964</v>
      </c>
      <c r="M56" s="161"/>
    </row>
    <row r="57" spans="1:19" x14ac:dyDescent="0.35">
      <c r="A57" s="97"/>
      <c r="B57" s="146" t="str">
        <f>B56</f>
        <v>Endeavour</v>
      </c>
      <c r="C57" s="36" t="s">
        <v>76</v>
      </c>
      <c r="D57" s="13">
        <f t="array" aca="1" ref="D57" ca="1">INDEX(INDIRECT("'"&amp;$B57&amp;"'!$F$23:$AJ$39"),MATCH($C57,INDIRECT("'"&amp;$B57&amp;"'!$F$23:$F$39"),0),MATCH($B$44&amp;$C$44&amp;D$44&amp;"Cost",INDIRECT("'"&amp;$B57&amp;"'!$F$23:$AJ$23")&amp;INDIRECT("'"&amp;$B57&amp;"'!$F$24:$AJ$24")&amp;INDIRECT("'"&amp;$B57&amp;"'!$F$25:$AJ$25")&amp;INDIRECT("'"&amp;$B57&amp;"'!$F$30:$AJ$30"),0))</f>
        <v>0</v>
      </c>
      <c r="E57" s="147"/>
      <c r="F57" s="147"/>
      <c r="G57" s="147"/>
      <c r="H57" s="147"/>
      <c r="I57" s="147">
        <f ca="1">ABS($J57-$D57)</f>
        <v>0</v>
      </c>
      <c r="J57" s="13">
        <f t="array" aca="1" ref="J57" ca="1">INDEX(INDIRECT("'"&amp;$B57&amp;"'!$F$23:$AJ$39"),MATCH($C57,INDIRECT("'"&amp;$B57&amp;"'!$F$23:$F$39"),0),MATCH($B$44&amp;$C$44&amp;J$44&amp;"Cost",INDIRECT("'"&amp;$B57&amp;"'!$F$23:$AJ$23")&amp;INDIRECT("'"&amp;$B57&amp;"'!$F$24:$AJ$24")&amp;INDIRECT("'"&amp;$B57&amp;"'!$F$25:$AJ$25")&amp;INDIRECT("'"&amp;$B57&amp;"'!$F$30:$AJ$30"),0))</f>
        <v>0</v>
      </c>
      <c r="K57" s="148">
        <f ca="1">J57-D57</f>
        <v>0</v>
      </c>
      <c r="M57" s="161"/>
    </row>
    <row r="58" spans="1:19" x14ac:dyDescent="0.35">
      <c r="A58" s="97"/>
      <c r="B58" s="149" t="str">
        <f>B56</f>
        <v>Endeavour</v>
      </c>
      <c r="C58" s="150" t="s">
        <v>138</v>
      </c>
      <c r="D58" s="151">
        <f ca="1">SUM(D52:D56)</f>
        <v>6177</v>
      </c>
      <c r="E58" s="151"/>
      <c r="F58" s="151"/>
      <c r="G58" s="151"/>
      <c r="H58" s="151"/>
      <c r="I58" s="151"/>
      <c r="J58" s="151">
        <f ca="1">SUM(J52:J57)</f>
        <v>5736.1429715000004</v>
      </c>
      <c r="K58" s="152"/>
      <c r="M58" s="168" t="b">
        <f ca="1">IF(K57&gt;0,J58=SUM(I52,K57),J58=I52)</f>
        <v>1</v>
      </c>
    </row>
    <row r="59" spans="1:19" x14ac:dyDescent="0.35">
      <c r="A59" s="97" t="str">
        <f>B59&amp;" "&amp;$B$44&amp;" "&amp;$C$44&amp;" $"</f>
        <v>Essential Small Business without CL $</v>
      </c>
      <c r="B59" s="142" t="s">
        <v>3</v>
      </c>
      <c r="C59" s="143" t="s">
        <v>191</v>
      </c>
      <c r="D59" s="144">
        <v>0</v>
      </c>
      <c r="E59" s="144">
        <f ca="1">IF($K60&lt;0,SUM(D59:D63)+$K60,SUM(D59:D63))</f>
        <v>8041</v>
      </c>
      <c r="F59" s="144">
        <f ca="1">IF($K61&lt;0,IF($K60&lt;0,E59+$K61,E59+$K60+$K61),IF($K60&lt;0,E59,E59+$K60))</f>
        <v>7724.1911999999993</v>
      </c>
      <c r="G59" s="144">
        <f ca="1">IF($K62&lt;0,IF($K61&lt;0,F59+$K62,F59+$K61+$K62),IF($K61&lt;0,F59,F59+$K61))</f>
        <v>7724.1911999999993</v>
      </c>
      <c r="H59" s="144">
        <f ca="1">IF($K63&lt;0,IF($K62&lt;0,G59+$K63,G59+$K62+$K63),IF($K62&lt;0,G59,G59+$K62))</f>
        <v>7763.5711999999994</v>
      </c>
      <c r="I59" s="144">
        <f ca="1">IF($K64&lt;0,IF($K63&lt;0,H59+$K64,H59+$K63+$K64),IF($K63&lt;0,H59,H59+$K63))</f>
        <v>7790.8828249999997</v>
      </c>
      <c r="J59" s="144">
        <v>0</v>
      </c>
      <c r="K59" s="145"/>
      <c r="M59" s="161"/>
    </row>
    <row r="60" spans="1:19" x14ac:dyDescent="0.35">
      <c r="A60" s="97"/>
      <c r="B60" s="146" t="str">
        <f>B59</f>
        <v>Essential</v>
      </c>
      <c r="C60" s="36" t="s">
        <v>69</v>
      </c>
      <c r="D60" s="13">
        <f t="array" aca="1" ref="D60" ca="1">INDEX(INDIRECT("'"&amp;$B60&amp;"'!$F$23:$AJ$39"),MATCH($C60,INDIRECT("'"&amp;$B60&amp;"'!$F$23:$F$39"),0),MATCH($B$44&amp;$C$44&amp;D$44&amp;"Cost",INDIRECT("'"&amp;$B60&amp;"'!$F$23:$AJ$23")&amp;INDIRECT("'"&amp;$B60&amp;"'!$F$24:$AJ$24")&amp;INDIRECT("'"&amp;$B60&amp;"'!$F$25:$AJ$25")&amp;INDIRECT("'"&amp;$B60&amp;"'!$F$30:$AJ$30"),0))</f>
        <v>3563.7250000000004</v>
      </c>
      <c r="E60" s="147">
        <f ca="1">ABS($J60-$D60)</f>
        <v>192.71119999999974</v>
      </c>
      <c r="F60" s="147"/>
      <c r="G60" s="147"/>
      <c r="H60" s="147"/>
      <c r="I60" s="147"/>
      <c r="J60" s="13">
        <f t="array" aca="1" ref="J60" ca="1">INDEX(INDIRECT("'"&amp;$B60&amp;"'!$F$23:$AJ$39"),MATCH($C60,INDIRECT("'"&amp;$B60&amp;"'!$F$23:$F$39"),0),MATCH($B$44&amp;$C$44&amp;J$44&amp;"Cost",INDIRECT("'"&amp;$B60&amp;"'!$F$23:$AJ$23")&amp;INDIRECT("'"&amp;$B60&amp;"'!$F$24:$AJ$24")&amp;INDIRECT("'"&amp;$B60&amp;"'!$F$25:$AJ$25")&amp;INDIRECT("'"&amp;$B60&amp;"'!$F$30:$AJ$30"),0))</f>
        <v>3756.4362000000001</v>
      </c>
      <c r="K60" s="148">
        <f ca="1">J60-D60</f>
        <v>192.71119999999974</v>
      </c>
      <c r="M60" s="161"/>
    </row>
    <row r="61" spans="1:19" x14ac:dyDescent="0.35">
      <c r="A61" s="97"/>
      <c r="B61" s="146" t="str">
        <f>B60</f>
        <v>Essential</v>
      </c>
      <c r="C61" s="36" t="s">
        <v>70</v>
      </c>
      <c r="D61" s="13">
        <f t="array" aca="1" ref="D61" ca="1">INDEX(INDIRECT("'"&amp;$B61&amp;"'!$F$23:$AJ$39"),MATCH($C61,INDIRECT("'"&amp;$B61&amp;"'!$F$23:$F$39"),0),MATCH($B$44&amp;$C$44&amp;D$44&amp;"Cost",INDIRECT("'"&amp;$B61&amp;"'!$F$23:$AJ$23")&amp;INDIRECT("'"&amp;$B61&amp;"'!$F$24:$AJ$24")&amp;INDIRECT("'"&amp;$B61&amp;"'!$F$25:$AJ$25")&amp;INDIRECT("'"&amp;$B61&amp;"'!$F$30:$AJ$30"),0))</f>
        <v>2277</v>
      </c>
      <c r="E61" s="147"/>
      <c r="F61" s="147">
        <f ca="1">ABS($J61-$D61)</f>
        <v>509.52</v>
      </c>
      <c r="G61" s="147"/>
      <c r="H61" s="147"/>
      <c r="I61" s="147"/>
      <c r="J61" s="13">
        <f t="array" aca="1" ref="J61" ca="1">INDEX(INDIRECT("'"&amp;$B61&amp;"'!$F$23:$AJ$39"),MATCH($C61,INDIRECT("'"&amp;$B61&amp;"'!$F$23:$F$39"),0),MATCH($B$44&amp;$C$44&amp;J$44&amp;"Cost",INDIRECT("'"&amp;$B61&amp;"'!$F$23:$AJ$23")&amp;INDIRECT("'"&amp;$B61&amp;"'!$F$24:$AJ$24")&amp;INDIRECT("'"&amp;$B61&amp;"'!$F$25:$AJ$25")&amp;INDIRECT("'"&amp;$B61&amp;"'!$F$30:$AJ$30"),0))</f>
        <v>1767.48</v>
      </c>
      <c r="K61" s="148">
        <f ca="1">J61-D61</f>
        <v>-509.52</v>
      </c>
      <c r="M61" s="161"/>
    </row>
    <row r="62" spans="1:19" x14ac:dyDescent="0.35">
      <c r="A62" s="97"/>
      <c r="B62" s="146" t="str">
        <f>B61</f>
        <v>Essential</v>
      </c>
      <c r="C62" s="36" t="s">
        <v>71</v>
      </c>
      <c r="D62" s="13">
        <f t="array" aca="1" ref="D62" ca="1">INDEX(INDIRECT("'"&amp;$B62&amp;"'!$F$23:$AJ$39"),MATCH($C62,INDIRECT("'"&amp;$B62&amp;"'!$F$23:$F$39"),0),MATCH($B$44&amp;$C$44&amp;D$44&amp;"Cost",INDIRECT("'"&amp;$B62&amp;"'!$F$23:$AJ$23")&amp;INDIRECT("'"&amp;$B62&amp;"'!$F$24:$AJ$24")&amp;INDIRECT("'"&amp;$B62&amp;"'!$F$25:$AJ$25")&amp;INDIRECT("'"&amp;$B62&amp;"'!$F$30:$AJ$30"),0))</f>
        <v>379.5</v>
      </c>
      <c r="E62" s="147"/>
      <c r="F62" s="147"/>
      <c r="G62" s="147">
        <f ca="1">ABS($J62-$D62)</f>
        <v>39.379999999999995</v>
      </c>
      <c r="H62" s="147"/>
      <c r="I62" s="147"/>
      <c r="J62" s="13">
        <f t="array" aca="1" ref="J62" ca="1">INDEX(INDIRECT("'"&amp;$B62&amp;"'!$F$23:$AJ$39"),MATCH($C62,INDIRECT("'"&amp;$B62&amp;"'!$F$23:$F$39"),0),MATCH($B$44&amp;$C$44&amp;J$44&amp;"Cost",INDIRECT("'"&amp;$B62&amp;"'!$F$23:$AJ$23")&amp;INDIRECT("'"&amp;$B62&amp;"'!$F$24:$AJ$24")&amp;INDIRECT("'"&amp;$B62&amp;"'!$F$25:$AJ$25")&amp;INDIRECT("'"&amp;$B62&amp;"'!$F$30:$AJ$30"),0))</f>
        <v>418.88</v>
      </c>
      <c r="K62" s="148">
        <f ca="1">J62-D62</f>
        <v>39.379999999999995</v>
      </c>
      <c r="M62" s="161"/>
    </row>
    <row r="63" spans="1:19" x14ac:dyDescent="0.35">
      <c r="A63" s="97"/>
      <c r="B63" s="146" t="str">
        <f>B62</f>
        <v>Essential</v>
      </c>
      <c r="C63" s="36" t="s">
        <v>72</v>
      </c>
      <c r="D63" s="13">
        <f t="array" aca="1" ref="D63" ca="1">INDEX(INDIRECT("'"&amp;$B63&amp;"'!$F$23:$AJ$39"),MATCH($C63,INDIRECT("'"&amp;$B63&amp;"'!$F$23:$F$39"),0),MATCH($B$44&amp;$C$44&amp;D$44&amp;"Cost",INDIRECT("'"&amp;$B63&amp;"'!$F$23:$AJ$23")&amp;INDIRECT("'"&amp;$B63&amp;"'!$F$24:$AJ$24")&amp;INDIRECT("'"&amp;$B63&amp;"'!$F$25:$AJ$25")&amp;INDIRECT("'"&amp;$B63&amp;"'!$F$30:$AJ$30"),0))</f>
        <v>1820.7749999999996</v>
      </c>
      <c r="E63" s="147"/>
      <c r="F63" s="147"/>
      <c r="G63" s="147"/>
      <c r="H63" s="147">
        <f ca="1">ABS($J63-$D63)</f>
        <v>27.311625000000276</v>
      </c>
      <c r="I63" s="147"/>
      <c r="J63" s="13">
        <f t="array" aca="1" ref="J63" ca="1">INDEX(INDIRECT("'"&amp;$B63&amp;"'!$F$23:$AJ$39"),MATCH($C63,INDIRECT("'"&amp;$B63&amp;"'!$F$23:$F$39"),0),MATCH($B$44&amp;$C$44&amp;J$44&amp;"Cost",INDIRECT("'"&amp;$B63&amp;"'!$F$23:$AJ$23")&amp;INDIRECT("'"&amp;$B63&amp;"'!$F$24:$AJ$24")&amp;INDIRECT("'"&amp;$B63&amp;"'!$F$25:$AJ$25")&amp;INDIRECT("'"&amp;$B63&amp;"'!$F$30:$AJ$30"),0))</f>
        <v>1848.0866249999999</v>
      </c>
      <c r="K63" s="148">
        <f ca="1">J63-D63</f>
        <v>27.311625000000276</v>
      </c>
      <c r="M63" s="161"/>
    </row>
    <row r="64" spans="1:19" x14ac:dyDescent="0.35">
      <c r="A64" s="97"/>
      <c r="B64" s="146" t="str">
        <f>B63</f>
        <v>Essential</v>
      </c>
      <c r="C64" s="36" t="s">
        <v>76</v>
      </c>
      <c r="D64" s="13">
        <f t="array" aca="1" ref="D64" ca="1">INDEX(INDIRECT("'"&amp;$B64&amp;"'!$F$23:$AJ$39"),MATCH($C64,INDIRECT("'"&amp;$B64&amp;"'!$F$23:$F$39"),0),MATCH($B$44&amp;$C$44&amp;D$44&amp;"Cost",INDIRECT("'"&amp;$B64&amp;"'!$F$23:$AJ$23")&amp;INDIRECT("'"&amp;$B64&amp;"'!$F$24:$AJ$24")&amp;INDIRECT("'"&amp;$B64&amp;"'!$F$25:$AJ$25")&amp;INDIRECT("'"&amp;$B64&amp;"'!$F$30:$AJ$30"),0))</f>
        <v>0</v>
      </c>
      <c r="E64" s="147"/>
      <c r="F64" s="147"/>
      <c r="G64" s="147"/>
      <c r="H64" s="147"/>
      <c r="I64" s="147">
        <f ca="1">ABS($J64-$D64)</f>
        <v>0</v>
      </c>
      <c r="J64" s="13">
        <f t="array" aca="1" ref="J64" ca="1">INDEX(INDIRECT("'"&amp;$B64&amp;"'!$F$23:$AJ$39"),MATCH($C64,INDIRECT("'"&amp;$B64&amp;"'!$F$23:$F$39"),0),MATCH($B$44&amp;$C$44&amp;J$44&amp;"Cost",INDIRECT("'"&amp;$B64&amp;"'!$F$23:$AJ$23")&amp;INDIRECT("'"&amp;$B64&amp;"'!$F$24:$AJ$24")&amp;INDIRECT("'"&amp;$B64&amp;"'!$F$25:$AJ$25")&amp;INDIRECT("'"&amp;$B64&amp;"'!$F$30:$AJ$30"),0))</f>
        <v>0</v>
      </c>
      <c r="K64" s="148">
        <f ca="1">J64-D64</f>
        <v>0</v>
      </c>
      <c r="M64" s="161"/>
    </row>
    <row r="65" spans="1:13" x14ac:dyDescent="0.35">
      <c r="A65" s="97"/>
      <c r="B65" s="149" t="str">
        <f>B63</f>
        <v>Essential</v>
      </c>
      <c r="C65" s="150" t="s">
        <v>138</v>
      </c>
      <c r="D65" s="151">
        <f ca="1">SUM(D59:D63)</f>
        <v>8041</v>
      </c>
      <c r="E65" s="151"/>
      <c r="F65" s="151"/>
      <c r="G65" s="151"/>
      <c r="H65" s="151"/>
      <c r="I65" s="151"/>
      <c r="J65" s="151">
        <f ca="1">SUM(J59:J64)</f>
        <v>7790.8828249999997</v>
      </c>
      <c r="K65" s="152"/>
      <c r="M65" s="168" t="b">
        <f ca="1">IF(K64&gt;0,J65=SUM(I59,K64),J65=I59)</f>
        <v>1</v>
      </c>
    </row>
    <row r="66" spans="1:13" x14ac:dyDescent="0.35">
      <c r="A66" s="97" t="str">
        <f>B66&amp;" "&amp;$B$44&amp;" "&amp;$C$44&amp;" $"</f>
        <v>Energex Small Business without CL $</v>
      </c>
      <c r="B66" s="142" t="s">
        <v>0</v>
      </c>
      <c r="C66" s="143" t="s">
        <v>191</v>
      </c>
      <c r="D66" s="144">
        <v>0</v>
      </c>
      <c r="E66" s="144">
        <f ca="1">IF($K67&lt;0,SUM(D66:D70)+$K67,SUM(D66:D70))</f>
        <v>5760</v>
      </c>
      <c r="F66" s="144">
        <f ca="1">IF($K68&lt;0,IF($K67&lt;0,E66+$K68,E66+$K67+$K68),IF($K67&lt;0,E66,E66+$K67))</f>
        <v>5462.9800350000005</v>
      </c>
      <c r="G66" s="144">
        <f ca="1">IF($K69&lt;0,IF($K68&lt;0,F66+$K69,F66+$K68+$K69),IF($K68&lt;0,F66,F66+$K68))</f>
        <v>5462.9800350000005</v>
      </c>
      <c r="H66" s="144">
        <f ca="1">IF($K70&lt;0,IF($K69&lt;0,G66+$K70,G66+$K69+$K70),IF($K69&lt;0,G66,G66+$K69))</f>
        <v>5499.2800350000007</v>
      </c>
      <c r="I66" s="144">
        <f ca="1">IF($K71&lt;0,IF($K70&lt;0,H66+$K71,H66+$K70+$K71),IF($K70&lt;0,H66,H66+$K70))</f>
        <v>5517.2674124249997</v>
      </c>
      <c r="J66" s="144">
        <v>0</v>
      </c>
      <c r="K66" s="145"/>
      <c r="M66" s="161"/>
    </row>
    <row r="67" spans="1:13" x14ac:dyDescent="0.35">
      <c r="A67" s="97"/>
      <c r="B67" s="146" t="str">
        <f>B66</f>
        <v>Energex</v>
      </c>
      <c r="C67" s="36" t="s">
        <v>69</v>
      </c>
      <c r="D67" s="13">
        <f t="array" aca="1" ref="D67" ca="1">INDEX(INDIRECT("'"&amp;$B67&amp;"'!$F$23:$AJ$39"),MATCH($C67,INDIRECT("'"&amp;$B67&amp;"'!$F$23:$F$39"),0),MATCH($B$44&amp;$C$44&amp;D$44&amp;"Cost",INDIRECT("'"&amp;$B67&amp;"'!$F$23:$AJ$23")&amp;INDIRECT("'"&amp;$B67&amp;"'!$F$24:$AJ$24")&amp;INDIRECT("'"&amp;$B67&amp;"'!$F$25:$AJ$25")&amp;INDIRECT("'"&amp;$B67&amp;"'!$F$30:$AJ$30"),0))</f>
        <v>2215.8615049999999</v>
      </c>
      <c r="E67" s="147">
        <f ca="1">ABS($J67-$D67)</f>
        <v>87.100035000000389</v>
      </c>
      <c r="F67" s="147"/>
      <c r="G67" s="147"/>
      <c r="H67" s="147"/>
      <c r="I67" s="147"/>
      <c r="J67" s="13">
        <f t="array" aca="1" ref="J67" ca="1">INDEX(INDIRECT("'"&amp;$B67&amp;"'!$F$23:$AJ$39"),MATCH($C67,INDIRECT("'"&amp;$B67&amp;"'!$F$23:$F$39"),0),MATCH($B$44&amp;$C$44&amp;J$44&amp;"Cost",INDIRECT("'"&amp;$B67&amp;"'!$F$23:$AJ$23")&amp;INDIRECT("'"&amp;$B67&amp;"'!$F$24:$AJ$24")&amp;INDIRECT("'"&amp;$B67&amp;"'!$F$25:$AJ$25")&amp;INDIRECT("'"&amp;$B67&amp;"'!$F$30:$AJ$30"),0))</f>
        <v>2302.9615400000002</v>
      </c>
      <c r="K67" s="148">
        <f ca="1">J67-D67</f>
        <v>87.100035000000389</v>
      </c>
      <c r="M67" s="161"/>
    </row>
    <row r="68" spans="1:13" x14ac:dyDescent="0.35">
      <c r="A68" s="97"/>
      <c r="B68" s="146" t="str">
        <f>B67</f>
        <v>Energex</v>
      </c>
      <c r="C68" s="36" t="s">
        <v>70</v>
      </c>
      <c r="D68" s="13">
        <f t="array" aca="1" ref="D68" ca="1">INDEX(INDIRECT("'"&amp;$B68&amp;"'!$F$23:$AJ$39"),MATCH($C68,INDIRECT("'"&amp;$B68&amp;"'!$F$23:$F$39"),0),MATCH($B$44&amp;$C$44&amp;D$44&amp;"Cost",INDIRECT("'"&amp;$B68&amp;"'!$F$23:$AJ$23")&amp;INDIRECT("'"&amp;$B68&amp;"'!$F$24:$AJ$24")&amp;INDIRECT("'"&amp;$B68&amp;"'!$F$25:$AJ$25")&amp;INDIRECT("'"&amp;$B68&amp;"'!$F$30:$AJ$30"),0))</f>
        <v>2012.78</v>
      </c>
      <c r="E68" s="147"/>
      <c r="F68" s="147">
        <f ca="1">ABS($J68-$D68)</f>
        <v>384.12000000000012</v>
      </c>
      <c r="G68" s="147"/>
      <c r="H68" s="147"/>
      <c r="I68" s="147"/>
      <c r="J68" s="13">
        <f t="array" aca="1" ref="J68" ca="1">INDEX(INDIRECT("'"&amp;$B68&amp;"'!$F$23:$AJ$39"),MATCH($C68,INDIRECT("'"&amp;$B68&amp;"'!$F$23:$F$39"),0),MATCH($B$44&amp;$C$44&amp;J$44&amp;"Cost",INDIRECT("'"&amp;$B68&amp;"'!$F$23:$AJ$23")&amp;INDIRECT("'"&amp;$B68&amp;"'!$F$24:$AJ$24")&amp;INDIRECT("'"&amp;$B68&amp;"'!$F$25:$AJ$25")&amp;INDIRECT("'"&amp;$B68&amp;"'!$F$30:$AJ$30"),0))</f>
        <v>1628.6599999999999</v>
      </c>
      <c r="K68" s="148">
        <f ca="1">J68-D68</f>
        <v>-384.12000000000012</v>
      </c>
      <c r="M68" s="161"/>
    </row>
    <row r="69" spans="1:13" x14ac:dyDescent="0.35">
      <c r="A69" s="97"/>
      <c r="B69" s="146" t="str">
        <f>B68</f>
        <v>Energex</v>
      </c>
      <c r="C69" s="36" t="s">
        <v>71</v>
      </c>
      <c r="D69" s="13">
        <f t="array" aca="1" ref="D69" ca="1">INDEX(INDIRECT("'"&amp;$B69&amp;"'!$F$23:$AJ$39"),MATCH($C69,INDIRECT("'"&amp;$B69&amp;"'!$F$23:$F$39"),0),MATCH($B$44&amp;$C$44&amp;D$44&amp;"Cost",INDIRECT("'"&amp;$B69&amp;"'!$F$23:$AJ$23")&amp;INDIRECT("'"&amp;$B69&amp;"'!$F$24:$AJ$24")&amp;INDIRECT("'"&amp;$B69&amp;"'!$F$25:$AJ$25")&amp;INDIRECT("'"&amp;$B69&amp;"'!$F$30:$AJ$30"),0))</f>
        <v>332.2</v>
      </c>
      <c r="E69" s="147"/>
      <c r="F69" s="147"/>
      <c r="G69" s="147">
        <f ca="1">ABS($J69-$D69)</f>
        <v>36.300000000000011</v>
      </c>
      <c r="H69" s="147"/>
      <c r="I69" s="147"/>
      <c r="J69" s="13">
        <f t="array" aca="1" ref="J69" ca="1">INDEX(INDIRECT("'"&amp;$B69&amp;"'!$F$23:$AJ$39"),MATCH($C69,INDIRECT("'"&amp;$B69&amp;"'!$F$23:$F$39"),0),MATCH($B$44&amp;$C$44&amp;J$44&amp;"Cost",INDIRECT("'"&amp;$B69&amp;"'!$F$23:$AJ$23")&amp;INDIRECT("'"&amp;$B69&amp;"'!$F$24:$AJ$24")&amp;INDIRECT("'"&amp;$B69&amp;"'!$F$25:$AJ$25")&amp;INDIRECT("'"&amp;$B69&amp;"'!$F$30:$AJ$30"),0))</f>
        <v>368.5</v>
      </c>
      <c r="K69" s="148">
        <f ca="1">J69-D69</f>
        <v>36.300000000000011</v>
      </c>
      <c r="M69" s="161"/>
    </row>
    <row r="70" spans="1:13" x14ac:dyDescent="0.35">
      <c r="A70" s="97"/>
      <c r="B70" s="146" t="str">
        <f>B69</f>
        <v>Energex</v>
      </c>
      <c r="C70" s="36" t="s">
        <v>72</v>
      </c>
      <c r="D70" s="13">
        <f t="array" aca="1" ref="D70" ca="1">INDEX(INDIRECT("'"&amp;$B70&amp;"'!$F$23:$AJ$39"),MATCH($C70,INDIRECT("'"&amp;$B70&amp;"'!$F$23:$F$39"),0),MATCH($B$44&amp;$C$44&amp;D$44&amp;"Cost",INDIRECT("'"&amp;$B70&amp;"'!$F$23:$AJ$23")&amp;INDIRECT("'"&amp;$B70&amp;"'!$F$24:$AJ$24")&amp;INDIRECT("'"&amp;$B70&amp;"'!$F$25:$AJ$25")&amp;INDIRECT("'"&amp;$B70&amp;"'!$F$30:$AJ$30"),0))</f>
        <v>1199.1584950000006</v>
      </c>
      <c r="E70" s="147"/>
      <c r="F70" s="147"/>
      <c r="G70" s="147"/>
      <c r="H70" s="147">
        <f ca="1">ABS($J70-$D70)</f>
        <v>17.987377424999067</v>
      </c>
      <c r="I70" s="147"/>
      <c r="J70" s="13">
        <f t="array" aca="1" ref="J70" ca="1">INDEX(INDIRECT("'"&amp;$B70&amp;"'!$F$23:$AJ$39"),MATCH($C70,INDIRECT("'"&amp;$B70&amp;"'!$F$23:$F$39"),0),MATCH($B$44&amp;$C$44&amp;J$44&amp;"Cost",INDIRECT("'"&amp;$B70&amp;"'!$F$23:$AJ$23")&amp;INDIRECT("'"&amp;$B70&amp;"'!$F$24:$AJ$24")&amp;INDIRECT("'"&amp;$B70&amp;"'!$F$25:$AJ$25")&amp;INDIRECT("'"&amp;$B70&amp;"'!$F$30:$AJ$30"),0))</f>
        <v>1217.1458724249997</v>
      </c>
      <c r="K70" s="148">
        <f ca="1">J70-D70</f>
        <v>17.987377424999067</v>
      </c>
      <c r="M70" s="161"/>
    </row>
    <row r="71" spans="1:13" x14ac:dyDescent="0.35">
      <c r="A71" s="97"/>
      <c r="B71" s="146" t="str">
        <f>B70</f>
        <v>Energex</v>
      </c>
      <c r="C71" s="36" t="s">
        <v>76</v>
      </c>
      <c r="D71" s="13">
        <f t="array" aca="1" ref="D71" ca="1">INDEX(INDIRECT("'"&amp;$B71&amp;"'!$F$23:$AJ$39"),MATCH($C71,INDIRECT("'"&amp;$B71&amp;"'!$F$23:$F$39"),0),MATCH($B$44&amp;$C$44&amp;D$44&amp;"Cost",INDIRECT("'"&amp;$B71&amp;"'!$F$23:$AJ$23")&amp;INDIRECT("'"&amp;$B71&amp;"'!$F$24:$AJ$24")&amp;INDIRECT("'"&amp;$B71&amp;"'!$F$25:$AJ$25")&amp;INDIRECT("'"&amp;$B71&amp;"'!$F$30:$AJ$30"),0))</f>
        <v>0</v>
      </c>
      <c r="E71" s="147"/>
      <c r="F71" s="147"/>
      <c r="G71" s="147"/>
      <c r="H71" s="147"/>
      <c r="I71" s="147">
        <f ca="1">ABS($J71-$D71)</f>
        <v>0</v>
      </c>
      <c r="J71" s="13">
        <f t="array" aca="1" ref="J71" ca="1">INDEX(INDIRECT("'"&amp;$B71&amp;"'!$F$23:$AJ$39"),MATCH($C71,INDIRECT("'"&amp;$B71&amp;"'!$F$23:$F$39"),0),MATCH($B$44&amp;$C$44&amp;J$44&amp;"Cost",INDIRECT("'"&amp;$B71&amp;"'!$F$23:$AJ$23")&amp;INDIRECT("'"&amp;$B71&amp;"'!$F$24:$AJ$24")&amp;INDIRECT("'"&amp;$B71&amp;"'!$F$25:$AJ$25")&amp;INDIRECT("'"&amp;$B71&amp;"'!$F$30:$AJ$30"),0))</f>
        <v>0</v>
      </c>
      <c r="K71" s="148">
        <f ca="1">J71-D71</f>
        <v>0</v>
      </c>
      <c r="M71" s="161"/>
    </row>
    <row r="72" spans="1:13" x14ac:dyDescent="0.35">
      <c r="A72" s="97"/>
      <c r="B72" s="149" t="str">
        <f>B70</f>
        <v>Energex</v>
      </c>
      <c r="C72" s="150" t="s">
        <v>138</v>
      </c>
      <c r="D72" s="151">
        <f ca="1">SUM(D66:D70)</f>
        <v>5760</v>
      </c>
      <c r="E72" s="151"/>
      <c r="F72" s="151"/>
      <c r="G72" s="151"/>
      <c r="H72" s="151"/>
      <c r="I72" s="151"/>
      <c r="J72" s="151">
        <f ca="1">SUM(J66:J71)</f>
        <v>5517.2674124249997</v>
      </c>
      <c r="K72" s="152"/>
      <c r="M72" s="168" t="b">
        <f ca="1">IF(K71&gt;0,J72=SUM(I66,K71),J72=I66)</f>
        <v>1</v>
      </c>
    </row>
    <row r="73" spans="1:13" x14ac:dyDescent="0.35">
      <c r="A73" s="97" t="str">
        <f>B73&amp;" "&amp;$B$44&amp;" "&amp;$C$44&amp;" $"</f>
        <v>SAPN Small Business without CL $</v>
      </c>
      <c r="B73" s="142" t="s">
        <v>5</v>
      </c>
      <c r="C73" s="143" t="s">
        <v>191</v>
      </c>
      <c r="D73" s="144">
        <v>0</v>
      </c>
      <c r="E73" s="144">
        <f ca="1">IF($K74&lt;0,SUM(D73:D77)+$K74,SUM(D73:D77))</f>
        <v>8305</v>
      </c>
      <c r="F73" s="144">
        <f ca="1">IF($K75&lt;0,IF($K74&lt;0,E73+$K75,E73+$K74+$K75),IF($K74&lt;0,E73,E73+$K74))</f>
        <v>7971.8803999999991</v>
      </c>
      <c r="G73" s="144">
        <f ca="1">IF($K76&lt;0,IF($K75&lt;0,F73+$K76,F73+$K75+$K76),IF($K75&lt;0,F73,F73+$K75))</f>
        <v>7971.8803999999991</v>
      </c>
      <c r="H73" s="144">
        <f ca="1">IF($K77&lt;0,IF($K76&lt;0,G73+$K77,G73+$K76+$K77),IF($K76&lt;0,G73,G73+$K76))</f>
        <v>8011.9203999999991</v>
      </c>
      <c r="I73" s="144">
        <f ca="1">IF($K78&lt;0,IF($K77&lt;0,H73+$K78,H73+$K77+$K78),IF($K77&lt;0,H73,H73+$K77))</f>
        <v>8032.7140299999992</v>
      </c>
      <c r="J73" s="144">
        <v>0</v>
      </c>
      <c r="K73" s="145"/>
      <c r="M73" s="161"/>
    </row>
    <row r="74" spans="1:13" x14ac:dyDescent="0.35">
      <c r="A74" s="97"/>
      <c r="B74" s="146" t="str">
        <f>B73</f>
        <v>SAPN</v>
      </c>
      <c r="C74" s="36" t="s">
        <v>69</v>
      </c>
      <c r="D74" s="13">
        <f t="array" aca="1" ref="D74" ca="1">INDEX(INDIRECT("'"&amp;$B74&amp;"'!$F$23:$AJ$39"),MATCH($C74,INDIRECT("'"&amp;$B74&amp;"'!$F$23:$F$39"),0),MATCH($B$44&amp;$C$44&amp;D$44&amp;"Cost",INDIRECT("'"&amp;$B74&amp;"'!$F$23:$AJ$23")&amp;INDIRECT("'"&amp;$B74&amp;"'!$F$24:$AJ$24")&amp;INDIRECT("'"&amp;$B74&amp;"'!$F$25:$AJ$25")&amp;INDIRECT("'"&amp;$B74&amp;"'!$F$30:$AJ$30"),0))</f>
        <v>3119.578</v>
      </c>
      <c r="E74" s="147">
        <f ca="1">ABS($J74-$D74)</f>
        <v>429.18039999999974</v>
      </c>
      <c r="F74" s="147"/>
      <c r="G74" s="147"/>
      <c r="H74" s="147"/>
      <c r="I74" s="147"/>
      <c r="J74" s="13">
        <f t="array" aca="1" ref="J74" ca="1">INDEX(INDIRECT("'"&amp;$B74&amp;"'!$F$23:$AJ$39"),MATCH($C74,INDIRECT("'"&amp;$B74&amp;"'!$F$23:$F$39"),0),MATCH($B$44&amp;$C$44&amp;J$44&amp;"Cost",INDIRECT("'"&amp;$B74&amp;"'!$F$23:$AJ$23")&amp;INDIRECT("'"&amp;$B74&amp;"'!$F$24:$AJ$24")&amp;INDIRECT("'"&amp;$B74&amp;"'!$F$25:$AJ$25")&amp;INDIRECT("'"&amp;$B74&amp;"'!$F$30:$AJ$30"),0))</f>
        <v>3548.7583999999997</v>
      </c>
      <c r="K74" s="148">
        <f ca="1">J74-D74</f>
        <v>429.18039999999974</v>
      </c>
      <c r="M74" s="161"/>
    </row>
    <row r="75" spans="1:13" x14ac:dyDescent="0.35">
      <c r="A75" s="97"/>
      <c r="B75" s="146" t="str">
        <f>B74</f>
        <v>SAPN</v>
      </c>
      <c r="C75" s="36" t="s">
        <v>70</v>
      </c>
      <c r="D75" s="13">
        <f t="array" aca="1" ref="D75" ca="1">INDEX(INDIRECT("'"&amp;$B75&amp;"'!$F$23:$AJ$39"),MATCH($C75,INDIRECT("'"&amp;$B75&amp;"'!$F$23:$F$39"),0),MATCH($B$44&amp;$C$44&amp;D$44&amp;"Cost",INDIRECT("'"&amp;$B75&amp;"'!$F$23:$AJ$23")&amp;INDIRECT("'"&amp;$B75&amp;"'!$F$24:$AJ$24")&amp;INDIRECT("'"&amp;$B75&amp;"'!$F$25:$AJ$25")&amp;INDIRECT("'"&amp;$B75&amp;"'!$F$30:$AJ$30"),0))</f>
        <v>3390.6400000000003</v>
      </c>
      <c r="E75" s="147"/>
      <c r="F75" s="147">
        <f ca="1">ABS($J75-$D75)</f>
        <v>762.30000000000018</v>
      </c>
      <c r="G75" s="147"/>
      <c r="H75" s="147"/>
      <c r="I75" s="147"/>
      <c r="J75" s="13">
        <f t="array" aca="1" ref="J75" ca="1">INDEX(INDIRECT("'"&amp;$B75&amp;"'!$F$23:$AJ$39"),MATCH($C75,INDIRECT("'"&amp;$B75&amp;"'!$F$23:$F$39"),0),MATCH($B$44&amp;$C$44&amp;J$44&amp;"Cost",INDIRECT("'"&amp;$B75&amp;"'!$F$23:$AJ$23")&amp;INDIRECT("'"&amp;$B75&amp;"'!$F$24:$AJ$24")&amp;INDIRECT("'"&amp;$B75&amp;"'!$F$25:$AJ$25")&amp;INDIRECT("'"&amp;$B75&amp;"'!$F$30:$AJ$30"),0))</f>
        <v>2628.34</v>
      </c>
      <c r="K75" s="148">
        <f ca="1">J75-D75</f>
        <v>-762.30000000000018</v>
      </c>
      <c r="M75" s="161"/>
    </row>
    <row r="76" spans="1:13" x14ac:dyDescent="0.35">
      <c r="A76" s="97"/>
      <c r="B76" s="146" t="str">
        <f>B75</f>
        <v>SAPN</v>
      </c>
      <c r="C76" s="36" t="s">
        <v>71</v>
      </c>
      <c r="D76" s="13">
        <f t="array" aca="1" ref="D76" ca="1">INDEX(INDIRECT("'"&amp;$B76&amp;"'!$F$23:$AJ$39"),MATCH($C76,INDIRECT("'"&amp;$B76&amp;"'!$F$23:$F$39"),0),MATCH($B$44&amp;$C$44&amp;D$44&amp;"Cost",INDIRECT("'"&amp;$B76&amp;"'!$F$23:$AJ$23")&amp;INDIRECT("'"&amp;$B76&amp;"'!$F$24:$AJ$24")&amp;INDIRECT("'"&amp;$B76&amp;"'!$F$25:$AJ$25")&amp;INDIRECT("'"&amp;$B76&amp;"'!$F$30:$AJ$30"),0))</f>
        <v>408.53999999999996</v>
      </c>
      <c r="E76" s="147"/>
      <c r="F76" s="147"/>
      <c r="G76" s="147">
        <f ca="1">ABS($J76-$D76)</f>
        <v>40.040000000000077</v>
      </c>
      <c r="H76" s="147"/>
      <c r="I76" s="147"/>
      <c r="J76" s="13">
        <f t="array" aca="1" ref="J76" ca="1">INDEX(INDIRECT("'"&amp;$B76&amp;"'!$F$23:$AJ$39"),MATCH($C76,INDIRECT("'"&amp;$B76&amp;"'!$F$23:$F$39"),0),MATCH($B$44&amp;$C$44&amp;J$44&amp;"Cost",INDIRECT("'"&amp;$B76&amp;"'!$F$23:$AJ$23")&amp;INDIRECT("'"&amp;$B76&amp;"'!$F$24:$AJ$24")&amp;INDIRECT("'"&amp;$B76&amp;"'!$F$25:$AJ$25")&amp;INDIRECT("'"&amp;$B76&amp;"'!$F$30:$AJ$30"),0))</f>
        <v>448.58000000000004</v>
      </c>
      <c r="K76" s="148">
        <f ca="1">J76-D76</f>
        <v>40.040000000000077</v>
      </c>
      <c r="M76" s="161"/>
    </row>
    <row r="77" spans="1:13" x14ac:dyDescent="0.35">
      <c r="A77" s="97"/>
      <c r="B77" s="146" t="str">
        <f>B76</f>
        <v>SAPN</v>
      </c>
      <c r="C77" s="36" t="s">
        <v>72</v>
      </c>
      <c r="D77" s="13">
        <f t="array" aca="1" ref="D77" ca="1">INDEX(INDIRECT("'"&amp;$B77&amp;"'!$F$23:$AJ$39"),MATCH($C77,INDIRECT("'"&amp;$B77&amp;"'!$F$23:$F$39"),0),MATCH($B$44&amp;$C$44&amp;D$44&amp;"Cost",INDIRECT("'"&amp;$B77&amp;"'!$F$23:$AJ$23")&amp;INDIRECT("'"&amp;$B77&amp;"'!$F$24:$AJ$24")&amp;INDIRECT("'"&amp;$B77&amp;"'!$F$25:$AJ$25")&amp;INDIRECT("'"&amp;$B77&amp;"'!$F$30:$AJ$30"),0))</f>
        <v>1386.2419999999993</v>
      </c>
      <c r="E77" s="147"/>
      <c r="F77" s="147"/>
      <c r="G77" s="147"/>
      <c r="H77" s="147">
        <f ca="1">ABS($J77-$D77)</f>
        <v>20.793630000000121</v>
      </c>
      <c r="I77" s="147"/>
      <c r="J77" s="13">
        <f t="array" aca="1" ref="J77" ca="1">INDEX(INDIRECT("'"&amp;$B77&amp;"'!$F$23:$AJ$39"),MATCH($C77,INDIRECT("'"&amp;$B77&amp;"'!$F$23:$F$39"),0),MATCH($B$44&amp;$C$44&amp;J$44&amp;"Cost",INDIRECT("'"&amp;$B77&amp;"'!$F$23:$AJ$23")&amp;INDIRECT("'"&amp;$B77&amp;"'!$F$24:$AJ$24")&amp;INDIRECT("'"&amp;$B77&amp;"'!$F$25:$AJ$25")&amp;INDIRECT("'"&amp;$B77&amp;"'!$F$30:$AJ$30"),0))</f>
        <v>1407.0356299999994</v>
      </c>
      <c r="K77" s="148">
        <f ca="1">J77-D77</f>
        <v>20.793630000000121</v>
      </c>
      <c r="M77" s="161"/>
    </row>
    <row r="78" spans="1:13" x14ac:dyDescent="0.35">
      <c r="A78" s="97"/>
      <c r="B78" s="146" t="str">
        <f>B77</f>
        <v>SAPN</v>
      </c>
      <c r="C78" s="36" t="s">
        <v>76</v>
      </c>
      <c r="D78" s="13">
        <f t="array" aca="1" ref="D78" ca="1">INDEX(INDIRECT("'"&amp;$B78&amp;"'!$F$23:$AJ$39"),MATCH($C78,INDIRECT("'"&amp;$B78&amp;"'!$F$23:$F$39"),0),MATCH($B$44&amp;$C$44&amp;D$44&amp;"Cost",INDIRECT("'"&amp;$B78&amp;"'!$F$23:$AJ$23")&amp;INDIRECT("'"&amp;$B78&amp;"'!$F$24:$AJ$24")&amp;INDIRECT("'"&amp;$B78&amp;"'!$F$25:$AJ$25")&amp;INDIRECT("'"&amp;$B78&amp;"'!$F$30:$AJ$30"),0))</f>
        <v>0</v>
      </c>
      <c r="E78" s="147"/>
      <c r="F78" s="147"/>
      <c r="G78" s="147"/>
      <c r="H78" s="147"/>
      <c r="I78" s="147">
        <f ca="1">ABS($J78-$D78)</f>
        <v>0</v>
      </c>
      <c r="J78" s="13">
        <f t="array" aca="1" ref="J78" ca="1">INDEX(INDIRECT("'"&amp;$B78&amp;"'!$F$23:$AJ$39"),MATCH($C78,INDIRECT("'"&amp;$B78&amp;"'!$F$23:$F$39"),0),MATCH($B$44&amp;$C$44&amp;J$44&amp;"Cost",INDIRECT("'"&amp;$B78&amp;"'!$F$23:$AJ$23")&amp;INDIRECT("'"&amp;$B78&amp;"'!$F$24:$AJ$24")&amp;INDIRECT("'"&amp;$B78&amp;"'!$F$25:$AJ$25")&amp;INDIRECT("'"&amp;$B78&amp;"'!$F$30:$AJ$30"),0))</f>
        <v>0</v>
      </c>
      <c r="K78" s="148">
        <f ca="1">J78-D78</f>
        <v>0</v>
      </c>
      <c r="M78" s="161"/>
    </row>
    <row r="79" spans="1:13" x14ac:dyDescent="0.35">
      <c r="A79" s="97"/>
      <c r="B79" s="149" t="str">
        <f>B77</f>
        <v>SAPN</v>
      </c>
      <c r="C79" s="150" t="s">
        <v>138</v>
      </c>
      <c r="D79" s="151">
        <f ca="1">SUM(D73:D77)</f>
        <v>8305</v>
      </c>
      <c r="E79" s="151"/>
      <c r="F79" s="151"/>
      <c r="G79" s="151"/>
      <c r="H79" s="151"/>
      <c r="I79" s="151"/>
      <c r="J79" s="151">
        <f ca="1">SUM(J73:J78)</f>
        <v>8032.7140299999992</v>
      </c>
      <c r="K79" s="152"/>
      <c r="M79" s="168" t="b">
        <f ca="1">IF(K78&gt;0,J79=SUM(I73,K78),J79=I73)</f>
        <v>1</v>
      </c>
    </row>
  </sheetData>
  <sheetProtection algorithmName="SHA-256" hashValue="A2BqwXhOveiFiBBm9yjvx9FGDcPhDYjEvNmtRFMBmJE=" saltValue="fbyMKcz2rSfgEMNM7v8HiQ==" spinCount="100000" sheet="1" objects="1" scenarios="1"/>
  <mergeCells count="1">
    <mergeCell ref="A1:B1"/>
  </mergeCells>
  <conditionalFormatting sqref="B45:K79">
    <cfRule type="expression" dxfId="1318" priority="3">
      <formula>MOD(ROW(),2)=0</formula>
    </cfRule>
  </conditionalFormatting>
  <conditionalFormatting sqref="M51:M79">
    <cfRule type="cellIs" dxfId="1317" priority="1" operator="equal">
      <formula>FALSE</formula>
    </cfRule>
    <cfRule type="cellIs" dxfId="1316"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F9:F14"/>
  <sheetViews>
    <sheetView workbookViewId="0"/>
  </sheetViews>
  <sheetFormatPr defaultColWidth="8.81640625" defaultRowHeight="14.5" x14ac:dyDescent="0.35"/>
  <cols>
    <col min="1" max="16384" width="8.81640625" style="3"/>
  </cols>
  <sheetData>
    <row r="9" spans="6:6" ht="36" x14ac:dyDescent="0.35">
      <c r="F9" s="2" t="s">
        <v>184</v>
      </c>
    </row>
    <row r="10" spans="6:6" ht="36" x14ac:dyDescent="0.35">
      <c r="F10" s="2" t="str">
        <f>"DMO "&amp;FY</f>
        <v>DMO 2021-22</v>
      </c>
    </row>
    <row r="11" spans="6:6" ht="23.5" x14ac:dyDescent="0.35">
      <c r="F11" s="4" t="s">
        <v>185</v>
      </c>
    </row>
    <row r="12" spans="6:6" ht="23.5" x14ac:dyDescent="0.35">
      <c r="F12" s="4"/>
    </row>
    <row r="13" spans="6:6" x14ac:dyDescent="0.35">
      <c r="F13" s="5"/>
    </row>
    <row r="14" spans="6:6" x14ac:dyDescent="0.35">
      <c r="F14" s="5"/>
    </row>
  </sheetData>
  <sheetProtection algorithmName="SHA-256" hashValue="bUW0za/+OettdrtPpKr1R9aSrpiDOQdI5uk2oi5ggxE=" saltValue="Rg8OwSYzg3Z5iipOL98gDA==" spinCount="100000" sheet="1" objects="1" scenario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4" customHeight="1" x14ac:dyDescent="0.35">
      <c r="A1" s="274" t="s">
        <v>22</v>
      </c>
      <c r="B1" s="300"/>
    </row>
    <row r="2" spans="1:34" s="14" customFormat="1" ht="22.5" customHeight="1" x14ac:dyDescent="0.35">
      <c r="A2" s="15" t="s">
        <v>2</v>
      </c>
    </row>
    <row r="3" spans="1:34" s="97" customFormat="1" ht="15" thickBot="1" x14ac:dyDescent="0.4">
      <c r="C3" s="97" t="str">
        <f>$A$2&amp;" "&amp;C6&amp;" "&amp;C7</f>
        <v>Ausgrid Residential without CL</v>
      </c>
      <c r="D3" s="97" t="str">
        <f>$A$2&amp;" "&amp;D6&amp;" "&amp;D7</f>
        <v>Ausgrid Residential with CL</v>
      </c>
      <c r="E3" s="97" t="str">
        <f>$A$2&amp;" "&amp;E6&amp;" "&amp;E7</f>
        <v>Ausgrid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1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149999999999999" customHeight="1" x14ac:dyDescent="0.35">
      <c r="B6" s="307" t="str">
        <f>A2</f>
        <v>Ausgrid</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149999999999999" customHeight="1" x14ac:dyDescent="0.35">
      <c r="B7" s="307"/>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15"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28">
        <f ca="1">ROUND(H39,0)</f>
        <v>1393</v>
      </c>
      <c r="D9" s="228">
        <f ca="1">ROUND(Q39,0)</f>
        <v>1912</v>
      </c>
      <c r="E9" s="228">
        <f ca="1">ROUND(Z39,0)</f>
        <v>6900</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15"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149999999999999" customHeight="1" x14ac:dyDescent="0.35">
      <c r="B11" s="65" t="s">
        <v>52</v>
      </c>
      <c r="C11" s="66">
        <f>SUM(C12:C13)</f>
        <v>3900</v>
      </c>
      <c r="D11" s="66">
        <f>SUM(D12:D13)</f>
        <v>6800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149999999999999" customHeight="1" x14ac:dyDescent="0.35">
      <c r="B12" s="67" t="s">
        <v>56</v>
      </c>
      <c r="C12" s="68">
        <f t="array" ref="C12">INDEX(Usage!$B$5:$M$18,MATCH($B6,Usage!$B$5:$B$18,0),MATCH(C$6&amp;C$7&amp;"Flat rate"&amp;"Total",Usage!$B$5:$M$5&amp;Usage!$B$6:$M$6&amp;Usage!$B$7:$M$7&amp;Usage!$B$13:$M$13,0))</f>
        <v>3900</v>
      </c>
      <c r="D12" s="68">
        <f t="array" ref="D12">INDEX(Usage!$B$5:$M$18,MATCH($B6,Usage!$B$5:$B$18,0),MATCH(D$6&amp;D$7&amp;"Flat rate"&amp;"Total",Usage!$B$5:$M$5&amp;Usage!$B$6:$M$6&amp;Usage!$B$7:$M$7&amp;Usage!$B$13:$M$13,0))</f>
        <v>4800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149999999999999" customHeight="1" x14ac:dyDescent="0.35">
      <c r="B13" s="67" t="s">
        <v>55</v>
      </c>
      <c r="C13" s="68"/>
      <c r="D13" s="68">
        <f t="array" ref="D13">INDEX(Usage!$B$5:$M$18,MATCH($B6,Usage!$B$5:$B$18,0),MATCH(D$6&amp;D$7&amp;"CL"&amp;"Total",Usage!$B$5:$M$5&amp;Usage!$B$6:$M$6&amp;Usage!$B$7:$M$7&amp;Usage!$B$13:$M$13,0))</f>
        <v>2000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15"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149999999999999" customHeight="1" x14ac:dyDescent="0.35">
      <c r="B15" s="67" t="str">
        <f>"Change from DMO "&amp;PY&amp; " price ($)"</f>
        <v>Change from DMO 2020-21 price ($)</v>
      </c>
      <c r="C15" s="176">
        <f ca="1">C9-H32</f>
        <v>-69</v>
      </c>
      <c r="D15" s="176">
        <f ca="1">D9-Q32</f>
        <v>-112</v>
      </c>
      <c r="E15" s="176">
        <f ca="1">E9-Z32</f>
        <v>-340</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149999999999999" customHeight="1" thickBot="1" x14ac:dyDescent="0.4">
      <c r="B16" s="70" t="str">
        <f>"Change from DMO "&amp;PY&amp; " price (%)"</f>
        <v>Change from DMO 2020-21 price (%)</v>
      </c>
      <c r="C16" s="140">
        <f ca="1">C9/H32-1</f>
        <v>-4.7195622435020512E-2</v>
      </c>
      <c r="D16" s="140">
        <f ca="1">D9/Q32-1</f>
        <v>-5.5335968379446654E-2</v>
      </c>
      <c r="E16" s="140">
        <f ca="1">E9/Z32-1</f>
        <v>-4.6961325966850875E-2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t="s">
        <v>37</v>
      </c>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04" t="s">
        <v>36</v>
      </c>
      <c r="G27" s="113"/>
      <c r="H27" s="303" t="s">
        <v>6</v>
      </c>
      <c r="I27" s="303"/>
      <c r="J27" s="303"/>
      <c r="K27" s="303"/>
      <c r="L27" s="303"/>
      <c r="M27" s="303"/>
      <c r="N27" s="303"/>
      <c r="O27" s="303"/>
      <c r="P27" s="108"/>
      <c r="Q27" s="303" t="s">
        <v>6</v>
      </c>
      <c r="R27" s="303"/>
      <c r="S27" s="303"/>
      <c r="T27" s="303"/>
      <c r="U27" s="303"/>
      <c r="V27" s="303"/>
      <c r="W27" s="303"/>
      <c r="X27" s="303"/>
      <c r="Y27" s="49"/>
      <c r="Z27" s="303" t="s">
        <v>86</v>
      </c>
      <c r="AA27" s="303"/>
      <c r="AB27" s="303"/>
      <c r="AC27" s="303"/>
      <c r="AD27" s="303"/>
      <c r="AE27" s="303"/>
      <c r="AF27" s="303"/>
      <c r="AG27" s="303"/>
    </row>
    <row r="28" spans="2:34" ht="15" thickBot="1" x14ac:dyDescent="0.4">
      <c r="F28" s="304"/>
      <c r="G28" s="113"/>
      <c r="H28" s="306" t="s">
        <v>150</v>
      </c>
      <c r="I28" s="306"/>
      <c r="J28" s="306"/>
      <c r="K28" s="306"/>
      <c r="L28" s="306"/>
      <c r="M28" s="306"/>
      <c r="N28" s="306"/>
      <c r="O28" s="306"/>
      <c r="P28" s="108"/>
      <c r="Q28" s="306" t="s">
        <v>151</v>
      </c>
      <c r="R28" s="306"/>
      <c r="S28" s="306"/>
      <c r="T28" s="306"/>
      <c r="U28" s="306"/>
      <c r="V28" s="306"/>
      <c r="W28" s="306"/>
      <c r="X28" s="306"/>
      <c r="Y28" s="49"/>
      <c r="Z28" s="306" t="s">
        <v>150</v>
      </c>
      <c r="AA28" s="306"/>
      <c r="AB28" s="306"/>
      <c r="AC28" s="306"/>
      <c r="AD28" s="306"/>
      <c r="AE28" s="306"/>
      <c r="AF28" s="306"/>
      <c r="AG28" s="306"/>
    </row>
    <row r="29" spans="2:34" ht="15" customHeight="1" thickTop="1" x14ac:dyDescent="0.35">
      <c r="F29" s="304"/>
      <c r="G29" s="114"/>
      <c r="H29" s="49" t="s">
        <v>75</v>
      </c>
      <c r="I29" s="305" t="str">
        <f>PY</f>
        <v>2020-21</v>
      </c>
      <c r="J29" s="305"/>
      <c r="K29" s="49"/>
      <c r="L29" s="305" t="str">
        <f>FY</f>
        <v>2021-22</v>
      </c>
      <c r="M29" s="305"/>
      <c r="N29" s="305"/>
      <c r="O29" s="305"/>
      <c r="P29" s="51"/>
      <c r="Q29" s="49" t="s">
        <v>75</v>
      </c>
      <c r="R29" s="305" t="str">
        <f>PY</f>
        <v>2020-21</v>
      </c>
      <c r="S29" s="305"/>
      <c r="T29" s="49"/>
      <c r="U29" s="305" t="str">
        <f>FY</f>
        <v>2021-22</v>
      </c>
      <c r="V29" s="305"/>
      <c r="W29" s="305"/>
      <c r="X29" s="305"/>
      <c r="Y29" s="50"/>
      <c r="Z29" s="49" t="s">
        <v>75</v>
      </c>
      <c r="AA29" s="305" t="str">
        <f>PY</f>
        <v>2020-21</v>
      </c>
      <c r="AB29" s="305"/>
      <c r="AC29" s="49"/>
      <c r="AD29" s="305" t="str">
        <f>FY</f>
        <v>2021-22</v>
      </c>
      <c r="AE29" s="305"/>
      <c r="AF29" s="305"/>
      <c r="AG29" s="305"/>
    </row>
    <row r="30" spans="2:34" ht="26" x14ac:dyDescent="0.35">
      <c r="D30" s="38"/>
      <c r="F30" s="304"/>
      <c r="G30" s="114"/>
      <c r="H30" s="72"/>
      <c r="I30" s="50" t="s">
        <v>25</v>
      </c>
      <c r="J30" s="50" t="s">
        <v>27</v>
      </c>
      <c r="K30" s="49"/>
      <c r="L30" s="50" t="s">
        <v>24</v>
      </c>
      <c r="M30" s="52" t="s">
        <v>200</v>
      </c>
      <c r="N30" s="51" t="s">
        <v>25</v>
      </c>
      <c r="O30" s="51" t="s">
        <v>27</v>
      </c>
      <c r="P30" s="51"/>
      <c r="Q30" s="49"/>
      <c r="R30" s="50" t="s">
        <v>25</v>
      </c>
      <c r="S30" s="50" t="s">
        <v>27</v>
      </c>
      <c r="T30" s="49"/>
      <c r="U30" s="50" t="s">
        <v>24</v>
      </c>
      <c r="V30" s="52" t="s">
        <v>54</v>
      </c>
      <c r="W30" s="51" t="s">
        <v>25</v>
      </c>
      <c r="X30" s="51" t="s">
        <v>27</v>
      </c>
      <c r="Y30" s="50"/>
      <c r="Z30" s="49"/>
      <c r="AA30" s="50" t="s">
        <v>25</v>
      </c>
      <c r="AB30" s="50" t="s">
        <v>27</v>
      </c>
      <c r="AC30" s="49"/>
      <c r="AD30" s="50" t="s">
        <v>24</v>
      </c>
      <c r="AE30" s="52" t="s">
        <v>54</v>
      </c>
      <c r="AF30" s="51" t="s">
        <v>25</v>
      </c>
      <c r="AG30" s="51" t="s">
        <v>27</v>
      </c>
    </row>
    <row r="31" spans="2:34" ht="15" customHeight="1" x14ac:dyDescent="0.35">
      <c r="F31" s="304"/>
      <c r="G31" s="114"/>
      <c r="H31" s="50" t="s">
        <v>77</v>
      </c>
      <c r="I31" s="50" t="s">
        <v>49</v>
      </c>
      <c r="J31" s="50" t="s">
        <v>31</v>
      </c>
      <c r="K31" s="49"/>
      <c r="L31" s="50" t="s">
        <v>31</v>
      </c>
      <c r="M31" s="50" t="s">
        <v>31</v>
      </c>
      <c r="N31" s="51" t="s">
        <v>49</v>
      </c>
      <c r="O31" s="51" t="s">
        <v>31</v>
      </c>
      <c r="P31" s="51"/>
      <c r="Q31" s="50"/>
      <c r="R31" s="50" t="s">
        <v>49</v>
      </c>
      <c r="S31" s="50" t="s">
        <v>31</v>
      </c>
      <c r="T31" s="49"/>
      <c r="U31" s="50" t="s">
        <v>31</v>
      </c>
      <c r="V31" s="50" t="s">
        <v>31</v>
      </c>
      <c r="W31" s="51" t="s">
        <v>49</v>
      </c>
      <c r="X31" s="51" t="s">
        <v>31</v>
      </c>
      <c r="Y31" s="50"/>
      <c r="Z31" s="50"/>
      <c r="AA31" s="50" t="s">
        <v>49</v>
      </c>
      <c r="AB31" s="50" t="s">
        <v>31</v>
      </c>
      <c r="AC31" s="49"/>
      <c r="AD31" s="50" t="s">
        <v>31</v>
      </c>
      <c r="AE31" s="50"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1462</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2024</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7240</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540.11745150000002</v>
      </c>
      <c r="J33" s="59">
        <f ca="1">I33/H$32</f>
        <v>0.36943738132694942</v>
      </c>
      <c r="K33" s="59"/>
      <c r="L33" s="71">
        <f t="array" aca="1" ref="L33" ca="1">INDEX(INDIRECT("'"&amp;$F33&amp;"'!$B$3:$T$300"),MATCH($B$6&amp;H$27&amp;H$28&amp;"Total inc GST",INDIRECT("'"&amp;$F33&amp;"'!$B$3:$B$300")&amp;INDIRECT("'"&amp;$F33&amp;"'!$C$3:$C$300")&amp;INDIRECT("'"&amp;$F33&amp;"'!$D$3:$D$300")&amp;INDIRECT("'"&amp;$F33&amp;"'!$G$3:$G$300"),0),MATCH(L$29&amp;L$30,INDIRECT("'"&amp;$F33&amp;"'!$B$4:$T$4")&amp;INDIRECT("'"&amp;$F33&amp;"'!$B$5:$T$5"),0))</f>
        <v>3.0592239621422435E-2</v>
      </c>
      <c r="M33" s="59">
        <f ca="1">J33*L33</f>
        <v>1.1301916894664851E-2</v>
      </c>
      <c r="N33" s="58">
        <f t="array" aca="1" ref="N33" ca="1">INDEX(INDIRECT("'"&amp;$F33&amp;"'!$B$3:$T$300"),MATCH($B$6&amp;H$27&amp;H$28&amp;"Total inc GST",INDIRECT("'"&amp;$F33&amp;"'!$B$3:$B$300")&amp;INDIRECT("'"&amp;$F33&amp;"'!$C$3:$C$300")&amp;INDIRECT("'"&amp;$F33&amp;"'!$D$3:$D$300")&amp;INDIRECT("'"&amp;$F33&amp;"'!$G$3:$G$300"),0),MATCH(L$29&amp;N$30,INDIRECT("'"&amp;$F33&amp;"'!$B$4:$T$4")&amp;INDIRECT("'"&amp;$F33&amp;"'!$B$5:$T$5"),0))</f>
        <v>556.64085399999999</v>
      </c>
      <c r="O33" s="59">
        <f ca="1">N33/H$39</f>
        <v>0.39945658796015954</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710.50495592999982</v>
      </c>
      <c r="S33" s="59">
        <f ca="1">R33/Q$32</f>
        <v>0.35103999798913033</v>
      </c>
      <c r="T33" s="59"/>
      <c r="U33" s="71">
        <f t="array" aca="1" ref="U33" ca="1">INDEX(INDIRECT("'"&amp;$F33&amp;"'!$B$3:$T$300"),MATCH($B$6&amp;Q$27&amp;Q$28&amp;"Total inc GST",INDIRECT("'"&amp;$F33&amp;"'!$B$3:$B$300")&amp;INDIRECT("'"&amp;$F33&amp;"'!$C$3:$C$300")&amp;INDIRECT("'"&amp;$F33&amp;"'!$D$3:$D$300")&amp;INDIRECT("'"&amp;$F33&amp;"'!$G$3:$G$300"),0),MATCH(U$29&amp;U$30,INDIRECT("'"&amp;$F33&amp;"'!$B$4:$T$4")&amp;INDIRECT("'"&amp;$F33&amp;"'!$B$5:$T$5"),0))</f>
        <v>2.6911104286349463E-2</v>
      </c>
      <c r="V33" s="59">
        <f ca="1">S33*U33</f>
        <v>9.4468739945653916E-3</v>
      </c>
      <c r="W33" s="58">
        <f t="array" aca="1" ref="W33" ca="1">INDEX(INDIRECT("'"&amp;$F33&amp;"'!$B$3:$T$300"),MATCH($B$6&amp;Q$27&amp;Q$28&amp;"Total inc GST",INDIRECT("'"&amp;$F33&amp;"'!$B$3:$B$300")&amp;INDIRECT("'"&amp;$F33&amp;"'!$C$3:$C$300")&amp;INDIRECT("'"&amp;$F33&amp;"'!$D$3:$D$300")&amp;INDIRECT("'"&amp;$F33&amp;"'!$G$3:$G$300"),0),MATCH(U$29&amp;W$30,INDIRECT("'"&amp;$F33&amp;"'!$B$4:$T$4")&amp;INDIRECT("'"&amp;$F33&amp;"'!$B$5:$T$5"),0))</f>
        <v>729.62542889500014</v>
      </c>
      <c r="X33" s="59">
        <f ca="1">W33/Q$39</f>
        <v>0.38161966373816364</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2211.6951064999998</v>
      </c>
      <c r="AB33" s="59">
        <f ca="1">AA33/Z$32</f>
        <v>0.30548274951657456</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4.1270353554494488E-2</v>
      </c>
      <c r="AE33" s="59">
        <f ca="1">AB33*AD33</f>
        <v>1.2607381077348111E-2</v>
      </c>
      <c r="AF33" s="58">
        <f t="array" aca="1" ref="AF33" ca="1">INDEX(INDIRECT("'"&amp;$F33&amp;"'!$B$3:$T$300"),MATCH($B$6&amp;Z$27&amp;Z$28&amp;"Total inc GST",INDIRECT("'"&amp;$F33&amp;"'!$B$3:$B$300")&amp;INDIRECT("'"&amp;$F33&amp;"'!$C$3:$C$300")&amp;INDIRECT("'"&amp;$F33&amp;"'!$D$3:$D$300")&amp;INDIRECT("'"&amp;$F33&amp;"'!$G$3:$G$300"),0),MATCH(AD$29&amp;AF$30,INDIRECT("'"&amp;$F33&amp;"'!$B$4:$T$4")&amp;INDIRECT("'"&amp;$F33&amp;"'!$B$5:$T$5"),0))</f>
        <v>2302.9725455000003</v>
      </c>
      <c r="AG33" s="59">
        <f ca="1">AF33/Z$39</f>
        <v>0.33377641843376499</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476.44740000000002</v>
      </c>
      <c r="J34" s="59">
        <f ca="1">I34/H$32</f>
        <v>0.32588741450068398</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-0.20817576084999101</v>
      </c>
      <c r="M34" s="59">
        <f ca="1">J34*L34</f>
        <v>-6.7841860465116283E-2</v>
      </c>
      <c r="N34" s="58">
        <f t="array" aca="1" ref="N34" ca="1">INDEX(INDIRECT("'"&amp;$F34&amp;"'!$B$3:$T$300"),MATCH($B$6&amp;H$27&amp;H$28&amp;"Total inc GST",INDIRECT("'"&amp;$F34&amp;"'!$B$3:$B$300")&amp;INDIRECT("'"&amp;$F34&amp;"'!$C$3:$C$300")&amp;INDIRECT("'"&amp;$F34&amp;"'!$D$3:$D$300")&amp;INDIRECT("'"&amp;$F34&amp;"'!$G$3:$G$300"),0),MATCH(L$29&amp;N$30,INDIRECT("'"&amp;$F34&amp;"'!$B$4:$T$4")&amp;INDIRECT("'"&amp;$F34&amp;"'!$B$5:$T$5"),0))</f>
        <v>377.26260000000002</v>
      </c>
      <c r="O34" s="59">
        <f ca="1">N34/H$39</f>
        <v>0.27073117231344734</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747.8541399999998</v>
      </c>
      <c r="S34" s="59">
        <f ca="1">R34/Q$32</f>
        <v>0.36949315217391293</v>
      </c>
      <c r="T34" s="59"/>
      <c r="U34" s="71">
        <f t="array" aca="1" ref="U34" ca="1">INDEX(INDIRECT("'"&amp;$F34&amp;"'!$B$3:$T$300"),MATCH($B$6&amp;Q$27&amp;Q$28&amp;"Total inc GST",INDIRECT("'"&amp;$F34&amp;"'!$B$3:$B$300")&amp;INDIRECT("'"&amp;$F34&amp;"'!$C$3:$C$300")&amp;INDIRECT("'"&amp;$F34&amp;"'!$D$3:$D$300")&amp;INDIRECT("'"&amp;$F34&amp;"'!$G$3:$G$300"),0),MATCH(U$29&amp;U$30,INDIRECT("'"&amp;$F34&amp;"'!$B$4:$T$4")&amp;INDIRECT("'"&amp;$F34&amp;"'!$B$5:$T$5"),0))</f>
        <v>-0.20420982091507833</v>
      </c>
      <c r="V34" s="59">
        <f ca="1">S34*U34</f>
        <v>-7.5454130434782551E-2</v>
      </c>
      <c r="W34" s="58">
        <f t="array" aca="1" ref="W34" ca="1">INDEX(INDIRECT("'"&amp;$F34&amp;"'!$B$3:$T$300"),MATCH($B$6&amp;Q$27&amp;Q$28&amp;"Total inc GST",INDIRECT("'"&amp;$F34&amp;"'!$B$3:$B$300")&amp;INDIRECT("'"&amp;$F34&amp;"'!$C$3:$C$300")&amp;INDIRECT("'"&amp;$F34&amp;"'!$D$3:$D$300")&amp;INDIRECT("'"&amp;$F34&amp;"'!$G$3:$G$300"),0),MATCH(U$29&amp;W$30,INDIRECT("'"&amp;$F34&amp;"'!$B$4:$T$4")&amp;INDIRECT("'"&amp;$F34&amp;"'!$B$5:$T$5"),0))</f>
        <v>595.13497999999993</v>
      </c>
      <c r="X34" s="59">
        <f ca="1">W34/Q$39</f>
        <v>0.31127644672469701</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2443.3199999999997</v>
      </c>
      <c r="AB34" s="59">
        <f ca="1">AA34/Z$32</f>
        <v>0.33747513812154695</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-0.20817576084999101</v>
      </c>
      <c r="AE34" s="59">
        <f ca="1">AB34*AD34</f>
        <v>-7.0254143646408848E-2</v>
      </c>
      <c r="AF34" s="58">
        <f t="array" aca="1" ref="AF34" ca="1">INDEX(INDIRECT("'"&amp;$F34&amp;"'!$B$3:$T$300"),MATCH($B$6&amp;Z$27&amp;Z$28&amp;"Total inc GST",INDIRECT("'"&amp;$F34&amp;"'!$B$3:$B$300")&amp;INDIRECT("'"&amp;$F34&amp;"'!$C$3:$C$300")&amp;INDIRECT("'"&amp;$F34&amp;"'!$D$3:$D$300")&amp;INDIRECT("'"&amp;$F34&amp;"'!$G$3:$G$300"),0),MATCH(AD$29&amp;AF$30,INDIRECT("'"&amp;$F34&amp;"'!$B$4:$T$4")&amp;INDIRECT("'"&amp;$F34&amp;"'!$B$5:$T$5"),0))</f>
        <v>1934.6799999999998</v>
      </c>
      <c r="AG34" s="59">
        <f ca="1">AF34/Z$39</f>
        <v>0.28039872315335701</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73.659299999999988</v>
      </c>
      <c r="J35" s="59">
        <f ca="1">I35/H$32</f>
        <v>5.0382558139534878E-2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0.11648223645894018</v>
      </c>
      <c r="M35" s="59">
        <f ca="1">J35*L35</f>
        <v>5.8686730506156025E-3</v>
      </c>
      <c r="N35" s="58">
        <f t="array" aca="1" ref="N35" ca="1">INDEX(INDIRECT("'"&amp;$F35&amp;"'!$B$3:$T$300"),MATCH($B$6&amp;H$27&amp;H$28&amp;"Total inc GST",INDIRECT("'"&amp;$F35&amp;"'!$B$3:$B$300")&amp;INDIRECT("'"&amp;$F35&amp;"'!$C$3:$C$300")&amp;INDIRECT("'"&amp;$F35&amp;"'!$D$3:$D$300")&amp;INDIRECT("'"&amp;$F35&amp;"'!$G$3:$G$300"),0),MATCH(L$29&amp;N$30,INDIRECT("'"&amp;$F35&amp;"'!$B$4:$T$4")&amp;INDIRECT("'"&amp;$F35&amp;"'!$B$5:$T$5"),0))</f>
        <v>82.2393</v>
      </c>
      <c r="O35" s="59">
        <f ca="1">N35/H$39</f>
        <v>5.9016563261869291E-2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128.54160000000002</v>
      </c>
      <c r="S35" s="59">
        <f ca="1">R35/Q$32</f>
        <v>6.3508695652173916E-2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0.11638255630861916</v>
      </c>
      <c r="V35" s="59">
        <f ca="1">S35*U35</f>
        <v>7.391304347826087E-3</v>
      </c>
      <c r="W35" s="58">
        <f t="array" aca="1" ref="W35" ca="1">INDEX(INDIRECT("'"&amp;$F35&amp;"'!$B$3:$T$300"),MATCH($B$6&amp;Q$27&amp;Q$28&amp;"Total inc GST",INDIRECT("'"&amp;$F35&amp;"'!$B$3:$B$300")&amp;INDIRECT("'"&amp;$F35&amp;"'!$C$3:$C$300")&amp;INDIRECT("'"&amp;$F35&amp;"'!$D$3:$D$300")&amp;INDIRECT("'"&amp;$F35&amp;"'!$G$3:$G$300"),0),MATCH(U$29&amp;W$30,INDIRECT("'"&amp;$F35&amp;"'!$B$4:$T$4")&amp;INDIRECT("'"&amp;$F35&amp;"'!$B$5:$T$5"),0))</f>
        <v>143.50160000000002</v>
      </c>
      <c r="X35" s="59">
        <f ca="1">W35/Q$39</f>
        <v>7.5056364771751094E-2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377.74</v>
      </c>
      <c r="AB35" s="59">
        <f ca="1">AA35/Z$32</f>
        <v>5.2174033149171274E-2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0.11648223645893996</v>
      </c>
      <c r="AE35" s="59">
        <f ca="1">AB35*AD35</f>
        <v>6.0773480662983399E-3</v>
      </c>
      <c r="AF35" s="58">
        <f t="array" aca="1" ref="AF35" ca="1">INDEX(INDIRECT("'"&amp;$F35&amp;"'!$B$3:$T$300"),MATCH($B$6&amp;Z$27&amp;Z$28&amp;"Total inc GST",INDIRECT("'"&amp;$F35&amp;"'!$B$3:$B$300")&amp;INDIRECT("'"&amp;$F35&amp;"'!$C$3:$C$300")&amp;INDIRECT("'"&amp;$F35&amp;"'!$D$3:$D$300")&amp;INDIRECT("'"&amp;$F35&amp;"'!$G$3:$G$300"),0),MATCH(AD$29&amp;AF$30,INDIRECT("'"&amp;$F35&amp;"'!$B$4:$T$4")&amp;INDIRECT("'"&amp;$F35&amp;"'!$B$5:$T$5"),0))</f>
        <v>421.74</v>
      </c>
      <c r="AG35" s="59">
        <f ca="1">AF35/Z$39</f>
        <v>6.1123988206161634E-2</v>
      </c>
    </row>
    <row r="36" spans="2:33" ht="15" customHeight="1" x14ac:dyDescent="0.35">
      <c r="C36" s="252"/>
      <c r="F36" s="61" t="s">
        <v>72</v>
      </c>
      <c r="G36" s="61"/>
      <c r="H36" s="60"/>
      <c r="I36" s="58">
        <f ca="1">H32-SUM(I33:I35,I38)</f>
        <v>371.77584849999994</v>
      </c>
      <c r="J36" s="59">
        <f ca="1">I36/H$32</f>
        <v>0.25429264603283169</v>
      </c>
      <c r="K36" s="59"/>
      <c r="L36" s="251">
        <f>CPI</f>
        <v>1.4999999999999999E-2</v>
      </c>
      <c r="M36" s="59">
        <f ca="1">J36*L36</f>
        <v>3.8143896904924753E-3</v>
      </c>
      <c r="N36" s="58">
        <f ca="1">H39-SUM(N33:N35,N38)</f>
        <v>377.35248622750009</v>
      </c>
      <c r="O36" s="59">
        <f ca="1">N36/H$39</f>
        <v>0.2707956764645239</v>
      </c>
      <c r="P36" s="59"/>
      <c r="Q36" s="59"/>
      <c r="R36" s="58">
        <f ca="1">Q32-SUM(R33:R35,R38)</f>
        <v>437.09930407000047</v>
      </c>
      <c r="S36" s="59">
        <f ca="1">R36/Q$32</f>
        <v>0.21595815418478284</v>
      </c>
      <c r="T36" s="59"/>
      <c r="U36" s="251">
        <f>CPI</f>
        <v>1.4999999999999999E-2</v>
      </c>
      <c r="V36" s="59">
        <f ca="1">S36*U36</f>
        <v>3.2393723127717424E-3</v>
      </c>
      <c r="W36" s="58">
        <f ca="1">Q39-SUM(W33:W35,W38)</f>
        <v>443.6557936310503</v>
      </c>
      <c r="X36" s="59">
        <f ca="1">W36/Q$39</f>
        <v>0.2320475247653882</v>
      </c>
      <c r="Y36" s="60"/>
      <c r="Z36" s="60"/>
      <c r="AA36" s="58">
        <f ca="1">Z32-SUM(AA33:AA35,AA38)</f>
        <v>2207.2448935000011</v>
      </c>
      <c r="AB36" s="59">
        <f ca="1">AA36/Z$32</f>
        <v>0.30486807921270731</v>
      </c>
      <c r="AC36" s="59"/>
      <c r="AD36" s="251">
        <f>CPI</f>
        <v>1.4999999999999999E-2</v>
      </c>
      <c r="AE36" s="59">
        <f ca="1">AB36*AD36</f>
        <v>4.5730211881906098E-3</v>
      </c>
      <c r="AF36" s="58">
        <f ca="1">Z39-SUM(AF33:AF35,AF38)</f>
        <v>2240.3535669025005</v>
      </c>
      <c r="AG36" s="59">
        <f ca="1">AF36/Z$39</f>
        <v>0.3247008702067164</v>
      </c>
    </row>
    <row r="37" spans="2:33" s="5" customFormat="1" ht="15" customHeight="1" x14ac:dyDescent="0.35">
      <c r="F37" s="61" t="s">
        <v>78</v>
      </c>
      <c r="G37" s="57"/>
      <c r="H37" s="60"/>
      <c r="I37" s="59"/>
      <c r="J37" s="59"/>
      <c r="K37" s="59"/>
      <c r="L37" s="59">
        <f ca="1">SUMPRODUCT(J33:J36,L33:L36)</f>
        <v>-4.6856880829343354E-2</v>
      </c>
      <c r="M37" s="59"/>
      <c r="N37" s="59"/>
      <c r="O37" s="59"/>
      <c r="P37" s="59"/>
      <c r="Q37" s="59"/>
      <c r="R37" s="59"/>
      <c r="S37" s="59"/>
      <c r="T37" s="59"/>
      <c r="U37" s="59">
        <f ca="1">SUMPRODUCT(S33:S36,U33:U36)</f>
        <v>-5.5376579779619323E-2</v>
      </c>
      <c r="V37" s="59"/>
      <c r="W37" s="59"/>
      <c r="X37" s="59"/>
      <c r="Y37" s="60"/>
      <c r="Z37" s="60"/>
      <c r="AA37" s="59"/>
      <c r="AB37" s="59"/>
      <c r="AC37" s="59"/>
      <c r="AD37" s="59">
        <f ca="1">SUMPRODUCT(AB33:AB36,AD33:AD36)</f>
        <v>-4.6996393314571783E-2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1393.4952402275001</v>
      </c>
      <c r="I39" s="106"/>
      <c r="J39" s="106"/>
      <c r="K39" s="106"/>
      <c r="L39" s="106">
        <f ca="1">H39/H32-1</f>
        <v>-4.6856880829343361E-2</v>
      </c>
      <c r="M39" s="106"/>
      <c r="N39" s="106"/>
      <c r="O39" s="106"/>
      <c r="P39" s="106"/>
      <c r="Q39" s="105">
        <f ca="1">Q32*(1+U37)+W38</f>
        <v>1911.9178025260505</v>
      </c>
      <c r="R39" s="105"/>
      <c r="S39" s="106"/>
      <c r="T39" s="106"/>
      <c r="U39" s="106">
        <f ca="1">Q39/Q32-1</f>
        <v>-5.5376579779619295E-2</v>
      </c>
      <c r="V39" s="106"/>
      <c r="W39" s="107"/>
      <c r="X39" s="107"/>
      <c r="Y39" s="107"/>
      <c r="Z39" s="105">
        <f ca="1">Z32*(1+AD37)+AF38</f>
        <v>6899.7461124025003</v>
      </c>
      <c r="AA39" s="105"/>
      <c r="AB39" s="106"/>
      <c r="AC39" s="106"/>
      <c r="AD39" s="106">
        <f ca="1">Z39/Z32-1</f>
        <v>-4.6996393314571727E-2</v>
      </c>
      <c r="AE39" s="106"/>
      <c r="AF39" s="106"/>
      <c r="AG39" s="106"/>
    </row>
    <row r="40" spans="2:33" ht="15" thickTop="1" x14ac:dyDescent="0.35">
      <c r="F40" s="162"/>
    </row>
    <row r="41" spans="2:33" x14ac:dyDescent="0.35">
      <c r="F41" s="139"/>
      <c r="M41" s="252"/>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XJnUMJn6FudCSR9dAfqvUCnAMqaolrKhFSPAGJVQ2r0=" saltValue="+mCHvWFMBvOJkkCASbiYnA==" spinCount="100000" sheet="1" objects="1" scenarios="1"/>
  <mergeCells count="15">
    <mergeCell ref="A1:B1"/>
    <mergeCell ref="H28:O28"/>
    <mergeCell ref="B6:B7"/>
    <mergeCell ref="H27:O27"/>
    <mergeCell ref="Q27:X27"/>
    <mergeCell ref="Z27:AG27"/>
    <mergeCell ref="F27:F31"/>
    <mergeCell ref="I29:J29"/>
    <mergeCell ref="R29:S29"/>
    <mergeCell ref="AA29:AB29"/>
    <mergeCell ref="L29:O29"/>
    <mergeCell ref="U29:X29"/>
    <mergeCell ref="AD29:AG29"/>
    <mergeCell ref="Q28:X28"/>
    <mergeCell ref="Z28:AG28"/>
  </mergeCells>
  <conditionalFormatting sqref="F39:M39 P39:T39 F38:T38 W38 Y38:AC39 AF38 F32:W37 Y32:AF37">
    <cfRule type="expression" dxfId="1315" priority="55">
      <formula>MOD(ROW(),2)=0</formula>
    </cfRule>
    <cfRule type="expression" dxfId="1314" priority="56">
      <formula>AND(MOD(ROW(),2)=0,F$30="Proportion",$F32="Overall change in costs (%)")</formula>
    </cfRule>
    <cfRule type="expression" dxfId="1313" priority="57">
      <formula>AND(MOD(ROW(),1)=0,F$30="Proportion",$F32="Overall change in costs (%)")</formula>
    </cfRule>
  </conditionalFormatting>
  <conditionalFormatting sqref="P44:R44 G44:J44 Y44:AA44 M44:N44">
    <cfRule type="cellIs" dxfId="1312" priority="53" operator="equal">
      <formula>FALSE</formula>
    </cfRule>
    <cfRule type="cellIs" dxfId="1311" priority="54" operator="equal">
      <formula>TRUE</formula>
    </cfRule>
  </conditionalFormatting>
  <conditionalFormatting sqref="O39 X39 AG39">
    <cfRule type="expression" dxfId="1310" priority="1347">
      <formula>MOD(ROW(),2)=0</formula>
    </cfRule>
    <cfRule type="expression" dxfId="1309" priority="1348">
      <formula>AND(MOD(ROW(),2)=0,N$30="Proportion",$F39="Overall change in costs (%)")</formula>
    </cfRule>
    <cfRule type="expression" dxfId="1308" priority="1349">
      <formula>AND(MOD(ROW(),1)=0,N$30="Proportion",$F39="Overall change in costs (%)")</formula>
    </cfRule>
  </conditionalFormatting>
  <conditionalFormatting sqref="N39 W39 AF39">
    <cfRule type="expression" dxfId="1307" priority="1350">
      <formula>MOD(ROW(),2)=0</formula>
    </cfRule>
    <cfRule type="expression" dxfId="1306" priority="1351">
      <formula>AND(MOD(ROW(),2)=0,#REF!="Proportion",$F39="Overall change in costs (%)")</formula>
    </cfRule>
    <cfRule type="expression" dxfId="1305" priority="1352">
      <formula>AND(MOD(ROW(),1)=0,#REF!="Proportion",$F39="Overall change in costs (%)")</formula>
    </cfRule>
  </conditionalFormatting>
  <conditionalFormatting sqref="O44">
    <cfRule type="cellIs" dxfId="1304" priority="48" operator="equal">
      <formula>FALSE</formula>
    </cfRule>
    <cfRule type="cellIs" dxfId="1303" priority="49" operator="equal">
      <formula>TRUE</formula>
    </cfRule>
  </conditionalFormatting>
  <conditionalFormatting sqref="S44:T44">
    <cfRule type="cellIs" dxfId="1302" priority="46" operator="equal">
      <formula>FALSE</formula>
    </cfRule>
    <cfRule type="cellIs" dxfId="1301" priority="47" operator="equal">
      <formula>TRUE</formula>
    </cfRule>
  </conditionalFormatting>
  <conditionalFormatting sqref="X44">
    <cfRule type="cellIs" dxfId="1300" priority="44" operator="equal">
      <formula>FALSE</formula>
    </cfRule>
    <cfRule type="cellIs" dxfId="1299" priority="45" operator="equal">
      <formula>TRUE</formula>
    </cfRule>
  </conditionalFormatting>
  <conditionalFormatting sqref="W44">
    <cfRule type="cellIs" dxfId="1298" priority="32" operator="equal">
      <formula>FALSE</formula>
    </cfRule>
    <cfRule type="cellIs" dxfId="1297" priority="33" operator="equal">
      <formula>TRUE</formula>
    </cfRule>
  </conditionalFormatting>
  <conditionalFormatting sqref="AB44:AC44">
    <cfRule type="cellIs" dxfId="1296" priority="30" operator="equal">
      <formula>FALSE</formula>
    </cfRule>
    <cfRule type="cellIs" dxfId="1295" priority="31" operator="equal">
      <formula>TRUE</formula>
    </cfRule>
  </conditionalFormatting>
  <conditionalFormatting sqref="X32:X38">
    <cfRule type="expression" dxfId="1294" priority="37">
      <formula>MOD(ROW(),2)=0</formula>
    </cfRule>
    <cfRule type="expression" dxfId="1293" priority="38">
      <formula>AND(MOD(ROW(),2)=0,X$30="Proportion",$F32="Overall change in costs (%)")</formula>
    </cfRule>
    <cfRule type="expression" dxfId="1292" priority="39">
      <formula>AND(MOD(ROW(),1)=0,X$30="Proportion",$F32="Overall change in costs (%)")</formula>
    </cfRule>
  </conditionalFormatting>
  <conditionalFormatting sqref="AG32:AG38">
    <cfRule type="expression" dxfId="1291" priority="34">
      <formula>MOD(ROW(),2)=0</formula>
    </cfRule>
    <cfRule type="expression" dxfId="1290" priority="35">
      <formula>AND(MOD(ROW(),2)=0,AG$30="Proportion",$F32="Overall change in costs (%)")</formula>
    </cfRule>
    <cfRule type="expression" dxfId="1289" priority="36">
      <formula>AND(MOD(ROW(),1)=0,AG$30="Proportion",$F32="Overall change in costs (%)")</formula>
    </cfRule>
  </conditionalFormatting>
  <conditionalFormatting sqref="AG44">
    <cfRule type="cellIs" dxfId="1288" priority="28" operator="equal">
      <formula>FALSE</formula>
    </cfRule>
    <cfRule type="cellIs" dxfId="1287" priority="29" operator="equal">
      <formula>TRUE</formula>
    </cfRule>
  </conditionalFormatting>
  <conditionalFormatting sqref="AF44">
    <cfRule type="cellIs" dxfId="1286" priority="26" operator="equal">
      <formula>FALSE</formula>
    </cfRule>
    <cfRule type="cellIs" dxfId="1285" priority="27" operator="equal">
      <formula>TRUE</formula>
    </cfRule>
  </conditionalFormatting>
  <conditionalFormatting sqref="V44">
    <cfRule type="cellIs" dxfId="1284" priority="24" operator="equal">
      <formula>FALSE</formula>
    </cfRule>
    <cfRule type="cellIs" dxfId="1283" priority="25" operator="equal">
      <formula>TRUE</formula>
    </cfRule>
  </conditionalFormatting>
  <conditionalFormatting sqref="AE44">
    <cfRule type="cellIs" dxfId="1282" priority="22" operator="equal">
      <formula>FALSE</formula>
    </cfRule>
    <cfRule type="cellIs" dxfId="1281" priority="23" operator="equal">
      <formula>TRUE</formula>
    </cfRule>
  </conditionalFormatting>
  <conditionalFormatting sqref="U38:V39">
    <cfRule type="expression" dxfId="1280" priority="19">
      <formula>MOD(ROW(),2)=0</formula>
    </cfRule>
    <cfRule type="expression" dxfId="1279" priority="20">
      <formula>AND(MOD(ROW(),2)=0,U$30="Proportion",$F38="Overall change in costs (%)")</formula>
    </cfRule>
    <cfRule type="expression" dxfId="1278" priority="21">
      <formula>AND(MOD(ROW(),1)=0,U$30="Proportion",$F38="Overall change in costs (%)")</formula>
    </cfRule>
  </conditionalFormatting>
  <conditionalFormatting sqref="AD38:AE38 AE39">
    <cfRule type="expression" dxfId="1277" priority="16">
      <formula>MOD(ROW(),2)=0</formula>
    </cfRule>
    <cfRule type="expression" dxfId="1276" priority="17">
      <formula>AND(MOD(ROW(),2)=0,AD$30="Proportion",$F38="Overall change in costs (%)")</formula>
    </cfRule>
    <cfRule type="expression" dxfId="1275" priority="18">
      <formula>AND(MOD(ROW(),1)=0,AD$30="Proportion",$F38="Overall change in costs (%)")</formula>
    </cfRule>
  </conditionalFormatting>
  <conditionalFormatting sqref="AD39">
    <cfRule type="expression" dxfId="1274" priority="9">
      <formula>MOD(ROW(),2)=0</formula>
    </cfRule>
    <cfRule type="expression" dxfId="1273" priority="10">
      <formula>AND(MOD(ROW(),2)=0,AD$30="Proportion",$F39="Overall change in costs (%)")</formula>
    </cfRule>
    <cfRule type="expression" dxfId="1272" priority="11">
      <formula>AND(MOD(ROW(),1)=0,AD$30="Proportion",$F39="Overall change in costs (%)")</formula>
    </cfRule>
  </conditionalFormatting>
  <conditionalFormatting sqref="AD44">
    <cfRule type="cellIs" dxfId="1271" priority="7" operator="equal">
      <formula>FALSE</formula>
    </cfRule>
    <cfRule type="cellIs" dxfId="1270" priority="8" operator="equal">
      <formula>TRUE</formula>
    </cfRule>
  </conditionalFormatting>
  <conditionalFormatting sqref="U44">
    <cfRule type="cellIs" dxfId="1269" priority="5" operator="equal">
      <formula>FALSE</formula>
    </cfRule>
    <cfRule type="cellIs" dxfId="1268" priority="6" operator="equal">
      <formula>TRUE</formula>
    </cfRule>
  </conditionalFormatting>
  <conditionalFormatting sqref="K44">
    <cfRule type="cellIs" dxfId="1267" priority="3" operator="equal">
      <formula>FALSE</formula>
    </cfRule>
    <cfRule type="cellIs" dxfId="1266" priority="4" operator="equal">
      <formula>TRUE</formula>
    </cfRule>
  </conditionalFormatting>
  <conditionalFormatting sqref="L44">
    <cfRule type="cellIs" dxfId="1265" priority="1" operator="equal">
      <formula>FALSE</formula>
    </cfRule>
    <cfRule type="cellIs" dxfId="1264" priority="2" operator="equal">
      <formula>TRUE</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4" customHeight="1" x14ac:dyDescent="0.35">
      <c r="A1" s="274" t="s">
        <v>22</v>
      </c>
      <c r="B1" s="300"/>
    </row>
    <row r="2" spans="1:34" s="14" customFormat="1" ht="22.5" customHeight="1" x14ac:dyDescent="0.35">
      <c r="A2" s="15" t="s">
        <v>4</v>
      </c>
    </row>
    <row r="3" spans="1:34" s="97" customFormat="1" ht="15" thickBot="1" x14ac:dyDescent="0.4">
      <c r="C3" s="97" t="str">
        <f>$A$2&amp;" "&amp;C6&amp;" "&amp;C7</f>
        <v>Endeavour Residential without CL</v>
      </c>
      <c r="D3" s="97" t="str">
        <f>$A$2&amp;" "&amp;D6&amp;" "&amp;D7</f>
        <v>Endeavour Residential with CL</v>
      </c>
      <c r="E3" s="97" t="str">
        <f>$A$2&amp;" "&amp;E6&amp;" "&amp;E7</f>
        <v>Endeavour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1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149999999999999" customHeight="1" x14ac:dyDescent="0.35">
      <c r="B6" s="307" t="str">
        <f>A2</f>
        <v>Endeavour</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149999999999999" customHeight="1" x14ac:dyDescent="0.35">
      <c r="B7" s="307"/>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15"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28">
        <f ca="1">ROUND(H39,0)</f>
        <v>1609</v>
      </c>
      <c r="D9" s="228">
        <f ca="1">ROUND(Q39,0)</f>
        <v>2014</v>
      </c>
      <c r="E9" s="228">
        <f ca="1">ROUND(Z39,0)</f>
        <v>5736</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15"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149999999999999" customHeight="1" x14ac:dyDescent="0.35">
      <c r="B11" s="65" t="s">
        <v>52</v>
      </c>
      <c r="C11" s="66">
        <f>SUM(C12:C13)</f>
        <v>4900</v>
      </c>
      <c r="D11" s="66">
        <f>SUM(D12:D13)</f>
        <v>7400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149999999999999" customHeight="1" x14ac:dyDescent="0.35">
      <c r="B12" s="67" t="s">
        <v>56</v>
      </c>
      <c r="C12" s="68">
        <f t="array" ref="C12">INDEX(Usage!$B$5:$M$18,MATCH($B6,Usage!$B$5:$B$18,0),MATCH(C$6&amp;C$7&amp;"Flat rate"&amp;"Total",Usage!$B$5:$M$5&amp;Usage!$B$6:$M$6&amp;Usage!$B$7:$M$7&amp;Usage!$B$13:$M$13,0))</f>
        <v>4900</v>
      </c>
      <c r="D12" s="68">
        <f t="array" ref="D12">INDEX(Usage!$B$5:$M$18,MATCH($B6,Usage!$B$5:$B$18,0),MATCH(D$6&amp;D$7&amp;"Flat rate"&amp;"Total",Usage!$B$5:$M$5&amp;Usage!$B$6:$M$6&amp;Usage!$B$7:$M$7&amp;Usage!$B$13:$M$13,0))</f>
        <v>5200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149999999999999" customHeight="1" x14ac:dyDescent="0.35">
      <c r="B13" s="67" t="s">
        <v>55</v>
      </c>
      <c r="C13" s="68"/>
      <c r="D13" s="68">
        <f t="array" ref="D13">INDEX(Usage!$B$5:$M$18,MATCH($B6,Usage!$B$5:$B$18,0),MATCH(D$6&amp;D$7&amp;"CL"&amp;"Total",Usage!$B$5:$M$5&amp;Usage!$B$6:$M$6&amp;Usage!$B$7:$M$7&amp;Usage!$B$13:$M$13,0))</f>
        <v>2200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15"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149999999999999" customHeight="1" x14ac:dyDescent="0.35">
      <c r="B15" s="67" t="str">
        <f>"Change from DMO "&amp;PY&amp; " price ($)"</f>
        <v>Change from DMO 2020-21 price ($)</v>
      </c>
      <c r="C15" s="176">
        <f ca="1">C9-H32</f>
        <v>-102</v>
      </c>
      <c r="D15" s="176">
        <f ca="1">D9-Q32</f>
        <v>-151</v>
      </c>
      <c r="E15" s="176">
        <f ca="1">E9-Z32</f>
        <v>-441</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149999999999999" customHeight="1" thickBot="1" x14ac:dyDescent="0.4">
      <c r="B16" s="70" t="str">
        <f>"Change from DMO "&amp;PY&amp; " price (%)"</f>
        <v>Change from DMO 2020-21 price (%)</v>
      </c>
      <c r="C16" s="140">
        <f ca="1">C9/H32-1</f>
        <v>-5.9614260666277064E-2</v>
      </c>
      <c r="D16" s="140">
        <f ca="1">D9/Q32-1</f>
        <v>-6.9745958429561217E-2</v>
      </c>
      <c r="E16" s="140">
        <f ca="1">E9/Z32-1</f>
        <v>-7.1393880524526443E-2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04" t="s">
        <v>36</v>
      </c>
      <c r="G27" s="113"/>
      <c r="H27" s="303" t="s">
        <v>6</v>
      </c>
      <c r="I27" s="303"/>
      <c r="J27" s="303"/>
      <c r="K27" s="303"/>
      <c r="L27" s="303"/>
      <c r="M27" s="303"/>
      <c r="N27" s="303"/>
      <c r="O27" s="303"/>
      <c r="P27" s="108"/>
      <c r="Q27" s="303" t="s">
        <v>6</v>
      </c>
      <c r="R27" s="303"/>
      <c r="S27" s="303"/>
      <c r="T27" s="303"/>
      <c r="U27" s="303"/>
      <c r="V27" s="303"/>
      <c r="W27" s="303"/>
      <c r="X27" s="303"/>
      <c r="Y27" s="108"/>
      <c r="Z27" s="303" t="s">
        <v>86</v>
      </c>
      <c r="AA27" s="303"/>
      <c r="AB27" s="303"/>
      <c r="AC27" s="303"/>
      <c r="AD27" s="303"/>
      <c r="AE27" s="303"/>
      <c r="AF27" s="303"/>
      <c r="AG27" s="303"/>
    </row>
    <row r="28" spans="2:34" ht="15" thickBot="1" x14ac:dyDescent="0.4">
      <c r="F28" s="304"/>
      <c r="G28" s="113"/>
      <c r="H28" s="306" t="s">
        <v>150</v>
      </c>
      <c r="I28" s="306"/>
      <c r="J28" s="306"/>
      <c r="K28" s="306"/>
      <c r="L28" s="306"/>
      <c r="M28" s="306"/>
      <c r="N28" s="306"/>
      <c r="O28" s="306"/>
      <c r="P28" s="108"/>
      <c r="Q28" s="306" t="s">
        <v>151</v>
      </c>
      <c r="R28" s="306"/>
      <c r="S28" s="306"/>
      <c r="T28" s="306"/>
      <c r="U28" s="306"/>
      <c r="V28" s="306"/>
      <c r="W28" s="306"/>
      <c r="X28" s="306"/>
      <c r="Y28" s="108"/>
      <c r="Z28" s="306" t="s">
        <v>150</v>
      </c>
      <c r="AA28" s="306"/>
      <c r="AB28" s="306"/>
      <c r="AC28" s="306"/>
      <c r="AD28" s="306"/>
      <c r="AE28" s="306"/>
      <c r="AF28" s="306"/>
      <c r="AG28" s="306"/>
    </row>
    <row r="29" spans="2:34" ht="15" customHeight="1" thickTop="1" x14ac:dyDescent="0.35">
      <c r="F29" s="304"/>
      <c r="G29" s="114"/>
      <c r="H29" s="108" t="s">
        <v>75</v>
      </c>
      <c r="I29" s="305" t="str">
        <f>PY</f>
        <v>2020-21</v>
      </c>
      <c r="J29" s="305"/>
      <c r="K29" s="108"/>
      <c r="L29" s="305" t="str">
        <f>FY</f>
        <v>2021-22</v>
      </c>
      <c r="M29" s="305"/>
      <c r="N29" s="305"/>
      <c r="O29" s="305"/>
      <c r="P29" s="51"/>
      <c r="Q29" s="108" t="s">
        <v>75</v>
      </c>
      <c r="R29" s="305" t="str">
        <f>PY</f>
        <v>2020-21</v>
      </c>
      <c r="S29" s="305"/>
      <c r="T29" s="108"/>
      <c r="U29" s="305" t="str">
        <f>FY</f>
        <v>2021-22</v>
      </c>
      <c r="V29" s="305"/>
      <c r="W29" s="305"/>
      <c r="X29" s="305"/>
      <c r="Y29" s="51"/>
      <c r="Z29" s="108" t="s">
        <v>75</v>
      </c>
      <c r="AA29" s="305" t="str">
        <f>PY</f>
        <v>2020-21</v>
      </c>
      <c r="AB29" s="305"/>
      <c r="AC29" s="108"/>
      <c r="AD29" s="305" t="str">
        <f>FY</f>
        <v>2021-22</v>
      </c>
      <c r="AE29" s="305"/>
      <c r="AF29" s="305"/>
      <c r="AG29" s="305"/>
    </row>
    <row r="30" spans="2:34" ht="26" x14ac:dyDescent="0.35">
      <c r="F30" s="304"/>
      <c r="G30" s="114"/>
      <c r="H30" s="72"/>
      <c r="I30" s="51" t="s">
        <v>25</v>
      </c>
      <c r="J30" s="51" t="s">
        <v>27</v>
      </c>
      <c r="K30" s="108"/>
      <c r="L30" s="51" t="s">
        <v>24</v>
      </c>
      <c r="M30" s="52" t="s">
        <v>200</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04"/>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1711</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2165</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6177</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611.50199000000009</v>
      </c>
      <c r="J33" s="59">
        <f ca="1">I33/H$32</f>
        <v>0.3573945002922268</v>
      </c>
      <c r="K33" s="59"/>
      <c r="L33" s="71">
        <f t="array" aca="1" ref="L33" ca="1">INDEX(INDIRECT("'"&amp;$F33&amp;"'!$B$3:$T$300"),MATCH($B$6&amp;H$27&amp;H$28&amp;"Total inc GST",INDIRECT("'"&amp;$F33&amp;"'!$B$3:$B$300")&amp;INDIRECT("'"&amp;$F33&amp;"'!$C$3:$C$300")&amp;INDIRECT("'"&amp;$F33&amp;"'!$D$3:$D$300")&amp;INDIRECT("'"&amp;$F33&amp;"'!$G$3:$G$300"),0),MATCH(L$29&amp;L$30,INDIRECT("'"&amp;$F33&amp;"'!$B$4:$T$4")&amp;INDIRECT("'"&amp;$F33&amp;"'!$B$5:$T$5"),0))</f>
        <v>1.843964563385958E-2</v>
      </c>
      <c r="M33" s="59">
        <f ca="1">J33*L33</f>
        <v>6.5902279368789864E-3</v>
      </c>
      <c r="N33" s="58">
        <f t="array" aca="1" ref="N33" ca="1">INDEX(INDIRECT("'"&amp;$F33&amp;"'!$B$3:$T$300"),MATCH($B$6&amp;H$27&amp;H$28&amp;"Total inc GST",INDIRECT("'"&amp;$F33&amp;"'!$B$3:$B$300")&amp;INDIRECT("'"&amp;$F33&amp;"'!$C$3:$C$300")&amp;INDIRECT("'"&amp;$F33&amp;"'!$D$3:$D$300")&amp;INDIRECT("'"&amp;$F33&amp;"'!$G$3:$G$300"),0),MATCH(L$29&amp;N$30,INDIRECT("'"&amp;$F33&amp;"'!$B$4:$T$4")&amp;INDIRECT("'"&amp;$F33&amp;"'!$B$5:$T$5"),0))</f>
        <v>622.77787000000001</v>
      </c>
      <c r="O33" s="59">
        <f ca="1">N33/H$39</f>
        <v>0.38695356241914242</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713.89961940000001</v>
      </c>
      <c r="S33" s="59">
        <f ca="1">R33/Q$32</f>
        <v>0.32974578263279447</v>
      </c>
      <c r="T33" s="59"/>
      <c r="U33" s="71">
        <f t="array" aca="1" ref="U33" ca="1">INDEX(INDIRECT("'"&amp;$F33&amp;"'!$B$3:$T$300"),MATCH($B$6&amp;Q$27&amp;Q$28&amp;"Total inc GST",INDIRECT("'"&amp;$F33&amp;"'!$B$3:$B$300")&amp;INDIRECT("'"&amp;$F33&amp;"'!$C$3:$C$300")&amp;INDIRECT("'"&amp;$F33&amp;"'!$D$3:$D$300")&amp;INDIRECT("'"&amp;$F33&amp;"'!$G$3:$G$300"),0),MATCH(U$29&amp;U$30,INDIRECT("'"&amp;$F33&amp;"'!$B$4:$T$4")&amp;INDIRECT("'"&amp;$F33&amp;"'!$B$5:$T$5"),0))</f>
        <v>1.9537437226430532E-2</v>
      </c>
      <c r="V33" s="59">
        <f ca="1">S33*U33</f>
        <v>6.442387528868429E-3</v>
      </c>
      <c r="W33" s="58">
        <f t="array" aca="1" ref="W33" ca="1">INDEX(INDIRECT("'"&amp;$F33&amp;"'!$B$3:$T$300"),MATCH($B$6&amp;Q$27&amp;Q$28&amp;"Total inc GST",INDIRECT("'"&amp;$F33&amp;"'!$B$3:$B$300")&amp;INDIRECT("'"&amp;$F33&amp;"'!$C$3:$C$300")&amp;INDIRECT("'"&amp;$F33&amp;"'!$D$3:$D$300")&amp;INDIRECT("'"&amp;$F33&amp;"'!$G$3:$G$300"),0),MATCH(U$29&amp;W$30,INDIRECT("'"&amp;$F33&amp;"'!$B$4:$T$4")&amp;INDIRECT("'"&amp;$F33&amp;"'!$B$5:$T$5"),0))</f>
        <v>727.84738840000011</v>
      </c>
      <c r="X33" s="59">
        <f ca="1">W33/Q$39</f>
        <v>0.36141942681470518</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2106.3119000000002</v>
      </c>
      <c r="AB33" s="59">
        <f ca="1">AA33/Z$32</f>
        <v>0.34099269872106203</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1.2325121459931809E-2</v>
      </c>
      <c r="AE33" s="59">
        <f ca="1">AB33*AD33</f>
        <v>4.2027764286870235E-3</v>
      </c>
      <c r="AF33" s="58">
        <f t="array" aca="1" ref="AF33" ca="1">INDEX(INDIRECT("'"&amp;$F33&amp;"'!$B$3:$T$300"),MATCH($B$6&amp;Z$27&amp;Z$28&amp;"Total inc GST",INDIRECT("'"&amp;$F33&amp;"'!$B$3:$B$300")&amp;INDIRECT("'"&amp;$F33&amp;"'!$C$3:$C$300")&amp;INDIRECT("'"&amp;$F33&amp;"'!$D$3:$D$300")&amp;INDIRECT("'"&amp;$F33&amp;"'!$G$3:$G$300"),0),MATCH(AD$29&amp;AF$30,INDIRECT("'"&amp;$F33&amp;"'!$B$4:$T$4")&amp;INDIRECT("'"&amp;$F33&amp;"'!$B$5:$T$5"),0))</f>
        <v>2132.2724499999999</v>
      </c>
      <c r="AG33" s="59">
        <f ca="1">AF33/Z$39</f>
        <v>0.371725820049149</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605.13530000000003</v>
      </c>
      <c r="J34" s="59">
        <f ca="1">I34/H$32</f>
        <v>0.35367346580946818</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-0.21377037498886609</v>
      </c>
      <c r="M34" s="59">
        <f ca="1">J34*L34</f>
        <v>-7.5604909409701923E-2</v>
      </c>
      <c r="N34" s="58">
        <f t="array" aca="1" ref="N34" ca="1">INDEX(INDIRECT("'"&amp;$F34&amp;"'!$B$3:$T$300"),MATCH($B$6&amp;H$27&amp;H$28&amp;"Total inc GST",INDIRECT("'"&amp;$F34&amp;"'!$B$3:$B$300")&amp;INDIRECT("'"&amp;$F34&amp;"'!$C$3:$C$300")&amp;INDIRECT("'"&amp;$F34&amp;"'!$D$3:$D$300")&amp;INDIRECT("'"&amp;$F34&amp;"'!$G$3:$G$300"),0),MATCH(L$29&amp;N$30,INDIRECT("'"&amp;$F34&amp;"'!$B$4:$T$4")&amp;INDIRECT("'"&amp;$F34&amp;"'!$B$5:$T$5"),0))</f>
        <v>475.77530000000002</v>
      </c>
      <c r="O34" s="59">
        <f ca="1">N34/H$39</f>
        <v>0.29561575019683378</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893.67079999999999</v>
      </c>
      <c r="S34" s="59">
        <f ca="1">R34/Q$32</f>
        <v>0.41278096997690533</v>
      </c>
      <c r="T34" s="59"/>
      <c r="U34" s="71">
        <f t="array" aca="1" ref="U34" ca="1">INDEX(INDIRECT("'"&amp;$F34&amp;"'!$B$3:$T$300"),MATCH($B$6&amp;Q$27&amp;Q$28&amp;"Total inc GST",INDIRECT("'"&amp;$F34&amp;"'!$B$3:$B$300")&amp;INDIRECT("'"&amp;$F34&amp;"'!$C$3:$C$300")&amp;INDIRECT("'"&amp;$F34&amp;"'!$D$3:$D$300")&amp;INDIRECT("'"&amp;$F34&amp;"'!$G$3:$G$300"),0),MATCH(U$29&amp;U$30,INDIRECT("'"&amp;$F34&amp;"'!$B$4:$T$4")&amp;INDIRECT("'"&amp;$F34&amp;"'!$B$5:$T$5"),0))</f>
        <v>-0.20947825530385467</v>
      </c>
      <c r="V34" s="59">
        <f ca="1">S34*U34</f>
        <v>-8.6468637413394944E-2</v>
      </c>
      <c r="W34" s="58">
        <f t="array" aca="1" ref="W34" ca="1">INDEX(INDIRECT("'"&amp;$F34&amp;"'!$B$3:$T$300"),MATCH($B$6&amp;Q$27&amp;Q$28&amp;"Total inc GST",INDIRECT("'"&amp;$F34&amp;"'!$B$3:$B$300")&amp;INDIRECT("'"&amp;$F34&amp;"'!$C$3:$C$300")&amp;INDIRECT("'"&amp;$F34&amp;"'!$D$3:$D$300")&amp;INDIRECT("'"&amp;$F34&amp;"'!$G$3:$G$300"),0),MATCH(U$29&amp;W$30,INDIRECT("'"&amp;$F34&amp;"'!$B$4:$T$4")&amp;INDIRECT("'"&amp;$F34&amp;"'!$B$5:$T$5"),0))</f>
        <v>706.46619999999996</v>
      </c>
      <c r="X34" s="59">
        <f ca="1">W34/Q$39</f>
        <v>0.35080239777908201</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2469.94</v>
      </c>
      <c r="AB34" s="59">
        <f ca="1">AA34/Z$32</f>
        <v>0.39986077383843288</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-0.21377037498886609</v>
      </c>
      <c r="AE34" s="59">
        <f ca="1">AB34*AD34</f>
        <v>-8.5478387566779973E-2</v>
      </c>
      <c r="AF34" s="58">
        <f t="array" aca="1" ref="AF34" ca="1">INDEX(INDIRECT("'"&amp;$F34&amp;"'!$B$3:$T$300"),MATCH($B$6&amp;Z$27&amp;Z$28&amp;"Total inc GST",INDIRECT("'"&amp;$F34&amp;"'!$B$3:$B$300")&amp;INDIRECT("'"&amp;$F34&amp;"'!$C$3:$C$300")&amp;INDIRECT("'"&amp;$F34&amp;"'!$D$3:$D$300")&amp;INDIRECT("'"&amp;$F34&amp;"'!$G$3:$G$300"),0),MATCH(AD$29&amp;AF$30,INDIRECT("'"&amp;$F34&amp;"'!$B$4:$T$4")&amp;INDIRECT("'"&amp;$F34&amp;"'!$B$5:$T$5"),0))</f>
        <v>1941.94</v>
      </c>
      <c r="AG34" s="59">
        <f ca="1">AF34/Z$39</f>
        <v>0.33854456028179908</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93.570399999999992</v>
      </c>
      <c r="J35" s="59">
        <f ca="1">I35/H$32</f>
        <v>5.468755113968439E-2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0.1123271889400923</v>
      </c>
      <c r="M35" s="59">
        <f ca="1">J35*L35</f>
        <v>6.1428988895382884E-3</v>
      </c>
      <c r="N35" s="58">
        <f t="array" aca="1" ref="N35" ca="1">INDEX(INDIRECT("'"&amp;$F35&amp;"'!$B$3:$T$300"),MATCH($B$6&amp;H$27&amp;H$28&amp;"Total inc GST",INDIRECT("'"&amp;$F35&amp;"'!$B$3:$B$300")&amp;INDIRECT("'"&amp;$F35&amp;"'!$C$3:$C$300")&amp;INDIRECT("'"&amp;$F35&amp;"'!$D$3:$D$300")&amp;INDIRECT("'"&amp;$F35&amp;"'!$G$3:$G$300"),0),MATCH(L$29&amp;N$30,INDIRECT("'"&amp;$F35&amp;"'!$B$4:$T$4")&amp;INDIRECT("'"&amp;$F35&amp;"'!$B$5:$T$5"),0))</f>
        <v>104.0809</v>
      </c>
      <c r="O35" s="59">
        <f ca="1">N35/H$39</f>
        <v>6.4669085037961482E-2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141.31039999999999</v>
      </c>
      <c r="S35" s="59">
        <f ca="1">R35/Q$32</f>
        <v>6.5270392609699759E-2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0.1123271889400923</v>
      </c>
      <c r="V35" s="59">
        <f ca="1">S35*U35</f>
        <v>7.3316397228637489E-3</v>
      </c>
      <c r="W35" s="58">
        <f t="array" aca="1" ref="W35" ca="1">INDEX(INDIRECT("'"&amp;$F35&amp;"'!$B$3:$T$300"),MATCH($B$6&amp;Q$27&amp;Q$28&amp;"Total inc GST",INDIRECT("'"&amp;$F35&amp;"'!$B$3:$B$300")&amp;INDIRECT("'"&amp;$F35&amp;"'!$C$3:$C$300")&amp;INDIRECT("'"&amp;$F35&amp;"'!$D$3:$D$300")&amp;INDIRECT("'"&amp;$F35&amp;"'!$G$3:$G$300"),0),MATCH(U$29&amp;W$30,INDIRECT("'"&amp;$F35&amp;"'!$B$4:$T$4")&amp;INDIRECT("'"&amp;$F35&amp;"'!$B$5:$T$5"),0))</f>
        <v>157.18340000000001</v>
      </c>
      <c r="X35" s="59">
        <f ca="1">W35/Q$39</f>
        <v>7.8050887092784571E-2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381.91999999999996</v>
      </c>
      <c r="AB35" s="59">
        <f ca="1">AA35/Z$32</f>
        <v>6.182936700663752E-2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0.1123271889400923</v>
      </c>
      <c r="AE35" s="59">
        <f ca="1">AB35*AD35</f>
        <v>6.945118989800882E-3</v>
      </c>
      <c r="AF35" s="58">
        <f t="array" aca="1" ref="AF35" ca="1">INDEX(INDIRECT("'"&amp;$F35&amp;"'!$B$3:$T$300"),MATCH($B$6&amp;Z$27&amp;Z$28&amp;"Total inc GST",INDIRECT("'"&amp;$F35&amp;"'!$B$3:$B$300")&amp;INDIRECT("'"&amp;$F35&amp;"'!$C$3:$C$300")&amp;INDIRECT("'"&amp;$F35&amp;"'!$D$3:$D$300")&amp;INDIRECT("'"&amp;$F35&amp;"'!$G$3:$G$300"),0),MATCH(AD$29&amp;AF$30,INDIRECT("'"&amp;$F35&amp;"'!$B$4:$T$4")&amp;INDIRECT("'"&amp;$F35&amp;"'!$B$5:$T$5"),0))</f>
        <v>424.82</v>
      </c>
      <c r="AG35" s="59">
        <f ca="1">AF35/Z$39</f>
        <v>7.4060218183318677E-2</v>
      </c>
    </row>
    <row r="36" spans="2:33" ht="15" customHeight="1" x14ac:dyDescent="0.35">
      <c r="F36" s="61" t="s">
        <v>72</v>
      </c>
      <c r="G36" s="61"/>
      <c r="H36" s="60"/>
      <c r="I36" s="58">
        <f ca="1">H32-SUM(I33:I35,I38)</f>
        <v>400.79230999999982</v>
      </c>
      <c r="J36" s="59">
        <f ca="1">I36/H$32</f>
        <v>0.23424448275862059</v>
      </c>
      <c r="K36" s="59"/>
      <c r="L36" s="251">
        <f>CPI</f>
        <v>1.4999999999999999E-2</v>
      </c>
      <c r="M36" s="59">
        <f ca="1">J36*L36</f>
        <v>3.5136672413793087E-3</v>
      </c>
      <c r="N36" s="58">
        <f ca="1">H39-SUM(N33:N35,N38)</f>
        <v>406.80419464999977</v>
      </c>
      <c r="O36" s="59">
        <f ca="1">N36/H$39</f>
        <v>0.25276160234606226</v>
      </c>
      <c r="P36" s="59"/>
      <c r="Q36" s="59"/>
      <c r="R36" s="58">
        <f ca="1">Q32-SUM(R33:R35,R38)</f>
        <v>416.11918059999994</v>
      </c>
      <c r="S36" s="59">
        <f ca="1">R36/Q$32</f>
        <v>0.19220285478060042</v>
      </c>
      <c r="T36" s="59"/>
      <c r="U36" s="251">
        <f>CPI</f>
        <v>1.4999999999999999E-2</v>
      </c>
      <c r="V36" s="59">
        <f ca="1">S36*U36</f>
        <v>2.8830428217090061E-3</v>
      </c>
      <c r="W36" s="58">
        <f ca="1">Q39-SUM(W33:W35,W38)</f>
        <v>422.36096830899987</v>
      </c>
      <c r="X36" s="59">
        <f ca="1">W36/Q$39</f>
        <v>0.20972728831342821</v>
      </c>
      <c r="Y36" s="60"/>
      <c r="Z36" s="60"/>
      <c r="AA36" s="58">
        <f ca="1">Z32-SUM(AA33:AA35,AA38)</f>
        <v>1218.8280999999997</v>
      </c>
      <c r="AB36" s="59">
        <f ca="1">AA36/Z$32</f>
        <v>0.19731716043386752</v>
      </c>
      <c r="AC36" s="59"/>
      <c r="AD36" s="251">
        <f>CPI</f>
        <v>1.4999999999999999E-2</v>
      </c>
      <c r="AE36" s="59">
        <f ca="1">AB36*AD36</f>
        <v>2.9597574065080125E-3</v>
      </c>
      <c r="AF36" s="58">
        <f ca="1">Z39-SUM(AF33:AF35,AF38)</f>
        <v>1237.1105215000007</v>
      </c>
      <c r="AG36" s="59">
        <f ca="1">AF36/Z$39</f>
        <v>0.21566940148573327</v>
      </c>
    </row>
    <row r="37" spans="2:33" s="5" customFormat="1" ht="15" customHeight="1" x14ac:dyDescent="0.35">
      <c r="F37" s="61" t="s">
        <v>78</v>
      </c>
      <c r="G37" s="57"/>
      <c r="H37" s="60"/>
      <c r="I37" s="59"/>
      <c r="J37" s="59"/>
      <c r="K37" s="59"/>
      <c r="L37" s="59">
        <f ca="1">SUMPRODUCT(J33:J36,L33:L36)</f>
        <v>-5.9358115341905347E-2</v>
      </c>
      <c r="M37" s="59"/>
      <c r="N37" s="59"/>
      <c r="O37" s="59"/>
      <c r="P37" s="59"/>
      <c r="Q37" s="59"/>
      <c r="R37" s="59"/>
      <c r="S37" s="59"/>
      <c r="T37" s="59"/>
      <c r="U37" s="59">
        <f ca="1">SUMPRODUCT(S33:S36,U33:U36)</f>
        <v>-6.9811567339953751E-2</v>
      </c>
      <c r="V37" s="59"/>
      <c r="W37" s="59"/>
      <c r="X37" s="59"/>
      <c r="Y37" s="60"/>
      <c r="Z37" s="60"/>
      <c r="AA37" s="59"/>
      <c r="AB37" s="59"/>
      <c r="AC37" s="59"/>
      <c r="AD37" s="59">
        <f ca="1">SUMPRODUCT(AB33:AB36,AD33:AD36)</f>
        <v>-7.1370734741784056E-2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1609.4382646499998</v>
      </c>
      <c r="I39" s="106"/>
      <c r="J39" s="106"/>
      <c r="K39" s="106"/>
      <c r="L39" s="106">
        <f ca="1">H39/H32-1</f>
        <v>-5.9358115341905382E-2</v>
      </c>
      <c r="M39" s="106"/>
      <c r="N39" s="106"/>
      <c r="O39" s="106"/>
      <c r="P39" s="106"/>
      <c r="Q39" s="105">
        <f ca="1">Q32*(1+U37)+W38</f>
        <v>2013.8579567090001</v>
      </c>
      <c r="R39" s="105"/>
      <c r="S39" s="106"/>
      <c r="T39" s="106"/>
      <c r="U39" s="106">
        <f ca="1">Q39/Q32-1</f>
        <v>-6.9811567339953751E-2</v>
      </c>
      <c r="V39" s="106"/>
      <c r="W39" s="107"/>
      <c r="X39" s="107"/>
      <c r="Y39" s="107"/>
      <c r="Z39" s="105">
        <f ca="1">Z32*(1+AD37)+AF38</f>
        <v>5736.1429715000004</v>
      </c>
      <c r="AA39" s="105"/>
      <c r="AB39" s="106"/>
      <c r="AC39" s="106"/>
      <c r="AD39" s="106">
        <f ca="1">Z39/Z32-1</f>
        <v>-7.1370734741784014E-2</v>
      </c>
      <c r="AE39" s="106"/>
      <c r="AF39" s="106"/>
      <c r="AG39" s="106"/>
    </row>
    <row r="40" spans="2:33" ht="15" thickTop="1" x14ac:dyDescent="0.35">
      <c r="F40" s="162"/>
    </row>
    <row r="41" spans="2:33" x14ac:dyDescent="0.35">
      <c r="F41" s="139"/>
      <c r="L41" s="217"/>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RA1LLgDThndiRB/XqDbprkWxYG657JdTVpXcJ1oiR3g=" saltValue="pDUYHoCSGxwtt1WneDqYow=="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M38 W38 Y38:AC39 AF38 M39 F37:W37 F36:K36 M36:T36 V36:W36 Y37:AF37 Y36:AC36 AE36:AF36 O38:T38">
    <cfRule type="expression" dxfId="1263" priority="74">
      <formula>MOD(ROW(),2)=0</formula>
    </cfRule>
    <cfRule type="expression" dxfId="1262" priority="75">
      <formula>AND(MOD(ROW(),2)=0,F$30="Proportion",$F32="Overall change in costs (%)")</formula>
    </cfRule>
    <cfRule type="expression" dxfId="1261" priority="76">
      <formula>AND(MOD(ROW(),1)=0,F$30="Proportion",$F32="Overall change in costs (%)")</formula>
    </cfRule>
  </conditionalFormatting>
  <conditionalFormatting sqref="P44:R44 G44:J44 Y44:AA44 M44:N44">
    <cfRule type="cellIs" dxfId="1260" priority="72" operator="equal">
      <formula>FALSE</formula>
    </cfRule>
    <cfRule type="cellIs" dxfId="1259" priority="73" operator="equal">
      <formula>TRUE</formula>
    </cfRule>
  </conditionalFormatting>
  <conditionalFormatting sqref="O39 X39 AG39">
    <cfRule type="expression" dxfId="1258" priority="1402">
      <formula>MOD(ROW(),2)=0</formula>
    </cfRule>
    <cfRule type="expression" dxfId="1257" priority="1403">
      <formula>AND(MOD(ROW(),2)=0,N$30="Proportion",$F39="Overall change in costs (%)")</formula>
    </cfRule>
    <cfRule type="expression" dxfId="1256" priority="1404">
      <formula>AND(MOD(ROW(),1)=0,N$30="Proportion",$F39="Overall change in costs (%)")</formula>
    </cfRule>
  </conditionalFormatting>
  <conditionalFormatting sqref="N39 W39 AF39">
    <cfRule type="expression" dxfId="1255" priority="1405">
      <formula>MOD(ROW(),2)=0</formula>
    </cfRule>
    <cfRule type="expression" dxfId="1254" priority="1406">
      <formula>AND(MOD(ROW(),2)=0,#REF!="Proportion",$F39="Overall change in costs (%)")</formula>
    </cfRule>
    <cfRule type="expression" dxfId="1253" priority="1407">
      <formula>AND(MOD(ROW(),1)=0,#REF!="Proportion",$F39="Overall change in costs (%)")</formula>
    </cfRule>
  </conditionalFormatting>
  <conditionalFormatting sqref="O44">
    <cfRule type="cellIs" dxfId="1252" priority="67" operator="equal">
      <formula>FALSE</formula>
    </cfRule>
    <cfRule type="cellIs" dxfId="1251" priority="68" operator="equal">
      <formula>TRUE</formula>
    </cfRule>
  </conditionalFormatting>
  <conditionalFormatting sqref="S44:T44">
    <cfRule type="cellIs" dxfId="1250" priority="65" operator="equal">
      <formula>FALSE</formula>
    </cfRule>
    <cfRule type="cellIs" dxfId="1249" priority="66" operator="equal">
      <formula>TRUE</formula>
    </cfRule>
  </conditionalFormatting>
  <conditionalFormatting sqref="X44">
    <cfRule type="cellIs" dxfId="1248" priority="63" operator="equal">
      <formula>FALSE</formula>
    </cfRule>
    <cfRule type="cellIs" dxfId="1247" priority="64" operator="equal">
      <formula>TRUE</formula>
    </cfRule>
  </conditionalFormatting>
  <conditionalFormatting sqref="W44">
    <cfRule type="cellIs" dxfId="1246" priority="51" operator="equal">
      <formula>FALSE</formula>
    </cfRule>
    <cfRule type="cellIs" dxfId="1245" priority="52" operator="equal">
      <formula>TRUE</formula>
    </cfRule>
  </conditionalFormatting>
  <conditionalFormatting sqref="AB44:AC44">
    <cfRule type="cellIs" dxfId="1244" priority="49" operator="equal">
      <formula>FALSE</formula>
    </cfRule>
    <cfRule type="cellIs" dxfId="1243" priority="50" operator="equal">
      <formula>TRUE</formula>
    </cfRule>
  </conditionalFormatting>
  <conditionalFormatting sqref="X32:X38">
    <cfRule type="expression" dxfId="1242" priority="56">
      <formula>MOD(ROW(),2)=0</formula>
    </cfRule>
    <cfRule type="expression" dxfId="1241" priority="57">
      <formula>AND(MOD(ROW(),2)=0,X$30="Proportion",$F32="Overall change in costs (%)")</formula>
    </cfRule>
    <cfRule type="expression" dxfId="1240" priority="58">
      <formula>AND(MOD(ROW(),1)=0,X$30="Proportion",$F32="Overall change in costs (%)")</formula>
    </cfRule>
  </conditionalFormatting>
  <conditionalFormatting sqref="AG32:AG38">
    <cfRule type="expression" dxfId="1239" priority="53">
      <formula>MOD(ROW(),2)=0</formula>
    </cfRule>
    <cfRule type="expression" dxfId="1238" priority="54">
      <formula>AND(MOD(ROW(),2)=0,AG$30="Proportion",$F32="Overall change in costs (%)")</formula>
    </cfRule>
    <cfRule type="expression" dxfId="1237" priority="55">
      <formula>AND(MOD(ROW(),1)=0,AG$30="Proportion",$F32="Overall change in costs (%)")</formula>
    </cfRule>
  </conditionalFormatting>
  <conditionalFormatting sqref="AG44">
    <cfRule type="cellIs" dxfId="1236" priority="47" operator="equal">
      <formula>FALSE</formula>
    </cfRule>
    <cfRule type="cellIs" dxfId="1235" priority="48" operator="equal">
      <formula>TRUE</formula>
    </cfRule>
  </conditionalFormatting>
  <conditionalFormatting sqref="AF44">
    <cfRule type="cellIs" dxfId="1234" priority="45" operator="equal">
      <formula>FALSE</formula>
    </cfRule>
    <cfRule type="cellIs" dxfId="1233" priority="46" operator="equal">
      <formula>TRUE</formula>
    </cfRule>
  </conditionalFormatting>
  <conditionalFormatting sqref="V44">
    <cfRule type="cellIs" dxfId="1232" priority="43" operator="equal">
      <formula>FALSE</formula>
    </cfRule>
    <cfRule type="cellIs" dxfId="1231" priority="44" operator="equal">
      <formula>TRUE</formula>
    </cfRule>
  </conditionalFormatting>
  <conditionalFormatting sqref="AE44">
    <cfRule type="cellIs" dxfId="1230" priority="41" operator="equal">
      <formula>FALSE</formula>
    </cfRule>
    <cfRule type="cellIs" dxfId="1229" priority="42" operator="equal">
      <formula>TRUE</formula>
    </cfRule>
  </conditionalFormatting>
  <conditionalFormatting sqref="U38:V38 V39">
    <cfRule type="expression" dxfId="1228" priority="38">
      <formula>MOD(ROW(),2)=0</formula>
    </cfRule>
    <cfRule type="expression" dxfId="1227" priority="39">
      <formula>AND(MOD(ROW(),2)=0,U$30="Proportion",$F38="Overall change in costs (%)")</formula>
    </cfRule>
    <cfRule type="expression" dxfId="1226" priority="40">
      <formula>AND(MOD(ROW(),1)=0,U$30="Proportion",$F38="Overall change in costs (%)")</formula>
    </cfRule>
  </conditionalFormatting>
  <conditionalFormatting sqref="AD38:AE38 AE39">
    <cfRule type="expression" dxfId="1225" priority="35">
      <formula>MOD(ROW(),2)=0</formula>
    </cfRule>
    <cfRule type="expression" dxfId="1224" priority="36">
      <formula>AND(MOD(ROW(),2)=0,AD$30="Proportion",$F38="Overall change in costs (%)")</formula>
    </cfRule>
    <cfRule type="expression" dxfId="1223" priority="37">
      <formula>AND(MOD(ROW(),1)=0,AD$30="Proportion",$F38="Overall change in costs (%)")</formula>
    </cfRule>
  </conditionalFormatting>
  <conditionalFormatting sqref="AD44">
    <cfRule type="cellIs" dxfId="1222" priority="31" operator="equal">
      <formula>FALSE</formula>
    </cfRule>
    <cfRule type="cellIs" dxfId="1221" priority="32" operator="equal">
      <formula>TRUE</formula>
    </cfRule>
  </conditionalFormatting>
  <conditionalFormatting sqref="L39">
    <cfRule type="expression" dxfId="1220" priority="28">
      <formula>MOD(ROW(),2)=0</formula>
    </cfRule>
    <cfRule type="expression" dxfId="1219" priority="29">
      <formula>AND(MOD(ROW(),2)=0,L$30="Proportion",$F39="Overall change in costs (%)")</formula>
    </cfRule>
    <cfRule type="expression" dxfId="1218" priority="30">
      <formula>AND(MOD(ROW(),1)=0,L$30="Proportion",$F39="Overall change in costs (%)")</formula>
    </cfRule>
  </conditionalFormatting>
  <conditionalFormatting sqref="U39">
    <cfRule type="expression" dxfId="1217" priority="25">
      <formula>MOD(ROW(),2)=0</formula>
    </cfRule>
    <cfRule type="expression" dxfId="1216" priority="26">
      <formula>AND(MOD(ROW(),2)=0,U$30="Proportion",$F39="Overall change in costs (%)")</formula>
    </cfRule>
    <cfRule type="expression" dxfId="1215" priority="27">
      <formula>AND(MOD(ROW(),1)=0,U$30="Proportion",$F39="Overall change in costs (%)")</formula>
    </cfRule>
  </conditionalFormatting>
  <conditionalFormatting sqref="AD39">
    <cfRule type="expression" dxfId="1214" priority="19">
      <formula>MOD(ROW(),2)=0</formula>
    </cfRule>
    <cfRule type="expression" dxfId="1213" priority="20">
      <formula>AND(MOD(ROW(),2)=0,AD$30="Proportion",$F39="Overall change in costs (%)")</formula>
    </cfRule>
    <cfRule type="expression" dxfId="1212" priority="21">
      <formula>AND(MOD(ROW(),1)=0,AD$30="Proportion",$F39="Overall change in costs (%)")</formula>
    </cfRule>
  </conditionalFormatting>
  <conditionalFormatting sqref="U44">
    <cfRule type="cellIs" dxfId="1211" priority="17" operator="equal">
      <formula>FALSE</formula>
    </cfRule>
    <cfRule type="cellIs" dxfId="1210" priority="18" operator="equal">
      <formula>TRUE</formula>
    </cfRule>
  </conditionalFormatting>
  <conditionalFormatting sqref="K44">
    <cfRule type="cellIs" dxfId="1209" priority="15" operator="equal">
      <formula>FALSE</formula>
    </cfRule>
    <cfRule type="cellIs" dxfId="1208" priority="16" operator="equal">
      <formula>TRUE</formula>
    </cfRule>
  </conditionalFormatting>
  <conditionalFormatting sqref="L44">
    <cfRule type="cellIs" dxfId="1207" priority="13" operator="equal">
      <formula>FALSE</formula>
    </cfRule>
    <cfRule type="cellIs" dxfId="1206" priority="14" operator="equal">
      <formula>TRUE</formula>
    </cfRule>
  </conditionalFormatting>
  <conditionalFormatting sqref="L36">
    <cfRule type="expression" dxfId="1205" priority="10">
      <formula>MOD(ROW(),2)=0</formula>
    </cfRule>
    <cfRule type="expression" dxfId="1204" priority="11">
      <formula>AND(MOD(ROW(),2)=0,L$30="Proportion",$F36="Overall change in costs (%)")</formula>
    </cfRule>
    <cfRule type="expression" dxfId="1203" priority="12">
      <formula>AND(MOD(ROW(),1)=0,L$30="Proportion",$F36="Overall change in costs (%)")</formula>
    </cfRule>
  </conditionalFormatting>
  <conditionalFormatting sqref="U36">
    <cfRule type="expression" dxfId="1202" priority="7">
      <formula>MOD(ROW(),2)=0</formula>
    </cfRule>
    <cfRule type="expression" dxfId="1201" priority="8">
      <formula>AND(MOD(ROW(),2)=0,U$30="Proportion",$F36="Overall change in costs (%)")</formula>
    </cfRule>
    <cfRule type="expression" dxfId="1200" priority="9">
      <formula>AND(MOD(ROW(),1)=0,U$30="Proportion",$F36="Overall change in costs (%)")</formula>
    </cfRule>
  </conditionalFormatting>
  <conditionalFormatting sqref="AD36">
    <cfRule type="expression" dxfId="1199" priority="4">
      <formula>MOD(ROW(),2)=0</formula>
    </cfRule>
    <cfRule type="expression" dxfId="1198" priority="5">
      <formula>AND(MOD(ROW(),2)=0,AD$30="Proportion",$F36="Overall change in costs (%)")</formula>
    </cfRule>
    <cfRule type="expression" dxfId="1197" priority="6">
      <formula>AND(MOD(ROW(),1)=0,AD$30="Proportion",$F36="Overall change in costs (%)")</formula>
    </cfRule>
  </conditionalFormatting>
  <conditionalFormatting sqref="N38">
    <cfRule type="expression" dxfId="1196" priority="1">
      <formula>MOD(ROW(),2)=0</formula>
    </cfRule>
    <cfRule type="expression" dxfId="1195" priority="2">
      <formula>AND(MOD(ROW(),2)=0,N$30="Proportion",$F38="Overall change in costs (%)")</formula>
    </cfRule>
    <cfRule type="expression" dxfId="1194" priority="3">
      <formula>AND(MOD(ROW(),1)=0,N$30="Proportion",$F38="Overall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4" customHeight="1" x14ac:dyDescent="0.35">
      <c r="A1" s="274" t="s">
        <v>22</v>
      </c>
      <c r="B1" s="300"/>
    </row>
    <row r="2" spans="1:34" s="14" customFormat="1" ht="22.5" customHeight="1" x14ac:dyDescent="0.35">
      <c r="A2" s="15" t="s">
        <v>3</v>
      </c>
    </row>
    <row r="3" spans="1:34" s="97" customFormat="1" ht="15" thickBot="1" x14ac:dyDescent="0.4">
      <c r="C3" s="97" t="str">
        <f>$A$2&amp;" "&amp;C6&amp;" "&amp;C7</f>
        <v>Essential Residential without CL</v>
      </c>
      <c r="D3" s="97" t="str">
        <f>$A$2&amp;" "&amp;D6&amp;" "&amp;D7</f>
        <v>Essential Residential with CL</v>
      </c>
      <c r="E3" s="97" t="str">
        <f>$A$2&amp;" "&amp;E6&amp;" "&amp;E7</f>
        <v>Essential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1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149999999999999" customHeight="1" x14ac:dyDescent="0.35">
      <c r="B6" s="307" t="str">
        <f>A2</f>
        <v>Essential</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149999999999999" customHeight="1" x14ac:dyDescent="0.35">
      <c r="B7" s="307"/>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15"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28">
        <f ca="1">ROUND(H39,0)</f>
        <v>1907</v>
      </c>
      <c r="D9" s="228">
        <f ca="1">ROUND(Q39,0)</f>
        <v>2271</v>
      </c>
      <c r="E9" s="228">
        <f ca="1">ROUND(Z39,0)</f>
        <v>7791</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15"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149999999999999" customHeight="1" x14ac:dyDescent="0.35">
      <c r="B11" s="65" t="s">
        <v>52</v>
      </c>
      <c r="C11" s="66">
        <f>SUM(C12:C13)</f>
        <v>4600</v>
      </c>
      <c r="D11" s="66">
        <f>SUM(D12:D13)</f>
        <v>6600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149999999999999" customHeight="1" x14ac:dyDescent="0.35">
      <c r="B12" s="67" t="s">
        <v>56</v>
      </c>
      <c r="C12" s="68">
        <f t="array" ref="C12">INDEX(Usage!$B$5:$M$18,MATCH($B6,Usage!$B$5:$B$18,0),MATCH(C$6&amp;C$7&amp;"Flat rate"&amp;"Total",Usage!$B$5:$M$5&amp;Usage!$B$6:$M$6&amp;Usage!$B$7:$M$7&amp;Usage!$B$13:$M$13,0))</f>
        <v>4600</v>
      </c>
      <c r="D12" s="68">
        <f t="array" ref="D12">INDEX(Usage!$B$5:$M$18,MATCH($B6,Usage!$B$5:$B$18,0),MATCH(D$6&amp;D$7&amp;"Flat rate"&amp;"Total",Usage!$B$5:$M$5&amp;Usage!$B$6:$M$6&amp;Usage!$B$7:$M$7&amp;Usage!$B$13:$M$13,0))</f>
        <v>4600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149999999999999" customHeight="1" x14ac:dyDescent="0.35">
      <c r="B13" s="67" t="s">
        <v>55</v>
      </c>
      <c r="C13" s="68"/>
      <c r="D13" s="68">
        <f t="array" ref="D13">INDEX(Usage!$B$5:$M$18,MATCH($B6,Usage!$B$5:$B$18,0),MATCH(D$6&amp;D$7&amp;"CL"&amp;"Total",Usage!$B$5:$M$5&amp;Usage!$B$6:$M$6&amp;Usage!$B$7:$M$7&amp;Usage!$B$13:$M$13,0))</f>
        <v>2000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15"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149999999999999" customHeight="1" x14ac:dyDescent="0.35">
      <c r="B15" s="67" t="str">
        <f>"Change from DMO "&amp;PY&amp; " price ($)"</f>
        <v>Change from DMO 2020-21 price ($)</v>
      </c>
      <c r="C15" s="176">
        <f ca="1">C9-H32</f>
        <v>-53</v>
      </c>
      <c r="D15" s="176">
        <f ca="1">D9-Q32</f>
        <v>-85</v>
      </c>
      <c r="E15" s="176">
        <f ca="1">E9-Z32</f>
        <v>-250</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149999999999999" customHeight="1" thickBot="1" x14ac:dyDescent="0.4">
      <c r="B16" s="70" t="str">
        <f>"Change from DMO "&amp;PY&amp; " price (%)"</f>
        <v>Change from DMO 2020-21 price (%)</v>
      </c>
      <c r="C16" s="140">
        <f ca="1">C9/H32-1</f>
        <v>-2.7040816326530659E-2</v>
      </c>
      <c r="D16" s="140">
        <f ca="1">D9/Q32-1</f>
        <v>-3.6078098471986397E-2</v>
      </c>
      <c r="E16" s="140">
        <f ca="1">E9/Z32-1</f>
        <v>-3.1090660365626133E-2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04" t="s">
        <v>36</v>
      </c>
      <c r="G27" s="113"/>
      <c r="H27" s="303" t="s">
        <v>6</v>
      </c>
      <c r="I27" s="303"/>
      <c r="J27" s="303"/>
      <c r="K27" s="303"/>
      <c r="L27" s="303"/>
      <c r="M27" s="303"/>
      <c r="N27" s="303"/>
      <c r="O27" s="303"/>
      <c r="P27" s="108"/>
      <c r="Q27" s="303" t="s">
        <v>6</v>
      </c>
      <c r="R27" s="303"/>
      <c r="S27" s="303"/>
      <c r="T27" s="303"/>
      <c r="U27" s="303"/>
      <c r="V27" s="303"/>
      <c r="W27" s="303"/>
      <c r="X27" s="303"/>
      <c r="Y27" s="108"/>
      <c r="Z27" s="303" t="s">
        <v>86</v>
      </c>
      <c r="AA27" s="303"/>
      <c r="AB27" s="303"/>
      <c r="AC27" s="303"/>
      <c r="AD27" s="303"/>
      <c r="AE27" s="303"/>
      <c r="AF27" s="303"/>
      <c r="AG27" s="303"/>
    </row>
    <row r="28" spans="2:34" ht="15" thickBot="1" x14ac:dyDescent="0.4">
      <c r="F28" s="304"/>
      <c r="G28" s="113"/>
      <c r="H28" s="306" t="s">
        <v>150</v>
      </c>
      <c r="I28" s="306"/>
      <c r="J28" s="306"/>
      <c r="K28" s="306"/>
      <c r="L28" s="306"/>
      <c r="M28" s="306"/>
      <c r="N28" s="306"/>
      <c r="O28" s="306"/>
      <c r="P28" s="108"/>
      <c r="Q28" s="306" t="s">
        <v>151</v>
      </c>
      <c r="R28" s="306"/>
      <c r="S28" s="306"/>
      <c r="T28" s="306"/>
      <c r="U28" s="306"/>
      <c r="V28" s="306"/>
      <c r="W28" s="306"/>
      <c r="X28" s="306"/>
      <c r="Y28" s="108"/>
      <c r="Z28" s="306" t="s">
        <v>150</v>
      </c>
      <c r="AA28" s="306"/>
      <c r="AB28" s="306"/>
      <c r="AC28" s="306"/>
      <c r="AD28" s="306"/>
      <c r="AE28" s="306"/>
      <c r="AF28" s="306"/>
      <c r="AG28" s="306"/>
    </row>
    <row r="29" spans="2:34" ht="15" customHeight="1" thickTop="1" x14ac:dyDescent="0.35">
      <c r="F29" s="304"/>
      <c r="G29" s="114"/>
      <c r="H29" s="108" t="s">
        <v>75</v>
      </c>
      <c r="I29" s="305" t="str">
        <f>PY</f>
        <v>2020-21</v>
      </c>
      <c r="J29" s="305"/>
      <c r="K29" s="108"/>
      <c r="L29" s="305" t="str">
        <f>FY</f>
        <v>2021-22</v>
      </c>
      <c r="M29" s="305"/>
      <c r="N29" s="305"/>
      <c r="O29" s="305"/>
      <c r="P29" s="51"/>
      <c r="Q29" s="108" t="s">
        <v>75</v>
      </c>
      <c r="R29" s="305" t="str">
        <f>PY</f>
        <v>2020-21</v>
      </c>
      <c r="S29" s="305"/>
      <c r="T29" s="108"/>
      <c r="U29" s="305" t="str">
        <f>FY</f>
        <v>2021-22</v>
      </c>
      <c r="V29" s="305"/>
      <c r="W29" s="305"/>
      <c r="X29" s="305"/>
      <c r="Y29" s="51"/>
      <c r="Z29" s="108" t="s">
        <v>75</v>
      </c>
      <c r="AA29" s="305" t="str">
        <f>PY</f>
        <v>2020-21</v>
      </c>
      <c r="AB29" s="305"/>
      <c r="AC29" s="108"/>
      <c r="AD29" s="305" t="str">
        <f>FY</f>
        <v>2021-22</v>
      </c>
      <c r="AE29" s="305"/>
      <c r="AF29" s="305"/>
      <c r="AG29" s="305"/>
    </row>
    <row r="30" spans="2:34" ht="26" x14ac:dyDescent="0.35">
      <c r="F30" s="304"/>
      <c r="G30" s="114"/>
      <c r="H30" s="72"/>
      <c r="I30" s="51" t="s">
        <v>25</v>
      </c>
      <c r="J30" s="51" t="s">
        <v>27</v>
      </c>
      <c r="K30" s="108"/>
      <c r="L30" s="51" t="s">
        <v>24</v>
      </c>
      <c r="M30" s="52" t="s">
        <v>200</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04"/>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1960</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2356</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8041</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903.20934000000011</v>
      </c>
      <c r="J33" s="59">
        <f ca="1">I33/H$32</f>
        <v>0.46082109183673475</v>
      </c>
      <c r="K33" s="59"/>
      <c r="L33" s="71">
        <f t="array" aca="1" ref="L33" ca="1">INDEX(INDIRECT("'"&amp;$F33&amp;"'!$B$3:$T$300"),MATCH($B$6&amp;H$27&amp;H$28&amp;"Total inc GST",INDIRECT("'"&amp;$F33&amp;"'!$B$3:$B$300")&amp;INDIRECT("'"&amp;$F33&amp;"'!$C$3:$C$300")&amp;INDIRECT("'"&amp;$F33&amp;"'!$D$3:$D$300")&amp;INDIRECT("'"&amp;$F33&amp;"'!$G$3:$G$300"),0),MATCH(L$29&amp;L$30,INDIRECT("'"&amp;$F33&amp;"'!$B$4:$T$4")&amp;INDIRECT("'"&amp;$F33&amp;"'!$B$5:$T$5"),0))</f>
        <v>5.407847088915152E-2</v>
      </c>
      <c r="M33" s="59">
        <f ca="1">J33*L33</f>
        <v>2.492049999999988E-2</v>
      </c>
      <c r="N33" s="58">
        <f t="array" aca="1" ref="N33" ca="1">INDEX(INDIRECT("'"&amp;$F33&amp;"'!$B$3:$T$300"),MATCH($B$6&amp;H$27&amp;H$28&amp;"Total inc GST",INDIRECT("'"&amp;$F33&amp;"'!$B$3:$B$300")&amp;INDIRECT("'"&amp;$F33&amp;"'!$C$3:$C$300")&amp;INDIRECT("'"&amp;$F33&amp;"'!$D$3:$D$300")&amp;INDIRECT("'"&amp;$F33&amp;"'!$G$3:$G$300"),0),MATCH(L$29&amp;N$30,INDIRECT("'"&amp;$F33&amp;"'!$B$4:$T$4")&amp;INDIRECT("'"&amp;$F33&amp;"'!$B$5:$T$5"),0))</f>
        <v>952.05351999999993</v>
      </c>
      <c r="O33" s="59">
        <f ca="1">N33/H$39</f>
        <v>0.49913707749483216</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1012.678678</v>
      </c>
      <c r="S33" s="59">
        <f ca="1">R33/Q$32</f>
        <v>0.42982965959252972</v>
      </c>
      <c r="T33" s="59"/>
      <c r="U33" s="71">
        <f t="array" aca="1" ref="U33" ca="1">INDEX(INDIRECT("'"&amp;$F33&amp;"'!$B$3:$T$300"),MATCH($B$6&amp;Q$27&amp;Q$28&amp;"Total inc GST",INDIRECT("'"&amp;$F33&amp;"'!$B$3:$B$300")&amp;INDIRECT("'"&amp;$F33&amp;"'!$C$3:$C$300")&amp;INDIRECT("'"&amp;$F33&amp;"'!$D$3:$D$300")&amp;INDIRECT("'"&amp;$F33&amp;"'!$G$3:$G$300"),0),MATCH(U$29&amp;U$30,INDIRECT("'"&amp;$F33&amp;"'!$B$4:$T$4")&amp;INDIRECT("'"&amp;$F33&amp;"'!$B$5:$T$5"),0))</f>
        <v>5.6016542297536276E-2</v>
      </c>
      <c r="V33" s="59">
        <f ca="1">S33*U33</f>
        <v>2.4077571307300559E-2</v>
      </c>
      <c r="W33" s="58">
        <f t="array" aca="1" ref="W33" ca="1">INDEX(INDIRECT("'"&amp;$F33&amp;"'!$B$3:$T$300"),MATCH($B$6&amp;Q$27&amp;Q$28&amp;"Total inc GST",INDIRECT("'"&amp;$F33&amp;"'!$B$3:$B$300")&amp;INDIRECT("'"&amp;$F33&amp;"'!$C$3:$C$300")&amp;INDIRECT("'"&amp;$F33&amp;"'!$D$3:$D$300")&amp;INDIRECT("'"&amp;$F33&amp;"'!$G$3:$G$300"),0),MATCH(U$29&amp;W$30,INDIRECT("'"&amp;$F33&amp;"'!$B$4:$T$4")&amp;INDIRECT("'"&amp;$F33&amp;"'!$B$5:$T$5"),0))</f>
        <v>1069.405436</v>
      </c>
      <c r="X33" s="59">
        <f ca="1">W33/Q$39</f>
        <v>0.47095278260698548</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3563.7250000000004</v>
      </c>
      <c r="AB33" s="59">
        <f ca="1">AA33/Z$32</f>
        <v>0.4431942544459645</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5.4075777451963791E-2</v>
      </c>
      <c r="AE33" s="59">
        <f ca="1">AB33*AD33</f>
        <v>2.3966073871408991E-2</v>
      </c>
      <c r="AF33" s="58">
        <f t="array" aca="1" ref="AF33" ca="1">INDEX(INDIRECT("'"&amp;$F33&amp;"'!$B$3:$T$300"),MATCH($B$6&amp;Z$27&amp;Z$28&amp;"Total inc GST",INDIRECT("'"&amp;$F33&amp;"'!$B$3:$B$300")&amp;INDIRECT("'"&amp;$F33&amp;"'!$C$3:$C$300")&amp;INDIRECT("'"&amp;$F33&amp;"'!$D$3:$D$300")&amp;INDIRECT("'"&amp;$F33&amp;"'!$G$3:$G$300"),0),MATCH(AD$29&amp;AF$30,INDIRECT("'"&amp;$F33&amp;"'!$B$4:$T$4")&amp;INDIRECT("'"&amp;$F33&amp;"'!$B$5:$T$5"),0))</f>
        <v>3756.4362000000001</v>
      </c>
      <c r="AG33" s="59">
        <f ca="1">AF33/Z$39</f>
        <v>0.48215796391469928</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523.71</v>
      </c>
      <c r="J34" s="59">
        <f ca="1">I34/H$32</f>
        <v>0.26719897959183675</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-0.22376811594202906</v>
      </c>
      <c r="M34" s="59">
        <f ca="1">J34*L34</f>
        <v>-5.9790612244897984E-2</v>
      </c>
      <c r="N34" s="58">
        <f t="array" aca="1" ref="N34" ca="1">INDEX(INDIRECT("'"&amp;$F34&amp;"'!$B$3:$T$300"),MATCH($B$6&amp;H$27&amp;H$28&amp;"Total inc GST",INDIRECT("'"&amp;$F34&amp;"'!$B$3:$B$300")&amp;INDIRECT("'"&amp;$F34&amp;"'!$C$3:$C$300")&amp;INDIRECT("'"&amp;$F34&amp;"'!$D$3:$D$300")&amp;INDIRECT("'"&amp;$F34&amp;"'!$G$3:$G$300"),0),MATCH(L$29&amp;N$30,INDIRECT("'"&amp;$F34&amp;"'!$B$4:$T$4")&amp;INDIRECT("'"&amp;$F34&amp;"'!$B$5:$T$5"),0))</f>
        <v>406.5204</v>
      </c>
      <c r="O34" s="59">
        <f ca="1">N34/H$39</f>
        <v>0.21312814892804574</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717.08999999999992</v>
      </c>
      <c r="S34" s="59">
        <f ca="1">R34/Q$32</f>
        <v>0.30436757215619692</v>
      </c>
      <c r="T34" s="59"/>
      <c r="U34" s="71">
        <f t="array" aca="1" ref="U34" ca="1">INDEX(INDIRECT("'"&amp;$F34&amp;"'!$B$3:$T$300"),MATCH($B$6&amp;Q$27&amp;Q$28&amp;"Total inc GST",INDIRECT("'"&amp;$F34&amp;"'!$B$3:$B$300")&amp;INDIRECT("'"&amp;$F34&amp;"'!$C$3:$C$300")&amp;INDIRECT("'"&amp;$F34&amp;"'!$D$3:$D$300")&amp;INDIRECT("'"&amp;$F34&amp;"'!$G$3:$G$300"),0),MATCH(U$29&amp;U$30,INDIRECT("'"&amp;$F34&amp;"'!$B$4:$T$4")&amp;INDIRECT("'"&amp;$F34&amp;"'!$B$5:$T$5"),0))</f>
        <v>-0.22662371529375669</v>
      </c>
      <c r="V34" s="59">
        <f ca="1">S34*U34</f>
        <v>-6.8976910016977921E-2</v>
      </c>
      <c r="W34" s="58">
        <f t="array" aca="1" ref="W34" ca="1">INDEX(INDIRECT("'"&amp;$F34&amp;"'!$B$3:$T$300"),MATCH($B$6&amp;Q$27&amp;Q$28&amp;"Total inc GST",INDIRECT("'"&amp;$F34&amp;"'!$B$3:$B$300")&amp;INDIRECT("'"&amp;$F34&amp;"'!$C$3:$C$300")&amp;INDIRECT("'"&amp;$F34&amp;"'!$D$3:$D$300")&amp;INDIRECT("'"&amp;$F34&amp;"'!$G$3:$G$300"),0),MATCH(U$29&amp;W$30,INDIRECT("'"&amp;$F34&amp;"'!$B$4:$T$4")&amp;INDIRECT("'"&amp;$F34&amp;"'!$B$5:$T$5"),0))</f>
        <v>554.58039999999994</v>
      </c>
      <c r="X34" s="59">
        <f ca="1">W34/Q$39</f>
        <v>0.24423027391390129</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2277</v>
      </c>
      <c r="AB34" s="59">
        <f ca="1">AA34/Z$32</f>
        <v>0.28317373461012313</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-0.22376811594202894</v>
      </c>
      <c r="AE34" s="59">
        <f ca="1">AB34*AD34</f>
        <v>-6.3365253077975373E-2</v>
      </c>
      <c r="AF34" s="58">
        <f t="array" aca="1" ref="AF34" ca="1">INDEX(INDIRECT("'"&amp;$F34&amp;"'!$B$3:$T$300"),MATCH($B$6&amp;Z$27&amp;Z$28&amp;"Total inc GST",INDIRECT("'"&amp;$F34&amp;"'!$B$3:$B$300")&amp;INDIRECT("'"&amp;$F34&amp;"'!$C$3:$C$300")&amp;INDIRECT("'"&amp;$F34&amp;"'!$D$3:$D$300")&amp;INDIRECT("'"&amp;$F34&amp;"'!$G$3:$G$300"),0),MATCH(AD$29&amp;AF$30,INDIRECT("'"&amp;$F34&amp;"'!$B$4:$T$4")&amp;INDIRECT("'"&amp;$F34&amp;"'!$B$5:$T$5"),0))</f>
        <v>1767.48</v>
      </c>
      <c r="AG34" s="59">
        <f ca="1">AF34/Z$39</f>
        <v>0.22686517557783961</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87.284999999999997</v>
      </c>
      <c r="J35" s="59">
        <f ca="1">I35/H$32</f>
        <v>4.4533163265306118E-2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0.10376811594202895</v>
      </c>
      <c r="M35" s="59">
        <f ca="1">J35*L35</f>
        <v>4.6211224489795897E-3</v>
      </c>
      <c r="N35" s="58">
        <f t="array" aca="1" ref="N35" ca="1">INDEX(INDIRECT("'"&amp;$F35&amp;"'!$B$3:$T$300"),MATCH($B$6&amp;H$27&amp;H$28&amp;"Total inc GST",INDIRECT("'"&amp;$F35&amp;"'!$B$3:$B$300")&amp;INDIRECT("'"&amp;$F35&amp;"'!$C$3:$C$300")&amp;INDIRECT("'"&amp;$F35&amp;"'!$D$3:$D$300")&amp;INDIRECT("'"&amp;$F35&amp;"'!$G$3:$G$300"),0),MATCH(L$29&amp;N$30,INDIRECT("'"&amp;$F35&amp;"'!$B$4:$T$4")&amp;INDIRECT("'"&amp;$F35&amp;"'!$B$5:$T$5"),0))</f>
        <v>96.342399999999998</v>
      </c>
      <c r="O35" s="59">
        <f ca="1">N35/H$39</f>
        <v>5.0509832656086523E-2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125.235</v>
      </c>
      <c r="S35" s="59">
        <f ca="1">R35/Q$32</f>
        <v>5.3155772495755517E-2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0.10376811594202895</v>
      </c>
      <c r="V35" s="59">
        <f ca="1">S35*U35</f>
        <v>5.5158743633276722E-3</v>
      </c>
      <c r="W35" s="58">
        <f t="array" aca="1" ref="W35" ca="1">INDEX(INDIRECT("'"&amp;$F35&amp;"'!$B$3:$T$300"),MATCH($B$6&amp;Q$27&amp;Q$28&amp;"Total inc GST",INDIRECT("'"&amp;$F35&amp;"'!$B$3:$B$300")&amp;INDIRECT("'"&amp;$F35&amp;"'!$C$3:$C$300")&amp;INDIRECT("'"&amp;$F35&amp;"'!$D$3:$D$300")&amp;INDIRECT("'"&amp;$F35&amp;"'!$G$3:$G$300"),0),MATCH(U$29&amp;W$30,INDIRECT("'"&amp;$F35&amp;"'!$B$4:$T$4")&amp;INDIRECT("'"&amp;$F35&amp;"'!$B$5:$T$5"),0))</f>
        <v>138.2304</v>
      </c>
      <c r="X35" s="59">
        <f ca="1">W35/Q$39</f>
        <v>6.0874939783714214E-2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379.5</v>
      </c>
      <c r="AB35" s="59">
        <f ca="1">AA35/Z$32</f>
        <v>4.7195622435020519E-2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0.10376811594202895</v>
      </c>
      <c r="AE35" s="59">
        <f ca="1">AB35*AD35</f>
        <v>4.897400820793432E-3</v>
      </c>
      <c r="AF35" s="58">
        <f t="array" aca="1" ref="AF35" ca="1">INDEX(INDIRECT("'"&amp;$F35&amp;"'!$B$3:$T$300"),MATCH($B$6&amp;Z$27&amp;Z$28&amp;"Total inc GST",INDIRECT("'"&amp;$F35&amp;"'!$B$3:$B$300")&amp;INDIRECT("'"&amp;$F35&amp;"'!$C$3:$C$300")&amp;INDIRECT("'"&amp;$F35&amp;"'!$D$3:$D$300")&amp;INDIRECT("'"&amp;$F35&amp;"'!$G$3:$G$300"),0),MATCH(AD$29&amp;AF$30,INDIRECT("'"&amp;$F35&amp;"'!$B$4:$T$4")&amp;INDIRECT("'"&amp;$F35&amp;"'!$B$5:$T$5"),0))</f>
        <v>418.88</v>
      </c>
      <c r="AG35" s="59">
        <f ca="1">AF35/Z$39</f>
        <v>5.3765408800125293E-2</v>
      </c>
    </row>
    <row r="36" spans="2:33" ht="15" customHeight="1" x14ac:dyDescent="0.35">
      <c r="F36" s="61" t="s">
        <v>72</v>
      </c>
      <c r="G36" s="61"/>
      <c r="H36" s="60"/>
      <c r="I36" s="58">
        <f ca="1">H32-SUM(I33:I35,I38)</f>
        <v>445.79565999999977</v>
      </c>
      <c r="J36" s="59">
        <f ca="1">I36/H$32</f>
        <v>0.22744676530612234</v>
      </c>
      <c r="K36" s="59"/>
      <c r="L36" s="251">
        <f>CPI</f>
        <v>1.4999999999999999E-2</v>
      </c>
      <c r="M36" s="59">
        <f ca="1">J36*L36</f>
        <v>3.4117014795918351E-3</v>
      </c>
      <c r="N36" s="58">
        <f ca="1">H39-SUM(N33:N35,N38)</f>
        <v>452.48259489999987</v>
      </c>
      <c r="O36" s="59">
        <f ca="1">N36/H$39</f>
        <v>0.2372249409210356</v>
      </c>
      <c r="P36" s="59"/>
      <c r="Q36" s="59"/>
      <c r="R36" s="58">
        <f ca="1">Q32-SUM(R33:R35,R38)</f>
        <v>500.99632200000019</v>
      </c>
      <c r="S36" s="59">
        <f ca="1">R36/Q$32</f>
        <v>0.2126469957555179</v>
      </c>
      <c r="T36" s="59"/>
      <c r="U36" s="251">
        <f>CPI</f>
        <v>1.4999999999999999E-2</v>
      </c>
      <c r="V36" s="59">
        <f ca="1">S36*U36</f>
        <v>3.1897049363327685E-3</v>
      </c>
      <c r="W36" s="58">
        <f ca="1">Q39-SUM(W33:W35,W38)</f>
        <v>508.5112668300003</v>
      </c>
      <c r="X36" s="59">
        <f ca="1">W36/Q$39</f>
        <v>0.22394200369539913</v>
      </c>
      <c r="Y36" s="60"/>
      <c r="Z36" s="60"/>
      <c r="AA36" s="58">
        <f ca="1">Z32-SUM(AA33:AA35,AA38)</f>
        <v>1820.7749999999996</v>
      </c>
      <c r="AB36" s="59">
        <f ca="1">AA36/Z$32</f>
        <v>0.22643638850889189</v>
      </c>
      <c r="AC36" s="59"/>
      <c r="AD36" s="251">
        <f>CPI</f>
        <v>1.4999999999999999E-2</v>
      </c>
      <c r="AE36" s="59">
        <f ca="1">AB36*AD36</f>
        <v>3.396545827633378E-3</v>
      </c>
      <c r="AF36" s="58">
        <f ca="1">Z39-SUM(AF33:AF35,AF38)</f>
        <v>1848.0866249999999</v>
      </c>
      <c r="AG36" s="59">
        <f ca="1">AF36/Z$39</f>
        <v>0.23721145170733587</v>
      </c>
    </row>
    <row r="37" spans="2:33" s="5" customFormat="1" ht="15" customHeight="1" x14ac:dyDescent="0.35">
      <c r="F37" s="61" t="s">
        <v>78</v>
      </c>
      <c r="G37" s="57"/>
      <c r="H37" s="60"/>
      <c r="I37" s="59"/>
      <c r="J37" s="59"/>
      <c r="K37" s="59"/>
      <c r="L37" s="59">
        <f ca="1">SUMPRODUCT(J33:J36,L33:L36)</f>
        <v>-2.6837288316326681E-2</v>
      </c>
      <c r="M37" s="59"/>
      <c r="N37" s="59"/>
      <c r="O37" s="59"/>
      <c r="P37" s="59"/>
      <c r="Q37" s="59"/>
      <c r="R37" s="59"/>
      <c r="S37" s="59"/>
      <c r="T37" s="59"/>
      <c r="U37" s="59">
        <f ca="1">SUMPRODUCT(S33:S36,U33:U36)</f>
        <v>-3.6193759410016922E-2</v>
      </c>
      <c r="V37" s="59"/>
      <c r="W37" s="59"/>
      <c r="X37" s="59"/>
      <c r="Y37" s="60"/>
      <c r="Z37" s="60"/>
      <c r="AA37" s="59"/>
      <c r="AB37" s="59"/>
      <c r="AC37" s="59"/>
      <c r="AD37" s="59">
        <f ca="1">SUMPRODUCT(AB33:AB36,AD33:AD36)</f>
        <v>-3.1105232558139573E-2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1907.3989148999997</v>
      </c>
      <c r="I39" s="106"/>
      <c r="J39" s="106"/>
      <c r="K39" s="106"/>
      <c r="L39" s="106">
        <f ca="1">H39/H32-1</f>
        <v>-2.6837288316326702E-2</v>
      </c>
      <c r="M39" s="106"/>
      <c r="N39" s="106"/>
      <c r="O39" s="106"/>
      <c r="P39" s="106"/>
      <c r="Q39" s="105">
        <f ca="1">Q32*(1+U37)+W38</f>
        <v>2270.72750283</v>
      </c>
      <c r="R39" s="105"/>
      <c r="S39" s="106"/>
      <c r="T39" s="106"/>
      <c r="U39" s="106">
        <f ca="1">Q39/Q32-1</f>
        <v>-3.6193759410017012E-2</v>
      </c>
      <c r="V39" s="106"/>
      <c r="W39" s="107"/>
      <c r="X39" s="107"/>
      <c r="Y39" s="107"/>
      <c r="Z39" s="105">
        <f ca="1">Z32*(1+AD37)+AF38</f>
        <v>7790.8828249999997</v>
      </c>
      <c r="AA39" s="105"/>
      <c r="AB39" s="106"/>
      <c r="AC39" s="106"/>
      <c r="AD39" s="106">
        <f ca="1">Z39/Z32-1</f>
        <v>-3.1105232558139573E-2</v>
      </c>
      <c r="AE39" s="106"/>
      <c r="AF39" s="106"/>
      <c r="AG39" s="106"/>
    </row>
    <row r="40" spans="2:33" ht="15" thickTop="1" x14ac:dyDescent="0.35">
      <c r="F40" s="162"/>
    </row>
    <row r="41" spans="2:33" x14ac:dyDescent="0.35">
      <c r="F41" s="139"/>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yTxCedd1xzxzgBq4jyW1DoKSBCupkSUd9oKVjaLyxLM=" saltValue="1t89Sc9QVye0nkOE9GyRfA=="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T38 W38 Y38:AC39 AF38 M39 F37:W37 F36:K36 M36:T36 V36:W36 Y37:AF37 Y36:AC36 AE36:AF36">
    <cfRule type="expression" dxfId="1193" priority="71">
      <formula>MOD(ROW(),2)=0</formula>
    </cfRule>
    <cfRule type="expression" dxfId="1192" priority="72">
      <formula>AND(MOD(ROW(),2)=0,F$30="Proportion",$F32="Overall change in costs (%)")</formula>
    </cfRule>
    <cfRule type="expression" dxfId="1191" priority="73">
      <formula>AND(MOD(ROW(),1)=0,F$30="Proportion",$F32="Overall change in costs (%)")</formula>
    </cfRule>
  </conditionalFormatting>
  <conditionalFormatting sqref="P44:R44 G44:J44 Y44:AA44 M44:N44">
    <cfRule type="cellIs" dxfId="1190" priority="69" operator="equal">
      <formula>FALSE</formula>
    </cfRule>
    <cfRule type="cellIs" dxfId="1189" priority="70" operator="equal">
      <formula>TRUE</formula>
    </cfRule>
  </conditionalFormatting>
  <conditionalFormatting sqref="O39 X39 AG39">
    <cfRule type="expression" dxfId="1188" priority="1390">
      <formula>MOD(ROW(),2)=0</formula>
    </cfRule>
    <cfRule type="expression" dxfId="1187" priority="1391">
      <formula>AND(MOD(ROW(),2)=0,N$30="Proportion",$F39="Overall change in costs (%)")</formula>
    </cfRule>
    <cfRule type="expression" dxfId="1186" priority="1392">
      <formula>AND(MOD(ROW(),1)=0,N$30="Proportion",$F39="Overall change in costs (%)")</formula>
    </cfRule>
  </conditionalFormatting>
  <conditionalFormatting sqref="N39 W39 AF39">
    <cfRule type="expression" dxfId="1185" priority="1393">
      <formula>MOD(ROW(),2)=0</formula>
    </cfRule>
    <cfRule type="expression" dxfId="1184" priority="1394">
      <formula>AND(MOD(ROW(),2)=0,#REF!="Proportion",$F39="Overall change in costs (%)")</formula>
    </cfRule>
    <cfRule type="expression" dxfId="1183" priority="1395">
      <formula>AND(MOD(ROW(),1)=0,#REF!="Proportion",$F39="Overall change in costs (%)")</formula>
    </cfRule>
  </conditionalFormatting>
  <conditionalFormatting sqref="O44">
    <cfRule type="cellIs" dxfId="1182" priority="64" operator="equal">
      <formula>FALSE</formula>
    </cfRule>
    <cfRule type="cellIs" dxfId="1181" priority="65" operator="equal">
      <formula>TRUE</formula>
    </cfRule>
  </conditionalFormatting>
  <conditionalFormatting sqref="S44:T44">
    <cfRule type="cellIs" dxfId="1180" priority="62" operator="equal">
      <formula>FALSE</formula>
    </cfRule>
    <cfRule type="cellIs" dxfId="1179" priority="63" operator="equal">
      <formula>TRUE</formula>
    </cfRule>
  </conditionalFormatting>
  <conditionalFormatting sqref="X44">
    <cfRule type="cellIs" dxfId="1178" priority="60" operator="equal">
      <formula>FALSE</formula>
    </cfRule>
    <cfRule type="cellIs" dxfId="1177" priority="61" operator="equal">
      <formula>TRUE</formula>
    </cfRule>
  </conditionalFormatting>
  <conditionalFormatting sqref="W44">
    <cfRule type="cellIs" dxfId="1176" priority="48" operator="equal">
      <formula>FALSE</formula>
    </cfRule>
    <cfRule type="cellIs" dxfId="1175" priority="49" operator="equal">
      <formula>TRUE</formula>
    </cfRule>
  </conditionalFormatting>
  <conditionalFormatting sqref="AB44:AC44">
    <cfRule type="cellIs" dxfId="1174" priority="46" operator="equal">
      <formula>FALSE</formula>
    </cfRule>
    <cfRule type="cellIs" dxfId="1173" priority="47" operator="equal">
      <formula>TRUE</formula>
    </cfRule>
  </conditionalFormatting>
  <conditionalFormatting sqref="X32:X38">
    <cfRule type="expression" dxfId="1172" priority="53">
      <formula>MOD(ROW(),2)=0</formula>
    </cfRule>
    <cfRule type="expression" dxfId="1171" priority="54">
      <formula>AND(MOD(ROW(),2)=0,X$30="Proportion",$F32="Overall change in costs (%)")</formula>
    </cfRule>
    <cfRule type="expression" dxfId="1170" priority="55">
      <formula>AND(MOD(ROW(),1)=0,X$30="Proportion",$F32="Overall change in costs (%)")</formula>
    </cfRule>
  </conditionalFormatting>
  <conditionalFormatting sqref="AG32:AG38">
    <cfRule type="expression" dxfId="1169" priority="50">
      <formula>MOD(ROW(),2)=0</formula>
    </cfRule>
    <cfRule type="expression" dxfId="1168" priority="51">
      <formula>AND(MOD(ROW(),2)=0,AG$30="Proportion",$F32="Overall change in costs (%)")</formula>
    </cfRule>
    <cfRule type="expression" dxfId="1167" priority="52">
      <formula>AND(MOD(ROW(),1)=0,AG$30="Proportion",$F32="Overall change in costs (%)")</formula>
    </cfRule>
  </conditionalFormatting>
  <conditionalFormatting sqref="AG44">
    <cfRule type="cellIs" dxfId="1166" priority="44" operator="equal">
      <formula>FALSE</formula>
    </cfRule>
    <cfRule type="cellIs" dxfId="1165" priority="45" operator="equal">
      <formula>TRUE</formula>
    </cfRule>
  </conditionalFormatting>
  <conditionalFormatting sqref="AF44">
    <cfRule type="cellIs" dxfId="1164" priority="42" operator="equal">
      <formula>FALSE</formula>
    </cfRule>
    <cfRule type="cellIs" dxfId="1163" priority="43" operator="equal">
      <formula>TRUE</formula>
    </cfRule>
  </conditionalFormatting>
  <conditionalFormatting sqref="V44">
    <cfRule type="cellIs" dxfId="1162" priority="40" operator="equal">
      <formula>FALSE</formula>
    </cfRule>
    <cfRule type="cellIs" dxfId="1161" priority="41" operator="equal">
      <formula>TRUE</formula>
    </cfRule>
  </conditionalFormatting>
  <conditionalFormatting sqref="AE44">
    <cfRule type="cellIs" dxfId="1160" priority="38" operator="equal">
      <formula>FALSE</formula>
    </cfRule>
    <cfRule type="cellIs" dxfId="1159" priority="39" operator="equal">
      <formula>TRUE</formula>
    </cfRule>
  </conditionalFormatting>
  <conditionalFormatting sqref="U38:V38 V39">
    <cfRule type="expression" dxfId="1158" priority="35">
      <formula>MOD(ROW(),2)=0</formula>
    </cfRule>
    <cfRule type="expression" dxfId="1157" priority="36">
      <formula>AND(MOD(ROW(),2)=0,U$30="Proportion",$F38="Overall change in costs (%)")</formula>
    </cfRule>
    <cfRule type="expression" dxfId="1156" priority="37">
      <formula>AND(MOD(ROW(),1)=0,U$30="Proportion",$F38="Overall change in costs (%)")</formula>
    </cfRule>
  </conditionalFormatting>
  <conditionalFormatting sqref="AD38:AE38 AE39">
    <cfRule type="expression" dxfId="1155" priority="32">
      <formula>MOD(ROW(),2)=0</formula>
    </cfRule>
    <cfRule type="expression" dxfId="1154" priority="33">
      <formula>AND(MOD(ROW(),2)=0,AD$30="Proportion",$F38="Overall change in costs (%)")</formula>
    </cfRule>
    <cfRule type="expression" dxfId="1153" priority="34">
      <formula>AND(MOD(ROW(),1)=0,AD$30="Proportion",$F38="Overall change in costs (%)")</formula>
    </cfRule>
  </conditionalFormatting>
  <conditionalFormatting sqref="AD44">
    <cfRule type="cellIs" dxfId="1152" priority="28" operator="equal">
      <formula>FALSE</formula>
    </cfRule>
    <cfRule type="cellIs" dxfId="1151" priority="29" operator="equal">
      <formula>TRUE</formula>
    </cfRule>
  </conditionalFormatting>
  <conditionalFormatting sqref="L39">
    <cfRule type="expression" dxfId="1150" priority="25">
      <formula>MOD(ROW(),2)=0</formula>
    </cfRule>
    <cfRule type="expression" dxfId="1149" priority="26">
      <formula>AND(MOD(ROW(),2)=0,L$30="Proportion",$F39="Overall change in costs (%)")</formula>
    </cfRule>
    <cfRule type="expression" dxfId="1148" priority="27">
      <formula>AND(MOD(ROW(),1)=0,L$30="Proportion",$F39="Overall change in costs (%)")</formula>
    </cfRule>
  </conditionalFormatting>
  <conditionalFormatting sqref="U39">
    <cfRule type="expression" dxfId="1147" priority="22">
      <formula>MOD(ROW(),2)=0</formula>
    </cfRule>
    <cfRule type="expression" dxfId="1146" priority="23">
      <formula>AND(MOD(ROW(),2)=0,U$30="Proportion",$F39="Overall change in costs (%)")</formula>
    </cfRule>
    <cfRule type="expression" dxfId="1145" priority="24">
      <formula>AND(MOD(ROW(),1)=0,U$30="Proportion",$F39="Overall change in costs (%)")</formula>
    </cfRule>
  </conditionalFormatting>
  <conditionalFormatting sqref="AD39">
    <cfRule type="expression" dxfId="1144" priority="16">
      <formula>MOD(ROW(),2)=0</formula>
    </cfRule>
    <cfRule type="expression" dxfId="1143" priority="17">
      <formula>AND(MOD(ROW(),2)=0,AD$30="Proportion",$F39="Overall change in costs (%)")</formula>
    </cfRule>
    <cfRule type="expression" dxfId="1142" priority="18">
      <formula>AND(MOD(ROW(),1)=0,AD$30="Proportion",$F39="Overall change in costs (%)")</formula>
    </cfRule>
  </conditionalFormatting>
  <conditionalFormatting sqref="U44">
    <cfRule type="cellIs" dxfId="1141" priority="14" operator="equal">
      <formula>FALSE</formula>
    </cfRule>
    <cfRule type="cellIs" dxfId="1140" priority="15" operator="equal">
      <formula>TRUE</formula>
    </cfRule>
  </conditionalFormatting>
  <conditionalFormatting sqref="K44">
    <cfRule type="cellIs" dxfId="1139" priority="12" operator="equal">
      <formula>FALSE</formula>
    </cfRule>
    <cfRule type="cellIs" dxfId="1138" priority="13" operator="equal">
      <formula>TRUE</formula>
    </cfRule>
  </conditionalFormatting>
  <conditionalFormatting sqref="L44">
    <cfRule type="cellIs" dxfId="1137" priority="10" operator="equal">
      <formula>FALSE</formula>
    </cfRule>
    <cfRule type="cellIs" dxfId="1136" priority="11" operator="equal">
      <formula>TRUE</formula>
    </cfRule>
  </conditionalFormatting>
  <conditionalFormatting sqref="L36">
    <cfRule type="expression" dxfId="1135" priority="7">
      <formula>MOD(ROW(),2)=0</formula>
    </cfRule>
    <cfRule type="expression" dxfId="1134" priority="8">
      <formula>AND(MOD(ROW(),2)=0,L$30="Proportion",$F36="Overall change in costs (%)")</formula>
    </cfRule>
    <cfRule type="expression" dxfId="1133" priority="9">
      <formula>AND(MOD(ROW(),1)=0,L$30="Proportion",$F36="Overall change in costs (%)")</formula>
    </cfRule>
  </conditionalFormatting>
  <conditionalFormatting sqref="U36">
    <cfRule type="expression" dxfId="1132" priority="4">
      <formula>MOD(ROW(),2)=0</formula>
    </cfRule>
    <cfRule type="expression" dxfId="1131" priority="5">
      <formula>AND(MOD(ROW(),2)=0,U$30="Proportion",$F36="Overall change in costs (%)")</formula>
    </cfRule>
    <cfRule type="expression" dxfId="1130" priority="6">
      <formula>AND(MOD(ROW(),1)=0,U$30="Proportion",$F36="Overall change in costs (%)")</formula>
    </cfRule>
  </conditionalFormatting>
  <conditionalFormatting sqref="AD36">
    <cfRule type="expression" dxfId="1129" priority="1">
      <formula>MOD(ROW(),2)=0</formula>
    </cfRule>
    <cfRule type="expression" dxfId="1128" priority="2">
      <formula>AND(MOD(ROW(),2)=0,AD$30="Proportion",$F36="Overall change in costs (%)")</formula>
    </cfRule>
    <cfRule type="expression" dxfId="1127" priority="3">
      <formula>AND(MOD(ROW(),1)=0,AD$30="Proportion",$F36="Overall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4" customHeight="1" x14ac:dyDescent="0.35">
      <c r="A1" s="274" t="s">
        <v>22</v>
      </c>
      <c r="B1" s="300"/>
    </row>
    <row r="2" spans="1:34" s="14" customFormat="1" ht="22.5" customHeight="1" x14ac:dyDescent="0.35">
      <c r="A2" s="15" t="s">
        <v>0</v>
      </c>
    </row>
    <row r="3" spans="1:34" s="97" customFormat="1" ht="15" thickBot="1" x14ac:dyDescent="0.4">
      <c r="C3" s="97" t="str">
        <f>$A$2&amp;" "&amp;C6&amp;" "&amp;C7</f>
        <v>Energex Residential without CL</v>
      </c>
      <c r="D3" s="97" t="str">
        <f>$A$2&amp;" "&amp;D6&amp;" "&amp;D7</f>
        <v>Energex Residential with CL</v>
      </c>
      <c r="E3" s="97" t="str">
        <f>$A$2&amp;" "&amp;E6&amp;" "&amp;E7</f>
        <v>Energex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1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149999999999999" customHeight="1" x14ac:dyDescent="0.35">
      <c r="B6" s="307" t="str">
        <f>A2</f>
        <v>Energex</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149999999999999" customHeight="1" x14ac:dyDescent="0.35">
      <c r="B7" s="307"/>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15"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28">
        <f ca="1">ROUND(H39,0)</f>
        <v>1455</v>
      </c>
      <c r="D9" s="228">
        <f ca="1">ROUND(Q39,0)</f>
        <v>1741</v>
      </c>
      <c r="E9" s="228">
        <f ca="1">ROUND(Z39,0)</f>
        <v>5517</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15"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149999999999999" customHeight="1" x14ac:dyDescent="0.35">
      <c r="B11" s="65" t="s">
        <v>52</v>
      </c>
      <c r="C11" s="66">
        <f>SUM(C12:C13)</f>
        <v>4600</v>
      </c>
      <c r="D11" s="66">
        <f>SUM(D12:D13)</f>
        <v>6300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149999999999999" customHeight="1" x14ac:dyDescent="0.35">
      <c r="B12" s="67" t="s">
        <v>56</v>
      </c>
      <c r="C12" s="68">
        <f t="array" ref="C12">INDEX(Usage!$B$5:$M$18,MATCH($B6,Usage!$B$5:$B$18,0),MATCH(C$6&amp;C$7&amp;"Flat rate"&amp;"Total",Usage!$B$5:$M$5&amp;Usage!$B$6:$M$6&amp;Usage!$B$7:$M$7&amp;Usage!$B$13:$M$13,0))</f>
        <v>4600</v>
      </c>
      <c r="D12" s="68">
        <f t="array" ref="D12">INDEX(Usage!$B$5:$M$18,MATCH($B6,Usage!$B$5:$B$18,0),MATCH(D$6&amp;D$7&amp;"Flat rate"&amp;"Total",Usage!$B$5:$M$5&amp;Usage!$B$6:$M$6&amp;Usage!$B$7:$M$7&amp;Usage!$B$13:$M$13,0))</f>
        <v>4400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149999999999999" customHeight="1" x14ac:dyDescent="0.35">
      <c r="B13" s="67" t="s">
        <v>55</v>
      </c>
      <c r="C13" s="68"/>
      <c r="D13" s="68">
        <f t="array" ref="D13">INDEX(Usage!$B$5:$M$18,MATCH($B6,Usage!$B$5:$B$18,0),MATCH(D$6&amp;D$7&amp;"CL"&amp;"Total",Usage!$B$5:$M$5&amp;Usage!$B$6:$M$6&amp;Usage!$B$7:$M$7&amp;Usage!$B$13:$M$13,0))</f>
        <v>1900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15"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149999999999999" customHeight="1" x14ac:dyDescent="0.35">
      <c r="B15" s="67" t="str">
        <f>"Change from DMO "&amp;PY&amp; " price ($)"</f>
        <v>Change from DMO 2020-21 price ($)</v>
      </c>
      <c r="C15" s="176">
        <f ca="1">C9-H32</f>
        <v>-53</v>
      </c>
      <c r="D15" s="176">
        <f ca="1">D9-Q32</f>
        <v>-71</v>
      </c>
      <c r="E15" s="176">
        <f ca="1">E9-Z32</f>
        <v>-243</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149999999999999" customHeight="1" thickBot="1" x14ac:dyDescent="0.4">
      <c r="B16" s="70" t="str">
        <f>"Change from DMO "&amp;PY&amp; " price (%)"</f>
        <v>Change from DMO 2020-21 price (%)</v>
      </c>
      <c r="C16" s="140">
        <f ca="1">C9/H32-1</f>
        <v>-3.5145888594164454E-2</v>
      </c>
      <c r="D16" s="140">
        <f ca="1">D9/Q32-1</f>
        <v>-3.9183222958057429E-2</v>
      </c>
      <c r="E16" s="140">
        <f ca="1">E9/Z32-1</f>
        <v>-4.2187500000000044E-2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D19" s="234"/>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D20" s="234"/>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04" t="s">
        <v>36</v>
      </c>
      <c r="G27" s="113"/>
      <c r="H27" s="303" t="s">
        <v>6</v>
      </c>
      <c r="I27" s="303"/>
      <c r="J27" s="303"/>
      <c r="K27" s="303"/>
      <c r="L27" s="303"/>
      <c r="M27" s="303"/>
      <c r="N27" s="303"/>
      <c r="O27" s="303"/>
      <c r="P27" s="108"/>
      <c r="Q27" s="303" t="s">
        <v>6</v>
      </c>
      <c r="R27" s="303"/>
      <c r="S27" s="303"/>
      <c r="T27" s="303"/>
      <c r="U27" s="303"/>
      <c r="V27" s="303"/>
      <c r="W27" s="303"/>
      <c r="X27" s="303"/>
      <c r="Y27" s="108"/>
      <c r="Z27" s="303" t="s">
        <v>86</v>
      </c>
      <c r="AA27" s="303"/>
      <c r="AB27" s="303"/>
      <c r="AC27" s="303"/>
      <c r="AD27" s="303"/>
      <c r="AE27" s="303"/>
      <c r="AF27" s="303"/>
      <c r="AG27" s="303"/>
    </row>
    <row r="28" spans="2:34" ht="15" thickBot="1" x14ac:dyDescent="0.4">
      <c r="F28" s="304"/>
      <c r="G28" s="113"/>
      <c r="H28" s="306" t="s">
        <v>150</v>
      </c>
      <c r="I28" s="306"/>
      <c r="J28" s="306"/>
      <c r="K28" s="306"/>
      <c r="L28" s="306"/>
      <c r="M28" s="306"/>
      <c r="N28" s="306"/>
      <c r="O28" s="306"/>
      <c r="P28" s="108"/>
      <c r="Q28" s="306" t="s">
        <v>151</v>
      </c>
      <c r="R28" s="306"/>
      <c r="S28" s="306"/>
      <c r="T28" s="306"/>
      <c r="U28" s="306"/>
      <c r="V28" s="306"/>
      <c r="W28" s="306"/>
      <c r="X28" s="306"/>
      <c r="Y28" s="108"/>
      <c r="Z28" s="306" t="s">
        <v>150</v>
      </c>
      <c r="AA28" s="306"/>
      <c r="AB28" s="306"/>
      <c r="AC28" s="306"/>
      <c r="AD28" s="306"/>
      <c r="AE28" s="306"/>
      <c r="AF28" s="306"/>
      <c r="AG28" s="306"/>
    </row>
    <row r="29" spans="2:34" ht="15" customHeight="1" thickTop="1" x14ac:dyDescent="0.35">
      <c r="F29" s="304"/>
      <c r="G29" s="114"/>
      <c r="H29" s="108" t="s">
        <v>75</v>
      </c>
      <c r="I29" s="305" t="str">
        <f>PY</f>
        <v>2020-21</v>
      </c>
      <c r="J29" s="305"/>
      <c r="K29" s="108"/>
      <c r="L29" s="305" t="str">
        <f>FY</f>
        <v>2021-22</v>
      </c>
      <c r="M29" s="305"/>
      <c r="N29" s="305"/>
      <c r="O29" s="305"/>
      <c r="P29" s="51"/>
      <c r="Q29" s="108" t="s">
        <v>75</v>
      </c>
      <c r="R29" s="305" t="str">
        <f>PY</f>
        <v>2020-21</v>
      </c>
      <c r="S29" s="305"/>
      <c r="T29" s="108"/>
      <c r="U29" s="305" t="str">
        <f>FY</f>
        <v>2021-22</v>
      </c>
      <c r="V29" s="305"/>
      <c r="W29" s="305"/>
      <c r="X29" s="305"/>
      <c r="Y29" s="51"/>
      <c r="Z29" s="108" t="s">
        <v>75</v>
      </c>
      <c r="AA29" s="305" t="str">
        <f>PY</f>
        <v>2020-21</v>
      </c>
      <c r="AB29" s="305"/>
      <c r="AC29" s="108"/>
      <c r="AD29" s="305" t="str">
        <f>FY</f>
        <v>2021-22</v>
      </c>
      <c r="AE29" s="305"/>
      <c r="AF29" s="305"/>
      <c r="AG29" s="305"/>
    </row>
    <row r="30" spans="2:34" ht="26" x14ac:dyDescent="0.35">
      <c r="F30" s="304"/>
      <c r="G30" s="114"/>
      <c r="H30" s="72"/>
      <c r="I30" s="51" t="s">
        <v>25</v>
      </c>
      <c r="J30" s="51" t="s">
        <v>27</v>
      </c>
      <c r="K30" s="108"/>
      <c r="L30" s="51" t="s">
        <v>24</v>
      </c>
      <c r="M30" s="52" t="s">
        <v>200</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04"/>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1508</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1812</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5760</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654.41370500000005</v>
      </c>
      <c r="J33" s="59">
        <f ca="1">I33/H$32</f>
        <v>0.43396134283819632</v>
      </c>
      <c r="K33" s="59"/>
      <c r="L33" s="71">
        <f t="array" aca="1" ref="L33" ca="1">INDEX(INDIRECT("'"&amp;$F33&amp;"'!$B$3:$T$300"),MATCH($B$6&amp;H$27&amp;H$28&amp;"Total inc GST",INDIRECT("'"&amp;$F33&amp;"'!$B$3:$B$300")&amp;INDIRECT("'"&amp;$F33&amp;"'!$C$3:$C$300")&amp;INDIRECT("'"&amp;$F33&amp;"'!$D$3:$D$300")&amp;INDIRECT("'"&amp;$F33&amp;"'!$G$3:$G$300"),0),MATCH(L$29&amp;L$30,INDIRECT("'"&amp;$F33&amp;"'!$B$4:$T$4")&amp;INDIRECT("'"&amp;$F33&amp;"'!$B$5:$T$5"),0))</f>
        <v>3.4135341037822897E-2</v>
      </c>
      <c r="M33" s="59">
        <f ca="1">J33*L33</f>
        <v>1.4813418435013414E-2</v>
      </c>
      <c r="N33" s="58">
        <f t="array" aca="1" ref="N33" ca="1">INDEX(INDIRECT("'"&amp;$F33&amp;"'!$B$3:$T$300"),MATCH($B$6&amp;H$27&amp;H$28&amp;"Total inc GST",INDIRECT("'"&amp;$F33&amp;"'!$B$3:$B$300")&amp;INDIRECT("'"&amp;$F33&amp;"'!$C$3:$C$300")&amp;INDIRECT("'"&amp;$F33&amp;"'!$D$3:$D$300")&amp;INDIRECT("'"&amp;$F33&amp;"'!$G$3:$G$300"),0),MATCH(L$29&amp;N$30,INDIRECT("'"&amp;$F33&amp;"'!$B$4:$T$4")&amp;INDIRECT("'"&amp;$F33&amp;"'!$B$5:$T$5"),0))</f>
        <v>676.75234000000023</v>
      </c>
      <c r="O33" s="59">
        <f ca="1">N33/H$39</f>
        <v>0.4651047339268487</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743.62441999999987</v>
      </c>
      <c r="S33" s="59">
        <f ca="1">R33/Q$32</f>
        <v>0.4103887527593818</v>
      </c>
      <c r="T33" s="59"/>
      <c r="U33" s="71">
        <f t="array" aca="1" ref="U33" ca="1">INDEX(INDIRECT("'"&amp;$F33&amp;"'!$B$3:$T$300"),MATCH($B$6&amp;Q$27&amp;Q$28&amp;"Total inc GST",INDIRECT("'"&amp;$F33&amp;"'!$B$3:$B$300")&amp;INDIRECT("'"&amp;$F33&amp;"'!$C$3:$C$300")&amp;INDIRECT("'"&amp;$F33&amp;"'!$D$3:$D$300")&amp;INDIRECT("'"&amp;$F33&amp;"'!$G$3:$G$300"),0),MATCH(U$29&amp;U$30,INDIRECT("'"&amp;$F33&amp;"'!$B$4:$T$4")&amp;INDIRECT("'"&amp;$F33&amp;"'!$B$5:$T$5"),0))</f>
        <v>3.1568268024334323E-2</v>
      </c>
      <c r="V33" s="59">
        <f ca="1">S33*U33</f>
        <v>1.2955262141280437E-2</v>
      </c>
      <c r="W33" s="58">
        <f t="array" aca="1" ref="W33" ca="1">INDEX(INDIRECT("'"&amp;$F33&amp;"'!$B$3:$T$300"),MATCH($B$6&amp;Q$27&amp;Q$28&amp;"Total inc GST",INDIRECT("'"&amp;$F33&amp;"'!$B$3:$B$300")&amp;INDIRECT("'"&amp;$F33&amp;"'!$C$3:$C$300")&amp;INDIRECT("'"&amp;$F33&amp;"'!$D$3:$D$300")&amp;INDIRECT("'"&amp;$F33&amp;"'!$G$3:$G$300"),0),MATCH(U$29&amp;W$30,INDIRECT("'"&amp;$F33&amp;"'!$B$4:$T$4")&amp;INDIRECT("'"&amp;$F33&amp;"'!$B$5:$T$5"),0))</f>
        <v>767.09935500000006</v>
      </c>
      <c r="X33" s="59">
        <f ca="1">W33/Q$39</f>
        <v>0.44069796032865272</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2215.8615049999999</v>
      </c>
      <c r="AB33" s="59">
        <f ca="1">AA33/Z$32</f>
        <v>0.38469817795138889</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3.9307526577569307E-2</v>
      </c>
      <c r="AE33" s="59">
        <f ca="1">AB33*AD33</f>
        <v>1.5121533854166706E-2</v>
      </c>
      <c r="AF33" s="58">
        <f t="array" aca="1" ref="AF33" ca="1">INDEX(INDIRECT("'"&amp;$F33&amp;"'!$B$3:$T$300"),MATCH($B$6&amp;Z$27&amp;Z$28&amp;"Total inc GST",INDIRECT("'"&amp;$F33&amp;"'!$B$3:$B$300")&amp;INDIRECT("'"&amp;$F33&amp;"'!$C$3:$C$300")&amp;INDIRECT("'"&amp;$F33&amp;"'!$D$3:$D$300")&amp;INDIRECT("'"&amp;$F33&amp;"'!$G$3:$G$300"),0),MATCH(AD$29&amp;AF$30,INDIRECT("'"&amp;$F33&amp;"'!$B$4:$T$4")&amp;INDIRECT("'"&amp;$F33&amp;"'!$B$5:$T$5"),0))</f>
        <v>2302.9615400000002</v>
      </c>
      <c r="AG33" s="59">
        <f ca="1">AF33/Z$39</f>
        <v>0.41740980957596574</v>
      </c>
    </row>
    <row r="34" spans="2:33" ht="15" customHeight="1" x14ac:dyDescent="0.35">
      <c r="D34" s="232"/>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462.93939999999998</v>
      </c>
      <c r="J34" s="59">
        <f ca="1">I34/H$32</f>
        <v>0.30698899204244029</v>
      </c>
      <c r="K34" s="59"/>
      <c r="L34" s="71">
        <f t="array" aca="1" ref="L34" ca="1">INDEX(INDIRECT("'"&amp;$F34&amp;"'!$B$3:$T$300"),MATCH($B$6&amp;H$27&amp;H$28&amp;"Total inc GST",INDIRECT("'"&amp;$F34&amp;"'!$B$3:$B$300")&amp;INDIRECT("'"&amp;$F34&amp;"'!$C$3:$C$300")&amp;INDIRECT("'"&amp;$F34&amp;"'!$D$3:$D$300")&amp;INDIRECT("'"&amp;$F34&amp;"'!$G$3:$G$300"),0),MATCH(L$29&amp;L$30,INDIRECT("'"&amp;$F34&amp;"'!$B$4:$T$4")&amp;INDIRECT("'"&amp;$F34&amp;"'!$B$5:$T$5"),0))</f>
        <v>-0.19084052901956483</v>
      </c>
      <c r="M34" s="59">
        <f ca="1">J34*L34</f>
        <v>-5.8585941644562281E-2</v>
      </c>
      <c r="N34" s="58">
        <f t="array" aca="1" ref="N34" ca="1">INDEX(INDIRECT("'"&amp;$F34&amp;"'!$B$3:$T$300"),MATCH($B$6&amp;H$27&amp;H$28&amp;"Total inc GST",INDIRECT("'"&amp;$F34&amp;"'!$B$3:$B$300")&amp;INDIRECT("'"&amp;$F34&amp;"'!$C$3:$C$300")&amp;INDIRECT("'"&amp;$F34&amp;"'!$D$3:$D$300")&amp;INDIRECT("'"&amp;$F34&amp;"'!$G$3:$G$300"),0),MATCH(L$29&amp;N$30,INDIRECT("'"&amp;$F34&amp;"'!$B$4:$T$4")&amp;INDIRECT("'"&amp;$F34&amp;"'!$B$5:$T$5"),0))</f>
        <v>374.59180000000003</v>
      </c>
      <c r="O34" s="59">
        <f ca="1">N34/H$39</f>
        <v>0.2574419165956327</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596.52420299999994</v>
      </c>
      <c r="S34" s="59">
        <f ca="1">R34/Q$32</f>
        <v>0.32920761754966882</v>
      </c>
      <c r="T34" s="59"/>
      <c r="U34" s="71">
        <f t="array" aca="1" ref="U34" ca="1">INDEX(INDIRECT("'"&amp;$F34&amp;"'!$B$3:$T$300"),MATCH($B$6&amp;Q$27&amp;Q$28&amp;"Total inc GST",INDIRECT("'"&amp;$F34&amp;"'!$B$3:$B$300")&amp;INDIRECT("'"&amp;$F34&amp;"'!$C$3:$C$300")&amp;INDIRECT("'"&amp;$F34&amp;"'!$D$3:$D$300")&amp;INDIRECT("'"&amp;$F34&amp;"'!$G$3:$G$300"),0),MATCH(U$29&amp;U$30,INDIRECT("'"&amp;$F34&amp;"'!$B$4:$T$4")&amp;INDIRECT("'"&amp;$F34&amp;"'!$B$5:$T$5"),0))</f>
        <v>-0.18737056507998884</v>
      </c>
      <c r="V34" s="59">
        <f ca="1">S34*U34</f>
        <v>-6.1683817328918297E-2</v>
      </c>
      <c r="W34" s="58">
        <f t="array" aca="1" ref="W34" ca="1">INDEX(INDIRECT("'"&amp;$F34&amp;"'!$B$3:$T$300"),MATCH($B$6&amp;Q$27&amp;Q$28&amp;"Total inc GST",INDIRECT("'"&amp;$F34&amp;"'!$B$3:$B$300")&amp;INDIRECT("'"&amp;$F34&amp;"'!$C$3:$C$300")&amp;INDIRECT("'"&amp;$F34&amp;"'!$D$3:$D$300")&amp;INDIRECT("'"&amp;$F34&amp;"'!$G$3:$G$300"),0),MATCH(U$29&amp;W$30,INDIRECT("'"&amp;$F34&amp;"'!$B$4:$T$4")&amp;INDIRECT("'"&amp;$F34&amp;"'!$B$5:$T$5"),0))</f>
        <v>484.75312600000001</v>
      </c>
      <c r="X34" s="59">
        <f ca="1">W34/Q$39</f>
        <v>0.27849027964720213</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2012.78</v>
      </c>
      <c r="AB34" s="59">
        <f ca="1">AA34/Z$32</f>
        <v>0.3494409722222222</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-0.19084052901956505</v>
      </c>
      <c r="AE34" s="59">
        <f ca="1">AB34*AD34</f>
        <v>-6.6687500000000025E-2</v>
      </c>
      <c r="AF34" s="58">
        <f t="array" aca="1" ref="AF34" ca="1">INDEX(INDIRECT("'"&amp;$F34&amp;"'!$B$3:$T$300"),MATCH($B$6&amp;Z$27&amp;Z$28&amp;"Total inc GST",INDIRECT("'"&amp;$F34&amp;"'!$B$3:$B$300")&amp;INDIRECT("'"&amp;$F34&amp;"'!$C$3:$C$300")&amp;INDIRECT("'"&amp;$F34&amp;"'!$D$3:$D$300")&amp;INDIRECT("'"&amp;$F34&amp;"'!$G$3:$G$300"),0),MATCH(AD$29&amp;AF$30,INDIRECT("'"&amp;$F34&amp;"'!$B$4:$T$4")&amp;INDIRECT("'"&amp;$F34&amp;"'!$B$5:$T$5"),0))</f>
        <v>1628.6599999999999</v>
      </c>
      <c r="AG34" s="59">
        <f ca="1">AF34/Z$39</f>
        <v>0.2951932321301346</v>
      </c>
    </row>
    <row r="35" spans="2:33" ht="15" customHeight="1" x14ac:dyDescent="0.35">
      <c r="D35" s="233"/>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76.405999999999992</v>
      </c>
      <c r="J35" s="59">
        <f ca="1">I35/H$32</f>
        <v>5.0667108753315641E-2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0.10927152317880795</v>
      </c>
      <c r="M35" s="59">
        <f ca="1">J35*L35</f>
        <v>5.5364721485411132E-3</v>
      </c>
      <c r="N35" s="58">
        <f t="array" aca="1" ref="N35" ca="1">INDEX(INDIRECT("'"&amp;$F35&amp;"'!$B$3:$T$300"),MATCH($B$6&amp;H$27&amp;H$28&amp;"Total inc GST",INDIRECT("'"&amp;$F35&amp;"'!$B$3:$B$300")&amp;INDIRECT("'"&amp;$F35&amp;"'!$C$3:$C$300")&amp;INDIRECT("'"&amp;$F35&amp;"'!$D$3:$D$300")&amp;INDIRECT("'"&amp;$F35&amp;"'!$G$3:$G$300"),0),MATCH(L$29&amp;N$30,INDIRECT("'"&amp;$F35&amp;"'!$B$4:$T$4")&amp;INDIRECT("'"&amp;$F35&amp;"'!$B$5:$T$5"),0))</f>
        <v>84.754999999999995</v>
      </c>
      <c r="O35" s="59">
        <f ca="1">N35/H$39</f>
        <v>5.8248711373454644E-2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104.643</v>
      </c>
      <c r="S35" s="59">
        <f ca="1">R35/Q$32</f>
        <v>5.7750000000000003E-2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0.10927152317880773</v>
      </c>
      <c r="V35" s="59">
        <f ca="1">S35*U35</f>
        <v>6.3104304635761468E-3</v>
      </c>
      <c r="W35" s="58">
        <f t="array" aca="1" ref="W35" ca="1">INDEX(INDIRECT("'"&amp;$F35&amp;"'!$B$3:$T$300"),MATCH($B$6&amp;Q$27&amp;Q$28&amp;"Total inc GST",INDIRECT("'"&amp;$F35&amp;"'!$B$3:$B$300")&amp;INDIRECT("'"&amp;$F35&amp;"'!$C$3:$C$300")&amp;INDIRECT("'"&amp;$F35&amp;"'!$D$3:$D$300")&amp;INDIRECT("'"&amp;$F35&amp;"'!$G$3:$G$300"),0),MATCH(U$29&amp;W$30,INDIRECT("'"&amp;$F35&amp;"'!$B$4:$T$4")&amp;INDIRECT("'"&amp;$F35&amp;"'!$B$5:$T$5"),0))</f>
        <v>116.07749999999999</v>
      </c>
      <c r="X35" s="59">
        <f ca="1">W35/Q$39</f>
        <v>6.6686430064915356E-2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332.2</v>
      </c>
      <c r="AB35" s="59">
        <f ca="1">AA35/Z$32</f>
        <v>5.7673611111111106E-2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0.10927152317880795</v>
      </c>
      <c r="AE35" s="59">
        <f ca="1">AB35*AD35</f>
        <v>6.3020833333333331E-3</v>
      </c>
      <c r="AF35" s="58">
        <f t="array" aca="1" ref="AF35" ca="1">INDEX(INDIRECT("'"&amp;$F35&amp;"'!$B$3:$T$300"),MATCH($B$6&amp;Z$27&amp;Z$28&amp;"Total inc GST",INDIRECT("'"&amp;$F35&amp;"'!$B$3:$B$300")&amp;INDIRECT("'"&amp;$F35&amp;"'!$C$3:$C$300")&amp;INDIRECT("'"&amp;$F35&amp;"'!$D$3:$D$300")&amp;INDIRECT("'"&amp;$F35&amp;"'!$G$3:$G$300"),0),MATCH(AD$29&amp;AF$30,INDIRECT("'"&amp;$F35&amp;"'!$B$4:$T$4")&amp;INDIRECT("'"&amp;$F35&amp;"'!$B$5:$T$5"),0))</f>
        <v>368.5</v>
      </c>
      <c r="AG35" s="59">
        <f ca="1">AF35/Z$39</f>
        <v>6.6790309849787302E-2</v>
      </c>
    </row>
    <row r="36" spans="2:33" ht="15" customHeight="1" x14ac:dyDescent="0.35">
      <c r="D36" s="235"/>
      <c r="F36" s="61" t="s">
        <v>72</v>
      </c>
      <c r="G36" s="61"/>
      <c r="H36" s="60"/>
      <c r="I36" s="58">
        <f ca="1">H32-SUM(I33:I35,I38)</f>
        <v>314.24089499999991</v>
      </c>
      <c r="J36" s="59">
        <f ca="1">I36/H$32</f>
        <v>0.20838255636604769</v>
      </c>
      <c r="K36" s="59"/>
      <c r="L36" s="251">
        <f>CPI</f>
        <v>1.4999999999999999E-2</v>
      </c>
      <c r="M36" s="59">
        <f ca="1">J36*L36</f>
        <v>3.1257383454907153E-3</v>
      </c>
      <c r="N36" s="58">
        <f ca="1">H39-SUM(N33:N35,N38)</f>
        <v>318.95450842500009</v>
      </c>
      <c r="O36" s="59">
        <f ca="1">N36/H$39</f>
        <v>0.21920463810406393</v>
      </c>
      <c r="P36" s="59"/>
      <c r="Q36" s="59"/>
      <c r="R36" s="58">
        <f ca="1">Q32-SUM(R33:R35,R38)</f>
        <v>367.20837700000016</v>
      </c>
      <c r="S36" s="59">
        <f ca="1">R36/Q$32</f>
        <v>0.2026536296909493</v>
      </c>
      <c r="T36" s="59"/>
      <c r="U36" s="251">
        <f>CPI</f>
        <v>1.4999999999999999E-2</v>
      </c>
      <c r="V36" s="59">
        <f ca="1">S36*U36</f>
        <v>3.0398044453642395E-3</v>
      </c>
      <c r="W36" s="58">
        <f ca="1">Q39-SUM(W33:W35,W38)</f>
        <v>372.71650265499989</v>
      </c>
      <c r="X36" s="59">
        <f ca="1">W36/Q$39</f>
        <v>0.21412532995922973</v>
      </c>
      <c r="Y36" s="60"/>
      <c r="Z36" s="60"/>
      <c r="AA36" s="58">
        <f ca="1">Z32-SUM(AA33:AA35,AA38)</f>
        <v>1199.1584950000006</v>
      </c>
      <c r="AB36" s="59">
        <f ca="1">AA36/Z$32</f>
        <v>0.20818723871527789</v>
      </c>
      <c r="AC36" s="59"/>
      <c r="AD36" s="251">
        <f>CPI</f>
        <v>1.4999999999999999E-2</v>
      </c>
      <c r="AE36" s="59">
        <f ca="1">AB36*AD36</f>
        <v>3.1228085807291682E-3</v>
      </c>
      <c r="AF36" s="58">
        <f ca="1">Z39-SUM(AF33:AF35,AF38)</f>
        <v>1217.1458724249997</v>
      </c>
      <c r="AG36" s="59">
        <f ca="1">AF36/Z$39</f>
        <v>0.2206066484441124</v>
      </c>
    </row>
    <row r="37" spans="2:33" s="5" customFormat="1" ht="15" customHeight="1" x14ac:dyDescent="0.35">
      <c r="F37" s="61" t="s">
        <v>78</v>
      </c>
      <c r="G37" s="57"/>
      <c r="H37" s="60"/>
      <c r="I37" s="59"/>
      <c r="J37" s="59"/>
      <c r="K37" s="59"/>
      <c r="L37" s="59">
        <f ca="1">SUMPRODUCT(J33:J36,L33:L36)</f>
        <v>-3.5110312715517039E-2</v>
      </c>
      <c r="M37" s="59"/>
      <c r="N37" s="59"/>
      <c r="O37" s="59"/>
      <c r="P37" s="59"/>
      <c r="Q37" s="59"/>
      <c r="R37" s="59"/>
      <c r="S37" s="59"/>
      <c r="T37" s="59"/>
      <c r="U37" s="59">
        <f ca="1">SUMPRODUCT(S33:S36,U33:U36)</f>
        <v>-3.9378320278697469E-2</v>
      </c>
      <c r="V37" s="59"/>
      <c r="W37" s="59"/>
      <c r="X37" s="59"/>
      <c r="Y37" s="60"/>
      <c r="Z37" s="60"/>
      <c r="AA37" s="59"/>
      <c r="AB37" s="59"/>
      <c r="AC37" s="59"/>
      <c r="AD37" s="59">
        <f ca="1">SUMPRODUCT(AB33:AB36,AD33:AD36)</f>
        <v>-4.2141074231770818E-2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1455.0536484250003</v>
      </c>
      <c r="I39" s="106"/>
      <c r="J39" s="106"/>
      <c r="K39" s="106"/>
      <c r="L39" s="106">
        <f ca="1">H39/H32-1</f>
        <v>-3.5110312715517011E-2</v>
      </c>
      <c r="M39" s="106"/>
      <c r="N39" s="106"/>
      <c r="O39" s="106"/>
      <c r="P39" s="106"/>
      <c r="Q39" s="105">
        <f ca="1">Q32*(1+U37)+W38</f>
        <v>1740.6464836550001</v>
      </c>
      <c r="R39" s="105"/>
      <c r="S39" s="106"/>
      <c r="T39" s="106"/>
      <c r="U39" s="106">
        <f ca="1">Q39/Q32-1</f>
        <v>-3.9378320278697476E-2</v>
      </c>
      <c r="V39" s="106"/>
      <c r="W39" s="107"/>
      <c r="X39" s="107"/>
      <c r="Y39" s="107"/>
      <c r="Z39" s="105">
        <f ca="1">Z32*(1+AD37)+AF38</f>
        <v>5517.2674124249997</v>
      </c>
      <c r="AA39" s="105"/>
      <c r="AB39" s="106"/>
      <c r="AC39" s="106"/>
      <c r="AD39" s="106">
        <f ca="1">Z39/Z32-1</f>
        <v>-4.2141074231770825E-2</v>
      </c>
      <c r="AE39" s="106"/>
      <c r="AF39" s="106"/>
      <c r="AG39" s="106"/>
    </row>
    <row r="40" spans="2:33" ht="15" thickTop="1" x14ac:dyDescent="0.35">
      <c r="F40" s="162"/>
    </row>
    <row r="41" spans="2:33" x14ac:dyDescent="0.35">
      <c r="F41" s="139"/>
    </row>
    <row r="43" spans="2:33" x14ac:dyDescent="0.35">
      <c r="F43" s="162"/>
    </row>
    <row r="44" spans="2:33" s="115" customFormat="1" ht="12" x14ac:dyDescent="0.35">
      <c r="F44" s="137" t="s">
        <v>102</v>
      </c>
      <c r="G44" s="137"/>
      <c r="H44" s="138"/>
      <c r="I44" s="137"/>
      <c r="J44" s="137" t="b">
        <f ca="1">SUM(J33:J38)=1</f>
        <v>1</v>
      </c>
      <c r="K44" s="137"/>
      <c r="L44" s="137" t="b">
        <f ca="1">ROUND(L39,15)=ROUND(SUM(L37,M38),15)</f>
        <v>1</v>
      </c>
      <c r="M44" s="137" t="b">
        <f ca="1">L37=SUM(M33:M36)</f>
        <v>1</v>
      </c>
      <c r="N44" s="137" t="b">
        <f ca="1">N36=I36*(1+L36)</f>
        <v>1</v>
      </c>
      <c r="O44" s="137" t="b">
        <f ca="1">SUM(O33:O38)=1</f>
        <v>1</v>
      </c>
      <c r="P44" s="137"/>
      <c r="Q44" s="137"/>
      <c r="R44" s="137"/>
      <c r="S44" s="137" t="b">
        <f ca="1">SUM(S33:S38)=1</f>
        <v>1</v>
      </c>
      <c r="T44" s="137"/>
      <c r="U44" s="137" t="b">
        <f ca="1">ROUND(U39,15)=ROUND(SUM(U37,V38),15)</f>
        <v>1</v>
      </c>
      <c r="V44" s="137" t="b">
        <f ca="1">U37=SUM(V33:V36)</f>
        <v>1</v>
      </c>
      <c r="W44" s="137" t="b">
        <f ca="1">W36=R36*(1+U36)</f>
        <v>1</v>
      </c>
      <c r="X44" s="137" t="b">
        <f ca="1">SUM(X33:X38)=1</f>
        <v>1</v>
      </c>
      <c r="Y44" s="137"/>
      <c r="Z44" s="137"/>
      <c r="AA44" s="137"/>
      <c r="AB44" s="137" t="b">
        <f ca="1">SUM(AB33:AB38)=1</f>
        <v>1</v>
      </c>
      <c r="AC44" s="137"/>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EszxynQioqBssyrnrmRhPtcTqZJvZtNO9SzaA4Ighug=" saltValue="sHrtXOizLd2OoUS7bXPmeg=="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T38 W38 Y38:AC39 AF38 M39 F37:W37 F36:K36 M36:T36 V36:W36 Y37:AF37 Y36:AC36 AE36:AF36">
    <cfRule type="expression" dxfId="1126" priority="71">
      <formula>MOD(ROW(),2)=0</formula>
    </cfRule>
    <cfRule type="expression" dxfId="1125" priority="72">
      <formula>AND(MOD(ROW(),2)=0,F$30="Proportion",$F32="Overall change in costs (%)")</formula>
    </cfRule>
    <cfRule type="expression" dxfId="1124" priority="73">
      <formula>AND(MOD(ROW(),1)=0,F$30="Proportion",$F32="Overall change in costs (%)")</formula>
    </cfRule>
  </conditionalFormatting>
  <conditionalFormatting sqref="P44:R44 G44:J44 Y44:AA44 M44:N44">
    <cfRule type="cellIs" dxfId="1123" priority="69" operator="equal">
      <formula>FALSE</formula>
    </cfRule>
    <cfRule type="cellIs" dxfId="1122" priority="70" operator="equal">
      <formula>TRUE</formula>
    </cfRule>
  </conditionalFormatting>
  <conditionalFormatting sqref="O39 X39 AG39">
    <cfRule type="expression" dxfId="1121" priority="1381">
      <formula>MOD(ROW(),2)=0</formula>
    </cfRule>
    <cfRule type="expression" dxfId="1120" priority="1382">
      <formula>AND(MOD(ROW(),2)=0,N$30="Proportion",$F39="Overall change in costs (%)")</formula>
    </cfRule>
    <cfRule type="expression" dxfId="1119" priority="1383">
      <formula>AND(MOD(ROW(),1)=0,N$30="Proportion",$F39="Overall change in costs (%)")</formula>
    </cfRule>
  </conditionalFormatting>
  <conditionalFormatting sqref="N39 W39 AF39">
    <cfRule type="expression" dxfId="1118" priority="1384">
      <formula>MOD(ROW(),2)=0</formula>
    </cfRule>
    <cfRule type="expression" dxfId="1117" priority="1385">
      <formula>AND(MOD(ROW(),2)=0,#REF!="Proportion",$F39="Overall change in costs (%)")</formula>
    </cfRule>
    <cfRule type="expression" dxfId="1116" priority="1386">
      <formula>AND(MOD(ROW(),1)=0,#REF!="Proportion",$F39="Overall change in costs (%)")</formula>
    </cfRule>
  </conditionalFormatting>
  <conditionalFormatting sqref="O44">
    <cfRule type="cellIs" dxfId="1115" priority="64" operator="equal">
      <formula>FALSE</formula>
    </cfRule>
    <cfRule type="cellIs" dxfId="1114" priority="65" operator="equal">
      <formula>TRUE</formula>
    </cfRule>
  </conditionalFormatting>
  <conditionalFormatting sqref="S44:T44">
    <cfRule type="cellIs" dxfId="1113" priority="62" operator="equal">
      <formula>FALSE</formula>
    </cfRule>
    <cfRule type="cellIs" dxfId="1112" priority="63" operator="equal">
      <formula>TRUE</formula>
    </cfRule>
  </conditionalFormatting>
  <conditionalFormatting sqref="X44">
    <cfRule type="cellIs" dxfId="1111" priority="60" operator="equal">
      <formula>FALSE</formula>
    </cfRule>
    <cfRule type="cellIs" dxfId="1110" priority="61" operator="equal">
      <formula>TRUE</formula>
    </cfRule>
  </conditionalFormatting>
  <conditionalFormatting sqref="W44">
    <cfRule type="cellIs" dxfId="1109" priority="48" operator="equal">
      <formula>FALSE</formula>
    </cfRule>
    <cfRule type="cellIs" dxfId="1108" priority="49" operator="equal">
      <formula>TRUE</formula>
    </cfRule>
  </conditionalFormatting>
  <conditionalFormatting sqref="AB44:AC44">
    <cfRule type="cellIs" dxfId="1107" priority="46" operator="equal">
      <formula>FALSE</formula>
    </cfRule>
    <cfRule type="cellIs" dxfId="1106" priority="47" operator="equal">
      <formula>TRUE</formula>
    </cfRule>
  </conditionalFormatting>
  <conditionalFormatting sqref="X32:X38">
    <cfRule type="expression" dxfId="1105" priority="53">
      <formula>MOD(ROW(),2)=0</formula>
    </cfRule>
    <cfRule type="expression" dxfId="1104" priority="54">
      <formula>AND(MOD(ROW(),2)=0,X$30="Proportion",$F32="Overall change in costs (%)")</formula>
    </cfRule>
    <cfRule type="expression" dxfId="1103" priority="55">
      <formula>AND(MOD(ROW(),1)=0,X$30="Proportion",$F32="Overall change in costs (%)")</formula>
    </cfRule>
  </conditionalFormatting>
  <conditionalFormatting sqref="AG32:AG38">
    <cfRule type="expression" dxfId="1102" priority="50">
      <formula>MOD(ROW(),2)=0</formula>
    </cfRule>
    <cfRule type="expression" dxfId="1101" priority="51">
      <formula>AND(MOD(ROW(),2)=0,AG$30="Proportion",$F32="Overall change in costs (%)")</formula>
    </cfRule>
    <cfRule type="expression" dxfId="1100" priority="52">
      <formula>AND(MOD(ROW(),1)=0,AG$30="Proportion",$F32="Overall change in costs (%)")</formula>
    </cfRule>
  </conditionalFormatting>
  <conditionalFormatting sqref="AG44">
    <cfRule type="cellIs" dxfId="1099" priority="44" operator="equal">
      <formula>FALSE</formula>
    </cfRule>
    <cfRule type="cellIs" dxfId="1098" priority="45" operator="equal">
      <formula>TRUE</formula>
    </cfRule>
  </conditionalFormatting>
  <conditionalFormatting sqref="AF44">
    <cfRule type="cellIs" dxfId="1097" priority="42" operator="equal">
      <formula>FALSE</formula>
    </cfRule>
    <cfRule type="cellIs" dxfId="1096" priority="43" operator="equal">
      <formula>TRUE</formula>
    </cfRule>
  </conditionalFormatting>
  <conditionalFormatting sqref="V44">
    <cfRule type="cellIs" dxfId="1095" priority="40" operator="equal">
      <formula>FALSE</formula>
    </cfRule>
    <cfRule type="cellIs" dxfId="1094" priority="41" operator="equal">
      <formula>TRUE</formula>
    </cfRule>
  </conditionalFormatting>
  <conditionalFormatting sqref="AE44">
    <cfRule type="cellIs" dxfId="1093" priority="38" operator="equal">
      <formula>FALSE</formula>
    </cfRule>
    <cfRule type="cellIs" dxfId="1092" priority="39" operator="equal">
      <formula>TRUE</formula>
    </cfRule>
  </conditionalFormatting>
  <conditionalFormatting sqref="U38:V38">
    <cfRule type="expression" dxfId="1091" priority="35">
      <formula>MOD(ROW(),2)=0</formula>
    </cfRule>
    <cfRule type="expression" dxfId="1090" priority="36">
      <formula>AND(MOD(ROW(),2)=0,U$30="Proportion",$F38="Overall change in costs (%)")</formula>
    </cfRule>
    <cfRule type="expression" dxfId="1089" priority="37">
      <formula>AND(MOD(ROW(),1)=0,U$30="Proportion",$F38="Overall change in costs (%)")</formula>
    </cfRule>
  </conditionalFormatting>
  <conditionalFormatting sqref="AD38:AE38 AE39">
    <cfRule type="expression" dxfId="1088" priority="32">
      <formula>MOD(ROW(),2)=0</formula>
    </cfRule>
    <cfRule type="expression" dxfId="1087" priority="33">
      <formula>AND(MOD(ROW(),2)=0,AD$30="Proportion",$F38="Overall change in costs (%)")</formula>
    </cfRule>
    <cfRule type="expression" dxfId="1086" priority="34">
      <formula>AND(MOD(ROW(),1)=0,AD$30="Proportion",$F38="Overall change in costs (%)")</formula>
    </cfRule>
  </conditionalFormatting>
  <conditionalFormatting sqref="AD44">
    <cfRule type="cellIs" dxfId="1085" priority="28" operator="equal">
      <formula>FALSE</formula>
    </cfRule>
    <cfRule type="cellIs" dxfId="1084" priority="29" operator="equal">
      <formula>TRUE</formula>
    </cfRule>
  </conditionalFormatting>
  <conditionalFormatting sqref="L39">
    <cfRule type="expression" dxfId="1083" priority="25">
      <formula>MOD(ROW(),2)=0</formula>
    </cfRule>
    <cfRule type="expression" dxfId="1082" priority="26">
      <formula>AND(MOD(ROW(),2)=0,L$30="Proportion",$F39="Overall change in costs (%)")</formula>
    </cfRule>
    <cfRule type="expression" dxfId="1081" priority="27">
      <formula>AND(MOD(ROW(),1)=0,L$30="Proportion",$F39="Overall change in costs (%)")</formula>
    </cfRule>
  </conditionalFormatting>
  <conditionalFormatting sqref="V39">
    <cfRule type="expression" dxfId="1080" priority="22">
      <formula>MOD(ROW(),2)=0</formula>
    </cfRule>
    <cfRule type="expression" dxfId="1079" priority="23">
      <formula>AND(MOD(ROW(),2)=0,V$30="Proportion",$F39="Overall change in costs (%)")</formula>
    </cfRule>
    <cfRule type="expression" dxfId="1078" priority="24">
      <formula>AND(MOD(ROW(),1)=0,V$30="Proportion",$F39="Overall change in costs (%)")</formula>
    </cfRule>
  </conditionalFormatting>
  <conditionalFormatting sqref="U39">
    <cfRule type="expression" dxfId="1077" priority="19">
      <formula>MOD(ROW(),2)=0</formula>
    </cfRule>
    <cfRule type="expression" dxfId="1076" priority="20">
      <formula>AND(MOD(ROW(),2)=0,U$30="Proportion",$F39="Overall change in costs (%)")</formula>
    </cfRule>
    <cfRule type="expression" dxfId="1075" priority="21">
      <formula>AND(MOD(ROW(),1)=0,U$30="Proportion",$F39="Overall change in costs (%)")</formula>
    </cfRule>
  </conditionalFormatting>
  <conditionalFormatting sqref="AD39">
    <cfRule type="expression" dxfId="1074" priority="16">
      <formula>MOD(ROW(),2)=0</formula>
    </cfRule>
    <cfRule type="expression" dxfId="1073" priority="17">
      <formula>AND(MOD(ROW(),2)=0,AD$30="Proportion",$F39="Overall change in costs (%)")</formula>
    </cfRule>
    <cfRule type="expression" dxfId="1072" priority="18">
      <formula>AND(MOD(ROW(),1)=0,AD$30="Proportion",$F39="Overall change in costs (%)")</formula>
    </cfRule>
  </conditionalFormatting>
  <conditionalFormatting sqref="U44">
    <cfRule type="cellIs" dxfId="1071" priority="14" operator="equal">
      <formula>FALSE</formula>
    </cfRule>
    <cfRule type="cellIs" dxfId="1070" priority="15" operator="equal">
      <formula>TRUE</formula>
    </cfRule>
  </conditionalFormatting>
  <conditionalFormatting sqref="K44">
    <cfRule type="cellIs" dxfId="1069" priority="12" operator="equal">
      <formula>FALSE</formula>
    </cfRule>
    <cfRule type="cellIs" dxfId="1068" priority="13" operator="equal">
      <formula>TRUE</formula>
    </cfRule>
  </conditionalFormatting>
  <conditionalFormatting sqref="L44">
    <cfRule type="cellIs" dxfId="1067" priority="10" operator="equal">
      <formula>FALSE</formula>
    </cfRule>
    <cfRule type="cellIs" dxfId="1066" priority="11" operator="equal">
      <formula>TRUE</formula>
    </cfRule>
  </conditionalFormatting>
  <conditionalFormatting sqref="L36">
    <cfRule type="expression" dxfId="1065" priority="7">
      <formula>MOD(ROW(),2)=0</formula>
    </cfRule>
    <cfRule type="expression" dxfId="1064" priority="8">
      <formula>AND(MOD(ROW(),2)=0,L$30="Proportion",$F36="Overall change in costs (%)")</formula>
    </cfRule>
    <cfRule type="expression" dxfId="1063" priority="9">
      <formula>AND(MOD(ROW(),1)=0,L$30="Proportion",$F36="Overall change in costs (%)")</formula>
    </cfRule>
  </conditionalFormatting>
  <conditionalFormatting sqref="U36">
    <cfRule type="expression" dxfId="1062" priority="4">
      <formula>MOD(ROW(),2)=0</formula>
    </cfRule>
    <cfRule type="expression" dxfId="1061" priority="5">
      <formula>AND(MOD(ROW(),2)=0,U$30="Proportion",$F36="Overall change in costs (%)")</formula>
    </cfRule>
    <cfRule type="expression" dxfId="1060" priority="6">
      <formula>AND(MOD(ROW(),1)=0,U$30="Proportion",$F36="Overall change in costs (%)")</formula>
    </cfRule>
  </conditionalFormatting>
  <conditionalFormatting sqref="AD36">
    <cfRule type="expression" dxfId="1059" priority="1">
      <formula>MOD(ROW(),2)=0</formula>
    </cfRule>
    <cfRule type="expression" dxfId="1058" priority="2">
      <formula>AND(MOD(ROW(),2)=0,AD$30="Proportion",$F36="Overall change in costs (%)")</formula>
    </cfRule>
    <cfRule type="expression" dxfId="1057" priority="3">
      <formula>AND(MOD(ROW(),1)=0,AD$30="Proportion",$F36="Overall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zoomScaleNormal="100" workbookViewId="0">
      <selection sqref="A1:B1"/>
    </sheetView>
  </sheetViews>
  <sheetFormatPr defaultColWidth="8.81640625" defaultRowHeight="14.5" x14ac:dyDescent="0.35"/>
  <cols>
    <col min="1" max="1" width="1.81640625" style="3" customWidth="1"/>
    <col min="2" max="2" width="33.81640625" style="3" bestFit="1" customWidth="1"/>
    <col min="3" max="5" width="13.1796875" style="3" customWidth="1"/>
    <col min="6" max="6" width="26.81640625" style="3" customWidth="1"/>
    <col min="7" max="7" width="5.81640625" style="3" customWidth="1"/>
    <col min="8" max="10" width="10.81640625" style="3" customWidth="1"/>
    <col min="11" max="11" width="1.81640625" style="3" customWidth="1"/>
    <col min="12" max="12" width="10.81640625" style="3" customWidth="1"/>
    <col min="13" max="13" width="11" style="3" bestFit="1" customWidth="1"/>
    <col min="14" max="14" width="13.1796875" style="3" customWidth="1"/>
    <col min="15" max="15" width="10.81640625" style="3" customWidth="1"/>
    <col min="16" max="16" width="5.81640625" style="3" customWidth="1"/>
    <col min="17" max="19" width="10.81640625" style="3" customWidth="1"/>
    <col min="20" max="20" width="1.81640625" style="3" customWidth="1"/>
    <col min="21" max="21" width="10.81640625" style="3" customWidth="1"/>
    <col min="22" max="22" width="11" style="3" bestFit="1" customWidth="1"/>
    <col min="23" max="23" width="13.1796875" style="3" customWidth="1"/>
    <col min="24" max="24" width="10.81640625" style="3" customWidth="1"/>
    <col min="25" max="25" width="5.81640625" style="3" customWidth="1"/>
    <col min="26" max="28" width="10.81640625" style="3" customWidth="1"/>
    <col min="29" max="29" width="1.81640625" style="3" customWidth="1"/>
    <col min="30" max="30" width="10.81640625" style="3" customWidth="1"/>
    <col min="31" max="31" width="14.1796875" style="3" bestFit="1" customWidth="1"/>
    <col min="32" max="32" width="8.81640625" style="3" customWidth="1"/>
    <col min="33" max="33" width="10.81640625" style="3" customWidth="1"/>
    <col min="34" max="16384" width="8.81640625" style="3"/>
  </cols>
  <sheetData>
    <row r="1" spans="1:34" ht="10.4" customHeight="1" x14ac:dyDescent="0.35">
      <c r="A1" s="274" t="s">
        <v>22</v>
      </c>
      <c r="B1" s="300"/>
    </row>
    <row r="2" spans="1:34" s="14" customFormat="1" ht="22.5" customHeight="1" x14ac:dyDescent="0.35">
      <c r="A2" s="15" t="s">
        <v>5</v>
      </c>
    </row>
    <row r="3" spans="1:34" s="97" customFormat="1" ht="15" thickBot="1" x14ac:dyDescent="0.4">
      <c r="C3" s="97" t="str">
        <f>$A$2&amp;" "&amp;C6&amp;" "&amp;C7</f>
        <v>SAPN Residential without CL</v>
      </c>
      <c r="D3" s="97" t="str">
        <f>$A$2&amp;" "&amp;D6&amp;" "&amp;D7</f>
        <v>SAPN Residential with CL</v>
      </c>
      <c r="E3" s="97" t="str">
        <f>$A$2&amp;" "&amp;E6&amp;" "&amp;E7</f>
        <v>SAPN Small Business without CL</v>
      </c>
      <c r="F3" s="3"/>
      <c r="G3" s="3"/>
      <c r="H3" s="3"/>
      <c r="I3" s="3"/>
      <c r="J3" s="3"/>
      <c r="K3" s="3"/>
      <c r="L3" s="3"/>
      <c r="M3" s="3"/>
      <c r="N3" s="3"/>
      <c r="O3" s="3"/>
      <c r="P3" s="3"/>
      <c r="Q3" s="3"/>
      <c r="R3" s="3"/>
      <c r="S3" s="3"/>
      <c r="T3" s="3"/>
      <c r="U3" s="3"/>
      <c r="V3" s="3"/>
      <c r="W3" s="3"/>
      <c r="X3" s="3"/>
      <c r="Y3" s="3"/>
      <c r="Z3" s="3"/>
      <c r="AA3" s="3"/>
      <c r="AB3" s="3"/>
      <c r="AC3" s="3"/>
      <c r="AD3" s="3"/>
      <c r="AE3" s="3"/>
      <c r="AF3" s="3"/>
      <c r="AG3" s="3"/>
    </row>
    <row r="4" spans="1:34" ht="15.5" x14ac:dyDescent="0.35">
      <c r="B4" s="38" t="s">
        <v>21</v>
      </c>
      <c r="F4" s="38"/>
      <c r="G4" s="116" t="s">
        <v>101</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5.15" customHeight="1" x14ac:dyDescent="0.35">
      <c r="B5" s="5"/>
      <c r="G5" s="119"/>
      <c r="H5" s="120"/>
      <c r="I5" s="36"/>
      <c r="J5" s="36"/>
      <c r="K5" s="36"/>
      <c r="L5" s="36"/>
      <c r="M5" s="36"/>
      <c r="N5" s="36"/>
      <c r="O5" s="36"/>
      <c r="P5" s="36"/>
      <c r="Q5" s="36"/>
      <c r="R5" s="36"/>
      <c r="S5" s="36"/>
      <c r="T5" s="36"/>
      <c r="U5" s="36"/>
      <c r="V5" s="36"/>
      <c r="W5" s="36"/>
      <c r="X5" s="36"/>
      <c r="Y5" s="36"/>
      <c r="Z5" s="36"/>
      <c r="AA5" s="36"/>
      <c r="AB5" s="36"/>
      <c r="AC5" s="36"/>
      <c r="AD5" s="36"/>
      <c r="AE5" s="36"/>
      <c r="AF5" s="36"/>
      <c r="AG5" s="36"/>
      <c r="AH5" s="121"/>
    </row>
    <row r="6" spans="1:34" ht="20.149999999999999" customHeight="1" x14ac:dyDescent="0.35">
      <c r="B6" s="307" t="str">
        <f>A2</f>
        <v>SAPN</v>
      </c>
      <c r="C6" s="55" t="s">
        <v>6</v>
      </c>
      <c r="D6" s="55" t="s">
        <v>6</v>
      </c>
      <c r="E6" s="55" t="s">
        <v>86</v>
      </c>
      <c r="G6" s="119"/>
      <c r="H6" s="120"/>
      <c r="I6" s="36"/>
      <c r="J6" s="36"/>
      <c r="K6" s="36"/>
      <c r="L6" s="36"/>
      <c r="M6" s="36"/>
      <c r="N6" s="36"/>
      <c r="O6" s="36"/>
      <c r="P6" s="36"/>
      <c r="Q6" s="36"/>
      <c r="R6" s="36"/>
      <c r="S6" s="36"/>
      <c r="T6" s="36"/>
      <c r="U6" s="36"/>
      <c r="V6" s="36"/>
      <c r="W6" s="36"/>
      <c r="X6" s="36"/>
      <c r="Y6" s="36"/>
      <c r="Z6" s="36"/>
      <c r="AA6" s="36"/>
      <c r="AB6" s="36"/>
      <c r="AC6" s="36"/>
      <c r="AD6" s="36"/>
      <c r="AE6" s="36"/>
      <c r="AF6" s="36"/>
      <c r="AG6" s="36"/>
      <c r="AH6" s="121"/>
    </row>
    <row r="7" spans="1:34" ht="20.149999999999999" customHeight="1" x14ac:dyDescent="0.35">
      <c r="B7" s="307"/>
      <c r="C7" s="56" t="s">
        <v>150</v>
      </c>
      <c r="D7" s="56" t="s">
        <v>151</v>
      </c>
      <c r="E7" s="56" t="s">
        <v>150</v>
      </c>
      <c r="G7" s="119"/>
      <c r="H7" s="36"/>
      <c r="I7" s="36"/>
      <c r="J7" s="36"/>
      <c r="K7" s="36"/>
      <c r="L7" s="36"/>
      <c r="M7" s="36"/>
      <c r="N7" s="36"/>
      <c r="O7" s="36"/>
      <c r="P7" s="36"/>
      <c r="Q7" s="36"/>
      <c r="R7" s="36"/>
      <c r="S7" s="36"/>
      <c r="T7" s="36"/>
      <c r="U7" s="36"/>
      <c r="V7" s="36"/>
      <c r="W7" s="36"/>
      <c r="X7" s="36"/>
      <c r="Y7" s="36"/>
      <c r="Z7" s="36"/>
      <c r="AA7" s="36"/>
      <c r="AB7" s="36"/>
      <c r="AC7" s="36"/>
      <c r="AD7" s="36"/>
      <c r="AE7" s="36"/>
      <c r="AF7" s="36"/>
      <c r="AG7" s="36"/>
      <c r="AH7" s="121"/>
    </row>
    <row r="8" spans="1:34" ht="2.15" customHeight="1" x14ac:dyDescent="0.35">
      <c r="B8" s="36"/>
      <c r="C8" s="37"/>
      <c r="D8" s="37"/>
      <c r="E8" s="37"/>
      <c r="G8" s="119"/>
      <c r="H8" s="36"/>
      <c r="I8" s="36"/>
      <c r="J8" s="36"/>
      <c r="K8" s="36"/>
      <c r="L8" s="36"/>
      <c r="M8" s="36"/>
      <c r="N8" s="36"/>
      <c r="O8" s="36"/>
      <c r="P8" s="36"/>
      <c r="Q8" s="36"/>
      <c r="R8" s="36"/>
      <c r="S8" s="36"/>
      <c r="T8" s="36"/>
      <c r="U8" s="36"/>
      <c r="V8" s="36"/>
      <c r="W8" s="36"/>
      <c r="X8" s="36"/>
      <c r="Y8" s="36"/>
      <c r="Z8" s="36"/>
      <c r="AA8" s="36"/>
      <c r="AB8" s="36"/>
      <c r="AC8" s="36"/>
      <c r="AD8" s="36"/>
      <c r="AE8" s="36"/>
      <c r="AF8" s="36"/>
      <c r="AG8" s="36"/>
      <c r="AH8" s="121"/>
    </row>
    <row r="9" spans="1:34" s="53" customFormat="1" ht="30" customHeight="1" x14ac:dyDescent="0.35">
      <c r="B9" s="62" t="str">
        <f>"DMO "&amp;FY&amp;" price ($ pa, inc GST)"</f>
        <v>DMO 2021-22 price ($ pa, inc GST)</v>
      </c>
      <c r="C9" s="228">
        <f ca="1">ROUND(H39,0)</f>
        <v>1716</v>
      </c>
      <c r="D9" s="228">
        <f ca="1">ROUND(Q39,0)</f>
        <v>2077</v>
      </c>
      <c r="E9" s="228">
        <f ca="1">ROUND(Z39,0)</f>
        <v>8033</v>
      </c>
      <c r="F9" s="3"/>
      <c r="G9" s="119"/>
      <c r="H9" s="36"/>
      <c r="I9" s="36"/>
      <c r="J9" s="36"/>
      <c r="K9" s="36"/>
      <c r="L9" s="36"/>
      <c r="M9" s="36"/>
      <c r="N9" s="36"/>
      <c r="O9" s="36"/>
      <c r="P9" s="36"/>
      <c r="Q9" s="36"/>
      <c r="R9" s="36"/>
      <c r="S9" s="36"/>
      <c r="T9" s="36"/>
      <c r="U9" s="36"/>
      <c r="V9" s="36"/>
      <c r="W9" s="36"/>
      <c r="X9" s="36"/>
      <c r="Y9" s="36"/>
      <c r="Z9" s="36"/>
      <c r="AA9" s="36"/>
      <c r="AB9" s="36"/>
      <c r="AC9" s="36"/>
      <c r="AD9" s="36"/>
      <c r="AE9" s="36"/>
      <c r="AF9" s="36"/>
      <c r="AG9" s="36"/>
      <c r="AH9" s="122"/>
    </row>
    <row r="10" spans="1:34" ht="2.15" customHeight="1" x14ac:dyDescent="0.35">
      <c r="B10" s="63"/>
      <c r="C10" s="64"/>
      <c r="D10" s="64"/>
      <c r="E10" s="64"/>
      <c r="F10" s="53"/>
      <c r="G10" s="12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1"/>
    </row>
    <row r="11" spans="1:34" ht="20.149999999999999" customHeight="1" x14ac:dyDescent="0.35">
      <c r="B11" s="65" t="s">
        <v>52</v>
      </c>
      <c r="C11" s="66">
        <f>SUM(C12:C13)</f>
        <v>4000</v>
      </c>
      <c r="D11" s="66">
        <f>SUM(D12:D13)</f>
        <v>6000</v>
      </c>
      <c r="E11" s="66">
        <f>SUM(E12:E13)</f>
        <v>20000</v>
      </c>
      <c r="G11" s="11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21"/>
    </row>
    <row r="12" spans="1:34" ht="20.149999999999999" customHeight="1" x14ac:dyDescent="0.35">
      <c r="B12" s="67" t="s">
        <v>56</v>
      </c>
      <c r="C12" s="68">
        <f t="array" ref="C12">INDEX(Usage!$B$5:$M$18,MATCH($B6,Usage!$B$5:$B$18,0),MATCH(C$6&amp;C$7&amp;"Flat rate"&amp;"Total",Usage!$B$5:$M$5&amp;Usage!$B$6:$M$6&amp;Usage!$B$7:$M$7&amp;Usage!$B$13:$M$13,0))</f>
        <v>4000</v>
      </c>
      <c r="D12" s="68">
        <f t="array" ref="D12">INDEX(Usage!$B$5:$M$18,MATCH($B6,Usage!$B$5:$B$18,0),MATCH(D$6&amp;D$7&amp;"Flat rate"&amp;"Total",Usage!$B$5:$M$5&amp;Usage!$B$6:$M$6&amp;Usage!$B$7:$M$7&amp;Usage!$B$13:$M$13,0))</f>
        <v>4200</v>
      </c>
      <c r="E12" s="68">
        <f t="array" ref="E12">INDEX(Usage!$B$5:$M$18,MATCH($B6,Usage!$B$5:$B$18,0),MATCH(E$6&amp;E$7&amp;"Flat rate"&amp;"Total",Usage!$B$5:$M$5&amp;Usage!$B$6:$M$6&amp;Usage!$B$7:$M$7&amp;Usage!$B$13:$M$13,0))</f>
        <v>20000</v>
      </c>
      <c r="G12" s="11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21"/>
    </row>
    <row r="13" spans="1:34" ht="20.149999999999999" customHeight="1" x14ac:dyDescent="0.35">
      <c r="B13" s="67" t="s">
        <v>55</v>
      </c>
      <c r="C13" s="68"/>
      <c r="D13" s="68">
        <f t="array" ref="D13">INDEX(Usage!$B$5:$M$18,MATCH($B6,Usage!$B$5:$B$18,0),MATCH(D$6&amp;D$7&amp;"CL"&amp;"Total",Usage!$B$5:$M$5&amp;Usage!$B$6:$M$6&amp;Usage!$B$7:$M$7&amp;Usage!$B$13:$M$13,0))</f>
        <v>1800</v>
      </c>
      <c r="E13" s="68"/>
      <c r="G13" s="119"/>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21"/>
    </row>
    <row r="14" spans="1:34" ht="2.15" customHeight="1" x14ac:dyDescent="0.35">
      <c r="B14" s="69"/>
      <c r="C14" s="69"/>
      <c r="D14" s="69"/>
      <c r="E14" s="69"/>
      <c r="G14" s="11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121"/>
    </row>
    <row r="15" spans="1:34" ht="20.149999999999999" customHeight="1" x14ac:dyDescent="0.35">
      <c r="B15" s="67" t="str">
        <f>"Change from DMO "&amp;PY&amp; " price ($)"</f>
        <v>Change from DMO 2020-21 price ($)</v>
      </c>
      <c r="C15" s="176">
        <f ca="1">C9-H32</f>
        <v>-116</v>
      </c>
      <c r="D15" s="176">
        <f ca="1">D9-Q32</f>
        <v>-167</v>
      </c>
      <c r="E15" s="176">
        <f ca="1">E9-Z32</f>
        <v>-272</v>
      </c>
      <c r="G15" s="11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121"/>
    </row>
    <row r="16" spans="1:34" ht="20.149999999999999" customHeight="1" thickBot="1" x14ac:dyDescent="0.4">
      <c r="B16" s="70" t="str">
        <f>"Change from DMO "&amp;PY&amp; " price (%)"</f>
        <v>Change from DMO 2020-21 price (%)</v>
      </c>
      <c r="C16" s="140">
        <f ca="1">C9/H32-1</f>
        <v>-6.33187772925764E-2</v>
      </c>
      <c r="D16" s="140">
        <f ca="1">D9/Q32-1</f>
        <v>-7.4420677361853871E-2</v>
      </c>
      <c r="E16" s="140">
        <f ca="1">E9/Z32-1</f>
        <v>-3.2751354605659255E-2</v>
      </c>
      <c r="G16" s="11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21"/>
    </row>
    <row r="17" spans="2:34" ht="15" thickTop="1" x14ac:dyDescent="0.35">
      <c r="B17" s="112" t="s">
        <v>100</v>
      </c>
      <c r="G17" s="119"/>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121"/>
    </row>
    <row r="18" spans="2:34" x14ac:dyDescent="0.35">
      <c r="G18" s="119"/>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121"/>
    </row>
    <row r="19" spans="2:34" x14ac:dyDescent="0.35">
      <c r="C19" s="110"/>
      <c r="D19" s="235"/>
      <c r="G19" s="11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121"/>
    </row>
    <row r="20" spans="2:34" ht="15.5" x14ac:dyDescent="0.35">
      <c r="B20" s="38"/>
      <c r="D20" s="235"/>
      <c r="G20" s="11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21"/>
    </row>
    <row r="21" spans="2:34" ht="15" customHeight="1" thickBot="1" x14ac:dyDescent="0.4">
      <c r="B21" s="36"/>
      <c r="D21" s="36"/>
      <c r="E21" s="36"/>
      <c r="F21" s="38"/>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s="39" customFormat="1" ht="15.5" x14ac:dyDescent="0.35">
      <c r="F22" s="38"/>
      <c r="G22" s="3"/>
      <c r="H22" s="36"/>
      <c r="I22" s="36"/>
      <c r="J22" s="36"/>
      <c r="K22" s="3"/>
      <c r="L22" s="3"/>
      <c r="M22" s="3"/>
      <c r="N22" s="36"/>
      <c r="O22" s="36"/>
      <c r="P22" s="36"/>
      <c r="Q22" s="36"/>
      <c r="R22" s="36"/>
      <c r="S22" s="36"/>
      <c r="T22" s="3"/>
      <c r="U22" s="36"/>
      <c r="V22" s="36"/>
      <c r="W22" s="36"/>
      <c r="X22" s="36"/>
      <c r="Y22" s="3"/>
      <c r="Z22" s="3"/>
      <c r="AA22" s="3"/>
      <c r="AB22" s="3"/>
      <c r="AC22" s="3"/>
      <c r="AD22" s="3"/>
      <c r="AE22" s="3"/>
      <c r="AF22" s="3"/>
      <c r="AG22" s="3"/>
    </row>
    <row r="23" spans="2:34" s="39" customFormat="1" ht="15.5" hidden="1" x14ac:dyDescent="0.35">
      <c r="F23" s="38"/>
      <c r="G23" s="3"/>
      <c r="H23" s="36" t="str">
        <f>$H$27</f>
        <v>Residential</v>
      </c>
      <c r="I23" s="36" t="str">
        <f>$H$27</f>
        <v>Residential</v>
      </c>
      <c r="J23" s="36" t="str">
        <f>$H$27</f>
        <v>Residential</v>
      </c>
      <c r="K23" s="36"/>
      <c r="L23" s="36" t="str">
        <f>$H$27</f>
        <v>Residential</v>
      </c>
      <c r="M23" s="36" t="str">
        <f>$H$27</f>
        <v>Residential</v>
      </c>
      <c r="N23" s="36" t="str">
        <f>$H$27</f>
        <v>Residential</v>
      </c>
      <c r="O23" s="36" t="str">
        <f>$H$27</f>
        <v>Residential</v>
      </c>
      <c r="P23" s="36"/>
      <c r="Q23" s="36" t="str">
        <f>$Q$27</f>
        <v>Residential</v>
      </c>
      <c r="R23" s="36" t="str">
        <f>$Q$27</f>
        <v>Residential</v>
      </c>
      <c r="S23" s="36" t="str">
        <f>$Q$27</f>
        <v>Residential</v>
      </c>
      <c r="T23" s="3"/>
      <c r="U23" s="36" t="str">
        <f>$Q$27</f>
        <v>Residential</v>
      </c>
      <c r="V23" s="36" t="str">
        <f>$Q$27</f>
        <v>Residential</v>
      </c>
      <c r="W23" s="36" t="str">
        <f>$Q$27</f>
        <v>Residential</v>
      </c>
      <c r="X23" s="36" t="str">
        <f>$Q$27</f>
        <v>Residential</v>
      </c>
      <c r="Y23" s="3"/>
      <c r="Z23" s="3" t="str">
        <f>$Z$27</f>
        <v>Small Business</v>
      </c>
      <c r="AA23" s="3" t="str">
        <f>$Z$27</f>
        <v>Small Business</v>
      </c>
      <c r="AB23" s="3" t="str">
        <f>$Z$27</f>
        <v>Small Business</v>
      </c>
      <c r="AC23" s="3"/>
      <c r="AD23" s="3" t="str">
        <f>$Z$27</f>
        <v>Small Business</v>
      </c>
      <c r="AE23" s="3" t="str">
        <f>$Z$27</f>
        <v>Small Business</v>
      </c>
      <c r="AF23" s="3" t="str">
        <f>$Z$27</f>
        <v>Small Business</v>
      </c>
      <c r="AG23" s="3" t="str">
        <f>$Z$27</f>
        <v>Small Business</v>
      </c>
    </row>
    <row r="24" spans="2:34" s="39" customFormat="1" ht="15.5" hidden="1" x14ac:dyDescent="0.35">
      <c r="F24" s="38"/>
      <c r="G24" s="3"/>
      <c r="H24" s="36" t="str">
        <f>$H$28</f>
        <v>without CL</v>
      </c>
      <c r="I24" s="36" t="str">
        <f>$H$28</f>
        <v>without CL</v>
      </c>
      <c r="J24" s="36" t="str">
        <f>$H$28</f>
        <v>without CL</v>
      </c>
      <c r="K24" s="36"/>
      <c r="L24" s="36" t="str">
        <f>$H$28</f>
        <v>without CL</v>
      </c>
      <c r="M24" s="36" t="str">
        <f>$H$28</f>
        <v>without CL</v>
      </c>
      <c r="N24" s="36" t="str">
        <f>$H$28</f>
        <v>without CL</v>
      </c>
      <c r="O24" s="36" t="str">
        <f>$H$28</f>
        <v>without CL</v>
      </c>
      <c r="P24" s="36"/>
      <c r="Q24" s="36" t="str">
        <f>$Q$28</f>
        <v>with CL</v>
      </c>
      <c r="R24" s="36" t="str">
        <f>$Q$28</f>
        <v>with CL</v>
      </c>
      <c r="S24" s="36" t="str">
        <f>$Q$28</f>
        <v>with CL</v>
      </c>
      <c r="T24" s="3"/>
      <c r="U24" s="36" t="str">
        <f>$Q$28</f>
        <v>with CL</v>
      </c>
      <c r="V24" s="36" t="str">
        <f>$Q$28</f>
        <v>with CL</v>
      </c>
      <c r="W24" s="36" t="str">
        <f>$Q$28</f>
        <v>with CL</v>
      </c>
      <c r="X24" s="36" t="str">
        <f>$Q$28</f>
        <v>with CL</v>
      </c>
      <c r="Y24" s="3"/>
      <c r="Z24" s="3" t="str">
        <f>$Z$28</f>
        <v>without CL</v>
      </c>
      <c r="AA24" s="3" t="str">
        <f>$Z$28</f>
        <v>without CL</v>
      </c>
      <c r="AB24" s="3" t="str">
        <f>$Z$28</f>
        <v>without CL</v>
      </c>
      <c r="AC24" s="3"/>
      <c r="AD24" s="3" t="str">
        <f>$Z$28</f>
        <v>without CL</v>
      </c>
      <c r="AE24" s="3" t="str">
        <f>$Z$28</f>
        <v>without CL</v>
      </c>
      <c r="AF24" s="3" t="str">
        <f>$Z$28</f>
        <v>without CL</v>
      </c>
      <c r="AG24" s="3" t="str">
        <f>$Z$28</f>
        <v>without CL</v>
      </c>
    </row>
    <row r="25" spans="2:34" s="39" customFormat="1" ht="15.5" hidden="1" x14ac:dyDescent="0.35">
      <c r="F25" s="38"/>
      <c r="G25" s="3"/>
      <c r="H25" s="36"/>
      <c r="I25" s="36" t="str">
        <f>$I$29</f>
        <v>2020-21</v>
      </c>
      <c r="J25" s="36" t="str">
        <f>$I$29</f>
        <v>2020-21</v>
      </c>
      <c r="K25" s="3"/>
      <c r="L25" s="36" t="str">
        <f>$L$29</f>
        <v>2021-22</v>
      </c>
      <c r="M25" s="36" t="str">
        <f>$L$29</f>
        <v>2021-22</v>
      </c>
      <c r="N25" s="36" t="str">
        <f>$L$29</f>
        <v>2021-22</v>
      </c>
      <c r="O25" s="36" t="str">
        <f>$L$29</f>
        <v>2021-22</v>
      </c>
      <c r="P25" s="36"/>
      <c r="Q25" s="36"/>
      <c r="R25" s="36" t="str">
        <f>$R$29</f>
        <v>2020-21</v>
      </c>
      <c r="S25" s="36" t="str">
        <f>$R$29</f>
        <v>2020-21</v>
      </c>
      <c r="T25" s="3"/>
      <c r="U25" s="36" t="str">
        <f>$U$29</f>
        <v>2021-22</v>
      </c>
      <c r="V25" s="36" t="str">
        <f>$U$29</f>
        <v>2021-22</v>
      </c>
      <c r="W25" s="36" t="str">
        <f>$U$29</f>
        <v>2021-22</v>
      </c>
      <c r="X25" s="36" t="str">
        <f>$U$29</f>
        <v>2021-22</v>
      </c>
      <c r="Y25" s="3"/>
      <c r="Z25" s="3"/>
      <c r="AA25" s="3" t="str">
        <f>$AA$29</f>
        <v>2020-21</v>
      </c>
      <c r="AB25" s="3" t="str">
        <f>$AA$29</f>
        <v>2020-21</v>
      </c>
      <c r="AC25" s="3"/>
      <c r="AD25" s="3" t="str">
        <f>$AD$29</f>
        <v>2021-22</v>
      </c>
      <c r="AE25" s="3" t="str">
        <f>$AD$29</f>
        <v>2021-22</v>
      </c>
      <c r="AF25" s="3" t="str">
        <f>$AD$29</f>
        <v>2021-22</v>
      </c>
      <c r="AG25" s="3" t="str">
        <f>$AD$29</f>
        <v>2021-22</v>
      </c>
    </row>
    <row r="26" spans="2:34" s="39" customFormat="1" ht="15.5" x14ac:dyDescent="0.35">
      <c r="F26" s="38" t="s">
        <v>47</v>
      </c>
      <c r="G26" s="139" t="s">
        <v>152</v>
      </c>
      <c r="H26" s="36"/>
      <c r="I26" s="36"/>
      <c r="J26" s="36"/>
      <c r="K26" s="3"/>
      <c r="L26" s="3"/>
      <c r="M26" s="3"/>
      <c r="N26" s="36"/>
      <c r="O26" s="36"/>
      <c r="P26" s="36"/>
      <c r="Q26" s="36"/>
      <c r="R26" s="36"/>
      <c r="S26" s="36"/>
      <c r="T26" s="3"/>
      <c r="U26" s="36"/>
      <c r="V26" s="36"/>
      <c r="W26" s="36"/>
      <c r="X26" s="36"/>
      <c r="Y26" s="3"/>
      <c r="Z26" s="3"/>
      <c r="AA26" s="3"/>
      <c r="AB26" s="3"/>
      <c r="AC26" s="3"/>
      <c r="AD26" s="3"/>
      <c r="AE26" s="3"/>
      <c r="AF26" s="3"/>
      <c r="AG26" s="3"/>
    </row>
    <row r="27" spans="2:34" s="39" customFormat="1" x14ac:dyDescent="0.35">
      <c r="F27" s="304" t="s">
        <v>36</v>
      </c>
      <c r="G27" s="113"/>
      <c r="H27" s="303" t="s">
        <v>6</v>
      </c>
      <c r="I27" s="303"/>
      <c r="J27" s="303"/>
      <c r="K27" s="303"/>
      <c r="L27" s="303"/>
      <c r="M27" s="303"/>
      <c r="N27" s="303"/>
      <c r="O27" s="303"/>
      <c r="P27" s="108"/>
      <c r="Q27" s="303" t="s">
        <v>6</v>
      </c>
      <c r="R27" s="303"/>
      <c r="S27" s="303"/>
      <c r="T27" s="303"/>
      <c r="U27" s="303"/>
      <c r="V27" s="303"/>
      <c r="W27" s="303"/>
      <c r="X27" s="303"/>
      <c r="Y27" s="108"/>
      <c r="Z27" s="303" t="s">
        <v>86</v>
      </c>
      <c r="AA27" s="303"/>
      <c r="AB27" s="303"/>
      <c r="AC27" s="303"/>
      <c r="AD27" s="303"/>
      <c r="AE27" s="303"/>
      <c r="AF27" s="303"/>
      <c r="AG27" s="303"/>
    </row>
    <row r="28" spans="2:34" ht="15" thickBot="1" x14ac:dyDescent="0.4">
      <c r="F28" s="304"/>
      <c r="G28" s="113"/>
      <c r="H28" s="306" t="s">
        <v>150</v>
      </c>
      <c r="I28" s="306"/>
      <c r="J28" s="306"/>
      <c r="K28" s="306"/>
      <c r="L28" s="306"/>
      <c r="M28" s="306"/>
      <c r="N28" s="306"/>
      <c r="O28" s="306"/>
      <c r="P28" s="108"/>
      <c r="Q28" s="306" t="s">
        <v>151</v>
      </c>
      <c r="R28" s="306"/>
      <c r="S28" s="306"/>
      <c r="T28" s="306"/>
      <c r="U28" s="306"/>
      <c r="V28" s="306"/>
      <c r="W28" s="306"/>
      <c r="X28" s="306"/>
      <c r="Y28" s="108"/>
      <c r="Z28" s="306" t="s">
        <v>150</v>
      </c>
      <c r="AA28" s="306"/>
      <c r="AB28" s="306"/>
      <c r="AC28" s="306"/>
      <c r="AD28" s="306"/>
      <c r="AE28" s="306"/>
      <c r="AF28" s="306"/>
      <c r="AG28" s="306"/>
    </row>
    <row r="29" spans="2:34" ht="15" customHeight="1" thickTop="1" x14ac:dyDescent="0.35">
      <c r="F29" s="304"/>
      <c r="G29" s="114"/>
      <c r="H29" s="108" t="s">
        <v>75</v>
      </c>
      <c r="I29" s="305" t="str">
        <f>PY</f>
        <v>2020-21</v>
      </c>
      <c r="J29" s="305"/>
      <c r="K29" s="108"/>
      <c r="L29" s="305" t="str">
        <f>FY</f>
        <v>2021-22</v>
      </c>
      <c r="M29" s="305"/>
      <c r="N29" s="305"/>
      <c r="O29" s="305"/>
      <c r="P29" s="51"/>
      <c r="Q29" s="108" t="s">
        <v>75</v>
      </c>
      <c r="R29" s="305" t="str">
        <f>PY</f>
        <v>2020-21</v>
      </c>
      <c r="S29" s="305"/>
      <c r="T29" s="108"/>
      <c r="U29" s="305" t="str">
        <f>FY</f>
        <v>2021-22</v>
      </c>
      <c r="V29" s="305"/>
      <c r="W29" s="305"/>
      <c r="X29" s="305"/>
      <c r="Y29" s="51"/>
      <c r="Z29" s="108" t="s">
        <v>75</v>
      </c>
      <c r="AA29" s="305" t="str">
        <f>PY</f>
        <v>2020-21</v>
      </c>
      <c r="AB29" s="305"/>
      <c r="AC29" s="108"/>
      <c r="AD29" s="305" t="str">
        <f>FY</f>
        <v>2021-22</v>
      </c>
      <c r="AE29" s="305"/>
      <c r="AF29" s="305"/>
      <c r="AG29" s="305"/>
    </row>
    <row r="30" spans="2:34" ht="26" x14ac:dyDescent="0.35">
      <c r="F30" s="304"/>
      <c r="G30" s="114"/>
      <c r="H30" s="72"/>
      <c r="I30" s="51" t="s">
        <v>25</v>
      </c>
      <c r="J30" s="51" t="s">
        <v>27</v>
      </c>
      <c r="K30" s="108"/>
      <c r="L30" s="51" t="s">
        <v>24</v>
      </c>
      <c r="M30" s="52" t="s">
        <v>200</v>
      </c>
      <c r="N30" s="51" t="s">
        <v>25</v>
      </c>
      <c r="O30" s="51" t="s">
        <v>27</v>
      </c>
      <c r="P30" s="51"/>
      <c r="Q30" s="108"/>
      <c r="R30" s="51" t="s">
        <v>25</v>
      </c>
      <c r="S30" s="51" t="s">
        <v>27</v>
      </c>
      <c r="T30" s="108"/>
      <c r="U30" s="51" t="s">
        <v>24</v>
      </c>
      <c r="V30" s="52" t="s">
        <v>54</v>
      </c>
      <c r="W30" s="51" t="s">
        <v>25</v>
      </c>
      <c r="X30" s="51" t="s">
        <v>27</v>
      </c>
      <c r="Y30" s="51"/>
      <c r="Z30" s="108"/>
      <c r="AA30" s="51" t="s">
        <v>25</v>
      </c>
      <c r="AB30" s="51" t="s">
        <v>27</v>
      </c>
      <c r="AC30" s="108"/>
      <c r="AD30" s="51" t="s">
        <v>24</v>
      </c>
      <c r="AE30" s="52" t="s">
        <v>54</v>
      </c>
      <c r="AF30" s="51" t="s">
        <v>25</v>
      </c>
      <c r="AG30" s="51" t="s">
        <v>27</v>
      </c>
    </row>
    <row r="31" spans="2:34" ht="15" customHeight="1" x14ac:dyDescent="0.35">
      <c r="F31" s="304"/>
      <c r="G31" s="114"/>
      <c r="H31" s="51" t="s">
        <v>77</v>
      </c>
      <c r="I31" s="51" t="s">
        <v>49</v>
      </c>
      <c r="J31" s="51" t="s">
        <v>31</v>
      </c>
      <c r="K31" s="108"/>
      <c r="L31" s="51" t="s">
        <v>31</v>
      </c>
      <c r="M31" s="51" t="s">
        <v>31</v>
      </c>
      <c r="N31" s="51" t="s">
        <v>49</v>
      </c>
      <c r="O31" s="51" t="s">
        <v>31</v>
      </c>
      <c r="P31" s="51"/>
      <c r="Q31" s="51"/>
      <c r="R31" s="51" t="s">
        <v>49</v>
      </c>
      <c r="S31" s="51" t="s">
        <v>31</v>
      </c>
      <c r="T31" s="108"/>
      <c r="U31" s="51" t="s">
        <v>31</v>
      </c>
      <c r="V31" s="51" t="s">
        <v>31</v>
      </c>
      <c r="W31" s="51" t="s">
        <v>49</v>
      </c>
      <c r="X31" s="51" t="s">
        <v>31</v>
      </c>
      <c r="Y31" s="51"/>
      <c r="Z31" s="51"/>
      <c r="AA31" s="51" t="s">
        <v>49</v>
      </c>
      <c r="AB31" s="51" t="s">
        <v>31</v>
      </c>
      <c r="AC31" s="108"/>
      <c r="AD31" s="51" t="s">
        <v>31</v>
      </c>
      <c r="AE31" s="51" t="s">
        <v>31</v>
      </c>
      <c r="AF31" s="51" t="s">
        <v>49</v>
      </c>
      <c r="AG31" s="51" t="s">
        <v>31</v>
      </c>
    </row>
    <row r="32" spans="2:34" ht="15" customHeight="1" x14ac:dyDescent="0.35">
      <c r="F32" s="57" t="str">
        <f>"DMO "&amp;PY&amp;" price"</f>
        <v>DMO 2020-21 price</v>
      </c>
      <c r="G32" s="57"/>
      <c r="H32" s="58">
        <f t="array" ref="H32">INDEX('Detail inputs'!$B$3:$K$245,MATCH($B$6&amp;H$27&amp;H$28&amp;H$29,'Detail inputs'!$B$3:$B$245&amp;'Detail inputs'!$D$3:$D$245&amp;'Detail inputs'!$E$3:$E$245&amp;'Detail inputs'!$F$3:$F$245&amp;'Detail inputs'!$G$3:$G$245,0),MATCH(I$29,'Detail inputs'!$B$3:$K$3,0))</f>
        <v>1832</v>
      </c>
      <c r="I32" s="59"/>
      <c r="J32" s="59"/>
      <c r="K32" s="59"/>
      <c r="L32" s="59"/>
      <c r="M32" s="59"/>
      <c r="N32" s="59"/>
      <c r="O32" s="59"/>
      <c r="P32" s="59"/>
      <c r="Q32" s="58">
        <f t="array" ref="Q32">INDEX('Detail inputs'!$B$3:$K$245,MATCH($B$6&amp;Q$27&amp;Q$28&amp;Q$29,'Detail inputs'!$B$3:$B$245&amp;'Detail inputs'!$D$3:$D$245&amp;'Detail inputs'!$E$3:$E$245&amp;'Detail inputs'!$F$3:$F$245&amp;'Detail inputs'!$G$3:$G$245,0),MATCH(R$29,'Detail inputs'!$B$3:$K$3,0))</f>
        <v>2244</v>
      </c>
      <c r="R32" s="58"/>
      <c r="S32" s="59"/>
      <c r="T32" s="59"/>
      <c r="U32" s="59"/>
      <c r="V32" s="59"/>
      <c r="W32" s="60"/>
      <c r="X32" s="59"/>
      <c r="Y32" s="60"/>
      <c r="Z32" s="58">
        <f t="array" ref="Z32">INDEX('Detail inputs'!$B$3:$K$245,MATCH($B$6&amp;Z$27&amp;Z$28&amp;Z$29,'Detail inputs'!$B$3:$B$245&amp;'Detail inputs'!$D$3:$D$245&amp;'Detail inputs'!$E$3:$E$245&amp;'Detail inputs'!$F$3:$F$245&amp;'Detail inputs'!$G$3:$G$245,0),MATCH(AA$29,'Detail inputs'!$B$3:$K$3,0))</f>
        <v>8305</v>
      </c>
      <c r="AA32" s="58"/>
      <c r="AB32" s="59"/>
      <c r="AC32" s="59"/>
      <c r="AD32" s="59"/>
      <c r="AE32" s="59"/>
      <c r="AF32" s="59"/>
      <c r="AG32" s="59"/>
    </row>
    <row r="33" spans="2:33" ht="15" customHeight="1" x14ac:dyDescent="0.35">
      <c r="F33" s="61" t="s">
        <v>69</v>
      </c>
      <c r="G33" s="61"/>
      <c r="H33" s="60"/>
      <c r="I33" s="58">
        <f t="array" aca="1" ref="I33" ca="1">INDEX(INDIRECT("'"&amp;$F33&amp;"'!$B$3:$T$300"),MATCH($B$6&amp;H$27&amp;H$28&amp;"Total inc GST",INDIRECT("'"&amp;$F33&amp;"'!$B$3:$B$300")&amp;INDIRECT("'"&amp;$F33&amp;"'!$C$3:$C$300")&amp;INDIRECT("'"&amp;$F33&amp;"'!$D$3:$D$300")&amp;INDIRECT("'"&amp;$F33&amp;"'!$G$3:$G$300"),0),MATCH(I$29&amp;I$30,INDIRECT("'"&amp;$F33&amp;"'!$B$4:$T$4")&amp;INDIRECT("'"&amp;$F33&amp;"'!$B$5:$T$5"),0))</f>
        <v>794.39800000000002</v>
      </c>
      <c r="J33" s="59">
        <f ca="1">I33/H$32</f>
        <v>0.43362336244541488</v>
      </c>
      <c r="K33" s="59"/>
      <c r="L33" s="71">
        <f t="array" aca="1" ref="L33" ca="1">INDEX(INDIRECT("'"&amp;$F33&amp;"'!$B$3:$T$300"),MATCH($B$6&amp;H$27&amp;H$28&amp;"Total inc GST",INDIRECT("'"&amp;$F33&amp;"'!$B$3:$B$300")&amp;INDIRECT("'"&amp;$F33&amp;"'!$C$3:$C$300")&amp;INDIRECT("'"&amp;$F33&amp;"'!$D$3:$D$300")&amp;INDIRECT("'"&amp;$F33&amp;"'!$G$3:$G$300"),0),MATCH(L$29&amp;L$30,INDIRECT("'"&amp;$F33&amp;"'!$B$4:$T$4")&amp;INDIRECT("'"&amp;$F33&amp;"'!$B$5:$T$5"),0))</f>
        <v>3.0737489268603424E-2</v>
      </c>
      <c r="M33" s="59">
        <f ca="1">J33*L33</f>
        <v>1.3328493449781672E-2</v>
      </c>
      <c r="N33" s="58">
        <f t="array" aca="1" ref="N33" ca="1">INDEX(INDIRECT("'"&amp;$F33&amp;"'!$B$3:$T$300"),MATCH($B$6&amp;H$27&amp;H$28&amp;"Total inc GST",INDIRECT("'"&amp;$F33&amp;"'!$B$3:$B$300")&amp;INDIRECT("'"&amp;$F33&amp;"'!$C$3:$C$300")&amp;INDIRECT("'"&amp;$F33&amp;"'!$D$3:$D$300")&amp;INDIRECT("'"&amp;$F33&amp;"'!$G$3:$G$300"),0),MATCH(L$29&amp;N$30,INDIRECT("'"&amp;$F33&amp;"'!$B$4:$T$4")&amp;INDIRECT("'"&amp;$F33&amp;"'!$B$5:$T$5"),0))</f>
        <v>818.81580000000008</v>
      </c>
      <c r="O33" s="59">
        <f ca="1">N33/H$39</f>
        <v>0.47712860178162608</v>
      </c>
      <c r="P33" s="59"/>
      <c r="Q33" s="59"/>
      <c r="R33" s="58">
        <f t="array" aca="1" ref="R33" ca="1">INDEX(INDIRECT("'"&amp;$F33&amp;"'!$B$3:$T$300"),MATCH($B$6&amp;Q$27&amp;Q$28&amp;"Total inc GST",INDIRECT("'"&amp;$F33&amp;"'!$B$3:$B$300")&amp;INDIRECT("'"&amp;$F33&amp;"'!$C$3:$C$300")&amp;INDIRECT("'"&amp;$F33&amp;"'!$D$3:$D$300")&amp;INDIRECT("'"&amp;$F33&amp;"'!$G$3:$G$300"),0),MATCH(R$29&amp;R$30,INDIRECT("'"&amp;$F33&amp;"'!$B$4:$T$4")&amp;INDIRECT("'"&amp;$F33&amp;"'!$B$5:$T$5"),0))</f>
        <v>990.55</v>
      </c>
      <c r="S33" s="59">
        <f ca="1">R33/Q$32</f>
        <v>0.44142156862745097</v>
      </c>
      <c r="T33" s="59"/>
      <c r="U33" s="71">
        <f t="array" aca="1" ref="U33" ca="1">INDEX(INDIRECT("'"&amp;$F33&amp;"'!$B$3:$T$300"),MATCH($B$6&amp;Q$27&amp;Q$28&amp;"Total inc GST",INDIRECT("'"&amp;$F33&amp;"'!$B$3:$B$300")&amp;INDIRECT("'"&amp;$F33&amp;"'!$C$3:$C$300")&amp;INDIRECT("'"&amp;$F33&amp;"'!$D$3:$D$300")&amp;INDIRECT("'"&amp;$F33&amp;"'!$G$3:$G$300"),0),MATCH(U$29&amp;U$30,INDIRECT("'"&amp;$F33&amp;"'!$B$4:$T$4")&amp;INDIRECT("'"&amp;$F33&amp;"'!$B$5:$T$5"),0))</f>
        <v>1.7921154913936865E-2</v>
      </c>
      <c r="V33" s="59">
        <f ca="1">S33*U33</f>
        <v>7.9107843137255617E-3</v>
      </c>
      <c r="W33" s="58">
        <f t="array" aca="1" ref="W33" ca="1">INDEX(INDIRECT("'"&amp;$F33&amp;"'!$B$3:$T$300"),MATCH($B$6&amp;Q$27&amp;Q$28&amp;"Total inc GST",INDIRECT("'"&amp;$F33&amp;"'!$B$3:$B$300")&amp;INDIRECT("'"&amp;$F33&amp;"'!$C$3:$C$300")&amp;INDIRECT("'"&amp;$F33&amp;"'!$D$3:$D$300")&amp;INDIRECT("'"&amp;$F33&amp;"'!$G$3:$G$300"),0),MATCH(U$29&amp;W$30,INDIRECT("'"&amp;$F33&amp;"'!$B$4:$T$4")&amp;INDIRECT("'"&amp;$F33&amp;"'!$B$5:$T$5"),0))</f>
        <v>1008.3018000000001</v>
      </c>
      <c r="X33" s="59">
        <f ca="1">W33/Q$39</f>
        <v>0.48547383579013986</v>
      </c>
      <c r="Y33" s="60"/>
      <c r="Z33" s="60"/>
      <c r="AA33" s="58">
        <f t="array" aca="1" ref="AA33" ca="1">INDEX(INDIRECT("'"&amp;$F33&amp;"'!$B$3:$T$300"),MATCH($B$6&amp;Z$27&amp;Z$28&amp;"Total inc GST",INDIRECT("'"&amp;$F33&amp;"'!$B$3:$B$300")&amp;INDIRECT("'"&amp;$F33&amp;"'!$C$3:$C$300")&amp;INDIRECT("'"&amp;$F33&amp;"'!$D$3:$D$300")&amp;INDIRECT("'"&amp;$F33&amp;"'!$G$3:$G$300"),0),MATCH(AA$29&amp;AA$30,INDIRECT("'"&amp;$F33&amp;"'!$B$4:$T$4")&amp;INDIRECT("'"&amp;$F33&amp;"'!$B$5:$T$5"),0))</f>
        <v>3119.578</v>
      </c>
      <c r="AB33" s="59">
        <f ca="1">AA33/Z$32</f>
        <v>0.37562649006622517</v>
      </c>
      <c r="AC33" s="59"/>
      <c r="AD33" s="71">
        <f t="array" aca="1" ref="AD33" ca="1">INDEX(INDIRECT("'"&amp;$F33&amp;"'!$B$3:$T$300"),MATCH($B$6&amp;Z$27&amp;Z$28&amp;"Total inc GST",INDIRECT("'"&amp;$F33&amp;"'!$B$3:$B$300")&amp;INDIRECT("'"&amp;$F33&amp;"'!$C$3:$C$300")&amp;INDIRECT("'"&amp;$F33&amp;"'!$D$3:$D$300")&amp;INDIRECT("'"&amp;$F33&amp;"'!$G$3:$G$300"),0),MATCH(AD$29&amp;AD$30,INDIRECT("'"&amp;$F33&amp;"'!$B$4:$T$4")&amp;INDIRECT("'"&amp;$F33&amp;"'!$B$5:$T$5"),0))</f>
        <v>0.13757642860668962</v>
      </c>
      <c r="AE33" s="59">
        <f ca="1">AB33*AD33</f>
        <v>5.1677350993377433E-2</v>
      </c>
      <c r="AF33" s="58">
        <f t="array" aca="1" ref="AF33" ca="1">INDEX(INDIRECT("'"&amp;$F33&amp;"'!$B$3:$T$300"),MATCH($B$6&amp;Z$27&amp;Z$28&amp;"Total inc GST",INDIRECT("'"&amp;$F33&amp;"'!$B$3:$B$300")&amp;INDIRECT("'"&amp;$F33&amp;"'!$C$3:$C$300")&amp;INDIRECT("'"&amp;$F33&amp;"'!$D$3:$D$300")&amp;INDIRECT("'"&amp;$F33&amp;"'!$G$3:$G$300"),0),MATCH(AD$29&amp;AF$30,INDIRECT("'"&amp;$F33&amp;"'!$B$4:$T$4")&amp;INDIRECT("'"&amp;$F33&amp;"'!$B$5:$T$5"),0))</f>
        <v>3548.7583999999997</v>
      </c>
      <c r="AG33" s="59">
        <f ca="1">AF33/Z$39</f>
        <v>0.44178821588150075</v>
      </c>
    </row>
    <row r="34" spans="2:33" ht="15" customHeight="1" x14ac:dyDescent="0.35">
      <c r="F34" s="61" t="s">
        <v>70</v>
      </c>
      <c r="G34" s="61"/>
      <c r="H34" s="60"/>
      <c r="I34" s="58">
        <f t="array" aca="1" ref="I34" ca="1">INDEX(INDIRECT("'"&amp;$F34&amp;"'!$B$3:$T$300"),MATCH($B$6&amp;H$27&amp;H$28&amp;"Total inc GST",INDIRECT("'"&amp;$F34&amp;"'!$B$3:$B$300")&amp;INDIRECT("'"&amp;$F34&amp;"'!$C$3:$C$300")&amp;INDIRECT("'"&amp;$F34&amp;"'!$D$3:$D$300")&amp;INDIRECT("'"&amp;$F34&amp;"'!$G$3:$G$300"),0),MATCH(I$29&amp;I$30,INDIRECT("'"&amp;$F34&amp;"'!$B$4:$T$4")&amp;INDIRECT("'"&amp;$F34&amp;"'!$B$5:$T$5"),0))</f>
        <v>678.12800000000004</v>
      </c>
      <c r="J34" s="59">
        <f ca="1">I34/H$32</f>
        <v>0.3701572052401747</v>
      </c>
      <c r="K34" s="59"/>
      <c r="L34" s="71">
        <f t="array" aca="1" ref="L34" ca="1">INDEX(INDIRECT("'"&amp;$F34&amp;"'!$B$3:$T$300"),MATCH($B$6&amp;H$27&amp;H$28&amp;"Total inc GST",INDIRECT("'"&amp;$F34&amp;"'!$B$3:$B$300")&amp;INDIRECT("'"&amp;$F34&amp;"'!$C$3:$C$300")&amp;INDIRECT("'"&amp;$F34&amp;"'!$D$3:$D$300")&amp;INDIRECT("'"&amp;$F34&amp;"'!$G$3:$G$300"),0),MATCH(L$29&amp;L$30,INDIRECT("'"&amp;$F34&amp;"'!$B$4:$T$4")&amp;INDIRECT("'"&amp;$F34&amp;"'!$B$5:$T$5"),0))</f>
        <v>-0.22482481183493386</v>
      </c>
      <c r="M34" s="59">
        <f ca="1">J34*L34</f>
        <v>-8.3220524017467268E-2</v>
      </c>
      <c r="N34" s="58">
        <f t="array" aca="1" ref="N34" ca="1">INDEX(INDIRECT("'"&amp;$F34&amp;"'!$B$3:$T$300"),MATCH($B$6&amp;H$27&amp;H$28&amp;"Total inc GST",INDIRECT("'"&amp;$F34&amp;"'!$B$3:$B$300")&amp;INDIRECT("'"&amp;$F34&amp;"'!$C$3:$C$300")&amp;INDIRECT("'"&amp;$F34&amp;"'!$D$3:$D$300")&amp;INDIRECT("'"&amp;$F34&amp;"'!$G$3:$G$300"),0),MATCH(L$29&amp;N$30,INDIRECT("'"&amp;$F34&amp;"'!$B$4:$T$4")&amp;INDIRECT("'"&amp;$F34&amp;"'!$B$5:$T$5"),0))</f>
        <v>525.66800000000001</v>
      </c>
      <c r="O34" s="59">
        <f ca="1">N34/H$39</f>
        <v>0.30630971928160622</v>
      </c>
      <c r="P34" s="59"/>
      <c r="Q34" s="59"/>
      <c r="R34" s="58">
        <f t="array" aca="1" ref="R34" ca="1">INDEX(INDIRECT("'"&amp;$F34&amp;"'!$B$3:$T$300"),MATCH($B$6&amp;Q$27&amp;Q$28&amp;"Total inc GST",INDIRECT("'"&amp;$F34&amp;"'!$B$3:$B$300")&amp;INDIRECT("'"&amp;$F34&amp;"'!$C$3:$C$300")&amp;INDIRECT("'"&amp;$F34&amp;"'!$D$3:$D$300")&amp;INDIRECT("'"&amp;$F34&amp;"'!$G$3:$G$300"),0),MATCH(R$29&amp;R$30,INDIRECT("'"&amp;$F34&amp;"'!$B$4:$T$4")&amp;INDIRECT("'"&amp;$F34&amp;"'!$B$5:$T$5"),0))</f>
        <v>896.4713999999999</v>
      </c>
      <c r="S34" s="59">
        <f ca="1">R34/Q$32</f>
        <v>0.39949705882352937</v>
      </c>
      <c r="T34" s="59"/>
      <c r="U34" s="71">
        <f t="array" aca="1" ref="U34" ca="1">INDEX(INDIRECT("'"&amp;$F34&amp;"'!$B$3:$T$300"),MATCH($B$6&amp;Q$27&amp;Q$28&amp;"Total inc GST",INDIRECT("'"&amp;$F34&amp;"'!$B$3:$B$300")&amp;INDIRECT("'"&amp;$F34&amp;"'!$C$3:$C$300")&amp;INDIRECT("'"&amp;$F34&amp;"'!$D$3:$D$300")&amp;INDIRECT("'"&amp;$F34&amp;"'!$G$3:$G$300"),0),MATCH(U$29&amp;U$30,INDIRECT("'"&amp;$F34&amp;"'!$B$4:$T$4")&amp;INDIRECT("'"&amp;$F34&amp;"'!$B$5:$T$5"),0))</f>
        <v>-0.22347215984804414</v>
      </c>
      <c r="V34" s="59">
        <f ca="1">S34*U34</f>
        <v>-8.9276470588235249E-2</v>
      </c>
      <c r="W34" s="58">
        <f t="array" aca="1" ref="W34" ca="1">INDEX(INDIRECT("'"&amp;$F34&amp;"'!$B$3:$T$300"),MATCH($B$6&amp;Q$27&amp;Q$28&amp;"Total inc GST",INDIRECT("'"&amp;$F34&amp;"'!$B$3:$B$300")&amp;INDIRECT("'"&amp;$F34&amp;"'!$C$3:$C$300")&amp;INDIRECT("'"&amp;$F34&amp;"'!$D$3:$D$300")&amp;INDIRECT("'"&amp;$F34&amp;"'!$G$3:$G$300"),0),MATCH(U$29&amp;W$30,INDIRECT("'"&amp;$F34&amp;"'!$B$4:$T$4")&amp;INDIRECT("'"&amp;$F34&amp;"'!$B$5:$T$5"),0))</f>
        <v>696.13499999999999</v>
      </c>
      <c r="X34" s="59">
        <f ca="1">W34/Q$39</f>
        <v>0.3351727911997866</v>
      </c>
      <c r="Y34" s="60"/>
      <c r="Z34" s="60"/>
      <c r="AA34" s="58">
        <f t="array" aca="1" ref="AA34" ca="1">INDEX(INDIRECT("'"&amp;$F34&amp;"'!$B$3:$T$300"),MATCH($B$6&amp;Z$27&amp;Z$28&amp;"Total inc GST",INDIRECT("'"&amp;$F34&amp;"'!$B$3:$B$300")&amp;INDIRECT("'"&amp;$F34&amp;"'!$C$3:$C$300")&amp;INDIRECT("'"&amp;$F34&amp;"'!$D$3:$D$300")&amp;INDIRECT("'"&amp;$F34&amp;"'!$G$3:$G$300"),0),MATCH(AA$29&amp;AA$30,INDIRECT("'"&amp;$F34&amp;"'!$B$4:$T$4")&amp;INDIRECT("'"&amp;$F34&amp;"'!$B$5:$T$5"),0))</f>
        <v>3390.6400000000003</v>
      </c>
      <c r="AB34" s="59">
        <f ca="1">AA34/Z$32</f>
        <v>0.40826490066225168</v>
      </c>
      <c r="AC34" s="59"/>
      <c r="AD34" s="71">
        <f t="array" aca="1" ref="AD34" ca="1">INDEX(INDIRECT("'"&amp;$F34&amp;"'!$B$3:$T$300"),MATCH($B$6&amp;Z$27&amp;Z$28&amp;"Total inc GST",INDIRECT("'"&amp;$F34&amp;"'!$B$3:$B$300")&amp;INDIRECT("'"&amp;$F34&amp;"'!$C$3:$C$300")&amp;INDIRECT("'"&amp;$F34&amp;"'!$D$3:$D$300")&amp;INDIRECT("'"&amp;$F34&amp;"'!$G$3:$G$300"),0),MATCH(AD$29&amp;AD$30,INDIRECT("'"&amp;$F34&amp;"'!$B$4:$T$4")&amp;INDIRECT("'"&amp;$F34&amp;"'!$B$5:$T$5"),0))</f>
        <v>-0.22482481183493386</v>
      </c>
      <c r="AE34" s="59">
        <f ca="1">AB34*AD34</f>
        <v>-9.1788079470198694E-2</v>
      </c>
      <c r="AF34" s="58">
        <f t="array" aca="1" ref="AF34" ca="1">INDEX(INDIRECT("'"&amp;$F34&amp;"'!$B$3:$T$300"),MATCH($B$6&amp;Z$27&amp;Z$28&amp;"Total inc GST",INDIRECT("'"&amp;$F34&amp;"'!$B$3:$B$300")&amp;INDIRECT("'"&amp;$F34&amp;"'!$C$3:$C$300")&amp;INDIRECT("'"&amp;$F34&amp;"'!$D$3:$D$300")&amp;INDIRECT("'"&amp;$F34&amp;"'!$G$3:$G$300"),0),MATCH(AD$29&amp;AF$30,INDIRECT("'"&amp;$F34&amp;"'!$B$4:$T$4")&amp;INDIRECT("'"&amp;$F34&amp;"'!$B$5:$T$5"),0))</f>
        <v>2628.34</v>
      </c>
      <c r="AG34" s="59">
        <f ca="1">AF34/Z$39</f>
        <v>0.32720447786188656</v>
      </c>
    </row>
    <row r="35" spans="2:33" ht="15" customHeight="1" x14ac:dyDescent="0.35">
      <c r="F35" s="61" t="s">
        <v>71</v>
      </c>
      <c r="G35" s="61"/>
      <c r="H35" s="60"/>
      <c r="I35" s="58">
        <f t="array" aca="1" ref="I35" ca="1">INDEX(INDIRECT("'"&amp;$F35&amp;"'!$B$3:$T$300"),MATCH($B$6&amp;H$27&amp;H$28&amp;"Total inc GST",INDIRECT("'"&amp;$F35&amp;"'!$B$3:$B$300")&amp;INDIRECT("'"&amp;$F35&amp;"'!$C$3:$C$300")&amp;INDIRECT("'"&amp;$F35&amp;"'!$D$3:$D$300")&amp;INDIRECT("'"&amp;$F35&amp;"'!$G$3:$G$300"),0),MATCH(I$29&amp;I$30,INDIRECT("'"&amp;$F35&amp;"'!$B$4:$T$4")&amp;INDIRECT("'"&amp;$F35&amp;"'!$B$5:$T$5"),0))</f>
        <v>81.707999999999998</v>
      </c>
      <c r="J35" s="59">
        <f ca="1">I35/H$32</f>
        <v>4.4600436681222703E-2</v>
      </c>
      <c r="K35" s="59"/>
      <c r="L35" s="71">
        <f t="array" aca="1" ref="L35" ca="1">INDEX(INDIRECT("'"&amp;$F35&amp;"'!$B$3:$T$300"),MATCH($B$6&amp;H$27&amp;H$28&amp;"Total inc GST",INDIRECT("'"&amp;$F35&amp;"'!$B$3:$B$300")&amp;INDIRECT("'"&amp;$F35&amp;"'!$C$3:$C$300")&amp;INDIRECT("'"&amp;$F35&amp;"'!$D$3:$D$300")&amp;INDIRECT("'"&amp;$F35&amp;"'!$G$3:$G$300"),0),MATCH(L$29&amp;L$30,INDIRECT("'"&amp;$F35&amp;"'!$B$4:$T$4")&amp;INDIRECT("'"&amp;$F35&amp;"'!$B$5:$T$5"),0))</f>
        <v>9.8007539041464753E-2</v>
      </c>
      <c r="M35" s="59">
        <f ca="1">J35*L35</f>
        <v>4.3711790393013107E-3</v>
      </c>
      <c r="N35" s="58">
        <f t="array" aca="1" ref="N35" ca="1">INDEX(INDIRECT("'"&amp;$F35&amp;"'!$B$3:$T$300"),MATCH($B$6&amp;H$27&amp;H$28&amp;"Total inc GST",INDIRECT("'"&amp;$F35&amp;"'!$B$3:$B$300")&amp;INDIRECT("'"&amp;$F35&amp;"'!$C$3:$C$300")&amp;INDIRECT("'"&amp;$F35&amp;"'!$D$3:$D$300")&amp;INDIRECT("'"&amp;$F35&amp;"'!$G$3:$G$300"),0),MATCH(L$29&amp;N$30,INDIRECT("'"&amp;$F35&amp;"'!$B$4:$T$4")&amp;INDIRECT("'"&amp;$F35&amp;"'!$B$5:$T$5"),0))</f>
        <v>89.716000000000008</v>
      </c>
      <c r="O35" s="59">
        <f ca="1">N35/H$39</f>
        <v>5.2278021060952126E-2</v>
      </c>
      <c r="P35" s="59"/>
      <c r="Q35" s="59"/>
      <c r="R35" s="58">
        <f t="array" aca="1" ref="R35" ca="1">INDEX(INDIRECT("'"&amp;$F35&amp;"'!$B$3:$T$300"),MATCH($B$6&amp;Q$27&amp;Q$28&amp;"Total inc GST",INDIRECT("'"&amp;$F35&amp;"'!$B$3:$B$300")&amp;INDIRECT("'"&amp;$F35&amp;"'!$C$3:$C$300")&amp;INDIRECT("'"&amp;$F35&amp;"'!$D$3:$D$300")&amp;INDIRECT("'"&amp;$F35&amp;"'!$G$3:$G$300"),0),MATCH(R$29&amp;R$30,INDIRECT("'"&amp;$F35&amp;"'!$B$4:$T$4")&amp;INDIRECT("'"&amp;$F35&amp;"'!$B$5:$T$5"),0))</f>
        <v>122.562</v>
      </c>
      <c r="S35" s="59">
        <f ca="1">R35/Q$32</f>
        <v>5.4617647058823528E-2</v>
      </c>
      <c r="T35" s="59"/>
      <c r="U35" s="71">
        <f t="array" aca="1" ref="U35" ca="1">INDEX(INDIRECT("'"&amp;$F35&amp;"'!$B$3:$T$300"),MATCH($B$6&amp;Q$27&amp;Q$28&amp;"Total inc GST",INDIRECT("'"&amp;$F35&amp;"'!$B$3:$B$300")&amp;INDIRECT("'"&amp;$F35&amp;"'!$C$3:$C$300")&amp;INDIRECT("'"&amp;$F35&amp;"'!$D$3:$D$300")&amp;INDIRECT("'"&amp;$F35&amp;"'!$G$3:$G$300"),0),MATCH(U$29&amp;U$30,INDIRECT("'"&amp;$F35&amp;"'!$B$4:$T$4")&amp;INDIRECT("'"&amp;$F35&amp;"'!$B$5:$T$5"),0))</f>
        <v>9.8007539041464753E-2</v>
      </c>
      <c r="V35" s="59">
        <f ca="1">S35*U35</f>
        <v>5.3529411764705898E-3</v>
      </c>
      <c r="W35" s="58">
        <f t="array" aca="1" ref="W35" ca="1">INDEX(INDIRECT("'"&amp;$F35&amp;"'!$B$3:$T$300"),MATCH($B$6&amp;Q$27&amp;Q$28&amp;"Total inc GST",INDIRECT("'"&amp;$F35&amp;"'!$B$3:$B$300")&amp;INDIRECT("'"&amp;$F35&amp;"'!$C$3:$C$300")&amp;INDIRECT("'"&amp;$F35&amp;"'!$D$3:$D$300")&amp;INDIRECT("'"&amp;$F35&amp;"'!$G$3:$G$300"),0),MATCH(U$29&amp;W$30,INDIRECT("'"&amp;$F35&amp;"'!$B$4:$T$4")&amp;INDIRECT("'"&amp;$F35&amp;"'!$B$5:$T$5"),0))</f>
        <v>134.57400000000001</v>
      </c>
      <c r="X35" s="59">
        <f ca="1">W35/Q$39</f>
        <v>6.4794247097071822E-2</v>
      </c>
      <c r="Y35" s="60"/>
      <c r="Z35" s="60"/>
      <c r="AA35" s="58">
        <f t="array" aca="1" ref="AA35" ca="1">INDEX(INDIRECT("'"&amp;$F35&amp;"'!$B$3:$T$300"),MATCH($B$6&amp;Z$27&amp;Z$28&amp;"Total inc GST",INDIRECT("'"&amp;$F35&amp;"'!$B$3:$B$300")&amp;INDIRECT("'"&amp;$F35&amp;"'!$C$3:$C$300")&amp;INDIRECT("'"&amp;$F35&amp;"'!$D$3:$D$300")&amp;INDIRECT("'"&amp;$F35&amp;"'!$G$3:$G$300"),0),MATCH(AA$29&amp;AA$30,INDIRECT("'"&amp;$F35&amp;"'!$B$4:$T$4")&amp;INDIRECT("'"&amp;$F35&amp;"'!$B$5:$T$5"),0))</f>
        <v>408.53999999999996</v>
      </c>
      <c r="AB35" s="59">
        <f ca="1">AA35/Z$32</f>
        <v>4.9192052980132447E-2</v>
      </c>
      <c r="AC35" s="59"/>
      <c r="AD35" s="71">
        <f t="array" aca="1" ref="AD35" ca="1">INDEX(INDIRECT("'"&amp;$F35&amp;"'!$B$3:$T$300"),MATCH($B$6&amp;Z$27&amp;Z$28&amp;"Total inc GST",INDIRECT("'"&amp;$F35&amp;"'!$B$3:$B$300")&amp;INDIRECT("'"&amp;$F35&amp;"'!$C$3:$C$300")&amp;INDIRECT("'"&amp;$F35&amp;"'!$D$3:$D$300")&amp;INDIRECT("'"&amp;$F35&amp;"'!$G$3:$G$300"),0),MATCH(AD$29&amp;AD$30,INDIRECT("'"&amp;$F35&amp;"'!$B$4:$T$4")&amp;INDIRECT("'"&amp;$F35&amp;"'!$B$5:$T$5"),0))</f>
        <v>9.8007539041464975E-2</v>
      </c>
      <c r="AE35" s="59">
        <f ca="1">AB35*AD35</f>
        <v>4.8211920529801439E-3</v>
      </c>
      <c r="AF35" s="58">
        <f t="array" aca="1" ref="AF35" ca="1">INDEX(INDIRECT("'"&amp;$F35&amp;"'!$B$3:$T$300"),MATCH($B$6&amp;Z$27&amp;Z$28&amp;"Total inc GST",INDIRECT("'"&amp;$F35&amp;"'!$B$3:$B$300")&amp;INDIRECT("'"&amp;$F35&amp;"'!$C$3:$C$300")&amp;INDIRECT("'"&amp;$F35&amp;"'!$D$3:$D$300")&amp;INDIRECT("'"&amp;$F35&amp;"'!$G$3:$G$300"),0),MATCH(AD$29&amp;AF$30,INDIRECT("'"&amp;$F35&amp;"'!$B$4:$T$4")&amp;INDIRECT("'"&amp;$F35&amp;"'!$B$5:$T$5"),0))</f>
        <v>448.58000000000004</v>
      </c>
      <c r="AG35" s="59">
        <f ca="1">AF35/Z$39</f>
        <v>5.5844139144587482E-2</v>
      </c>
    </row>
    <row r="36" spans="2:33" ht="15" customHeight="1" x14ac:dyDescent="0.35">
      <c r="F36" s="61" t="s">
        <v>72</v>
      </c>
      <c r="G36" s="61"/>
      <c r="H36" s="60"/>
      <c r="I36" s="58">
        <f ca="1">H32-SUM(I33:I35,I38)</f>
        <v>277.76599999999985</v>
      </c>
      <c r="J36" s="59">
        <f ca="1">I36/H$32</f>
        <v>0.1516189956331877</v>
      </c>
      <c r="K36" s="59"/>
      <c r="L36" s="251">
        <f>CPI</f>
        <v>1.4999999999999999E-2</v>
      </c>
      <c r="M36" s="59">
        <f ca="1">J36*L36</f>
        <v>2.2742849344978156E-3</v>
      </c>
      <c r="N36" s="58">
        <f ca="1">H39-SUM(N33:N35,N38)</f>
        <v>281.93249000000014</v>
      </c>
      <c r="O36" s="59">
        <f ca="1">N36/H$39</f>
        <v>0.1642836578758157</v>
      </c>
      <c r="P36" s="59"/>
      <c r="Q36" s="59"/>
      <c r="R36" s="58">
        <f ca="1">Q32-SUM(R33:R35,R38)</f>
        <v>234.41660000000024</v>
      </c>
      <c r="S36" s="59">
        <f ca="1">R36/Q$32</f>
        <v>0.10446372549019618</v>
      </c>
      <c r="T36" s="59"/>
      <c r="U36" s="251">
        <f>CPI</f>
        <v>1.4999999999999999E-2</v>
      </c>
      <c r="V36" s="59">
        <f ca="1">S36*U36</f>
        <v>1.5669558823529427E-3</v>
      </c>
      <c r="W36" s="58">
        <f ca="1">Q39-SUM(W33:W35,W38)</f>
        <v>237.93284900000026</v>
      </c>
      <c r="X36" s="59">
        <f ca="1">W36/Q$39</f>
        <v>0.11455912591300171</v>
      </c>
      <c r="Y36" s="60"/>
      <c r="Z36" s="60"/>
      <c r="AA36" s="58">
        <f ca="1">Z32-SUM(AA33:AA35,AA38)</f>
        <v>1386.2419999999993</v>
      </c>
      <c r="AB36" s="59">
        <f ca="1">AA36/Z$32</f>
        <v>0.16691655629139066</v>
      </c>
      <c r="AC36" s="59"/>
      <c r="AD36" s="251">
        <f>CPI</f>
        <v>1.4999999999999999E-2</v>
      </c>
      <c r="AE36" s="59">
        <f ca="1">AB36*AD36</f>
        <v>2.5037483443708596E-3</v>
      </c>
      <c r="AF36" s="58">
        <f ca="1">Z39-SUM(AF33:AF35,AF38)</f>
        <v>1407.0356299999994</v>
      </c>
      <c r="AG36" s="59">
        <f ca="1">AF36/Z$39</f>
        <v>0.17516316711202523</v>
      </c>
    </row>
    <row r="37" spans="2:33" s="5" customFormat="1" ht="15" customHeight="1" x14ac:dyDescent="0.35">
      <c r="F37" s="61" t="s">
        <v>78</v>
      </c>
      <c r="G37" s="57"/>
      <c r="H37" s="60"/>
      <c r="I37" s="59"/>
      <c r="J37" s="59"/>
      <c r="K37" s="59"/>
      <c r="L37" s="59">
        <f ca="1">SUMPRODUCT(J33:J36,L33:L36)</f>
        <v>-6.3246566593886472E-2</v>
      </c>
      <c r="M37" s="59"/>
      <c r="N37" s="59"/>
      <c r="O37" s="59"/>
      <c r="P37" s="59"/>
      <c r="Q37" s="59"/>
      <c r="R37" s="59"/>
      <c r="S37" s="59"/>
      <c r="T37" s="59"/>
      <c r="U37" s="59">
        <f ca="1">SUMPRODUCT(S33:S36,U33:U36)</f>
        <v>-7.4445789215686148E-2</v>
      </c>
      <c r="V37" s="59"/>
      <c r="W37" s="59"/>
      <c r="X37" s="59"/>
      <c r="Y37" s="60"/>
      <c r="Z37" s="60"/>
      <c r="AA37" s="59"/>
      <c r="AB37" s="59"/>
      <c r="AC37" s="59"/>
      <c r="AD37" s="59">
        <f ca="1">SUMPRODUCT(AB33:AB36,AD33:AD36)</f>
        <v>-3.278578807947026E-2</v>
      </c>
      <c r="AE37" s="59"/>
      <c r="AF37" s="59"/>
      <c r="AG37" s="59"/>
    </row>
    <row r="38" spans="2:33" s="5" customFormat="1" ht="15" customHeight="1" x14ac:dyDescent="0.35">
      <c r="F38" s="61" t="s">
        <v>76</v>
      </c>
      <c r="G38" s="57"/>
      <c r="H38" s="60"/>
      <c r="I38" s="58">
        <f t="array" ref="I38">INDEX('Detail inputs'!$B$3:$K$245,MATCH($B$6&amp;H$27&amp;H$28&amp;$F38,'Detail inputs'!$B$3:$B$245&amp;'Detail inputs'!$D$3:$D$245&amp;'Detail inputs'!$E$3:$E$245&amp;'Detail inputs'!$G$3:$G$245,0),MATCH(I$29,'Detail inputs'!$B$3:$K$3,0))</f>
        <v>0</v>
      </c>
      <c r="J38" s="59">
        <f>I38/H$32</f>
        <v>0</v>
      </c>
      <c r="K38" s="59"/>
      <c r="L38" s="59"/>
      <c r="M38" s="59">
        <f>(N38-I38)/H32</f>
        <v>0</v>
      </c>
      <c r="N38" s="58">
        <f t="array" ref="N38">INDEX('Detail inputs'!$B$3:$K$245,MATCH($B$6&amp;H$27&amp;H$28&amp;$F38,'Detail inputs'!$B$3:$B$245&amp;'Detail inputs'!$D$3:$D$245&amp;'Detail inputs'!$E$3:$E$245&amp;'Detail inputs'!$G$3:$G$245,0),MATCH(L$29,'Detail inputs'!$B$3:$K$3,0))</f>
        <v>0</v>
      </c>
      <c r="O38" s="59">
        <f ca="1">N38/H$39</f>
        <v>0</v>
      </c>
      <c r="P38" s="59"/>
      <c r="Q38" s="59"/>
      <c r="R38" s="58">
        <f t="array" ref="R38">INDEX('Detail inputs'!$B$3:$K$245,MATCH($B$6&amp;Q$27&amp;Q$28&amp;$F38,'Detail inputs'!$B$3:$B$245&amp;'Detail inputs'!$D$3:$D$245&amp;'Detail inputs'!$E$3:$E$245&amp;'Detail inputs'!$G$3:$G$245,0),MATCH(R$29,'Detail inputs'!$B$3:$K$3,0))</f>
        <v>0</v>
      </c>
      <c r="S38" s="59">
        <f>R38/Q$32</f>
        <v>0</v>
      </c>
      <c r="T38" s="59"/>
      <c r="U38" s="59"/>
      <c r="V38" s="59">
        <f>(W38-R38)/Q32</f>
        <v>0</v>
      </c>
      <c r="W38" s="58">
        <f t="array" ref="W38">INDEX('Detail inputs'!$B$3:$K$245,MATCH($B$6&amp;Q$27&amp;Q$28&amp;$F38,'Detail inputs'!$B$3:$B$245&amp;'Detail inputs'!$D$3:$D$245&amp;'Detail inputs'!$E$3:$E$245&amp;'Detail inputs'!$G$3:$G$245,0),MATCH(U$29,'Detail inputs'!$B$3:$K$3,0))</f>
        <v>0</v>
      </c>
      <c r="X38" s="59">
        <f ca="1">W38/Q$39</f>
        <v>0</v>
      </c>
      <c r="Y38" s="60"/>
      <c r="Z38" s="60"/>
      <c r="AA38" s="58">
        <f t="array" ref="AA38">INDEX('Detail inputs'!$B$3:$K$245,MATCH($B$6&amp;Z$27&amp;Z$28&amp;$F38,'Detail inputs'!$B$3:$B$245&amp;'Detail inputs'!$D$3:$D$245&amp;'Detail inputs'!$E$3:$E$245&amp;'Detail inputs'!$G$3:$G$245,0),MATCH(AA$29,'Detail inputs'!$B$3:$K$3,0))</f>
        <v>0</v>
      </c>
      <c r="AB38" s="59">
        <f>AA38/Z$32</f>
        <v>0</v>
      </c>
      <c r="AC38" s="59"/>
      <c r="AD38" s="59"/>
      <c r="AE38" s="59">
        <f>(AF38-AA38)/Z32</f>
        <v>0</v>
      </c>
      <c r="AF38" s="58">
        <f t="array" ref="AF38">INDEX('Detail inputs'!$B$3:$K$245,MATCH($B$6&amp;Z$27&amp;Z$28&amp;$F38,'Detail inputs'!$B$3:$B$245&amp;'Detail inputs'!$D$3:$D$245&amp;'Detail inputs'!$E$3:$E$245&amp;'Detail inputs'!$G$3:$G$245,0),MATCH(AD$29,'Detail inputs'!$B$3:$K$3,0))</f>
        <v>0</v>
      </c>
      <c r="AG38" s="59">
        <f ca="1">AF38/Z$39</f>
        <v>0</v>
      </c>
    </row>
    <row r="39" spans="2:33" ht="15" thickBot="1" x14ac:dyDescent="0.4">
      <c r="B39" s="112"/>
      <c r="F39" s="104" t="str">
        <f>"DMO "&amp;FY&amp;" price"</f>
        <v>DMO 2021-22 price</v>
      </c>
      <c r="G39" s="104"/>
      <c r="H39" s="105">
        <f ca="1">H32*(1+L37)+N38</f>
        <v>1716.13229</v>
      </c>
      <c r="I39" s="106"/>
      <c r="J39" s="106"/>
      <c r="K39" s="106"/>
      <c r="L39" s="106">
        <f ca="1">H39/H32-1</f>
        <v>-6.32465665938865E-2</v>
      </c>
      <c r="M39" s="106"/>
      <c r="N39" s="106"/>
      <c r="O39" s="106"/>
      <c r="P39" s="106"/>
      <c r="Q39" s="105">
        <f ca="1">Q32*(1+U37)+W38</f>
        <v>2076.9436490000003</v>
      </c>
      <c r="R39" s="105"/>
      <c r="S39" s="106"/>
      <c r="T39" s="106"/>
      <c r="U39" s="106">
        <f ca="1">Q39/Q32-1</f>
        <v>-7.444578921568612E-2</v>
      </c>
      <c r="V39" s="106"/>
      <c r="W39" s="107"/>
      <c r="X39" s="107"/>
      <c r="Y39" s="107"/>
      <c r="Z39" s="105">
        <f ca="1">Z32*(1+AD37)+AF38</f>
        <v>8032.7140299999992</v>
      </c>
      <c r="AA39" s="105"/>
      <c r="AB39" s="106"/>
      <c r="AC39" s="106"/>
      <c r="AD39" s="106">
        <f ca="1">Z39/Z32-1</f>
        <v>-3.2785788079470302E-2</v>
      </c>
      <c r="AE39" s="106"/>
      <c r="AF39" s="106"/>
      <c r="AG39" s="106"/>
    </row>
    <row r="40" spans="2:33" ht="15" thickTop="1" x14ac:dyDescent="0.35">
      <c r="F40" s="162"/>
    </row>
    <row r="41" spans="2:33" x14ac:dyDescent="0.35">
      <c r="F41" s="139"/>
    </row>
    <row r="43" spans="2:33" x14ac:dyDescent="0.35">
      <c r="F43" s="162"/>
    </row>
    <row r="44" spans="2:33" s="137" customFormat="1" ht="12" x14ac:dyDescent="0.35">
      <c r="F44" s="137" t="s">
        <v>102</v>
      </c>
      <c r="H44" s="138"/>
      <c r="J44" s="137" t="b">
        <f ca="1">SUM(J33:J38)=1</f>
        <v>1</v>
      </c>
      <c r="L44" s="137" t="b">
        <f ca="1">ROUND(L39,15)=ROUND(SUM(L37,M38),15)</f>
        <v>1</v>
      </c>
      <c r="M44" s="137" t="b">
        <f ca="1">L37=SUM(M33:M36)</f>
        <v>1</v>
      </c>
      <c r="N44" s="137" t="b">
        <f ca="1">N36=I36*(1+L36)</f>
        <v>1</v>
      </c>
      <c r="O44" s="137" t="b">
        <f ca="1">SUM(O33:O38)=1</f>
        <v>1</v>
      </c>
      <c r="S44" s="137" t="b">
        <f ca="1">SUM(S33:S38)=1</f>
        <v>1</v>
      </c>
      <c r="U44" s="137" t="b">
        <f ca="1">ROUND(U39,15)=ROUND(SUM(U37,V38),15)</f>
        <v>1</v>
      </c>
      <c r="V44" s="137" t="b">
        <f ca="1">U37=SUM(V33:V36)</f>
        <v>1</v>
      </c>
      <c r="W44" s="137" t="b">
        <f ca="1">W36=R36*(1+U36)</f>
        <v>1</v>
      </c>
      <c r="X44" s="137" t="b">
        <f ca="1">SUM(X33:X38)=1</f>
        <v>1</v>
      </c>
      <c r="AB44" s="137" t="b">
        <f ca="1">SUM(AB33:AB38)=1</f>
        <v>1</v>
      </c>
      <c r="AD44" s="137" t="b">
        <f ca="1">ROUND(AD39,15)=ROUND(SUM(AD37,AE38),15)</f>
        <v>1</v>
      </c>
      <c r="AE44" s="137" t="b">
        <f ca="1">AD37=SUM(AE33:AE36)</f>
        <v>1</v>
      </c>
      <c r="AF44" s="137" t="b">
        <f ca="1">AF36=AA36*(1+AD36)</f>
        <v>1</v>
      </c>
      <c r="AG44" s="137" t="b">
        <f ca="1">SUM(AG33:AG38)=1</f>
        <v>1</v>
      </c>
    </row>
    <row r="48" spans="2:33" x14ac:dyDescent="0.35">
      <c r="H48" s="110"/>
    </row>
  </sheetData>
  <sheetProtection algorithmName="SHA-256" hashValue="bcipODSDgVf6BG8OzaAq3cS3LDVJhEe5SoAVJdfP81o=" saltValue="BR6UmKG2JwMidcYjCwmAPw==" spinCount="100000" sheet="1" objects="1" scenarios="1"/>
  <mergeCells count="15">
    <mergeCell ref="A1:B1"/>
    <mergeCell ref="R29:S29"/>
    <mergeCell ref="U29:X29"/>
    <mergeCell ref="AA29:AB29"/>
    <mergeCell ref="AD29:AG29"/>
    <mergeCell ref="B6:B7"/>
    <mergeCell ref="F27:F31"/>
    <mergeCell ref="H27:O27"/>
    <mergeCell ref="Q27:X27"/>
    <mergeCell ref="Z27:AG27"/>
    <mergeCell ref="H28:O28"/>
    <mergeCell ref="Q28:X28"/>
    <mergeCell ref="Z28:AG28"/>
    <mergeCell ref="I29:J29"/>
    <mergeCell ref="L29:O29"/>
  </mergeCells>
  <conditionalFormatting sqref="F39:K39 P39:T39 F32:W35 Y32:AF35 F38:M38 Y38:AC39 M39 F37:W37 F36:K36 M36:T36 V36:W36 Y37:AF37 Y36:AC36 AE36:AF36 O38:T38">
    <cfRule type="expression" dxfId="1056" priority="80">
      <formula>MOD(ROW(),2)=0</formula>
    </cfRule>
    <cfRule type="expression" dxfId="1055" priority="81">
      <formula>AND(MOD(ROW(),2)=0,F$30="Proportion",$F32="Overall change in costs (%)")</formula>
    </cfRule>
    <cfRule type="expression" dxfId="1054" priority="82">
      <formula>AND(MOD(ROW(),1)=0,F$30="Proportion",$F32="Overall change in costs (%)")</formula>
    </cfRule>
  </conditionalFormatting>
  <conditionalFormatting sqref="P44:R44 G44:J44 Y44:AA44 M44:N44">
    <cfRule type="cellIs" dxfId="1053" priority="78" operator="equal">
      <formula>FALSE</formula>
    </cfRule>
    <cfRule type="cellIs" dxfId="1052" priority="79" operator="equal">
      <formula>TRUE</formula>
    </cfRule>
  </conditionalFormatting>
  <conditionalFormatting sqref="O39 X39 AG39">
    <cfRule type="expression" dxfId="1051" priority="1381">
      <formula>MOD(ROW(),2)=0</formula>
    </cfRule>
    <cfRule type="expression" dxfId="1050" priority="1382">
      <formula>AND(MOD(ROW(),2)=0,N$30="Proportion",$F39="Overall change in costs (%)")</formula>
    </cfRule>
    <cfRule type="expression" dxfId="1049" priority="1383">
      <formula>AND(MOD(ROW(),1)=0,N$30="Proportion",$F39="Overall change in costs (%)")</formula>
    </cfRule>
  </conditionalFormatting>
  <conditionalFormatting sqref="N39 W39 AF39">
    <cfRule type="expression" dxfId="1048" priority="1384">
      <formula>MOD(ROW(),2)=0</formula>
    </cfRule>
    <cfRule type="expression" dxfId="1047" priority="1385">
      <formula>AND(MOD(ROW(),2)=0,#REF!="Proportion",$F39="Overall change in costs (%)")</formula>
    </cfRule>
    <cfRule type="expression" dxfId="1046" priority="1386">
      <formula>AND(MOD(ROW(),1)=0,#REF!="Proportion",$F39="Overall change in costs (%)")</formula>
    </cfRule>
  </conditionalFormatting>
  <conditionalFormatting sqref="O44">
    <cfRule type="cellIs" dxfId="1045" priority="73" operator="equal">
      <formula>FALSE</formula>
    </cfRule>
    <cfRule type="cellIs" dxfId="1044" priority="74" operator="equal">
      <formula>TRUE</formula>
    </cfRule>
  </conditionalFormatting>
  <conditionalFormatting sqref="S44:T44">
    <cfRule type="cellIs" dxfId="1043" priority="71" operator="equal">
      <formula>FALSE</formula>
    </cfRule>
    <cfRule type="cellIs" dxfId="1042" priority="72" operator="equal">
      <formula>TRUE</formula>
    </cfRule>
  </conditionalFormatting>
  <conditionalFormatting sqref="X44">
    <cfRule type="cellIs" dxfId="1041" priority="69" operator="equal">
      <formula>FALSE</formula>
    </cfRule>
    <cfRule type="cellIs" dxfId="1040" priority="70" operator="equal">
      <formula>TRUE</formula>
    </cfRule>
  </conditionalFormatting>
  <conditionalFormatting sqref="W44">
    <cfRule type="cellIs" dxfId="1039" priority="57" operator="equal">
      <formula>FALSE</formula>
    </cfRule>
    <cfRule type="cellIs" dxfId="1038" priority="58" operator="equal">
      <formula>TRUE</formula>
    </cfRule>
  </conditionalFormatting>
  <conditionalFormatting sqref="AB44:AC44">
    <cfRule type="cellIs" dxfId="1037" priority="55" operator="equal">
      <formula>FALSE</formula>
    </cfRule>
    <cfRule type="cellIs" dxfId="1036" priority="56" operator="equal">
      <formula>TRUE</formula>
    </cfRule>
  </conditionalFormatting>
  <conditionalFormatting sqref="X32:X38">
    <cfRule type="expression" dxfId="1035" priority="62">
      <formula>MOD(ROW(),2)=0</formula>
    </cfRule>
    <cfRule type="expression" dxfId="1034" priority="63">
      <formula>AND(MOD(ROW(),2)=0,X$30="Proportion",$F32="Overall change in costs (%)")</formula>
    </cfRule>
    <cfRule type="expression" dxfId="1033" priority="64">
      <formula>AND(MOD(ROW(),1)=0,X$30="Proportion",$F32="Overall change in costs (%)")</formula>
    </cfRule>
  </conditionalFormatting>
  <conditionalFormatting sqref="AG32:AG38">
    <cfRule type="expression" dxfId="1032" priority="59">
      <formula>MOD(ROW(),2)=0</formula>
    </cfRule>
    <cfRule type="expression" dxfId="1031" priority="60">
      <formula>AND(MOD(ROW(),2)=0,AG$30="Proportion",$F32="Overall change in costs (%)")</formula>
    </cfRule>
    <cfRule type="expression" dxfId="1030" priority="61">
      <formula>AND(MOD(ROW(),1)=0,AG$30="Proportion",$F32="Overall change in costs (%)")</formula>
    </cfRule>
  </conditionalFormatting>
  <conditionalFormatting sqref="AG44">
    <cfRule type="cellIs" dxfId="1029" priority="53" operator="equal">
      <formula>FALSE</formula>
    </cfRule>
    <cfRule type="cellIs" dxfId="1028" priority="54" operator="equal">
      <formula>TRUE</formula>
    </cfRule>
  </conditionalFormatting>
  <conditionalFormatting sqref="AF44">
    <cfRule type="cellIs" dxfId="1027" priority="51" operator="equal">
      <formula>FALSE</formula>
    </cfRule>
    <cfRule type="cellIs" dxfId="1026" priority="52" operator="equal">
      <formula>TRUE</formula>
    </cfRule>
  </conditionalFormatting>
  <conditionalFormatting sqref="V44">
    <cfRule type="cellIs" dxfId="1025" priority="49" operator="equal">
      <formula>FALSE</formula>
    </cfRule>
    <cfRule type="cellIs" dxfId="1024" priority="50" operator="equal">
      <formula>TRUE</formula>
    </cfRule>
  </conditionalFormatting>
  <conditionalFormatting sqref="AE44">
    <cfRule type="cellIs" dxfId="1023" priority="47" operator="equal">
      <formula>FALSE</formula>
    </cfRule>
    <cfRule type="cellIs" dxfId="1022" priority="48" operator="equal">
      <formula>TRUE</formula>
    </cfRule>
  </conditionalFormatting>
  <conditionalFormatting sqref="U38:V38 V39">
    <cfRule type="expression" dxfId="1021" priority="44">
      <formula>MOD(ROW(),2)=0</formula>
    </cfRule>
    <cfRule type="expression" dxfId="1020" priority="45">
      <formula>AND(MOD(ROW(),2)=0,U$30="Proportion",$F38="Overall change in costs (%)")</formula>
    </cfRule>
    <cfRule type="expression" dxfId="1019" priority="46">
      <formula>AND(MOD(ROW(),1)=0,U$30="Proportion",$F38="Overall change in costs (%)")</formula>
    </cfRule>
  </conditionalFormatting>
  <conditionalFormatting sqref="AD38:AE38 AE39">
    <cfRule type="expression" dxfId="1018" priority="41">
      <formula>MOD(ROW(),2)=0</formula>
    </cfRule>
    <cfRule type="expression" dxfId="1017" priority="42">
      <formula>AND(MOD(ROW(),2)=0,AD$30="Proportion",$F38="Overall change in costs (%)")</formula>
    </cfRule>
    <cfRule type="expression" dxfId="1016" priority="43">
      <formula>AND(MOD(ROW(),1)=0,AD$30="Proportion",$F38="Overall change in costs (%)")</formula>
    </cfRule>
  </conditionalFormatting>
  <conditionalFormatting sqref="AD44">
    <cfRule type="cellIs" dxfId="1015" priority="37" operator="equal">
      <formula>FALSE</formula>
    </cfRule>
    <cfRule type="cellIs" dxfId="1014" priority="38" operator="equal">
      <formula>TRUE</formula>
    </cfRule>
  </conditionalFormatting>
  <conditionalFormatting sqref="AD39">
    <cfRule type="expression" dxfId="1013" priority="25">
      <formula>MOD(ROW(),2)=0</formula>
    </cfRule>
    <cfRule type="expression" dxfId="1012" priority="26">
      <formula>AND(MOD(ROW(),2)=0,AD$30="Proportion",$F39="Overall change in costs (%)")</formula>
    </cfRule>
    <cfRule type="expression" dxfId="1011" priority="27">
      <formula>AND(MOD(ROW(),1)=0,AD$30="Proportion",$F39="Overall change in costs (%)")</formula>
    </cfRule>
  </conditionalFormatting>
  <conditionalFormatting sqref="L39">
    <cfRule type="expression" dxfId="1010" priority="31">
      <formula>MOD(ROW(),2)=0</formula>
    </cfRule>
    <cfRule type="expression" dxfId="1009" priority="32">
      <formula>AND(MOD(ROW(),2)=0,L$30="Proportion",$F39="Overall change in costs (%)")</formula>
    </cfRule>
    <cfRule type="expression" dxfId="1008" priority="33">
      <formula>AND(MOD(ROW(),1)=0,L$30="Proportion",$F39="Overall change in costs (%)")</formula>
    </cfRule>
  </conditionalFormatting>
  <conditionalFormatting sqref="U39">
    <cfRule type="expression" dxfId="1007" priority="28">
      <formula>MOD(ROW(),2)=0</formula>
    </cfRule>
    <cfRule type="expression" dxfId="1006" priority="29">
      <formula>AND(MOD(ROW(),2)=0,U$30="Proportion",$F39="Overall change in costs (%)")</formula>
    </cfRule>
    <cfRule type="expression" dxfId="1005" priority="30">
      <formula>AND(MOD(ROW(),1)=0,U$30="Proportion",$F39="Overall change in costs (%)")</formula>
    </cfRule>
  </conditionalFormatting>
  <conditionalFormatting sqref="U44">
    <cfRule type="cellIs" dxfId="1004" priority="23" operator="equal">
      <formula>FALSE</formula>
    </cfRule>
    <cfRule type="cellIs" dxfId="1003" priority="24" operator="equal">
      <formula>TRUE</formula>
    </cfRule>
  </conditionalFormatting>
  <conditionalFormatting sqref="K44">
    <cfRule type="cellIs" dxfId="1002" priority="21" operator="equal">
      <formula>FALSE</formula>
    </cfRule>
    <cfRule type="cellIs" dxfId="1001" priority="22" operator="equal">
      <formula>TRUE</formula>
    </cfRule>
  </conditionalFormatting>
  <conditionalFormatting sqref="L44">
    <cfRule type="cellIs" dxfId="1000" priority="19" operator="equal">
      <formula>FALSE</formula>
    </cfRule>
    <cfRule type="cellIs" dxfId="999" priority="20" operator="equal">
      <formula>TRUE</formula>
    </cfRule>
  </conditionalFormatting>
  <conditionalFormatting sqref="L36">
    <cfRule type="expression" dxfId="998" priority="16">
      <formula>MOD(ROW(),2)=0</formula>
    </cfRule>
    <cfRule type="expression" dxfId="997" priority="17">
      <formula>AND(MOD(ROW(),2)=0,L$30="Proportion",$F36="Overall change in costs (%)")</formula>
    </cfRule>
    <cfRule type="expression" dxfId="996" priority="18">
      <formula>AND(MOD(ROW(),1)=0,L$30="Proportion",$F36="Overall change in costs (%)")</formula>
    </cfRule>
  </conditionalFormatting>
  <conditionalFormatting sqref="U36">
    <cfRule type="expression" dxfId="995" priority="13">
      <formula>MOD(ROW(),2)=0</formula>
    </cfRule>
    <cfRule type="expression" dxfId="994" priority="14">
      <formula>AND(MOD(ROW(),2)=0,U$30="Proportion",$F36="Overall change in costs (%)")</formula>
    </cfRule>
    <cfRule type="expression" dxfId="993" priority="15">
      <formula>AND(MOD(ROW(),1)=0,U$30="Proportion",$F36="Overall change in costs (%)")</formula>
    </cfRule>
  </conditionalFormatting>
  <conditionalFormatting sqref="AD36">
    <cfRule type="expression" dxfId="992" priority="10">
      <formula>MOD(ROW(),2)=0</formula>
    </cfRule>
    <cfRule type="expression" dxfId="991" priority="11">
      <formula>AND(MOD(ROW(),2)=0,AD$30="Proportion",$F36="Overall change in costs (%)")</formula>
    </cfRule>
    <cfRule type="expression" dxfId="990" priority="12">
      <formula>AND(MOD(ROW(),1)=0,AD$30="Proportion",$F36="Overall change in costs (%)")</formula>
    </cfRule>
  </conditionalFormatting>
  <conditionalFormatting sqref="N38">
    <cfRule type="expression" dxfId="989" priority="7">
      <formula>MOD(ROW(),2)=0</formula>
    </cfRule>
    <cfRule type="expression" dxfId="988" priority="8">
      <formula>AND(MOD(ROW(),2)=0,N$30="Proportion",$F38="Overall change in costs (%)")</formula>
    </cfRule>
    <cfRule type="expression" dxfId="987" priority="9">
      <formula>AND(MOD(ROW(),1)=0,N$30="Proportion",$F38="Overall change in costs (%)")</formula>
    </cfRule>
  </conditionalFormatting>
  <conditionalFormatting sqref="W38">
    <cfRule type="expression" dxfId="986" priority="4">
      <formula>MOD(ROW(),2)=0</formula>
    </cfRule>
    <cfRule type="expression" dxfId="985" priority="5">
      <formula>AND(MOD(ROW(),2)=0,W$30="Proportion",$F38="Overall change in costs (%)")</formula>
    </cfRule>
    <cfRule type="expression" dxfId="984" priority="6">
      <formula>AND(MOD(ROW(),1)=0,W$30="Proportion",$F38="Overall change in costs (%)")</formula>
    </cfRule>
  </conditionalFormatting>
  <conditionalFormatting sqref="AF38">
    <cfRule type="expression" dxfId="983" priority="1">
      <formula>MOD(ROW(),2)=0</formula>
    </cfRule>
    <cfRule type="expression" dxfId="982" priority="2">
      <formula>AND(MOD(ROW(),2)=0,AF$30="Proportion",$F38="Overall change in costs (%)")</formula>
    </cfRule>
    <cfRule type="expression" dxfId="981" priority="3">
      <formula>AND(MOD(ROW(),1)=0,AF$30="Proportion",$F38="Overall change in costs (%)")</formula>
    </cfRule>
  </conditionalFormatting>
  <hyperlinks>
    <hyperlink ref="A1" location="Index!A1" display="&lt;&lt;Back to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F9:F14"/>
  <sheetViews>
    <sheetView workbookViewId="0"/>
  </sheetViews>
  <sheetFormatPr defaultColWidth="8.81640625" defaultRowHeight="14.5" x14ac:dyDescent="0.35"/>
  <cols>
    <col min="1" max="16384" width="8.81640625" style="3"/>
  </cols>
  <sheetData>
    <row r="9" spans="6:6" ht="36" x14ac:dyDescent="0.35">
      <c r="F9" s="2" t="s">
        <v>186</v>
      </c>
    </row>
    <row r="10" spans="6:6" ht="36" x14ac:dyDescent="0.35">
      <c r="F10" s="2" t="str">
        <f>"DMO "&amp;FY</f>
        <v>DMO 2021-22</v>
      </c>
    </row>
    <row r="11" spans="6:6" ht="23.5" x14ac:dyDescent="0.35">
      <c r="F11" s="4" t="s">
        <v>187</v>
      </c>
    </row>
    <row r="12" spans="6:6" ht="23.5" x14ac:dyDescent="0.35">
      <c r="F12" s="4"/>
    </row>
    <row r="13" spans="6:6" x14ac:dyDescent="0.35">
      <c r="F13" s="5"/>
    </row>
    <row r="14" spans="6:6" x14ac:dyDescent="0.35">
      <c r="F14" s="5"/>
    </row>
  </sheetData>
  <sheetProtection algorithmName="SHA-256" hashValue="cGeX0iGGs/nNlakA/8y7G+8OPIZVZa71WkSn6DgUmVg=" saltValue="KQyrSEaKxjErAxPrvV/VCw==" spinCount="100000" sheet="1" objects="1" scenarios="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26"/>
  <sheetViews>
    <sheetView workbookViewId="0">
      <pane ySplit="6" topLeftCell="A7" activePane="bottomLeft" state="frozen"/>
      <selection activeCell="S10" sqref="S10"/>
      <selection pane="bottomLeft" sqref="A1:B1"/>
    </sheetView>
  </sheetViews>
  <sheetFormatPr defaultColWidth="8.81640625" defaultRowHeight="14.5" outlineLevelRow="1" x14ac:dyDescent="0.35"/>
  <cols>
    <col min="1" max="1" width="1.81640625" style="3" customWidth="1"/>
    <col min="2" max="3" width="15.81640625" style="3" customWidth="1"/>
    <col min="4" max="4" width="18.1796875" style="3" customWidth="1"/>
    <col min="5" max="5" width="10.81640625" style="3" customWidth="1"/>
    <col min="6" max="6" width="10.81640625" style="21" customWidth="1"/>
    <col min="7" max="7" width="10.81640625" style="3" customWidth="1"/>
    <col min="8" max="10" width="10.81640625" style="89" customWidth="1"/>
    <col min="11" max="11" width="10.81640625" style="21" customWidth="1"/>
    <col min="12" max="12" width="0.81640625" style="21" customWidth="1"/>
    <col min="13" max="13" width="10.81640625" style="21" customWidth="1"/>
    <col min="14" max="14" width="0.81640625" style="21" customWidth="1"/>
    <col min="15" max="17" width="10.81640625" style="89" customWidth="1"/>
    <col min="18" max="18" width="10.81640625" style="21" customWidth="1"/>
    <col min="19" max="16384" width="8.81640625" style="3"/>
  </cols>
  <sheetData>
    <row r="1" spans="1:22" ht="10.4" customHeight="1" x14ac:dyDescent="0.35">
      <c r="A1" s="274" t="s">
        <v>22</v>
      </c>
      <c r="B1" s="300"/>
    </row>
    <row r="2" spans="1:22" s="14" customFormat="1" ht="22.5" customHeight="1" x14ac:dyDescent="0.35">
      <c r="A2" s="15" t="s">
        <v>73</v>
      </c>
      <c r="F2" s="22"/>
      <c r="H2" s="90"/>
      <c r="I2" s="90"/>
      <c r="J2" s="90"/>
      <c r="K2" s="22"/>
      <c r="L2" s="22"/>
      <c r="M2" s="22"/>
      <c r="N2" s="22"/>
      <c r="O2" s="90"/>
      <c r="P2" s="90"/>
      <c r="Q2" s="90"/>
      <c r="R2" s="22"/>
    </row>
    <row r="3" spans="1:22" s="31" customFormat="1" ht="17.899999999999999" customHeight="1" x14ac:dyDescent="0.35">
      <c r="B3" s="32"/>
      <c r="C3" s="32"/>
      <c r="D3" s="32"/>
      <c r="E3" s="32"/>
      <c r="F3" s="54"/>
      <c r="G3" s="32"/>
      <c r="H3" s="308" t="str">
        <f>PY</f>
        <v>2020-21</v>
      </c>
      <c r="I3" s="308"/>
      <c r="J3" s="308"/>
      <c r="K3" s="308"/>
      <c r="L3" s="42"/>
      <c r="M3" s="47" t="str">
        <f>FY</f>
        <v>2021-22</v>
      </c>
      <c r="N3" s="42"/>
      <c r="O3" s="308" t="str">
        <f>FY</f>
        <v>2021-22</v>
      </c>
      <c r="P3" s="308"/>
      <c r="Q3" s="308"/>
      <c r="R3" s="308"/>
    </row>
    <row r="4" spans="1:22" s="31" customFormat="1" ht="3" customHeight="1" x14ac:dyDescent="0.35">
      <c r="B4" s="32"/>
      <c r="C4" s="32"/>
      <c r="D4" s="32"/>
      <c r="E4" s="32"/>
      <c r="F4" s="46" t="str">
        <f>$H$3</f>
        <v>2020-21</v>
      </c>
      <c r="G4" s="32"/>
      <c r="H4" s="91" t="str">
        <f>$H$3</f>
        <v>2020-21</v>
      </c>
      <c r="I4" s="91" t="str">
        <f>$H$3</f>
        <v>2020-21</v>
      </c>
      <c r="J4" s="91" t="str">
        <f>$H$3</f>
        <v>2020-21</v>
      </c>
      <c r="K4" s="46" t="str">
        <f>H3</f>
        <v>2020-21</v>
      </c>
      <c r="L4" s="46"/>
      <c r="M4" s="46" t="str">
        <f>FY</f>
        <v>2021-22</v>
      </c>
      <c r="N4" s="46"/>
      <c r="O4" s="91" t="str">
        <f>$O$3</f>
        <v>2021-22</v>
      </c>
      <c r="P4" s="91" t="str">
        <f>$O$3</f>
        <v>2021-22</v>
      </c>
      <c r="Q4" s="91" t="str">
        <f>$O$3</f>
        <v>2021-22</v>
      </c>
      <c r="R4" s="46" t="str">
        <f>O3</f>
        <v>2021-22</v>
      </c>
    </row>
    <row r="5" spans="1:22" s="5" customFormat="1" ht="17.899999999999999" customHeight="1" x14ac:dyDescent="0.35">
      <c r="B5" s="25" t="s">
        <v>1</v>
      </c>
      <c r="C5" s="25" t="s">
        <v>12</v>
      </c>
      <c r="D5" s="25" t="s">
        <v>26</v>
      </c>
      <c r="E5" s="25" t="s">
        <v>13</v>
      </c>
      <c r="F5" s="12" t="s">
        <v>28</v>
      </c>
      <c r="G5" s="25" t="s">
        <v>36</v>
      </c>
      <c r="H5" s="92" t="s">
        <v>50</v>
      </c>
      <c r="I5" s="92" t="s">
        <v>51</v>
      </c>
      <c r="J5" s="92" t="s">
        <v>25</v>
      </c>
      <c r="K5" s="12" t="s">
        <v>27</v>
      </c>
      <c r="L5" s="12"/>
      <c r="M5" s="12" t="s">
        <v>24</v>
      </c>
      <c r="N5" s="12"/>
      <c r="O5" s="92" t="s">
        <v>50</v>
      </c>
      <c r="P5" s="92" t="s">
        <v>51</v>
      </c>
      <c r="Q5" s="92" t="s">
        <v>25</v>
      </c>
      <c r="R5" s="12" t="s">
        <v>27</v>
      </c>
      <c r="S5" s="253"/>
      <c r="T5" s="254"/>
    </row>
    <row r="6" spans="1:22" s="33" customFormat="1" ht="17.899999999999999" customHeight="1" x14ac:dyDescent="0.3">
      <c r="B6" s="34"/>
      <c r="C6" s="34"/>
      <c r="D6" s="34"/>
      <c r="E6" s="34"/>
      <c r="F6" s="35" t="s">
        <v>60</v>
      </c>
      <c r="G6" s="34"/>
      <c r="H6" s="93" t="s">
        <v>77</v>
      </c>
      <c r="I6" s="93" t="s">
        <v>48</v>
      </c>
      <c r="J6" s="93" t="s">
        <v>49</v>
      </c>
      <c r="K6" s="35" t="s">
        <v>31</v>
      </c>
      <c r="L6" s="35"/>
      <c r="M6" s="35" t="s">
        <v>31</v>
      </c>
      <c r="N6" s="35"/>
      <c r="O6" s="93" t="s">
        <v>77</v>
      </c>
      <c r="P6" s="93" t="s">
        <v>48</v>
      </c>
      <c r="Q6" s="93" t="s">
        <v>49</v>
      </c>
      <c r="R6" s="35" t="s">
        <v>31</v>
      </c>
      <c r="S6" s="135"/>
      <c r="T6" s="135"/>
      <c r="U6" s="135"/>
      <c r="V6" s="135"/>
    </row>
    <row r="7" spans="1:22" x14ac:dyDescent="0.35">
      <c r="F7" s="41"/>
      <c r="K7" s="43"/>
      <c r="L7" s="43"/>
      <c r="M7" s="48"/>
      <c r="N7" s="43"/>
      <c r="R7" s="43"/>
      <c r="S7" s="129"/>
      <c r="T7" s="129"/>
      <c r="U7" s="129"/>
      <c r="V7" s="129"/>
    </row>
    <row r="8" spans="1:22" x14ac:dyDescent="0.35">
      <c r="B8" s="5" t="s">
        <v>2</v>
      </c>
      <c r="C8" s="5" t="s">
        <v>6</v>
      </c>
      <c r="D8" s="5" t="s">
        <v>150</v>
      </c>
      <c r="E8" s="77"/>
      <c r="F8" s="78"/>
      <c r="K8" s="43"/>
      <c r="L8" s="43"/>
      <c r="M8" s="48"/>
      <c r="N8" s="43"/>
      <c r="R8" s="43"/>
      <c r="S8" s="129"/>
      <c r="T8" s="130"/>
    </row>
    <row r="9" spans="1:22" outlineLevel="1" x14ac:dyDescent="0.35">
      <c r="B9" s="77" t="str">
        <f t="shared" ref="B9:B16" si="0">B8</f>
        <v>Ausgrid</v>
      </c>
      <c r="C9" s="77" t="str">
        <f t="shared" ref="C9:C14" si="1">C8</f>
        <v>Residential</v>
      </c>
      <c r="D9" s="77" t="str">
        <f t="shared" ref="D9:D14" si="2">D8</f>
        <v>without CL</v>
      </c>
      <c r="E9" s="77" t="s">
        <v>23</v>
      </c>
      <c r="F9" s="41">
        <f t="array" ref="F9">IFERROR(INDEX(Usage!$B$5:$P$18,MATCH($B9,Usage!$B$5:$B$18,0),MATCH($C9&amp;$D9&amp;$E9,Usage!$B$5:$S$5&amp;Usage!$B$6:$S$6&amp;Usage!$B$7:$S$7,0)),0)</f>
        <v>3900</v>
      </c>
      <c r="G9" s="3" t="s">
        <v>57</v>
      </c>
      <c r="H9" s="89" t="str">
        <f t="array" ref="H9">IFERROR(INDEX('Detail inputs'!$B$3:$K$168,MATCH($B9&amp;$C9&amp;$E9&amp;$G9&amp;H$5,'Detail inputs'!$B$3:$B$168&amp;'Detail inputs'!$D$3:$D$168&amp;'Detail inputs'!$F$3:$F$168&amp;'Detail inputs'!$G$3:$G$168&amp;'Detail inputs'!$H$3:$H$168,0),MATCH(H$4,'Detail inputs'!$B$3:$K$3,0)),"")</f>
        <v/>
      </c>
      <c r="I9" s="89" t="str">
        <f t="array" ref="I9">IFERROR(INDEX('Detail inputs'!$B$3:$K$168,MATCH($B9&amp;$C9&amp;$E9&amp;$G9&amp;I$5,'Detail inputs'!$B$3:$B$168&amp;'Detail inputs'!$D$3:$D$168&amp;'Detail inputs'!$F$3:$F$168&amp;'Detail inputs'!$G$3:$G$168&amp;'Detail inputs'!$H$3:$H$168,0),MATCH(I$4,'Detail inputs'!$B$3:$K$3,0)),"")</f>
        <v/>
      </c>
      <c r="J9" s="89" t="str">
        <f>IFERROR(IF(H9="",I9*$F9/1000,IF(I9="",H9,H9+I9*$F9/1000)),"")</f>
        <v/>
      </c>
      <c r="K9" s="43" t="str">
        <f>IFERROR(J9/J12,"")</f>
        <v/>
      </c>
      <c r="L9" s="43"/>
      <c r="M9" s="48" t="str">
        <f t="shared" ref="M9:M16" si="3">IF(OR(J9=0,J9="",Q9=""),"",Q9/J9-1)</f>
        <v/>
      </c>
      <c r="N9" s="43"/>
      <c r="O9" s="89" t="str">
        <f t="array" ref="O9">IFERROR(INDEX('Detail inputs'!$B$3:$K$168,MATCH($B9&amp;$C9&amp;$E9&amp;$G9&amp;O$5,'Detail inputs'!$B$3:$B$168&amp;'Detail inputs'!$D$3:$D$168&amp;'Detail inputs'!$F$3:$F$168&amp;'Detail inputs'!$G$3:$G$168&amp;'Detail inputs'!$H$3:$H$168,0),MATCH(O$4,'Detail inputs'!$B$3:$K$3,0)),"")</f>
        <v/>
      </c>
      <c r="P9" s="89" t="str">
        <f t="array" ref="P9">IFERROR(INDEX('Detail inputs'!$B$3:$K$168,MATCH($B9&amp;$C9&amp;$E9&amp;$G9&amp;P$5,'Detail inputs'!$B$3:$B$168&amp;'Detail inputs'!$D$3:$D$168&amp;'Detail inputs'!$F$3:$F$168&amp;'Detail inputs'!$G$3:$G$168&amp;'Detail inputs'!$H$3:$H$168,0),MATCH(P$4,'Detail inputs'!$B$3:$K$3,0)),"")</f>
        <v/>
      </c>
      <c r="Q9" s="89" t="str">
        <f>IFERROR(IF(O9="",P9*$F9/1000,IF(P9="",O9,O9+P9*$F9/1000)),"")</f>
        <v/>
      </c>
      <c r="R9" s="43" t="str">
        <f>IFERROR(Q9/Q12,"")</f>
        <v/>
      </c>
      <c r="S9" s="129"/>
      <c r="T9" s="130"/>
    </row>
    <row r="10" spans="1:22" outlineLevel="1" x14ac:dyDescent="0.35">
      <c r="B10" s="77" t="str">
        <f t="shared" si="0"/>
        <v>Ausgrid</v>
      </c>
      <c r="C10" s="77" t="str">
        <f t="shared" si="1"/>
        <v>Residential</v>
      </c>
      <c r="D10" s="77" t="str">
        <f t="shared" si="2"/>
        <v>without CL</v>
      </c>
      <c r="E10" s="77" t="s">
        <v>23</v>
      </c>
      <c r="F10" s="41">
        <f t="array" ref="F10">IFERROR(INDEX(Usage!$B$5:$P$18,MATCH($B10,Usage!$B$5:$B$18,0),MATCH($C10&amp;$D10&amp;$E10,Usage!$B$5:$S$5&amp;Usage!$B$6:$S$6&amp;Usage!$B$7:$S$7,0)),0)</f>
        <v>3900</v>
      </c>
      <c r="G10" s="3" t="s">
        <v>58</v>
      </c>
      <c r="H10" s="89" t="str">
        <f t="array" ref="H10">IFERROR(INDEX('Detail inputs'!$B$3:$K$168,MATCH($B10&amp;$C10&amp;$E10&amp;$G10&amp;H$5,'Detail inputs'!$B$3:$B$168&amp;'Detail inputs'!$D$3:$D$168&amp;'Detail inputs'!$F$3:$F$168&amp;'Detail inputs'!$G$3:$G$168&amp;'Detail inputs'!$H$3:$H$168,0),MATCH(H$4,'Detail inputs'!$B$3:$K$3,0)),"")</f>
        <v/>
      </c>
      <c r="I10" s="89" t="str">
        <f t="array" ref="I10">IFERROR(INDEX('Detail inputs'!$B$3:$K$168,MATCH($B10&amp;$C10&amp;$E10&amp;$G10&amp;I$5,'Detail inputs'!$B$3:$B$168&amp;'Detail inputs'!$D$3:$D$168&amp;'Detail inputs'!$F$3:$F$168&amp;'Detail inputs'!$G$3:$G$168&amp;'Detail inputs'!$H$3:$H$168,0),MATCH(I$4,'Detail inputs'!$B$3:$K$3,0)),"")</f>
        <v/>
      </c>
      <c r="J10" s="89" t="str">
        <f>IFERROR(IF(H10="",I10*$F10/1000,IF(I10="",H10,H10+I10*$F10/1000)),"")</f>
        <v/>
      </c>
      <c r="K10" s="43" t="str">
        <f>IFERROR(J10/J13,"")</f>
        <v/>
      </c>
      <c r="L10" s="43"/>
      <c r="M10" s="48" t="str">
        <f t="shared" si="3"/>
        <v/>
      </c>
      <c r="N10" s="43"/>
      <c r="O10" s="89" t="str">
        <f t="array" ref="O10">IFERROR(INDEX('Detail inputs'!$B$3:$K$168,MATCH($B10&amp;$C10&amp;$E10&amp;$G10&amp;O$5,'Detail inputs'!$B$3:$B$168&amp;'Detail inputs'!$D$3:$D$168&amp;'Detail inputs'!$F$3:$F$168&amp;'Detail inputs'!$G$3:$G$168&amp;'Detail inputs'!$H$3:$H$168,0),MATCH(O$4,'Detail inputs'!$B$3:$K$3,0)),"")</f>
        <v/>
      </c>
      <c r="P10" s="89" t="str">
        <f t="array" ref="P10">IFERROR(INDEX('Detail inputs'!$B$3:$K$168,MATCH($B10&amp;$C10&amp;$E10&amp;$G10&amp;P$5,'Detail inputs'!$B$3:$B$168&amp;'Detail inputs'!$D$3:$D$168&amp;'Detail inputs'!$F$3:$F$168&amp;'Detail inputs'!$G$3:$G$168&amp;'Detail inputs'!$H$3:$H$168,0),MATCH(P$4,'Detail inputs'!$B$3:$K$3,0)),"")</f>
        <v/>
      </c>
      <c r="Q10" s="89" t="str">
        <f>IFERROR(IF(O10="",P10*$F10/1000,IF(P10="",O10,O10+P10*$F10/1000)),"")</f>
        <v/>
      </c>
      <c r="R10" s="43" t="str">
        <f>IFERROR(Q10/Q13,"")</f>
        <v/>
      </c>
      <c r="S10" s="129"/>
      <c r="T10" s="130"/>
    </row>
    <row r="11" spans="1:22" outlineLevel="1" x14ac:dyDescent="0.35">
      <c r="B11" s="77" t="str">
        <f t="shared" si="0"/>
        <v>Ausgrid</v>
      </c>
      <c r="C11" s="77" t="str">
        <f t="shared" si="1"/>
        <v>Residential</v>
      </c>
      <c r="D11" s="77" t="str">
        <f t="shared" si="2"/>
        <v>without CL</v>
      </c>
      <c r="E11" s="77" t="s">
        <v>23</v>
      </c>
      <c r="F11" s="41">
        <f t="array" ref="F11">IFERROR(INDEX(Usage!$B$5:$P$18,MATCH($B11,Usage!$B$5:$B$18,0),MATCH($C11&amp;$D11&amp;$E11,Usage!$B$5:$S$5&amp;Usage!$B$6:$S$6&amp;Usage!$B$7:$S$7,0)),0)</f>
        <v>3900</v>
      </c>
      <c r="G11" s="3" t="s">
        <v>59</v>
      </c>
      <c r="H11" s="89" t="str">
        <f t="array" ref="H11">IFERROR(INDEX('Detail inputs'!$B$3:$K$168,MATCH($B11&amp;$C11&amp;$E11&amp;$G11&amp;H$5,'Detail inputs'!$B$3:$B$168&amp;'Detail inputs'!$D$3:$D$168&amp;'Detail inputs'!$F$3:$F$168&amp;'Detail inputs'!$G$3:$G$168&amp;'Detail inputs'!$H$3:$H$168,0),MATCH(H$4,'Detail inputs'!$B$3:$K$3,0)),"")</f>
        <v/>
      </c>
      <c r="I11" s="89" t="str">
        <f t="array" ref="I11">IFERROR(INDEX('Detail inputs'!$B$3:$K$168,MATCH($B11&amp;$C11&amp;$E11&amp;$G11&amp;I$5,'Detail inputs'!$B$3:$B$168&amp;'Detail inputs'!$D$3:$D$168&amp;'Detail inputs'!$F$3:$F$168&amp;'Detail inputs'!$G$3:$G$168&amp;'Detail inputs'!$H$3:$H$168,0),MATCH(I$4,'Detail inputs'!$B$3:$K$3,0)),"")</f>
        <v/>
      </c>
      <c r="J11" s="89" t="str">
        <f>IFERROR(IF(H11="",I11*$F11/1000,IF(I11="",H11,H11+I11*$F11/1000)),"")</f>
        <v/>
      </c>
      <c r="K11" s="43" t="str">
        <f>IFERROR(J11/J14,"")</f>
        <v/>
      </c>
      <c r="L11" s="43"/>
      <c r="M11" s="48" t="str">
        <f t="shared" si="3"/>
        <v/>
      </c>
      <c r="N11" s="43"/>
      <c r="O11" s="89" t="str">
        <f t="array" ref="O11">IFERROR(INDEX('Detail inputs'!$B$3:$K$168,MATCH($B11&amp;$C11&amp;$E11&amp;$G11&amp;O$5,'Detail inputs'!$B$3:$B$168&amp;'Detail inputs'!$D$3:$D$168&amp;'Detail inputs'!$F$3:$F$168&amp;'Detail inputs'!$G$3:$G$168&amp;'Detail inputs'!$H$3:$H$168,0),MATCH(O$4,'Detail inputs'!$B$3:$K$3,0)),"")</f>
        <v/>
      </c>
      <c r="P11" s="89" t="str">
        <f t="array" ref="P11">IFERROR(INDEX('Detail inputs'!$B$3:$K$168,MATCH($B11&amp;$C11&amp;$E11&amp;$G11&amp;P$5,'Detail inputs'!$B$3:$B$168&amp;'Detail inputs'!$D$3:$D$168&amp;'Detail inputs'!$F$3:$F$168&amp;'Detail inputs'!$G$3:$G$168&amp;'Detail inputs'!$H$3:$H$168,0),MATCH(P$4,'Detail inputs'!$B$3:$K$3,0)),"")</f>
        <v/>
      </c>
      <c r="Q11" s="89" t="str">
        <f>IFERROR(IF(O11="",P11*$F11/1000,IF(P11="",O11,O11+P11*$F11/1000)),"")</f>
        <v/>
      </c>
      <c r="R11" s="43" t="str">
        <f>IFERROR(Q11/Q14,"")</f>
        <v/>
      </c>
      <c r="S11" s="129"/>
      <c r="T11" s="130"/>
    </row>
    <row r="12" spans="1:22" x14ac:dyDescent="0.35">
      <c r="B12" s="77" t="str">
        <f t="shared" si="0"/>
        <v>Ausgrid</v>
      </c>
      <c r="C12" s="77" t="str">
        <f t="shared" si="1"/>
        <v>Residential</v>
      </c>
      <c r="D12" s="77" t="str">
        <f t="shared" si="2"/>
        <v>without CL</v>
      </c>
      <c r="E12" s="77" t="s">
        <v>23</v>
      </c>
      <c r="F12" s="41">
        <f t="array" ref="F12">IFERROR(INDEX(Usage!$B$5:$P$18,MATCH($B12,Usage!$B$5:$B$18,0),MATCH($C12&amp;$D12&amp;$E12,Usage!$B$5:$S$5&amp;Usage!$B$6:$S$6&amp;Usage!$B$7:$S$7,0)),0)</f>
        <v>3900</v>
      </c>
      <c r="G12" s="3" t="s">
        <v>64</v>
      </c>
      <c r="H12" s="95">
        <f t="array" ref="H12">INDEX('Key inputs'!$B$16:$N$40,MATCH($B12&amp;$C12&amp;$E12,'Key inputs'!$B$16:$B$40&amp;'Key inputs'!$C$16:$C$40&amp;'Key inputs'!$D$16:$D$40,0),MATCH($G12&amp;H$4&amp;H$5,'Key inputs'!$B$17:$N$17&amp;'Key inputs'!$B$18:$N$18&amp;'Key inputs'!$B$19:$N$19,0))</f>
        <v>138.70766499999999</v>
      </c>
      <c r="I12" s="95">
        <f t="array" ref="I12">INDEX('Key inputs'!$B$16:$N$40,MATCH($B12&amp;$C12&amp;$E12,'Key inputs'!$B$16:$B$40&amp;'Key inputs'!$C$16:$C$40&amp;'Key inputs'!$D$16:$D$40,0),MATCH($G12&amp;I$4&amp;I$5,'Key inputs'!$B$17:$N$17&amp;'Key inputs'!$B$18:$N$18&amp;'Key inputs'!$B$19:$N$19,0))</f>
        <v>83.537999999999997</v>
      </c>
      <c r="J12" s="89">
        <f>H12+I12*$F12/1000</f>
        <v>464.50586499999997</v>
      </c>
      <c r="K12" s="43">
        <f>IFERROR(J12/J14,"")</f>
        <v>0.94600989114679623</v>
      </c>
      <c r="L12" s="43"/>
      <c r="M12" s="48">
        <f t="shared" si="3"/>
        <v>3.2445822831537408E-2</v>
      </c>
      <c r="N12" s="43"/>
      <c r="O12" s="95">
        <f t="array" ref="O12">INDEX('Key inputs'!$B$16:$N$40,MATCH($B12&amp;$C12&amp;$E12,'Key inputs'!$B$16:$B$40&amp;'Key inputs'!$C$16:$C$40&amp;'Key inputs'!$D$16:$D$40,0),MATCH($G12&amp;O$4&amp;O$5,'Key inputs'!$B$17:$N$17&amp;'Key inputs'!$B$18:$N$18&amp;'Key inputs'!$B$19:$N$19,0))</f>
        <v>142.07113999999999</v>
      </c>
      <c r="P12" s="95">
        <f t="array" ref="P12">INDEX('Key inputs'!$B$16:$N$40,MATCH($B12&amp;$C12&amp;$E12,'Key inputs'!$B$16:$B$40&amp;'Key inputs'!$C$16:$C$40&amp;'Key inputs'!$D$16:$D$40,0),MATCH($G12&amp;P$4&amp;P$5,'Key inputs'!$B$17:$N$17&amp;'Key inputs'!$B$18:$N$18&amp;'Key inputs'!$B$19:$N$19,0))</f>
        <v>86.54</v>
      </c>
      <c r="Q12" s="89">
        <f>O12+P12*$F12/1000</f>
        <v>479.57713999999999</v>
      </c>
      <c r="R12" s="43">
        <f>IFERROR(Q12/Q14,"")</f>
        <v>0.94771134782715749</v>
      </c>
      <c r="S12" s="129"/>
      <c r="T12" s="129"/>
      <c r="U12" s="129"/>
      <c r="V12" s="129"/>
    </row>
    <row r="13" spans="1:22" x14ac:dyDescent="0.35">
      <c r="B13" s="77" t="str">
        <f t="shared" si="0"/>
        <v>Ausgrid</v>
      </c>
      <c r="C13" s="77" t="str">
        <f t="shared" si="1"/>
        <v>Residential</v>
      </c>
      <c r="D13" s="77" t="str">
        <f t="shared" si="2"/>
        <v>without CL</v>
      </c>
      <c r="E13" s="77" t="s">
        <v>23</v>
      </c>
      <c r="F13" s="41">
        <f t="array" ref="F13">IFERROR(INDEX(Usage!$B$5:$P$18,MATCH($B13,Usage!$B$5:$B$18,0),MATCH($C13&amp;$D13&amp;$E13,Usage!$B$5:$S$5&amp;Usage!$B$6:$S$6&amp;Usage!$B$7:$S$7,0)),0)</f>
        <v>3900</v>
      </c>
      <c r="G13" s="3" t="s">
        <v>68</v>
      </c>
      <c r="H13" s="95">
        <f t="array" ref="H13">INDEX('Key inputs'!$B$16:$N$40,MATCH($B13&amp;$C13&amp;$E13,'Key inputs'!$B$16:$B$40&amp;'Key inputs'!$C$16:$C$40&amp;'Key inputs'!$D$16:$D$40,0),MATCH($G13&amp;H$4&amp;H$5,'Key inputs'!$B$17:$N$17&amp;'Key inputs'!$B$18:$N$18&amp;'Key inputs'!$B$19:$N$19,0))</f>
        <v>26.509999999999998</v>
      </c>
      <c r="I13" s="89">
        <f>IFERROR(INDEX('Detail inputs'!$B$3:$K$168,MATCH($B13&amp;$C13&amp;$E13&amp;$G13&amp;I$5,'Detail inputs'!$B$3:$B$168&amp;'Detail inputs'!$D$3:$D$168&amp;'Detail inputs'!$F$3:$F$168&amp;'Detail inputs'!$G$3:$G$168&amp;'Detail inputs'!$H$3:$H$168,0),MATCH(I$4,'Detail inputs'!$B$3:$K$3,0)),0)</f>
        <v>0</v>
      </c>
      <c r="J13" s="89">
        <f>H13+I13*$F13/1000</f>
        <v>26.509999999999998</v>
      </c>
      <c r="K13" s="43">
        <f>IFERROR(J13/J14,"")</f>
        <v>5.3990108853203753E-2</v>
      </c>
      <c r="L13" s="43"/>
      <c r="M13" s="48">
        <f t="shared" si="3"/>
        <v>-1.8860807242548905E-3</v>
      </c>
      <c r="N13" s="43"/>
      <c r="O13" s="95">
        <f t="array" ref="O13">INDEX('Key inputs'!$B$16:$N$40,MATCH($B13&amp;$C13&amp;$E13,'Key inputs'!$B$16:$B$40&amp;'Key inputs'!$C$16:$C$40&amp;'Key inputs'!$D$16:$D$40,0),MATCH($G13&amp;O$4&amp;O$5,'Key inputs'!$B$17:$N$17&amp;'Key inputs'!$B$18:$N$18&amp;'Key inputs'!$B$19:$N$19,0))</f>
        <v>26.46</v>
      </c>
      <c r="P13" s="89">
        <f>IFERROR(INDEX('Detail inputs'!$B$3:$K$168,MATCH($B13&amp;$C13&amp;$E13&amp;$G13&amp;P$5,'Detail inputs'!$B$3:$B$168&amp;'Detail inputs'!$D$3:$D$168&amp;'Detail inputs'!$F$3:$F$168&amp;'Detail inputs'!$G$3:$G$168&amp;'Detail inputs'!$H$3:$H$168,0),MATCH(P$4,'Detail inputs'!$B$3:$K$3,0)),0)</f>
        <v>0</v>
      </c>
      <c r="Q13" s="89">
        <f>O13+P13*$F13/1000</f>
        <v>26.46</v>
      </c>
      <c r="R13" s="43">
        <f>IFERROR(Q13/Q14,"")</f>
        <v>5.2288652172842495E-2</v>
      </c>
      <c r="S13" s="129"/>
      <c r="T13" s="130"/>
    </row>
    <row r="14" spans="1:22" s="5" customFormat="1" x14ac:dyDescent="0.35">
      <c r="B14" s="77" t="str">
        <f t="shared" si="0"/>
        <v>Ausgrid</v>
      </c>
      <c r="C14" s="77" t="str">
        <f t="shared" si="1"/>
        <v>Residential</v>
      </c>
      <c r="D14" s="77" t="str">
        <f t="shared" si="2"/>
        <v>without CL</v>
      </c>
      <c r="E14" s="77" t="s">
        <v>23</v>
      </c>
      <c r="F14" s="41">
        <f t="array" ref="F14">IFERROR(INDEX(Usage!$B$5:$P$18,MATCH($B14,Usage!$B$5:$B$18,0),MATCH($C14&amp;$D14&amp;$E14,Usage!$B$5:$S$5&amp;Usage!$B$6:$S$6&amp;Usage!$B$7:$S$7,0)),0)</f>
        <v>3900</v>
      </c>
      <c r="G14" s="77" t="s">
        <v>62</v>
      </c>
      <c r="H14" s="95"/>
      <c r="I14" s="95"/>
      <c r="J14" s="95">
        <f>SUM(J12:J13)</f>
        <v>491.01586499999996</v>
      </c>
      <c r="K14" s="87"/>
      <c r="L14" s="88"/>
      <c r="M14" s="48">
        <f t="shared" si="3"/>
        <v>3.0592239621422435E-2</v>
      </c>
      <c r="N14" s="88"/>
      <c r="O14" s="95"/>
      <c r="P14" s="95"/>
      <c r="Q14" s="95">
        <f>SUM(Q12:Q13)</f>
        <v>506.03713999999997</v>
      </c>
      <c r="R14" s="87"/>
      <c r="S14" s="129"/>
      <c r="T14" s="130"/>
    </row>
    <row r="15" spans="1:22" s="5" customFormat="1" outlineLevel="1" x14ac:dyDescent="0.35">
      <c r="B15" s="77" t="str">
        <f t="shared" si="0"/>
        <v>Ausgrid</v>
      </c>
      <c r="C15" s="77" t="str">
        <f>C14</f>
        <v>Residential</v>
      </c>
      <c r="D15" s="77" t="str">
        <f>D14</f>
        <v>without CL</v>
      </c>
      <c r="E15" s="77"/>
      <c r="F15" s="78"/>
      <c r="G15" s="77" t="s">
        <v>42</v>
      </c>
      <c r="H15" s="95"/>
      <c r="I15" s="95"/>
      <c r="J15" s="95">
        <f>J14*GST</f>
        <v>49.101586499999996</v>
      </c>
      <c r="K15" s="87"/>
      <c r="L15" s="88"/>
      <c r="M15" s="48">
        <f t="shared" si="3"/>
        <v>3.0592239621422435E-2</v>
      </c>
      <c r="N15" s="88"/>
      <c r="O15" s="95"/>
      <c r="P15" s="95"/>
      <c r="Q15" s="95">
        <f>Q14*GST</f>
        <v>50.603713999999997</v>
      </c>
      <c r="R15" s="87"/>
      <c r="S15" s="129"/>
      <c r="T15" s="129"/>
    </row>
    <row r="16" spans="1:22" s="5" customFormat="1" x14ac:dyDescent="0.35">
      <c r="B16" s="77" t="str">
        <f t="shared" si="0"/>
        <v>Ausgrid</v>
      </c>
      <c r="C16" s="77" t="str">
        <f>C15</f>
        <v>Residential</v>
      </c>
      <c r="D16" s="77" t="str">
        <f>D15</f>
        <v>without CL</v>
      </c>
      <c r="E16" s="77"/>
      <c r="F16" s="78"/>
      <c r="G16" s="5" t="s">
        <v>90</v>
      </c>
      <c r="H16" s="94"/>
      <c r="I16" s="94"/>
      <c r="J16" s="94">
        <f>SUM(J14:J15)</f>
        <v>540.11745150000002</v>
      </c>
      <c r="K16" s="75"/>
      <c r="L16" s="27"/>
      <c r="M16" s="76">
        <f t="shared" si="3"/>
        <v>3.0592239621422435E-2</v>
      </c>
      <c r="N16" s="27"/>
      <c r="O16" s="94"/>
      <c r="P16" s="94"/>
      <c r="Q16" s="94">
        <f>SUM(Q14:Q15)</f>
        <v>556.64085399999999</v>
      </c>
      <c r="R16" s="75"/>
    </row>
    <row r="17" spans="2:22" x14ac:dyDescent="0.35">
      <c r="F17" s="41"/>
      <c r="K17" s="43"/>
      <c r="M17" s="48"/>
      <c r="R17" s="43"/>
    </row>
    <row r="18" spans="2:22" x14ac:dyDescent="0.35">
      <c r="B18" s="5" t="s">
        <v>2</v>
      </c>
      <c r="C18" s="5" t="s">
        <v>6</v>
      </c>
      <c r="D18" s="5" t="s">
        <v>151</v>
      </c>
      <c r="E18" s="77"/>
      <c r="F18" s="78"/>
      <c r="K18" s="43"/>
      <c r="M18" s="48"/>
      <c r="R18" s="43"/>
    </row>
    <row r="19" spans="2:22" outlineLevel="1" x14ac:dyDescent="0.35">
      <c r="B19" s="3" t="str">
        <f>B18</f>
        <v>Ausgrid</v>
      </c>
      <c r="C19" s="3" t="str">
        <f t="shared" ref="C19:C37" si="4">C18</f>
        <v>Residential</v>
      </c>
      <c r="D19" s="3" t="str">
        <f t="shared" ref="D19:D37" si="5">D18</f>
        <v>with CL</v>
      </c>
      <c r="E19" s="3" t="s">
        <v>23</v>
      </c>
      <c r="F19" s="41">
        <f t="array" ref="F19">IFERROR(INDEX(Usage!$B$5:$P$18,MATCH($B19,Usage!$B$5:$B$18,0),MATCH($C19&amp;$D19&amp;$E19,Usage!$B$5:$S$5&amp;Usage!$B$6:$S$6&amp;Usage!$B$7:$S$7,0)),0)</f>
        <v>4800</v>
      </c>
      <c r="G19" s="23" t="s">
        <v>57</v>
      </c>
      <c r="H19" s="89" t="str">
        <f t="array" ref="H19">IFERROR(INDEX('Detail inputs'!$B$3:$K$168,MATCH($B19&amp;$C19&amp;$E19&amp;$G19&amp;H$5,'Detail inputs'!$B$3:$B$168&amp;'Detail inputs'!$D$3:$D$168&amp;'Detail inputs'!$F$3:$F$168&amp;'Detail inputs'!$G$3:$G$168&amp;'Detail inputs'!$H$3:$H$168,0),MATCH(H$4,'Detail inputs'!$B$3:$K$3,0)),"")</f>
        <v/>
      </c>
      <c r="I19" s="89" t="str">
        <f t="array" ref="I19">IFERROR(INDEX('Detail inputs'!$B$3:$K$168,MATCH($B19&amp;$C19&amp;$E19&amp;$G19&amp;I$5,'Detail inputs'!$B$3:$B$168&amp;'Detail inputs'!$D$3:$D$168&amp;'Detail inputs'!$F$3:$F$168&amp;'Detail inputs'!$G$3:$G$168&amp;'Detail inputs'!$H$3:$H$168,0),MATCH(I$4,'Detail inputs'!$B$3:$K$3,0)),"")</f>
        <v/>
      </c>
      <c r="J19" s="89" t="str">
        <f>IFERROR(IF(H19="",I19*$F19/1000,IF(I19="",H19,H19+I19*$F19/1000)),"")</f>
        <v/>
      </c>
      <c r="K19" s="43" t="str">
        <f>IFERROR(J19/J22,"")</f>
        <v/>
      </c>
      <c r="L19" s="43"/>
      <c r="M19" s="48" t="str">
        <f t="shared" ref="M19:M39" si="6">IF(OR(J19=0,J19="",Q19=""),"",Q19/J19-1)</f>
        <v/>
      </c>
      <c r="N19" s="43"/>
      <c r="O19" s="89" t="str">
        <f t="array" ref="O19">IFERROR(INDEX('Detail inputs'!$B$3:$K$168,MATCH($B19&amp;$C19&amp;$E19&amp;$G19&amp;O$5,'Detail inputs'!$B$3:$B$168&amp;'Detail inputs'!$D$3:$D$168&amp;'Detail inputs'!$F$3:$F$168&amp;'Detail inputs'!$G$3:$G$168&amp;'Detail inputs'!$H$3:$H$168,0),MATCH(O$4,'Detail inputs'!$B$3:$K$3,0)),"")</f>
        <v/>
      </c>
      <c r="P19" s="89" t="str">
        <f t="array" ref="P19">IFERROR(INDEX('Detail inputs'!$B$3:$K$168,MATCH($B19&amp;$C19&amp;$E19&amp;$G19&amp;P$5,'Detail inputs'!$B$3:$B$168&amp;'Detail inputs'!$D$3:$D$168&amp;'Detail inputs'!$F$3:$F$168&amp;'Detail inputs'!$G$3:$G$168&amp;'Detail inputs'!$H$3:$H$168,0),MATCH(P$4,'Detail inputs'!$B$3:$K$3,0)),"")</f>
        <v/>
      </c>
      <c r="Q19" s="89" t="str">
        <f>IFERROR(IF(O19="",P19*$F19/1000,IF(P19="",O19,O19+P19*$F19/1000)),"")</f>
        <v/>
      </c>
      <c r="R19" s="43" t="str">
        <f>IFERROR(Q19/Q22,"")</f>
        <v/>
      </c>
    </row>
    <row r="20" spans="2:22" outlineLevel="1" x14ac:dyDescent="0.35">
      <c r="B20" s="3" t="str">
        <f t="shared" ref="B20:B37" si="7">B19</f>
        <v>Ausgrid</v>
      </c>
      <c r="C20" s="3" t="str">
        <f t="shared" si="4"/>
        <v>Residential</v>
      </c>
      <c r="D20" s="3" t="str">
        <f t="shared" si="5"/>
        <v>with CL</v>
      </c>
      <c r="E20" s="3" t="s">
        <v>23</v>
      </c>
      <c r="F20" s="41">
        <f t="array" ref="F20">IFERROR(INDEX(Usage!$B$5:$P$18,MATCH($B20,Usage!$B$5:$B$18,0),MATCH($C20&amp;$D20&amp;$E20,Usage!$B$5:$S$5&amp;Usage!$B$6:$S$6&amp;Usage!$B$7:$S$7,0)),0)</f>
        <v>4800</v>
      </c>
      <c r="G20" s="23" t="s">
        <v>58</v>
      </c>
      <c r="H20" s="89" t="str">
        <f t="array" ref="H20">IFERROR(INDEX('Detail inputs'!$B$3:$K$168,MATCH($B20&amp;$C20&amp;$E20&amp;$G20&amp;H$5,'Detail inputs'!$B$3:$B$168&amp;'Detail inputs'!$D$3:$D$168&amp;'Detail inputs'!$F$3:$F$168&amp;'Detail inputs'!$G$3:$G$168&amp;'Detail inputs'!$H$3:$H$168,0),MATCH(H$4,'Detail inputs'!$B$3:$K$3,0)),"")</f>
        <v/>
      </c>
      <c r="I20" s="89" t="str">
        <f t="array" ref="I20">IFERROR(INDEX('Detail inputs'!$B$3:$K$168,MATCH($B20&amp;$C20&amp;$E20&amp;$G20&amp;I$5,'Detail inputs'!$B$3:$B$168&amp;'Detail inputs'!$D$3:$D$168&amp;'Detail inputs'!$F$3:$F$168&amp;'Detail inputs'!$G$3:$G$168&amp;'Detail inputs'!$H$3:$H$168,0),MATCH(I$4,'Detail inputs'!$B$3:$K$3,0)),"")</f>
        <v/>
      </c>
      <c r="J20" s="89" t="str">
        <f>IFERROR(IF(H20="",I20*$F20/1000,IF(I20="",H20,H20+I20*$F20/1000)),"")</f>
        <v/>
      </c>
      <c r="K20" s="43" t="str">
        <f>IFERROR(J20/J23,"")</f>
        <v/>
      </c>
      <c r="L20" s="43"/>
      <c r="M20" s="48" t="str">
        <f t="shared" si="6"/>
        <v/>
      </c>
      <c r="N20" s="43"/>
      <c r="O20" s="89" t="str">
        <f t="array" ref="O20">IFERROR(INDEX('Detail inputs'!$B$3:$K$168,MATCH($B20&amp;$C20&amp;$E20&amp;$G20&amp;O$5,'Detail inputs'!$B$3:$B$168&amp;'Detail inputs'!$D$3:$D$168&amp;'Detail inputs'!$F$3:$F$168&amp;'Detail inputs'!$G$3:$G$168&amp;'Detail inputs'!$H$3:$H$168,0),MATCH(O$4,'Detail inputs'!$B$3:$K$3,0)),"")</f>
        <v/>
      </c>
      <c r="P20" s="89" t="str">
        <f t="array" ref="P20">IFERROR(INDEX('Detail inputs'!$B$3:$K$168,MATCH($B20&amp;$C20&amp;$E20&amp;$G20&amp;P$5,'Detail inputs'!$B$3:$B$168&amp;'Detail inputs'!$D$3:$D$168&amp;'Detail inputs'!$F$3:$F$168&amp;'Detail inputs'!$G$3:$G$168&amp;'Detail inputs'!$H$3:$H$168,0),MATCH(P$4,'Detail inputs'!$B$3:$K$3,0)),"")</f>
        <v/>
      </c>
      <c r="Q20" s="89" t="str">
        <f>IFERROR(IF(O20="",P20*$F20/1000,IF(P20="",O20,O20+P20*$F20/1000)),"")</f>
        <v/>
      </c>
      <c r="R20" s="43" t="str">
        <f>IFERROR(Q20/Q23,"")</f>
        <v/>
      </c>
    </row>
    <row r="21" spans="2:22" outlineLevel="1" x14ac:dyDescent="0.35">
      <c r="B21" s="3" t="str">
        <f t="shared" si="7"/>
        <v>Ausgrid</v>
      </c>
      <c r="C21" s="3" t="str">
        <f t="shared" si="4"/>
        <v>Residential</v>
      </c>
      <c r="D21" s="3" t="str">
        <f t="shared" si="5"/>
        <v>with CL</v>
      </c>
      <c r="E21" s="3" t="s">
        <v>23</v>
      </c>
      <c r="F21" s="41">
        <f t="array" ref="F21">IFERROR(INDEX(Usage!$B$5:$P$18,MATCH($B21,Usage!$B$5:$B$18,0),MATCH($C21&amp;$D21&amp;$E21,Usage!$B$5:$S$5&amp;Usage!$B$6:$S$6&amp;Usage!$B$7:$S$7,0)),0)</f>
        <v>4800</v>
      </c>
      <c r="G21" s="23" t="s">
        <v>59</v>
      </c>
      <c r="H21" s="89" t="str">
        <f t="array" ref="H21">IFERROR(INDEX('Detail inputs'!$B$3:$K$168,MATCH($B21&amp;$C21&amp;$E21&amp;$G21&amp;H$5,'Detail inputs'!$B$3:$B$168&amp;'Detail inputs'!$D$3:$D$168&amp;'Detail inputs'!$F$3:$F$168&amp;'Detail inputs'!$G$3:$G$168&amp;'Detail inputs'!$H$3:$H$168,0),MATCH(H$4,'Detail inputs'!$B$3:$K$3,0)),"")</f>
        <v/>
      </c>
      <c r="I21" s="89" t="str">
        <f t="array" ref="I21">IFERROR(INDEX('Detail inputs'!$B$3:$K$168,MATCH($B21&amp;$C21&amp;$E21&amp;$G21&amp;I$5,'Detail inputs'!$B$3:$B$168&amp;'Detail inputs'!$D$3:$D$168&amp;'Detail inputs'!$F$3:$F$168&amp;'Detail inputs'!$G$3:$G$168&amp;'Detail inputs'!$H$3:$H$168,0),MATCH(I$4,'Detail inputs'!$B$3:$K$3,0)),"")</f>
        <v/>
      </c>
      <c r="J21" s="89" t="str">
        <f>IFERROR(IF(H21="",I21*$F21/1000,IF(I21="",H21,H21+I21*$F21/1000)),"")</f>
        <v/>
      </c>
      <c r="K21" s="43" t="str">
        <f>IFERROR(J21/J24,"")</f>
        <v/>
      </c>
      <c r="L21" s="43"/>
      <c r="M21" s="48" t="str">
        <f t="shared" si="6"/>
        <v/>
      </c>
      <c r="N21" s="43"/>
      <c r="O21" s="89" t="str">
        <f t="array" ref="O21">IFERROR(INDEX('Detail inputs'!$B$3:$K$168,MATCH($B21&amp;$C21&amp;$E21&amp;$G21&amp;O$5,'Detail inputs'!$B$3:$B$168&amp;'Detail inputs'!$D$3:$D$168&amp;'Detail inputs'!$F$3:$F$168&amp;'Detail inputs'!$G$3:$G$168&amp;'Detail inputs'!$H$3:$H$168,0),MATCH(O$4,'Detail inputs'!$B$3:$K$3,0)),"")</f>
        <v/>
      </c>
      <c r="P21" s="89" t="str">
        <f t="array" ref="P21">IFERROR(INDEX('Detail inputs'!$B$3:$K$168,MATCH($B21&amp;$C21&amp;$E21&amp;$G21&amp;P$5,'Detail inputs'!$B$3:$B$168&amp;'Detail inputs'!$D$3:$D$168&amp;'Detail inputs'!$F$3:$F$168&amp;'Detail inputs'!$G$3:$G$168&amp;'Detail inputs'!$H$3:$H$168,0),MATCH(P$4,'Detail inputs'!$B$3:$K$3,0)),"")</f>
        <v/>
      </c>
      <c r="Q21" s="89" t="str">
        <f>IFERROR(IF(O21="",P21*$F21/1000,IF(P21="",O21,O21+P21*$F21/1000)),"")</f>
        <v/>
      </c>
      <c r="R21" s="43" t="str">
        <f>IFERROR(Q21/Q24,"")</f>
        <v/>
      </c>
    </row>
    <row r="22" spans="2:22" x14ac:dyDescent="0.35">
      <c r="B22" s="3" t="str">
        <f t="shared" si="7"/>
        <v>Ausgrid</v>
      </c>
      <c r="C22" s="3" t="str">
        <f t="shared" si="4"/>
        <v>Residential</v>
      </c>
      <c r="D22" s="3" t="str">
        <f t="shared" si="5"/>
        <v>with CL</v>
      </c>
      <c r="E22" s="3" t="s">
        <v>23</v>
      </c>
      <c r="F22" s="41">
        <f t="array" ref="F22">IFERROR(INDEX(Usage!$B$5:$P$18,MATCH($B22,Usage!$B$5:$B$18,0),MATCH($C22&amp;$D22&amp;$E22,Usage!$B$5:$S$5&amp;Usage!$B$6:$S$6&amp;Usage!$B$7:$S$7,0)),0)</f>
        <v>4800</v>
      </c>
      <c r="G22" s="23" t="s">
        <v>64</v>
      </c>
      <c r="H22" s="95">
        <f t="array" ref="H22">INDEX('Key inputs'!$B$16:$N$40,MATCH($B22&amp;$C22&amp;$E22,'Key inputs'!$B$16:$B$40&amp;'Key inputs'!$C$16:$C$40&amp;'Key inputs'!$D$16:$D$40,0),MATCH($G22&amp;H$4&amp;H$5,'Key inputs'!$B$17:$N$17&amp;'Key inputs'!$B$18:$N$18&amp;'Key inputs'!$B$19:$N$19,0))</f>
        <v>138.70766499999999</v>
      </c>
      <c r="I22" s="95">
        <f t="array" ref="I22">INDEX('Key inputs'!$B$16:$N$40,MATCH($B22&amp;$C22&amp;$E22,'Key inputs'!$B$16:$B$40&amp;'Key inputs'!$C$16:$C$40&amp;'Key inputs'!$D$16:$D$40,0),MATCH($G22&amp;I$4&amp;I$5,'Key inputs'!$B$17:$N$17&amp;'Key inputs'!$B$18:$N$18&amp;'Key inputs'!$B$19:$N$19,0))</f>
        <v>83.537999999999997</v>
      </c>
      <c r="J22" s="89">
        <f>H22+I22*$F22/1000</f>
        <v>539.690065</v>
      </c>
      <c r="K22" s="43">
        <f>IFERROR(J22/J24,"")</f>
        <v>0.95317909403631029</v>
      </c>
      <c r="L22" s="43"/>
      <c r="M22" s="48">
        <f t="shared" si="6"/>
        <v>3.2932003297114765E-2</v>
      </c>
      <c r="N22" s="43"/>
      <c r="O22" s="95">
        <f t="array" ref="O22">INDEX('Key inputs'!$B$16:$N$40,MATCH($B22&amp;$C22&amp;$E22,'Key inputs'!$B$16:$B$40&amp;'Key inputs'!$C$16:$C$40&amp;'Key inputs'!$D$16:$D$40,0),MATCH($G22&amp;O$4&amp;O$5,'Key inputs'!$B$17:$N$17&amp;'Key inputs'!$B$18:$N$18&amp;'Key inputs'!$B$19:$N$19,0))</f>
        <v>142.07113999999999</v>
      </c>
      <c r="P22" s="95">
        <f t="array" ref="P22">INDEX('Key inputs'!$B$16:$N$40,MATCH($B22&amp;$C22&amp;$E22,'Key inputs'!$B$16:$B$40&amp;'Key inputs'!$C$16:$C$40&amp;'Key inputs'!$D$16:$D$40,0),MATCH($G22&amp;P$4&amp;P$5,'Key inputs'!$B$17:$N$17&amp;'Key inputs'!$B$18:$N$18&amp;'Key inputs'!$B$19:$N$19,0))</f>
        <v>86.54</v>
      </c>
      <c r="Q22" s="89">
        <f>O22+P22*$F22/1000</f>
        <v>557.46314000000007</v>
      </c>
      <c r="R22" s="43">
        <f>IFERROR(Q22/Q24,"")</f>
        <v>0.95468581704092081</v>
      </c>
      <c r="S22" s="129"/>
      <c r="T22" s="129"/>
      <c r="U22" s="129"/>
      <c r="V22" s="129"/>
    </row>
    <row r="23" spans="2:22" x14ac:dyDescent="0.35">
      <c r="B23" s="3" t="str">
        <f t="shared" si="7"/>
        <v>Ausgrid</v>
      </c>
      <c r="C23" s="3" t="str">
        <f t="shared" si="4"/>
        <v>Residential</v>
      </c>
      <c r="D23" s="3" t="str">
        <f t="shared" si="5"/>
        <v>with CL</v>
      </c>
      <c r="E23" s="3" t="s">
        <v>23</v>
      </c>
      <c r="F23" s="41">
        <f t="array" ref="F23">IFERROR(INDEX(Usage!$B$5:$P$18,MATCH($B23,Usage!$B$5:$B$18,0),MATCH($C23&amp;$D23&amp;$E23,Usage!$B$5:$S$5&amp;Usage!$B$6:$S$6&amp;Usage!$B$7:$S$7,0)),0)</f>
        <v>4800</v>
      </c>
      <c r="G23" s="23" t="s">
        <v>68</v>
      </c>
      <c r="H23" s="95">
        <f t="array" ref="H23">INDEX('Key inputs'!$B$16:$N$40,MATCH($B23&amp;$C23&amp;$E23,'Key inputs'!$B$16:$B$40&amp;'Key inputs'!$C$16:$C$40&amp;'Key inputs'!$D$16:$D$40,0),MATCH($G23&amp;H$4&amp;H$5,'Key inputs'!$B$17:$N$17&amp;'Key inputs'!$B$18:$N$18&amp;'Key inputs'!$B$19:$N$19,0))</f>
        <v>26.509999999999998</v>
      </c>
      <c r="I23" s="89">
        <f>IFERROR(INDEX('Detail inputs'!$B$3:$K$168,MATCH($B23&amp;$C23&amp;$E23&amp;$G23&amp;I$5,'Detail inputs'!$B$3:$B$168&amp;'Detail inputs'!$D$3:$D$168&amp;'Detail inputs'!$F$3:$F$168&amp;'Detail inputs'!$G$3:$G$168&amp;'Detail inputs'!$H$3:$H$168,0),MATCH(I$4,'Detail inputs'!$B$3:$K$3,0)),0)</f>
        <v>0</v>
      </c>
      <c r="J23" s="89">
        <f>H23+I23*$F23/1000</f>
        <v>26.509999999999998</v>
      </c>
      <c r="K23" s="43">
        <f>IFERROR(J23/J24,"")</f>
        <v>4.6820905963689707E-2</v>
      </c>
      <c r="L23" s="43"/>
      <c r="M23" s="48">
        <f t="shared" si="6"/>
        <v>-1.8860807242548905E-3</v>
      </c>
      <c r="N23" s="43"/>
      <c r="O23" s="95">
        <f t="array" ref="O23">INDEX('Key inputs'!$B$16:$N$40,MATCH($B23&amp;$C23&amp;$E23,'Key inputs'!$B$16:$B$40&amp;'Key inputs'!$C$16:$C$40&amp;'Key inputs'!$D$16:$D$40,0),MATCH($G23&amp;O$4&amp;O$5,'Key inputs'!$B$17:$N$17&amp;'Key inputs'!$B$18:$N$18&amp;'Key inputs'!$B$19:$N$19,0))</f>
        <v>26.46</v>
      </c>
      <c r="P23" s="89">
        <f>IFERROR(INDEX('Detail inputs'!$B$3:$K$168,MATCH($B23&amp;$C23&amp;$E23&amp;$G23&amp;P$5,'Detail inputs'!$B$3:$B$168&amp;'Detail inputs'!$D$3:$D$168&amp;'Detail inputs'!$F$3:$F$168&amp;'Detail inputs'!$G$3:$G$168&amp;'Detail inputs'!$H$3:$H$168,0),MATCH(P$4,'Detail inputs'!$B$3:$K$3,0)),0)</f>
        <v>0</v>
      </c>
      <c r="Q23" s="89">
        <f>O23+P23*$F23/1000</f>
        <v>26.46</v>
      </c>
      <c r="R23" s="43">
        <f>IFERROR(Q23/Q24,"")</f>
        <v>4.5314182959079165E-2</v>
      </c>
    </row>
    <row r="24" spans="2:22" x14ac:dyDescent="0.35">
      <c r="B24" s="3" t="str">
        <f t="shared" si="7"/>
        <v>Ausgrid</v>
      </c>
      <c r="C24" s="3" t="str">
        <f t="shared" si="4"/>
        <v>Residential</v>
      </c>
      <c r="D24" s="3" t="str">
        <f t="shared" si="5"/>
        <v>with CL</v>
      </c>
      <c r="E24" s="3" t="s">
        <v>23</v>
      </c>
      <c r="F24" s="41">
        <f t="array" ref="F24">IFERROR(INDEX(Usage!$B$5:$P$18,MATCH($B24,Usage!$B$5:$B$18,0),MATCH($C24&amp;$D24&amp;$E24,Usage!$B$5:$S$5&amp;Usage!$B$6:$S$6&amp;Usage!$B$7:$S$7,0)),0)</f>
        <v>4800</v>
      </c>
      <c r="G24" s="3" t="s">
        <v>62</v>
      </c>
      <c r="J24" s="95">
        <f>SUM(J22:J23)</f>
        <v>566.200065</v>
      </c>
      <c r="K24" s="43"/>
      <c r="M24" s="48">
        <f t="shared" si="6"/>
        <v>3.1301789059314356E-2</v>
      </c>
      <c r="N24" s="88"/>
      <c r="O24" s="95"/>
      <c r="P24" s="95"/>
      <c r="Q24" s="95">
        <f>SUM(Q22:Q23)</f>
        <v>583.9231400000001</v>
      </c>
      <c r="R24" s="43"/>
    </row>
    <row r="25" spans="2:22" outlineLevel="1" x14ac:dyDescent="0.35">
      <c r="B25" s="3" t="str">
        <f t="shared" si="7"/>
        <v>Ausgrid</v>
      </c>
      <c r="C25" s="3" t="str">
        <f t="shared" si="4"/>
        <v>Residential</v>
      </c>
      <c r="D25" s="3" t="str">
        <f t="shared" si="5"/>
        <v>with CL</v>
      </c>
      <c r="E25" s="3" t="s">
        <v>16</v>
      </c>
      <c r="F25" s="41">
        <f t="array" ref="F25">IFERROR(INDEX(Usage!$B$5:$P$18,MATCH($B25,Usage!$B$5:$B$18,0),MATCH($C25&amp;$D25&amp;$E25,Usage!$B$5:$S$5&amp;Usage!$B$6:$S$6&amp;Usage!$B$7:$S$7,0)),0)</f>
        <v>1340</v>
      </c>
      <c r="G25" s="23" t="s">
        <v>57</v>
      </c>
      <c r="H25" s="89" t="str">
        <f t="array" ref="H25">IFERROR(INDEX('Detail inputs'!$B$3:$K$168,MATCH($B25&amp;$C25&amp;$E25&amp;$G25&amp;H$5,'Detail inputs'!$B$3:$B$168&amp;'Detail inputs'!$D$3:$D$168&amp;'Detail inputs'!$F$3:$F$168&amp;'Detail inputs'!$G$3:$G$168&amp;'Detail inputs'!$H$3:$H$168,0),MATCH(H$4,'Detail inputs'!$B$3:$K$3,0)),"")</f>
        <v/>
      </c>
      <c r="I25" s="89" t="str">
        <f t="array" ref="I25">IFERROR(INDEX('Detail inputs'!$B$3:$K$168,MATCH($B25&amp;$C25&amp;$E25&amp;$G25&amp;I$5,'Detail inputs'!$B$3:$B$168&amp;'Detail inputs'!$D$3:$D$168&amp;'Detail inputs'!$F$3:$F$168&amp;'Detail inputs'!$G$3:$G$168&amp;'Detail inputs'!$H$3:$H$168,0),MATCH(I$4,'Detail inputs'!$B$3:$K$3,0)),"")</f>
        <v/>
      </c>
      <c r="J25" s="89" t="str">
        <f>IFERROR(IF(H25="",I25*$F25/1000,IF(I25="",H25*INDEX(Usage!$B$4:$M$18,MATCH($B25,Usage!$B$4:$B$18,0),MATCH(IF($E25="CL1","CL1 Proportion","CL2 Proportion"),Usage!$B$8:$M$8,0)),H25*INDEX(Usage!$B$4:$M$18,MATCH($B25,Usage!$B$4:$B$18,0),MATCH(IF($E25="CL1","CL1 Proportion","CL2 Proportion"),Usage!$B$8:$M$8,0))+I25*$F25/1000)),"")</f>
        <v/>
      </c>
      <c r="K25" s="43" t="str">
        <f>IFERROR(J25/J28,"")</f>
        <v/>
      </c>
      <c r="L25" s="43"/>
      <c r="M25" s="48" t="str">
        <f t="shared" si="6"/>
        <v/>
      </c>
      <c r="N25" s="43"/>
      <c r="O25" s="89" t="str">
        <f t="array" ref="O25">IFERROR(INDEX('Detail inputs'!$B$3:$K$168,MATCH($B25&amp;$C25&amp;$E25&amp;$G25&amp;O$5,'Detail inputs'!$B$3:$B$168&amp;'Detail inputs'!$D$3:$D$168&amp;'Detail inputs'!$F$3:$F$168&amp;'Detail inputs'!$G$3:$G$168&amp;'Detail inputs'!$H$3:$H$168,0),MATCH(O$4,'Detail inputs'!$B$3:$K$3,0)),"")</f>
        <v/>
      </c>
      <c r="P25" s="89" t="str">
        <f t="array" ref="P25">IFERROR(INDEX('Detail inputs'!$B$3:$K$168,MATCH($B25&amp;$C25&amp;$E25&amp;$G25&amp;P$5,'Detail inputs'!$B$3:$B$168&amp;'Detail inputs'!$D$3:$D$168&amp;'Detail inputs'!$F$3:$F$168&amp;'Detail inputs'!$G$3:$G$168&amp;'Detail inputs'!$H$3:$H$168,0),MATCH(P$4,'Detail inputs'!$B$3:$K$3,0)),"")</f>
        <v/>
      </c>
      <c r="Q25" s="89" t="str">
        <f>IFERROR(IF(O25="",P25*$F25/1000,IF(P25="",O25*INDEX(Usage!$B$4:$M$18,MATCH($B25,Usage!$B$4:$B$18,0),MATCH(IF($E25="CL1","CL1 Proportion","CL2 Proportion"),Usage!$B$8:$M$8,0)),O25*INDEX(Usage!$B$4:$M$18,MATCH($B25,Usage!$B$4:$B$18,0),MATCH(IF($E25="CL1","CL1 Proportion","CL2 Proportion"),Usage!$B$8:$M$8,0))+P25*$F25/1000)),"")</f>
        <v/>
      </c>
      <c r="R25" s="43" t="str">
        <f>IFERROR(Q25/Q28,"")</f>
        <v/>
      </c>
    </row>
    <row r="26" spans="2:22" outlineLevel="1" x14ac:dyDescent="0.35">
      <c r="B26" s="3" t="str">
        <f t="shared" si="7"/>
        <v>Ausgrid</v>
      </c>
      <c r="C26" s="3" t="str">
        <f t="shared" si="4"/>
        <v>Residential</v>
      </c>
      <c r="D26" s="3" t="str">
        <f t="shared" si="5"/>
        <v>with CL</v>
      </c>
      <c r="E26" s="3" t="s">
        <v>16</v>
      </c>
      <c r="F26" s="41">
        <f t="array" ref="F26">IFERROR(INDEX(Usage!$B$5:$P$18,MATCH($B26,Usage!$B$5:$B$18,0),MATCH($C26&amp;$D26&amp;$E26,Usage!$B$5:$S$5&amp;Usage!$B$6:$S$6&amp;Usage!$B$7:$S$7,0)),0)</f>
        <v>1340</v>
      </c>
      <c r="G26" s="23" t="s">
        <v>58</v>
      </c>
      <c r="H26" s="89" t="str">
        <f t="array" ref="H26">IFERROR(INDEX('Detail inputs'!$B$3:$K$168,MATCH($B26&amp;$C26&amp;$E26&amp;$G26&amp;H$5,'Detail inputs'!$B$3:$B$168&amp;'Detail inputs'!$D$3:$D$168&amp;'Detail inputs'!$F$3:$F$168&amp;'Detail inputs'!$G$3:$G$168&amp;'Detail inputs'!$H$3:$H$168,0),MATCH(H$4,'Detail inputs'!$B$3:$K$3,0)),"")</f>
        <v/>
      </c>
      <c r="I26" s="89" t="str">
        <f t="array" ref="I26">IFERROR(INDEX('Detail inputs'!$B$3:$K$168,MATCH($B26&amp;$C26&amp;$E26&amp;$G26&amp;I$5,'Detail inputs'!$B$3:$B$168&amp;'Detail inputs'!$D$3:$D$168&amp;'Detail inputs'!$F$3:$F$168&amp;'Detail inputs'!$G$3:$G$168&amp;'Detail inputs'!$H$3:$H$168,0),MATCH(I$4,'Detail inputs'!$B$3:$K$3,0)),"")</f>
        <v/>
      </c>
      <c r="J26" s="89" t="str">
        <f>IFERROR(IF(H26="",I26*$F26/1000,IF(I26="",H26*INDEX(Usage!$B$4:$M$18,MATCH($B26,Usage!$B$4:$B$18,0),MATCH(IF($E26="CL1","CL1 Proportion","CL2 Proportion"),Usage!$B$8:$M$8,0)),H26*INDEX(Usage!$B$4:$M$18,MATCH($B26,Usage!$B$4:$B$18,0),MATCH(IF($E26="CL1","CL1 Proportion","CL2 Proportion"),Usage!$B$8:$M$8,0))+I26*$F26/1000)),"")</f>
        <v/>
      </c>
      <c r="K26" s="43" t="str">
        <f>IFERROR(J26/J29,"")</f>
        <v/>
      </c>
      <c r="L26" s="43"/>
      <c r="M26" s="48" t="str">
        <f t="shared" si="6"/>
        <v/>
      </c>
      <c r="N26" s="43"/>
      <c r="O26" s="89" t="str">
        <f t="array" ref="O26">IFERROR(INDEX('Detail inputs'!$B$3:$K$168,MATCH($B26&amp;$C26&amp;$E26&amp;$G26&amp;O$5,'Detail inputs'!$B$3:$B$168&amp;'Detail inputs'!$D$3:$D$168&amp;'Detail inputs'!$F$3:$F$168&amp;'Detail inputs'!$G$3:$G$168&amp;'Detail inputs'!$H$3:$H$168,0),MATCH(O$4,'Detail inputs'!$B$3:$K$3,0)),"")</f>
        <v/>
      </c>
      <c r="P26" s="89" t="str">
        <f t="array" ref="P26">IFERROR(INDEX('Detail inputs'!$B$3:$K$168,MATCH($B26&amp;$C26&amp;$E26&amp;$G26&amp;P$5,'Detail inputs'!$B$3:$B$168&amp;'Detail inputs'!$D$3:$D$168&amp;'Detail inputs'!$F$3:$F$168&amp;'Detail inputs'!$G$3:$G$168&amp;'Detail inputs'!$H$3:$H$168,0),MATCH(P$4,'Detail inputs'!$B$3:$K$3,0)),"")</f>
        <v/>
      </c>
      <c r="Q26" s="89" t="str">
        <f>IFERROR(IF(O26="",P26*$F26/1000,IF(P26="",O26*INDEX(Usage!$B$4:$M$18,MATCH($B26,Usage!$B$4:$B$18,0),MATCH(IF($E26="CL1","CL1 Proportion","CL2 Proportion"),Usage!$B$8:$M$8,0)),O26*INDEX(Usage!$B$4:$M$18,MATCH($B26,Usage!$B$4:$B$18,0),MATCH(IF($E26="CL1","CL1 Proportion","CL2 Proportion"),Usage!$B$8:$M$8,0))+P26*$F26/1000)),"")</f>
        <v/>
      </c>
      <c r="R26" s="43" t="str">
        <f>IFERROR(Q26/Q29,"")</f>
        <v/>
      </c>
    </row>
    <row r="27" spans="2:22" outlineLevel="1" x14ac:dyDescent="0.35">
      <c r="B27" s="3" t="str">
        <f t="shared" si="7"/>
        <v>Ausgrid</v>
      </c>
      <c r="C27" s="3" t="str">
        <f t="shared" si="4"/>
        <v>Residential</v>
      </c>
      <c r="D27" s="3" t="str">
        <f t="shared" si="5"/>
        <v>with CL</v>
      </c>
      <c r="E27" s="3" t="s">
        <v>16</v>
      </c>
      <c r="F27" s="41">
        <f t="array" ref="F27">IFERROR(INDEX(Usage!$B$5:$P$18,MATCH($B27,Usage!$B$5:$B$18,0),MATCH($C27&amp;$D27&amp;$E27,Usage!$B$5:$S$5&amp;Usage!$B$6:$S$6&amp;Usage!$B$7:$S$7,0)),0)</f>
        <v>1340</v>
      </c>
      <c r="G27" s="23" t="s">
        <v>59</v>
      </c>
      <c r="H27" s="89" t="str">
        <f t="array" ref="H27">IFERROR(INDEX('Detail inputs'!$B$3:$K$168,MATCH($B27&amp;$C27&amp;$E27&amp;$G27&amp;H$5,'Detail inputs'!$B$3:$B$168&amp;'Detail inputs'!$D$3:$D$168&amp;'Detail inputs'!$F$3:$F$168&amp;'Detail inputs'!$G$3:$G$168&amp;'Detail inputs'!$H$3:$H$168,0),MATCH(H$4,'Detail inputs'!$B$3:$K$3,0)),"")</f>
        <v/>
      </c>
      <c r="I27" s="89" t="str">
        <f t="array" ref="I27">IFERROR(INDEX('Detail inputs'!$B$3:$K$168,MATCH($B27&amp;$C27&amp;$E27&amp;$G27&amp;I$5,'Detail inputs'!$B$3:$B$168&amp;'Detail inputs'!$D$3:$D$168&amp;'Detail inputs'!$F$3:$F$168&amp;'Detail inputs'!$G$3:$G$168&amp;'Detail inputs'!$H$3:$H$168,0),MATCH(I$4,'Detail inputs'!$B$3:$K$3,0)),"")</f>
        <v/>
      </c>
      <c r="J27" s="89" t="str">
        <f>IFERROR(IF(H27="",I27*$F27/1000,IF(I27="",H27*INDEX(Usage!$B$4:$M$18,MATCH($B27,Usage!$B$4:$B$18,0),MATCH(IF($E27="CL1","CL1 Proportion","CL2 Proportion"),Usage!$B$8:$M$8,0)),H27*INDEX(Usage!$B$4:$M$18,MATCH($B27,Usage!$B$4:$B$18,0),MATCH(IF($E27="CL1","CL1 Proportion","CL2 Proportion"),Usage!$B$8:$M$8,0))+I27*$F27/1000)),"")</f>
        <v/>
      </c>
      <c r="K27" s="43" t="str">
        <f>IFERROR(J27/J30,"")</f>
        <v/>
      </c>
      <c r="L27" s="43"/>
      <c r="M27" s="48" t="str">
        <f t="shared" si="6"/>
        <v/>
      </c>
      <c r="N27" s="43"/>
      <c r="O27" s="89" t="str">
        <f t="array" ref="O27">IFERROR(INDEX('Detail inputs'!$B$3:$K$168,MATCH($B27&amp;$C27&amp;$E27&amp;$G27&amp;O$5,'Detail inputs'!$B$3:$B$168&amp;'Detail inputs'!$D$3:$D$168&amp;'Detail inputs'!$F$3:$F$168&amp;'Detail inputs'!$G$3:$G$168&amp;'Detail inputs'!$H$3:$H$168,0),MATCH(O$4,'Detail inputs'!$B$3:$K$3,0)),"")</f>
        <v/>
      </c>
      <c r="P27" s="89" t="str">
        <f t="array" ref="P27">IFERROR(INDEX('Detail inputs'!$B$3:$K$168,MATCH($B27&amp;$C27&amp;$E27&amp;$G27&amp;P$5,'Detail inputs'!$B$3:$B$168&amp;'Detail inputs'!$D$3:$D$168&amp;'Detail inputs'!$F$3:$F$168&amp;'Detail inputs'!$G$3:$G$168&amp;'Detail inputs'!$H$3:$H$168,0),MATCH(P$4,'Detail inputs'!$B$3:$K$3,0)),"")</f>
        <v/>
      </c>
      <c r="Q27" s="89" t="str">
        <f>IFERROR(IF(O27="",P27*$F27/1000,IF(P27="",O27*INDEX(Usage!$B$4:$M$18,MATCH($B27,Usage!$B$4:$B$18,0),MATCH(IF($E27="CL1","CL1 Proportion","CL2 Proportion"),Usage!$B$8:$M$8,0)),O27*INDEX(Usage!$B$4:$M$18,MATCH($B27,Usage!$B$4:$B$18,0),MATCH(IF($E27="CL1","CL1 Proportion","CL2 Proportion"),Usage!$B$8:$M$8,0))+P27*$F27/1000)),"")</f>
        <v/>
      </c>
      <c r="R27" s="43" t="str">
        <f>IFERROR(Q27/Q30,"")</f>
        <v/>
      </c>
    </row>
    <row r="28" spans="2:22" x14ac:dyDescent="0.35">
      <c r="B28" s="3" t="str">
        <f t="shared" si="7"/>
        <v>Ausgrid</v>
      </c>
      <c r="C28" s="3" t="str">
        <f t="shared" si="4"/>
        <v>Residential</v>
      </c>
      <c r="D28" s="3" t="str">
        <f t="shared" si="5"/>
        <v>with CL</v>
      </c>
      <c r="E28" s="3" t="s">
        <v>16</v>
      </c>
      <c r="F28" s="41">
        <f t="array" ref="F28">IFERROR(INDEX(Usage!$B$5:$P$18,MATCH($B28,Usage!$B$5:$B$18,0),MATCH($C28&amp;$D28&amp;$E28,Usage!$B$5:$S$5&amp;Usage!$B$6:$S$6&amp;Usage!$B$7:$S$7,0)),0)</f>
        <v>1340</v>
      </c>
      <c r="G28" s="23" t="s">
        <v>64</v>
      </c>
      <c r="H28" s="95">
        <f t="array" ref="H28">INDEX('Key inputs'!$B$16:$N$40,MATCH($B28&amp;$C28&amp;$E28,'Key inputs'!$B$16:$B$40&amp;'Key inputs'!$C$16:$C$40&amp;'Key inputs'!$D$16:$D$40,0),MATCH($G28&amp;H$4&amp;H$5,'Key inputs'!$B$17:$N$17&amp;'Key inputs'!$B$18:$N$18&amp;'Key inputs'!$B$19:$N$19,0))</f>
        <v>0.56392500000000001</v>
      </c>
      <c r="I28" s="95">
        <f t="array" ref="I28">INDEX('Key inputs'!$B$16:$N$40,MATCH($B28&amp;$C28&amp;$E28,'Key inputs'!$B$16:$B$40&amp;'Key inputs'!$C$16:$C$40&amp;'Key inputs'!$D$16:$D$40,0),MATCH($G28&amp;I$4&amp;I$5,'Key inputs'!$B$17:$N$17&amp;'Key inputs'!$B$18:$N$18&amp;'Key inputs'!$B$19:$N$19,0))</f>
        <v>18.407</v>
      </c>
      <c r="J28" s="89">
        <f>H28*INDEX(Usage!$B$4:$M$18,MATCH($B28,Usage!$B$4:$B$18,0),MATCH(IF($E28="CL1","CL1 Proportion","CL2 Proportion"),Usage!$B$8:$M$8,0))+I28*$F28/1000</f>
        <v>25.043209750000003</v>
      </c>
      <c r="K28" s="43">
        <f>IFERROR(J28/J30,"")</f>
        <v>0.79581810352490556</v>
      </c>
      <c r="L28" s="43"/>
      <c r="M28" s="48">
        <f t="shared" si="6"/>
        <v>-1.7451610810391593E-2</v>
      </c>
      <c r="N28" s="43"/>
      <c r="O28" s="95">
        <f t="array" ref="O28">INDEX('Key inputs'!$B$16:$N$40,MATCH($B28&amp;$C28&amp;$E28,'Key inputs'!$B$16:$B$40&amp;'Key inputs'!$C$16:$C$40&amp;'Key inputs'!$D$16:$D$40,0),MATCH($G28&amp;O$4&amp;O$5,'Key inputs'!$B$17:$N$17&amp;'Key inputs'!$B$18:$N$18&amp;'Key inputs'!$B$19:$N$19,0))</f>
        <v>0.57962000000000002</v>
      </c>
      <c r="P28" s="95">
        <f t="array" ref="P28">INDEX('Key inputs'!$B$16:$N$40,MATCH($B28&amp;$C28&amp;$E28,'Key inputs'!$B$16:$B$40&amp;'Key inputs'!$C$16:$C$40&amp;'Key inputs'!$D$16:$D$40,0),MATCH($G28&amp;P$4&amp;P$5,'Key inputs'!$B$17:$N$17&amp;'Key inputs'!$B$18:$N$18&amp;'Key inputs'!$B$19:$N$19,0))</f>
        <v>18.073</v>
      </c>
      <c r="Q28" s="89">
        <f>O28*INDEX(Usage!$B$4:$M$18,MATCH($B28,Usage!$B$4:$B$18,0),MATCH(IF($E28="CL1","CL1 Proportion","CL2 Proportion"),Usage!$B$8:$M$8,0))+P28*$F28/1000</f>
        <v>24.606165399999998</v>
      </c>
      <c r="R28" s="43">
        <f>IFERROR(Q28/Q30,"")</f>
        <v>0.79759204024182961</v>
      </c>
      <c r="S28" s="129"/>
      <c r="T28" s="129"/>
      <c r="U28" s="129"/>
      <c r="V28" s="129"/>
    </row>
    <row r="29" spans="2:22" x14ac:dyDescent="0.35">
      <c r="B29" s="3" t="str">
        <f t="shared" si="7"/>
        <v>Ausgrid</v>
      </c>
      <c r="C29" s="3" t="str">
        <f t="shared" si="4"/>
        <v>Residential</v>
      </c>
      <c r="D29" s="3" t="str">
        <f t="shared" si="5"/>
        <v>with CL</v>
      </c>
      <c r="E29" s="3" t="s">
        <v>16</v>
      </c>
      <c r="F29" s="41">
        <f t="array" ref="F29">IFERROR(INDEX(Usage!$B$5:$P$18,MATCH($B29,Usage!$B$5:$B$18,0),MATCH($C29&amp;$D29&amp;$E29,Usage!$B$5:$S$5&amp;Usage!$B$6:$S$6&amp;Usage!$B$7:$S$7,0)),0)</f>
        <v>1340</v>
      </c>
      <c r="G29" s="23" t="s">
        <v>68</v>
      </c>
      <c r="H29" s="95">
        <f t="array" ref="H29">INDEX('Key inputs'!$B$16:$N$40,MATCH($B29&amp;$C29&amp;$E29,'Key inputs'!$B$16:$B$40&amp;'Key inputs'!$C$16:$C$40&amp;'Key inputs'!$D$16:$D$40,0),MATCH($G29&amp;H$4&amp;H$5,'Key inputs'!$B$17:$N$17&amp;'Key inputs'!$B$18:$N$18&amp;'Key inputs'!$B$19:$N$19,0))</f>
        <v>9.59</v>
      </c>
      <c r="I29" s="89">
        <f>IFERROR(INDEX('Detail inputs'!$B$3:$K$168,MATCH($B29&amp;$C29&amp;$E29&amp;$G29&amp;I$5,'Detail inputs'!$B$3:$B$168&amp;'Detail inputs'!$D$3:$D$168&amp;'Detail inputs'!$F$3:$F$168&amp;'Detail inputs'!$G$3:$G$168&amp;'Detail inputs'!$H$3:$H$168,0),MATCH(I$4,'Detail inputs'!$B$3:$K$3,0)),0)</f>
        <v>0</v>
      </c>
      <c r="J29" s="89">
        <f>H29*INDEX(Usage!$B$4:$M$18,MATCH($B29,Usage!$B$4:$B$18,0),MATCH(IF($E29="CL1","CL1 Proportion","CL2 Proportion"),Usage!$B$8:$M$8,0))+I29*$F29/1000</f>
        <v>6.4253</v>
      </c>
      <c r="K29" s="43">
        <f>IFERROR(J29/J30,"")</f>
        <v>0.20418189647509441</v>
      </c>
      <c r="L29" s="43"/>
      <c r="M29" s="48">
        <f t="shared" si="6"/>
        <v>-2.8154327424400272E-2</v>
      </c>
      <c r="N29" s="43"/>
      <c r="O29" s="95">
        <f t="array" ref="O29">INDEX('Key inputs'!$B$16:$N$40,MATCH($B29&amp;$C29&amp;$E29,'Key inputs'!$B$16:$B$40&amp;'Key inputs'!$C$16:$C$40&amp;'Key inputs'!$D$16:$D$40,0),MATCH($G29&amp;O$4&amp;O$5,'Key inputs'!$B$17:$N$17&amp;'Key inputs'!$B$18:$N$18&amp;'Key inputs'!$B$19:$N$19,0))</f>
        <v>9.32</v>
      </c>
      <c r="P29" s="89">
        <f>IFERROR(INDEX('Detail inputs'!$B$3:$K$168,MATCH($B29&amp;$C29&amp;$E29&amp;$G29&amp;P$5,'Detail inputs'!$B$3:$B$168&amp;'Detail inputs'!$D$3:$D$168&amp;'Detail inputs'!$F$3:$F$168&amp;'Detail inputs'!$G$3:$G$168&amp;'Detail inputs'!$H$3:$H$168,0),MATCH(P$4,'Detail inputs'!$B$3:$K$3,0)),0)</f>
        <v>0</v>
      </c>
      <c r="Q29" s="89">
        <f>O29*INDEX(Usage!$B$4:$M$18,MATCH($B29,Usage!$B$4:$B$18,0),MATCH(IF($E29="CL1","CL1 Proportion","CL2 Proportion"),Usage!$B$8:$M$8,0))+P29*$F29/1000</f>
        <v>6.2444000000000006</v>
      </c>
      <c r="R29" s="43">
        <f>IFERROR(Q29/Q30,"")</f>
        <v>0.20240795975817027</v>
      </c>
    </row>
    <row r="30" spans="2:22" x14ac:dyDescent="0.35">
      <c r="B30" s="3" t="str">
        <f t="shared" si="7"/>
        <v>Ausgrid</v>
      </c>
      <c r="C30" s="3" t="str">
        <f t="shared" si="4"/>
        <v>Residential</v>
      </c>
      <c r="D30" s="3" t="str">
        <f t="shared" si="5"/>
        <v>with CL</v>
      </c>
      <c r="E30" s="3" t="s">
        <v>16</v>
      </c>
      <c r="F30" s="41">
        <f t="array" ref="F30">IFERROR(INDEX(Usage!$B$5:$P$18,MATCH($B30,Usage!$B$5:$B$18,0),MATCH($C30&amp;$D30&amp;$E30,Usage!$B$5:$S$5&amp;Usage!$B$6:$S$6&amp;Usage!$B$7:$S$7,0)),0)</f>
        <v>1340</v>
      </c>
      <c r="G30" s="3" t="s">
        <v>62</v>
      </c>
      <c r="J30" s="95">
        <f>SUM(J28:J29)</f>
        <v>31.468509750000003</v>
      </c>
      <c r="K30" s="43"/>
      <c r="M30" s="48">
        <f t="shared" si="6"/>
        <v>-1.9636911786075295E-2</v>
      </c>
      <c r="N30" s="88"/>
      <c r="O30" s="95"/>
      <c r="P30" s="95"/>
      <c r="Q30" s="95">
        <f>SUM(Q28:Q29)</f>
        <v>30.850565400000001</v>
      </c>
      <c r="R30" s="43"/>
    </row>
    <row r="31" spans="2:22" outlineLevel="1" x14ac:dyDescent="0.35">
      <c r="B31" s="3" t="str">
        <f t="shared" si="7"/>
        <v>Ausgrid</v>
      </c>
      <c r="C31" s="3" t="str">
        <f t="shared" si="4"/>
        <v>Residential</v>
      </c>
      <c r="D31" s="3" t="str">
        <f t="shared" si="5"/>
        <v>with CL</v>
      </c>
      <c r="E31" s="3" t="s">
        <v>17</v>
      </c>
      <c r="F31" s="41">
        <f t="array" ref="F31">IFERROR(INDEX(Usage!$B$5:$P$18,MATCH($B31,Usage!$B$5:$B$18,0),MATCH($C31&amp;$D31&amp;$E31,Usage!$B$5:$S$5&amp;Usage!$B$6:$S$6&amp;Usage!$B$7:$S$7,0)),0)</f>
        <v>660</v>
      </c>
      <c r="G31" s="23" t="s">
        <v>57</v>
      </c>
      <c r="H31" s="89" t="str">
        <f t="array" ref="H31">IFERROR(INDEX('Detail inputs'!$B$3:$K$168,MATCH($B31&amp;$C31&amp;$E31&amp;$G31&amp;H$5,'Detail inputs'!$B$3:$B$168&amp;'Detail inputs'!$D$3:$D$168&amp;'Detail inputs'!$F$3:$F$168&amp;'Detail inputs'!$G$3:$G$168&amp;'Detail inputs'!$H$3:$H$168,0),MATCH(H$4,'Detail inputs'!$B$3:$K$3,0)),"")</f>
        <v/>
      </c>
      <c r="I31" s="89" t="str">
        <f t="array" ref="I31">IFERROR(INDEX('Detail inputs'!$B$3:$K$168,MATCH($B31&amp;$C31&amp;$E31&amp;$G31&amp;I$5,'Detail inputs'!$B$3:$B$168&amp;'Detail inputs'!$D$3:$D$168&amp;'Detail inputs'!$F$3:$F$168&amp;'Detail inputs'!$G$3:$G$168&amp;'Detail inputs'!$H$3:$H$168,0),MATCH(I$4,'Detail inputs'!$B$3:$K$3,0)),"")</f>
        <v/>
      </c>
      <c r="J31" s="89" t="str">
        <f>IFERROR(IF(H31="",I31*$F31/1000,IF(I31="",H31*INDEX(Usage!$B$4:$M$18,MATCH($B31,Usage!$B$4:$B$18,0),MATCH(IF($E31="CL1","CL1 Proportion","CL2 Proportion"),Usage!$B$8:$M$8,0)),H31*INDEX(Usage!$B$4:$M$18,MATCH($B31,Usage!$B$4:$B$18,0),MATCH(IF($E31="CL1","CL1 Proportion","CL2 Proportion"),Usage!$B$8:$M$8,0))+I31*$F31/1000)),"")</f>
        <v/>
      </c>
      <c r="K31" s="43" t="str">
        <f>IFERROR(J31/J34,"")</f>
        <v/>
      </c>
      <c r="L31" s="43"/>
      <c r="M31" s="48" t="str">
        <f t="shared" si="6"/>
        <v/>
      </c>
      <c r="N31" s="43"/>
      <c r="O31" s="89" t="str">
        <f t="array" ref="O31">IFERROR(INDEX('Detail inputs'!$B$3:$K$168,MATCH($B31&amp;$C31&amp;$E31&amp;$G31&amp;O$5,'Detail inputs'!$B$3:$B$168&amp;'Detail inputs'!$D$3:$D$168&amp;'Detail inputs'!$F$3:$F$168&amp;'Detail inputs'!$G$3:$G$168&amp;'Detail inputs'!$H$3:$H$168,0),MATCH(O$4,'Detail inputs'!$B$3:$K$3,0)),"")</f>
        <v/>
      </c>
      <c r="P31" s="89" t="str">
        <f t="array" ref="P31">IFERROR(INDEX('Detail inputs'!$B$3:$K$168,MATCH($B31&amp;$C31&amp;$E31&amp;$G31&amp;P$5,'Detail inputs'!$B$3:$B$168&amp;'Detail inputs'!$D$3:$D$168&amp;'Detail inputs'!$F$3:$F$168&amp;'Detail inputs'!$G$3:$G$168&amp;'Detail inputs'!$H$3:$H$168,0),MATCH(P$4,'Detail inputs'!$B$3:$K$3,0)),"")</f>
        <v/>
      </c>
      <c r="Q31" s="89" t="str">
        <f>IFERROR(IF(O31="",P31*$F31/1000,IF(P31="",O31*INDEX(Usage!$B$4:$M$18,MATCH($B31,Usage!$B$4:$B$18,0),MATCH(IF($E31="CL1","CL1 Proportion","CL2 Proportion"),Usage!$B$8:$M$8,0)),O31*INDEX(Usage!$B$4:$M$18,MATCH($B31,Usage!$B$4:$B$18,0),MATCH(IF($E31="CL1","CL1 Proportion","CL2 Proportion"),Usage!$B$8:$M$8,0))+P31*$F31/1000)),"")</f>
        <v/>
      </c>
      <c r="R31" s="43" t="str">
        <f>IFERROR(Q31/Q34,"")</f>
        <v/>
      </c>
    </row>
    <row r="32" spans="2:22" outlineLevel="1" x14ac:dyDescent="0.35">
      <c r="B32" s="3" t="str">
        <f t="shared" si="7"/>
        <v>Ausgrid</v>
      </c>
      <c r="C32" s="3" t="str">
        <f t="shared" si="4"/>
        <v>Residential</v>
      </c>
      <c r="D32" s="3" t="str">
        <f t="shared" si="5"/>
        <v>with CL</v>
      </c>
      <c r="E32" s="3" t="s">
        <v>17</v>
      </c>
      <c r="F32" s="41">
        <f t="array" ref="F32">IFERROR(INDEX(Usage!$B$5:$P$18,MATCH($B32,Usage!$B$5:$B$18,0),MATCH($C32&amp;$D32&amp;$E32,Usage!$B$5:$S$5&amp;Usage!$B$6:$S$6&amp;Usage!$B$7:$S$7,0)),0)</f>
        <v>660</v>
      </c>
      <c r="G32" s="23" t="s">
        <v>58</v>
      </c>
      <c r="H32" s="89" t="str">
        <f t="array" ref="H32">IFERROR(INDEX('Detail inputs'!$B$3:$K$168,MATCH($B32&amp;$C32&amp;$E32&amp;$G32&amp;H$5,'Detail inputs'!$B$3:$B$168&amp;'Detail inputs'!$D$3:$D$168&amp;'Detail inputs'!$F$3:$F$168&amp;'Detail inputs'!$G$3:$G$168&amp;'Detail inputs'!$H$3:$H$168,0),MATCH(H$4,'Detail inputs'!$B$3:$K$3,0)),"")</f>
        <v/>
      </c>
      <c r="I32" s="89" t="str">
        <f t="array" ref="I32">IFERROR(INDEX('Detail inputs'!$B$3:$K$168,MATCH($B32&amp;$C32&amp;$E32&amp;$G32&amp;I$5,'Detail inputs'!$B$3:$B$168&amp;'Detail inputs'!$D$3:$D$168&amp;'Detail inputs'!$F$3:$F$168&amp;'Detail inputs'!$G$3:$G$168&amp;'Detail inputs'!$H$3:$H$168,0),MATCH(I$4,'Detail inputs'!$B$3:$K$3,0)),"")</f>
        <v/>
      </c>
      <c r="J32" s="89" t="str">
        <f>IFERROR(IF(H32="",I32*$F32/1000,IF(I32="",H32*INDEX(Usage!$B$4:$M$18,MATCH($B32,Usage!$B$4:$B$18,0),MATCH(IF($E32="CL1","CL1 Proportion","CL2 Proportion"),Usage!$B$8:$M$8,0)),H32*INDEX(Usage!$B$4:$M$18,MATCH($B32,Usage!$B$4:$B$18,0),MATCH(IF($E32="CL1","CL1 Proportion","CL2 Proportion"),Usage!$B$8:$M$8,0))+I32*$F32/1000)),"")</f>
        <v/>
      </c>
      <c r="K32" s="43" t="str">
        <f>IFERROR(J32/J35,"")</f>
        <v/>
      </c>
      <c r="L32" s="43"/>
      <c r="M32" s="48" t="str">
        <f t="shared" si="6"/>
        <v/>
      </c>
      <c r="N32" s="43"/>
      <c r="O32" s="89" t="str">
        <f t="array" ref="O32">IFERROR(INDEX('Detail inputs'!$B$3:$K$168,MATCH($B32&amp;$C32&amp;$E32&amp;$G32&amp;O$5,'Detail inputs'!$B$3:$B$168&amp;'Detail inputs'!$D$3:$D$168&amp;'Detail inputs'!$F$3:$F$168&amp;'Detail inputs'!$G$3:$G$168&amp;'Detail inputs'!$H$3:$H$168,0),MATCH(O$4,'Detail inputs'!$B$3:$K$3,0)),"")</f>
        <v/>
      </c>
      <c r="P32" s="89" t="str">
        <f t="array" ref="P32">IFERROR(INDEX('Detail inputs'!$B$3:$K$168,MATCH($B32&amp;$C32&amp;$E32&amp;$G32&amp;P$5,'Detail inputs'!$B$3:$B$168&amp;'Detail inputs'!$D$3:$D$168&amp;'Detail inputs'!$F$3:$F$168&amp;'Detail inputs'!$G$3:$G$168&amp;'Detail inputs'!$H$3:$H$168,0),MATCH(P$4,'Detail inputs'!$B$3:$K$3,0)),"")</f>
        <v/>
      </c>
      <c r="Q32" s="89" t="str">
        <f>IFERROR(IF(O32="",P32*$F32/1000,IF(P32="",O32*INDEX(Usage!$B$4:$M$18,MATCH($B32,Usage!$B$4:$B$18,0),MATCH(IF($E32="CL1","CL1 Proportion","CL2 Proportion"),Usage!$B$8:$M$8,0)),O32*INDEX(Usage!$B$4:$M$18,MATCH($B32,Usage!$B$4:$B$18,0),MATCH(IF($E32="CL1","CL1 Proportion","CL2 Proportion"),Usage!$B$8:$M$8,0))+P32*$F32/1000)),"")</f>
        <v/>
      </c>
      <c r="R32" s="43" t="str">
        <f>IFERROR(Q32/Q34,"")</f>
        <v/>
      </c>
    </row>
    <row r="33" spans="2:22" outlineLevel="1" x14ac:dyDescent="0.35">
      <c r="B33" s="3" t="str">
        <f t="shared" si="7"/>
        <v>Ausgrid</v>
      </c>
      <c r="C33" s="3" t="str">
        <f t="shared" si="4"/>
        <v>Residential</v>
      </c>
      <c r="D33" s="3" t="str">
        <f t="shared" si="5"/>
        <v>with CL</v>
      </c>
      <c r="E33" s="3" t="s">
        <v>17</v>
      </c>
      <c r="F33" s="41">
        <f t="array" ref="F33">IFERROR(INDEX(Usage!$B$5:$P$18,MATCH($B33,Usage!$B$5:$B$18,0),MATCH($C33&amp;$D33&amp;$E33,Usage!$B$5:$S$5&amp;Usage!$B$6:$S$6&amp;Usage!$B$7:$S$7,0)),0)</f>
        <v>660</v>
      </c>
      <c r="G33" s="23" t="s">
        <v>59</v>
      </c>
      <c r="H33" s="89" t="str">
        <f t="array" ref="H33">IFERROR(INDEX('Detail inputs'!$B$3:$K$168,MATCH($B33&amp;$C33&amp;$E33&amp;$G33&amp;H$5,'Detail inputs'!$B$3:$B$168&amp;'Detail inputs'!$D$3:$D$168&amp;'Detail inputs'!$F$3:$F$168&amp;'Detail inputs'!$G$3:$G$168&amp;'Detail inputs'!$H$3:$H$168,0),MATCH(H$4,'Detail inputs'!$B$3:$K$3,0)),"")</f>
        <v/>
      </c>
      <c r="I33" s="89" t="str">
        <f t="array" ref="I33">IFERROR(INDEX('Detail inputs'!$B$3:$K$168,MATCH($B33&amp;$C33&amp;$E33&amp;$G33&amp;I$5,'Detail inputs'!$B$3:$B$168&amp;'Detail inputs'!$D$3:$D$168&amp;'Detail inputs'!$F$3:$F$168&amp;'Detail inputs'!$G$3:$G$168&amp;'Detail inputs'!$H$3:$H$168,0),MATCH(I$4,'Detail inputs'!$B$3:$K$3,0)),"")</f>
        <v/>
      </c>
      <c r="J33" s="89" t="str">
        <f>IFERROR(IF(H33="",I33*$F33/1000,IF(I33="",H33*INDEX(Usage!$B$4:$M$18,MATCH($B33,Usage!$B$4:$B$18,0),MATCH(IF($E33="CL1","CL1 Proportion","CL2 Proportion"),Usage!$B$8:$M$8,0)),H33*INDEX(Usage!$B$4:$M$18,MATCH($B33,Usage!$B$4:$B$18,0),MATCH(IF($E33="CL1","CL1 Proportion","CL2 Proportion"),Usage!$B$8:$M$8,0))+I33*$F33/1000)),"")</f>
        <v/>
      </c>
      <c r="K33" s="43" t="str">
        <f>IFERROR(J33/J36,"")</f>
        <v/>
      </c>
      <c r="L33" s="43"/>
      <c r="M33" s="48" t="str">
        <f t="shared" si="6"/>
        <v/>
      </c>
      <c r="N33" s="43"/>
      <c r="O33" s="89" t="str">
        <f t="array" ref="O33">IFERROR(INDEX('Detail inputs'!$B$3:$K$168,MATCH($B33&amp;$C33&amp;$E33&amp;$G33&amp;O$5,'Detail inputs'!$B$3:$B$168&amp;'Detail inputs'!$D$3:$D$168&amp;'Detail inputs'!$F$3:$F$168&amp;'Detail inputs'!$G$3:$G$168&amp;'Detail inputs'!$H$3:$H$168,0),MATCH(O$4,'Detail inputs'!$B$3:$K$3,0)),"")</f>
        <v/>
      </c>
      <c r="P33" s="89" t="str">
        <f t="array" ref="P33">IFERROR(INDEX('Detail inputs'!$B$3:$K$168,MATCH($B33&amp;$C33&amp;$E33&amp;$G33&amp;P$5,'Detail inputs'!$B$3:$B$168&amp;'Detail inputs'!$D$3:$D$168&amp;'Detail inputs'!$F$3:$F$168&amp;'Detail inputs'!$G$3:$G$168&amp;'Detail inputs'!$H$3:$H$168,0),MATCH(P$4,'Detail inputs'!$B$3:$K$3,0)),"")</f>
        <v/>
      </c>
      <c r="Q33" s="89" t="str">
        <f>IFERROR(IF(O33="",P33*$F33/1000,IF(P33="",O33*INDEX(Usage!$B$4:$M$18,MATCH($B33,Usage!$B$4:$B$18,0),MATCH(IF($E33="CL1","CL1 Proportion","CL2 Proportion"),Usage!$B$8:$M$8,0)),O33*INDEX(Usage!$B$4:$M$18,MATCH($B33,Usage!$B$4:$B$18,0),MATCH(IF($E33="CL1","CL1 Proportion","CL2 Proportion"),Usage!$B$8:$M$8,0))+P33*$F33/1000)),"")</f>
        <v/>
      </c>
      <c r="R33" s="43" t="str">
        <f>IFERROR(Q33/Q34,"")</f>
        <v/>
      </c>
    </row>
    <row r="34" spans="2:22" x14ac:dyDescent="0.35">
      <c r="B34" s="3" t="str">
        <f t="shared" si="7"/>
        <v>Ausgrid</v>
      </c>
      <c r="C34" s="3" t="str">
        <f t="shared" si="4"/>
        <v>Residential</v>
      </c>
      <c r="D34" s="3" t="str">
        <f t="shared" si="5"/>
        <v>with CL</v>
      </c>
      <c r="E34" s="3" t="s">
        <v>17</v>
      </c>
      <c r="F34" s="41">
        <f t="array" ref="F34">IFERROR(INDEX(Usage!$B$5:$P$18,MATCH($B34,Usage!$B$5:$B$18,0),MATCH($C34&amp;$D34&amp;$E34,Usage!$B$5:$S$5&amp;Usage!$B$6:$S$6&amp;Usage!$B$7:$S$7,0)),0)</f>
        <v>660</v>
      </c>
      <c r="G34" s="23" t="s">
        <v>64</v>
      </c>
      <c r="H34" s="95">
        <f t="array" ref="H34">INDEX('Key inputs'!$B$16:$N$40,MATCH($B34&amp;$C34&amp;$E34,'Key inputs'!$B$16:$B$40&amp;'Key inputs'!$C$16:$C$40&amp;'Key inputs'!$D$16:$D$40,0),MATCH($G34&amp;H$4&amp;H$5,'Key inputs'!$B$17:$N$17&amp;'Key inputs'!$B$18:$N$18&amp;'Key inputs'!$B$19:$N$19,0))</f>
        <v>41.303034999999994</v>
      </c>
      <c r="I34" s="95">
        <f t="array" ref="I34">INDEX('Key inputs'!$B$16:$N$40,MATCH($B34&amp;$C34&amp;$E34,'Key inputs'!$B$16:$B$40&amp;'Key inputs'!$C$16:$C$40&amp;'Key inputs'!$D$16:$D$40,0),MATCH($G34&amp;I$4&amp;I$5,'Key inputs'!$B$17:$N$17&amp;'Key inputs'!$B$18:$N$18&amp;'Key inputs'!$B$19:$N$19,0))</f>
        <v>47.652000000000001</v>
      </c>
      <c r="J34" s="89">
        <f>H34*INDEX(Usage!$B$4:$M$18,MATCH($B34,Usage!$B$4:$B$18,0),MATCH(IF($E34="CL1","CL1 Proportion","CL2 Proportion"),Usage!$B$8:$M$8,0))+I34*$F34/1000</f>
        <v>45.080321549999994</v>
      </c>
      <c r="K34" s="43">
        <f>IFERROR(J34/J36,"")</f>
        <v>0.93440359443678189</v>
      </c>
      <c r="L34" s="43"/>
      <c r="M34" s="48">
        <f t="shared" si="6"/>
        <v>8.123666544698871E-3</v>
      </c>
      <c r="N34" s="43"/>
      <c r="O34" s="95">
        <f t="array" ref="O34">INDEX('Key inputs'!$B$16:$N$40,MATCH($B34&amp;$C34&amp;$E34,'Key inputs'!$B$16:$B$40&amp;'Key inputs'!$C$16:$C$40&amp;'Key inputs'!$D$16:$D$40,0),MATCH($G34&amp;O$4&amp;O$5,'Key inputs'!$B$17:$N$17&amp;'Key inputs'!$B$18:$N$18&amp;'Key inputs'!$B$19:$N$19,0))</f>
        <v>42.452784999999999</v>
      </c>
      <c r="P34" s="95">
        <f t="array" ref="P34">INDEX('Key inputs'!$B$16:$N$40,MATCH($B34&amp;$C34&amp;$E34,'Key inputs'!$B$16:$B$40&amp;'Key inputs'!$C$16:$C$40&amp;'Key inputs'!$D$16:$D$40,0),MATCH($G34&amp;P$4&amp;P$5,'Key inputs'!$B$17:$N$17&amp;'Key inputs'!$B$18:$N$18&amp;'Key inputs'!$B$19:$N$19,0))</f>
        <v>47.631999999999998</v>
      </c>
      <c r="Q34" s="89">
        <f>O34*INDEX(Usage!$B$4:$M$18,MATCH($B34,Usage!$B$4:$B$18,0),MATCH(IF($E34="CL1","CL1 Proportion","CL2 Proportion"),Usage!$B$8:$M$8,0))+P34*$F34/1000</f>
        <v>45.446539049999998</v>
      </c>
      <c r="R34" s="43">
        <f>IFERROR(Q34/Q36,"")</f>
        <v>0.93661450092233722</v>
      </c>
      <c r="S34" s="129"/>
      <c r="T34" s="129"/>
      <c r="U34" s="129"/>
      <c r="V34" s="129"/>
    </row>
    <row r="35" spans="2:22" x14ac:dyDescent="0.35">
      <c r="B35" s="3" t="str">
        <f t="shared" si="7"/>
        <v>Ausgrid</v>
      </c>
      <c r="C35" s="3" t="str">
        <f t="shared" si="4"/>
        <v>Residential</v>
      </c>
      <c r="D35" s="3" t="str">
        <f t="shared" si="5"/>
        <v>with CL</v>
      </c>
      <c r="E35" s="3" t="s">
        <v>17</v>
      </c>
      <c r="F35" s="41">
        <f t="array" ref="F35">IFERROR(INDEX(Usage!$B$5:$P$18,MATCH($B35,Usage!$B$5:$B$18,0),MATCH($C35&amp;$D35&amp;$E35,Usage!$B$5:$S$5&amp;Usage!$B$6:$S$6&amp;Usage!$B$7:$S$7,0)),0)</f>
        <v>660</v>
      </c>
      <c r="G35" s="23" t="s">
        <v>68</v>
      </c>
      <c r="H35" s="95">
        <f t="array" ref="H35">INDEX('Key inputs'!$B$16:$N$40,MATCH($B35&amp;$C35&amp;$E35,'Key inputs'!$B$16:$B$40&amp;'Key inputs'!$C$16:$C$40&amp;'Key inputs'!$D$16:$D$40,0),MATCH($G35&amp;H$4&amp;H$5,'Key inputs'!$B$17:$N$17&amp;'Key inputs'!$B$18:$N$18&amp;'Key inputs'!$B$19:$N$19,0))</f>
        <v>9.59</v>
      </c>
      <c r="I35" s="89">
        <f>IFERROR(INDEX('Detail inputs'!$B$3:$K$168,MATCH($B35&amp;$C35&amp;$E35&amp;$G35&amp;I$5,'Detail inputs'!$B$3:$B$168&amp;'Detail inputs'!$D$3:$D$168&amp;'Detail inputs'!$F$3:$F$168&amp;'Detail inputs'!$G$3:$G$168&amp;'Detail inputs'!$H$3:$H$168,0),MATCH(I$4,'Detail inputs'!$B$3:$K$3,0)),0)</f>
        <v>0</v>
      </c>
      <c r="J35" s="89">
        <f>H35*INDEX(Usage!$B$4:$M$18,MATCH($B35,Usage!$B$4:$B$18,0),MATCH(IF($E35="CL1","CL1 Proportion","CL2 Proportion"),Usage!$B$8:$M$8,0))+I35*$F35/1000</f>
        <v>3.1646999999999994</v>
      </c>
      <c r="K35" s="43">
        <f>IFERROR(J35/J36,"")</f>
        <v>6.5596405563218163E-2</v>
      </c>
      <c r="L35" s="43"/>
      <c r="M35" s="48">
        <f t="shared" si="6"/>
        <v>-2.8154327424400383E-2</v>
      </c>
      <c r="N35" s="43"/>
      <c r="O35" s="95">
        <f t="array" ref="O35">INDEX('Key inputs'!$B$16:$N$40,MATCH($B35&amp;$C35&amp;$E35,'Key inputs'!$B$16:$B$40&amp;'Key inputs'!$C$16:$C$40&amp;'Key inputs'!$D$16:$D$40,0),MATCH($G35&amp;O$4&amp;O$5,'Key inputs'!$B$17:$N$17&amp;'Key inputs'!$B$18:$N$18&amp;'Key inputs'!$B$19:$N$19,0))</f>
        <v>9.32</v>
      </c>
      <c r="P35" s="89">
        <f>IFERROR(INDEX('Detail inputs'!$B$3:$K$168,MATCH($B35&amp;$C35&amp;$E35&amp;$G35&amp;P$5,'Detail inputs'!$B$3:$B$168&amp;'Detail inputs'!$D$3:$D$168&amp;'Detail inputs'!$F$3:$F$168&amp;'Detail inputs'!$G$3:$G$168&amp;'Detail inputs'!$H$3:$H$168,0),MATCH(P$4,'Detail inputs'!$B$3:$K$3,0)),0)</f>
        <v>0</v>
      </c>
      <c r="Q35" s="89">
        <f>O35*INDEX(Usage!$B$4:$M$18,MATCH($B35,Usage!$B$4:$B$18,0),MATCH(IF($E35="CL1","CL1 Proportion","CL2 Proportion"),Usage!$B$8:$M$8,0))+P35*$F35/1000</f>
        <v>3.0755999999999997</v>
      </c>
      <c r="R35" s="43">
        <f>IFERROR(Q35/Q36,"")</f>
        <v>6.3385499077662777E-2</v>
      </c>
    </row>
    <row r="36" spans="2:22" x14ac:dyDescent="0.35">
      <c r="B36" s="3" t="str">
        <f t="shared" si="7"/>
        <v>Ausgrid</v>
      </c>
      <c r="C36" s="3" t="str">
        <f t="shared" si="4"/>
        <v>Residential</v>
      </c>
      <c r="D36" s="3" t="str">
        <f t="shared" si="5"/>
        <v>with CL</v>
      </c>
      <c r="E36" s="3" t="s">
        <v>17</v>
      </c>
      <c r="F36" s="41">
        <f t="array" ref="F36">IFERROR(INDEX(Usage!$B$5:$P$18,MATCH($B36,Usage!$B$5:$B$18,0),MATCH($C36&amp;$D36&amp;$E36,Usage!$B$5:$S$5&amp;Usage!$B$6:$S$6&amp;Usage!$B$7:$S$7,0)),0)</f>
        <v>660</v>
      </c>
      <c r="G36" s="3" t="s">
        <v>62</v>
      </c>
      <c r="J36" s="95">
        <f>SUM(J34:J35)</f>
        <v>48.24502154999999</v>
      </c>
      <c r="K36" s="43"/>
      <c r="M36" s="48">
        <f t="shared" si="6"/>
        <v>5.7439605392819448E-3</v>
      </c>
      <c r="N36" s="88"/>
      <c r="O36" s="95"/>
      <c r="P36" s="95"/>
      <c r="Q36" s="95">
        <f>SUM(Q34:Q35)</f>
        <v>48.52213905</v>
      </c>
      <c r="R36" s="43"/>
    </row>
    <row r="37" spans="2:22" s="77" customFormat="1" x14ac:dyDescent="0.35">
      <c r="B37" s="77" t="str">
        <f t="shared" si="7"/>
        <v>Ausgrid</v>
      </c>
      <c r="C37" s="77" t="str">
        <f t="shared" si="4"/>
        <v>Residential</v>
      </c>
      <c r="D37" s="77" t="str">
        <f t="shared" si="5"/>
        <v>with CL</v>
      </c>
      <c r="E37" s="3" t="s">
        <v>62</v>
      </c>
      <c r="F37" s="41">
        <f t="array" ref="F37">IFERROR(INDEX(Usage!$B$5:$P$18,MATCH($B37,Usage!$B$5:$B$18,0),MATCH($C37&amp;$D37&amp;$E37,Usage!$B$5:$S$5&amp;Usage!$B$6:$S$6&amp;Usage!$B$7:$S$7,0)),0)</f>
        <v>6800</v>
      </c>
      <c r="G37" s="77" t="s">
        <v>62</v>
      </c>
      <c r="H37" s="95"/>
      <c r="I37" s="95"/>
      <c r="J37" s="95">
        <f>SUM(J24,J30,J36)</f>
        <v>645.91359629999988</v>
      </c>
      <c r="K37" s="87"/>
      <c r="L37" s="88"/>
      <c r="M37" s="48">
        <f t="shared" si="6"/>
        <v>2.6911104286349241E-2</v>
      </c>
      <c r="N37" s="88"/>
      <c r="O37" s="95"/>
      <c r="P37" s="95"/>
      <c r="Q37" s="95">
        <f>SUM(Q24,Q30,Q36)</f>
        <v>663.29584445000012</v>
      </c>
      <c r="R37" s="87"/>
    </row>
    <row r="38" spans="2:22" s="5" customFormat="1" outlineLevel="1" x14ac:dyDescent="0.35">
      <c r="B38" s="3" t="str">
        <f t="shared" ref="B38:D39" si="8">B37</f>
        <v>Ausgrid</v>
      </c>
      <c r="C38" s="3" t="str">
        <f t="shared" si="8"/>
        <v>Residential</v>
      </c>
      <c r="D38" s="3" t="str">
        <f t="shared" si="8"/>
        <v>with CL</v>
      </c>
      <c r="E38" s="77"/>
      <c r="F38" s="78"/>
      <c r="G38" s="77" t="s">
        <v>42</v>
      </c>
      <c r="H38" s="95"/>
      <c r="I38" s="95"/>
      <c r="J38" s="95">
        <f>J37*GST</f>
        <v>64.591359629999985</v>
      </c>
      <c r="K38" s="87"/>
      <c r="L38" s="88"/>
      <c r="M38" s="48">
        <f t="shared" si="6"/>
        <v>2.6911104286349241E-2</v>
      </c>
      <c r="N38" s="88"/>
      <c r="O38" s="95"/>
      <c r="P38" s="95"/>
      <c r="Q38" s="95">
        <f>Q37*GST</f>
        <v>66.329584445000009</v>
      </c>
      <c r="R38" s="87"/>
    </row>
    <row r="39" spans="2:22" s="5" customFormat="1" x14ac:dyDescent="0.35">
      <c r="B39" s="3" t="str">
        <f t="shared" si="8"/>
        <v>Ausgrid</v>
      </c>
      <c r="C39" s="3" t="str">
        <f t="shared" si="8"/>
        <v>Residential</v>
      </c>
      <c r="D39" s="3" t="str">
        <f t="shared" si="8"/>
        <v>with CL</v>
      </c>
      <c r="E39" s="77"/>
      <c r="F39" s="78"/>
      <c r="G39" s="5" t="s">
        <v>90</v>
      </c>
      <c r="H39" s="94"/>
      <c r="I39" s="94"/>
      <c r="J39" s="94">
        <f>SUM(J37:J38)</f>
        <v>710.50495592999982</v>
      </c>
      <c r="K39" s="75"/>
      <c r="L39" s="27"/>
      <c r="M39" s="76">
        <f t="shared" si="6"/>
        <v>2.6911104286349463E-2</v>
      </c>
      <c r="N39" s="27"/>
      <c r="O39" s="94"/>
      <c r="P39" s="94"/>
      <c r="Q39" s="94">
        <f>SUM(Q37:Q38)</f>
        <v>729.62542889500014</v>
      </c>
      <c r="R39" s="75"/>
    </row>
    <row r="40" spans="2:22" x14ac:dyDescent="0.35">
      <c r="F40" s="41"/>
      <c r="K40" s="43"/>
      <c r="M40" s="48"/>
      <c r="R40" s="43"/>
    </row>
    <row r="41" spans="2:22" x14ac:dyDescent="0.35">
      <c r="B41" s="5" t="s">
        <v>2</v>
      </c>
      <c r="C41" s="5" t="s">
        <v>15</v>
      </c>
      <c r="D41" s="5" t="s">
        <v>150</v>
      </c>
      <c r="E41" s="5"/>
      <c r="F41" s="74"/>
      <c r="K41" s="43"/>
      <c r="M41" s="48"/>
      <c r="R41" s="43"/>
    </row>
    <row r="42" spans="2:22" outlineLevel="1" x14ac:dyDescent="0.35">
      <c r="B42" s="3" t="str">
        <f t="shared" ref="B42:B49" si="9">B41</f>
        <v>Ausgrid</v>
      </c>
      <c r="C42" s="3" t="str">
        <f t="shared" ref="C42:C47" si="10">C41</f>
        <v>Small business</v>
      </c>
      <c r="D42" s="3" t="str">
        <f t="shared" ref="D42:D47" si="11">D41</f>
        <v>without CL</v>
      </c>
      <c r="E42" s="3" t="s">
        <v>23</v>
      </c>
      <c r="F42" s="41">
        <f t="array" ref="F42">IFERROR(INDEX(Usage!$B$5:$P$18,MATCH($B42,Usage!$B$5:$B$18,0),MATCH($C42&amp;$D42&amp;$E42,Usage!$B$5:$S$5&amp;Usage!$B$6:$S$6&amp;Usage!$B$7:$S$7,0)),0)</f>
        <v>20000</v>
      </c>
      <c r="G42" s="3" t="s">
        <v>57</v>
      </c>
      <c r="H42" s="89" t="str">
        <f t="array" ref="H42">IFERROR(INDEX('Detail inputs'!$B$3:$K$168,MATCH($B42&amp;$C42&amp;$E42&amp;$G42&amp;H$5,'Detail inputs'!$B$3:$B$168&amp;'Detail inputs'!$D$3:$D$168&amp;'Detail inputs'!$F$3:$F$168&amp;'Detail inputs'!$G$3:$G$168&amp;'Detail inputs'!$H$3:$H$168,0),MATCH(H$4,'Detail inputs'!$B$3:$K$3,0)),"")</f>
        <v/>
      </c>
      <c r="I42" s="89" t="str">
        <f t="array" ref="I42">IFERROR(INDEX('Detail inputs'!$B$3:$K$168,MATCH($B42&amp;$C42&amp;$E42&amp;$G42&amp;I$5,'Detail inputs'!$B$3:$B$168&amp;'Detail inputs'!$D$3:$D$168&amp;'Detail inputs'!$F$3:$F$168&amp;'Detail inputs'!$G$3:$G$168&amp;'Detail inputs'!$H$3:$H$168,0),MATCH(I$4,'Detail inputs'!$B$3:$K$3,0)),"")</f>
        <v/>
      </c>
      <c r="J42" s="89" t="str">
        <f>IFERROR(IF(H42="",I42*$F42/1000,IF(I42="",H42,H42+I42*$F42/1000)),"")</f>
        <v/>
      </c>
      <c r="K42" s="43" t="str">
        <f>IFERROR(J42/J45,"")</f>
        <v/>
      </c>
      <c r="L42" s="43"/>
      <c r="M42" s="48" t="str">
        <f t="shared" ref="M42:M49" si="12">IF(OR(J42=0,J42="",Q42=""),"",Q42/J42-1)</f>
        <v/>
      </c>
      <c r="N42" s="43"/>
      <c r="O42" s="89" t="str">
        <f t="array" ref="O42">IFERROR(INDEX('Detail inputs'!$B$3:$K$168,MATCH($B42&amp;$C42&amp;$E42&amp;$G42&amp;O$5,'Detail inputs'!$B$3:$B$168&amp;'Detail inputs'!$D$3:$D$168&amp;'Detail inputs'!$F$3:$F$168&amp;'Detail inputs'!$G$3:$G$168&amp;'Detail inputs'!$H$3:$H$168,0),MATCH(O$4,'Detail inputs'!$B$3:$K$3,0)),"")</f>
        <v/>
      </c>
      <c r="P42" s="89" t="str">
        <f t="array" ref="P42">IFERROR(INDEX('Detail inputs'!$B$3:$K$168,MATCH($B42&amp;$C42&amp;$E42&amp;$G42&amp;P$5,'Detail inputs'!$B$3:$B$168&amp;'Detail inputs'!$D$3:$D$168&amp;'Detail inputs'!$F$3:$F$168&amp;'Detail inputs'!$G$3:$G$168&amp;'Detail inputs'!$H$3:$H$168,0),MATCH(P$4,'Detail inputs'!$B$3:$K$3,0)),"")</f>
        <v/>
      </c>
      <c r="Q42" s="89" t="str">
        <f>IFERROR(IF(O42="",P42*$F42/1000,IF(P42="",O42,O42+P42*$F42/1000)),"")</f>
        <v/>
      </c>
      <c r="R42" s="43" t="str">
        <f>IFERROR(Q42/Q45,"")</f>
        <v/>
      </c>
    </row>
    <row r="43" spans="2:22" outlineLevel="1" x14ac:dyDescent="0.35">
      <c r="B43" s="3" t="str">
        <f t="shared" si="9"/>
        <v>Ausgrid</v>
      </c>
      <c r="C43" s="3" t="str">
        <f t="shared" si="10"/>
        <v>Small business</v>
      </c>
      <c r="D43" s="3" t="str">
        <f t="shared" si="11"/>
        <v>without CL</v>
      </c>
      <c r="E43" s="3" t="s">
        <v>23</v>
      </c>
      <c r="F43" s="41">
        <f t="array" ref="F43">IFERROR(INDEX(Usage!$B$5:$P$18,MATCH($B43,Usage!$B$5:$B$18,0),MATCH($C43&amp;$D43&amp;$E43,Usage!$B$5:$S$5&amp;Usage!$B$6:$S$6&amp;Usage!$B$7:$S$7,0)),0)</f>
        <v>20000</v>
      </c>
      <c r="G43" s="3" t="s">
        <v>58</v>
      </c>
      <c r="H43" s="89" t="str">
        <f t="array" ref="H43">IFERROR(INDEX('Detail inputs'!$B$3:$K$168,MATCH($B43&amp;$C43&amp;$E43&amp;$G43&amp;H$5,'Detail inputs'!$B$3:$B$168&amp;'Detail inputs'!$D$3:$D$168&amp;'Detail inputs'!$F$3:$F$168&amp;'Detail inputs'!$G$3:$G$168&amp;'Detail inputs'!$H$3:$H$168,0),MATCH(H$4,'Detail inputs'!$B$3:$K$3,0)),"")</f>
        <v/>
      </c>
      <c r="I43" s="89" t="str">
        <f t="array" ref="I43">IFERROR(INDEX('Detail inputs'!$B$3:$K$168,MATCH($B43&amp;$C43&amp;$E43&amp;$G43&amp;I$5,'Detail inputs'!$B$3:$B$168&amp;'Detail inputs'!$D$3:$D$168&amp;'Detail inputs'!$F$3:$F$168&amp;'Detail inputs'!$G$3:$G$168&amp;'Detail inputs'!$H$3:$H$168,0),MATCH(I$4,'Detail inputs'!$B$3:$K$3,0)),"")</f>
        <v/>
      </c>
      <c r="J43" s="89" t="str">
        <f>IFERROR(IF(H43="",I43*$F43/1000,IF(I43="",H43,H43+I43*$F43/1000)),"")</f>
        <v/>
      </c>
      <c r="K43" s="43" t="str">
        <f>IFERROR(J43/J46,"")</f>
        <v/>
      </c>
      <c r="L43" s="43"/>
      <c r="M43" s="48" t="str">
        <f t="shared" si="12"/>
        <v/>
      </c>
      <c r="N43" s="43"/>
      <c r="O43" s="89" t="str">
        <f t="array" ref="O43">IFERROR(INDEX('Detail inputs'!$B$3:$K$168,MATCH($B43&amp;$C43&amp;$E43&amp;$G43&amp;O$5,'Detail inputs'!$B$3:$B$168&amp;'Detail inputs'!$D$3:$D$168&amp;'Detail inputs'!$F$3:$F$168&amp;'Detail inputs'!$G$3:$G$168&amp;'Detail inputs'!$H$3:$H$168,0),MATCH(O$4,'Detail inputs'!$B$3:$K$3,0)),"")</f>
        <v/>
      </c>
      <c r="P43" s="89" t="str">
        <f t="array" ref="P43">IFERROR(INDEX('Detail inputs'!$B$3:$K$168,MATCH($B43&amp;$C43&amp;$E43&amp;$G43&amp;P$5,'Detail inputs'!$B$3:$B$168&amp;'Detail inputs'!$D$3:$D$168&amp;'Detail inputs'!$F$3:$F$168&amp;'Detail inputs'!$G$3:$G$168&amp;'Detail inputs'!$H$3:$H$168,0),MATCH(P$4,'Detail inputs'!$B$3:$K$3,0)),"")</f>
        <v/>
      </c>
      <c r="Q43" s="89" t="str">
        <f>IFERROR(IF(O43="",P43*$F43/1000,IF(P43="",O43,O43+P43*$F43/1000)),"")</f>
        <v/>
      </c>
      <c r="R43" s="43" t="str">
        <f>IFERROR(Q43/Q46,"")</f>
        <v/>
      </c>
    </row>
    <row r="44" spans="2:22" outlineLevel="1" x14ac:dyDescent="0.35">
      <c r="B44" s="3" t="str">
        <f t="shared" si="9"/>
        <v>Ausgrid</v>
      </c>
      <c r="C44" s="3" t="str">
        <f t="shared" si="10"/>
        <v>Small business</v>
      </c>
      <c r="D44" s="3" t="str">
        <f t="shared" si="11"/>
        <v>without CL</v>
      </c>
      <c r="E44" s="3" t="s">
        <v>23</v>
      </c>
      <c r="F44" s="41">
        <f t="array" ref="F44">IFERROR(INDEX(Usage!$B$5:$P$18,MATCH($B44,Usage!$B$5:$B$18,0),MATCH($C44&amp;$D44&amp;$E44,Usage!$B$5:$S$5&amp;Usage!$B$6:$S$6&amp;Usage!$B$7:$S$7,0)),0)</f>
        <v>20000</v>
      </c>
      <c r="G44" s="3" t="s">
        <v>59</v>
      </c>
      <c r="H44" s="89" t="str">
        <f t="array" ref="H44">IFERROR(INDEX('Detail inputs'!$B$3:$K$168,MATCH($B44&amp;$C44&amp;$E44&amp;$G44&amp;H$5,'Detail inputs'!$B$3:$B$168&amp;'Detail inputs'!$D$3:$D$168&amp;'Detail inputs'!$F$3:$F$168&amp;'Detail inputs'!$G$3:$G$168&amp;'Detail inputs'!$H$3:$H$168,0),MATCH(H$4,'Detail inputs'!$B$3:$K$3,0)),"")</f>
        <v/>
      </c>
      <c r="I44" s="89" t="str">
        <f t="array" ref="I44">IFERROR(INDEX('Detail inputs'!$B$3:$K$168,MATCH($B44&amp;$C44&amp;$E44&amp;$G44&amp;I$5,'Detail inputs'!$B$3:$B$168&amp;'Detail inputs'!$D$3:$D$168&amp;'Detail inputs'!$F$3:$F$168&amp;'Detail inputs'!$G$3:$G$168&amp;'Detail inputs'!$H$3:$H$168,0),MATCH(I$4,'Detail inputs'!$B$3:$K$3,0)),"")</f>
        <v/>
      </c>
      <c r="J44" s="89" t="str">
        <f>IFERROR(IF(H44="",I44*$F44/1000,IF(I44="",H44,H44+I44*$F44/1000)),"")</f>
        <v/>
      </c>
      <c r="K44" s="43" t="str">
        <f>IFERROR(J44/J47,"")</f>
        <v/>
      </c>
      <c r="L44" s="43"/>
      <c r="M44" s="48" t="str">
        <f t="shared" si="12"/>
        <v/>
      </c>
      <c r="N44" s="43"/>
      <c r="O44" s="89" t="str">
        <f t="array" ref="O44">IFERROR(INDEX('Detail inputs'!$B$3:$K$168,MATCH($B44&amp;$C44&amp;$E44&amp;$G44&amp;O$5,'Detail inputs'!$B$3:$B$168&amp;'Detail inputs'!$D$3:$D$168&amp;'Detail inputs'!$F$3:$F$168&amp;'Detail inputs'!$G$3:$G$168&amp;'Detail inputs'!$H$3:$H$168,0),MATCH(O$4,'Detail inputs'!$B$3:$K$3,0)),"")</f>
        <v/>
      </c>
      <c r="P44" s="89" t="str">
        <f t="array" ref="P44">IFERROR(INDEX('Detail inputs'!$B$3:$K$168,MATCH($B44&amp;$C44&amp;$E44&amp;$G44&amp;P$5,'Detail inputs'!$B$3:$B$168&amp;'Detail inputs'!$D$3:$D$168&amp;'Detail inputs'!$F$3:$F$168&amp;'Detail inputs'!$G$3:$G$168&amp;'Detail inputs'!$H$3:$H$168,0),MATCH(P$4,'Detail inputs'!$B$3:$K$3,0)),"")</f>
        <v/>
      </c>
      <c r="Q44" s="89" t="str">
        <f>IFERROR(IF(O44="",P44*$F44/1000,IF(P44="",O44,O44+P44*$F44/1000)),"")</f>
        <v/>
      </c>
      <c r="R44" s="43" t="str">
        <f>IFERROR(Q44/Q47,"")</f>
        <v/>
      </c>
    </row>
    <row r="45" spans="2:22" x14ac:dyDescent="0.35">
      <c r="B45" s="3" t="str">
        <f t="shared" si="9"/>
        <v>Ausgrid</v>
      </c>
      <c r="C45" s="3" t="str">
        <f t="shared" si="10"/>
        <v>Small business</v>
      </c>
      <c r="D45" s="3" t="str">
        <f t="shared" si="11"/>
        <v>without CL</v>
      </c>
      <c r="E45" s="3" t="s">
        <v>23</v>
      </c>
      <c r="F45" s="41">
        <f t="array" ref="F45">IFERROR(INDEX(Usage!$B$5:$P$18,MATCH($B45,Usage!$B$5:$B$18,0),MATCH($C45&amp;$D45&amp;$E45,Usage!$B$5:$S$5&amp;Usage!$B$6:$S$6&amp;Usage!$B$7:$S$7,0)),0)</f>
        <v>20000</v>
      </c>
      <c r="G45" s="3" t="s">
        <v>64</v>
      </c>
      <c r="H45" s="95">
        <f t="array" ref="H45">INDEX('Key inputs'!$B$16:$N$40,MATCH($B45&amp;$C45&amp;$E45,'Key inputs'!$B$16:$B$40&amp;'Key inputs'!$C$16:$C$40&amp;'Key inputs'!$D$16:$D$40,0),MATCH($G45&amp;H$4&amp;H$5,'Key inputs'!$B$17:$N$17&amp;'Key inputs'!$B$18:$N$18&amp;'Key inputs'!$B$19:$N$19,0))</f>
        <v>455.69191499999999</v>
      </c>
      <c r="I45" s="95">
        <f t="array" ref="I45">INDEX('Key inputs'!$B$16:$N$40,MATCH($B45&amp;$C45&amp;$E45,'Key inputs'!$B$16:$B$40&amp;'Key inputs'!$C$16:$C$40&amp;'Key inputs'!$D$16:$D$40,0),MATCH($G45&amp;I$4&amp;I$5,'Key inputs'!$B$17:$N$17&amp;'Key inputs'!$B$18:$N$18&amp;'Key inputs'!$B$19:$N$19,0))</f>
        <v>75.991</v>
      </c>
      <c r="J45" s="89">
        <f>H45+I45*$F45/1000</f>
        <v>1975.511915</v>
      </c>
      <c r="K45" s="43">
        <f>IFERROR(J45/J47,"")</f>
        <v>0.98253285460257911</v>
      </c>
      <c r="L45" s="43"/>
      <c r="M45" s="48">
        <f t="shared" si="12"/>
        <v>4.2166027634411796E-2</v>
      </c>
      <c r="N45" s="43"/>
      <c r="O45" s="95">
        <f t="array" ref="O45">INDEX('Key inputs'!$B$16:$N$40,MATCH($B45&amp;$C45&amp;$E45,'Key inputs'!$B$16:$B$40&amp;'Key inputs'!$C$16:$C$40&amp;'Key inputs'!$D$16:$D$40,0),MATCH($G45&amp;O$4&amp;O$5,'Key inputs'!$B$17:$N$17&amp;'Key inputs'!$B$18:$N$18&amp;'Key inputs'!$B$19:$N$19,0))</f>
        <v>472.49140499999999</v>
      </c>
      <c r="P45" s="95">
        <f t="array" ref="P45">INDEX('Key inputs'!$B$16:$N$40,MATCH($B45&amp;$C45&amp;$E45,'Key inputs'!$B$16:$B$40&amp;'Key inputs'!$C$16:$C$40&amp;'Key inputs'!$D$16:$D$40,0),MATCH($G45&amp;P$4&amp;P$5,'Key inputs'!$B$17:$N$17&amp;'Key inputs'!$B$18:$N$18&amp;'Key inputs'!$B$19:$N$19,0))</f>
        <v>79.316000000000003</v>
      </c>
      <c r="Q45" s="89">
        <f>O45+P45*$F45/1000</f>
        <v>2058.8114049999999</v>
      </c>
      <c r="R45" s="43">
        <f>IFERROR(Q45/Q47,"")</f>
        <v>0.98337800419080146</v>
      </c>
      <c r="S45" s="129"/>
      <c r="T45" s="129"/>
      <c r="U45" s="129"/>
      <c r="V45" s="129"/>
    </row>
    <row r="46" spans="2:22" x14ac:dyDescent="0.35">
      <c r="B46" s="3" t="str">
        <f t="shared" si="9"/>
        <v>Ausgrid</v>
      </c>
      <c r="C46" s="3" t="str">
        <f t="shared" si="10"/>
        <v>Small business</v>
      </c>
      <c r="D46" s="3" t="str">
        <f t="shared" si="11"/>
        <v>without CL</v>
      </c>
      <c r="E46" s="3" t="s">
        <v>23</v>
      </c>
      <c r="F46" s="41">
        <f t="array" ref="F46">IFERROR(INDEX(Usage!$B$5:$P$18,MATCH($B46,Usage!$B$5:$B$18,0),MATCH($C46&amp;$D46&amp;$E46,Usage!$B$5:$S$5&amp;Usage!$B$6:$S$6&amp;Usage!$B$7:$S$7,0)),0)</f>
        <v>20000</v>
      </c>
      <c r="G46" s="3" t="s">
        <v>68</v>
      </c>
      <c r="H46" s="95">
        <f t="array" ref="H46">INDEX('Key inputs'!$B$16:$N$40,MATCH($B46&amp;$C46&amp;$E46,'Key inputs'!$B$16:$B$40&amp;'Key inputs'!$C$16:$C$40&amp;'Key inputs'!$D$16:$D$40,0),MATCH($G46&amp;H$4&amp;H$5,'Key inputs'!$B$17:$N$17&amp;'Key inputs'!$B$18:$N$18&amp;'Key inputs'!$B$19:$N$19,0))</f>
        <v>35.119999999999997</v>
      </c>
      <c r="I46" s="89">
        <f>IFERROR(INDEX('Detail inputs'!$B$3:$K$168,MATCH($B46&amp;$C46&amp;$E46&amp;$G46&amp;I$5,'Detail inputs'!$B$3:$B$168&amp;'Detail inputs'!$D$3:$D$168&amp;'Detail inputs'!$F$3:$F$168&amp;'Detail inputs'!$G$3:$G$168&amp;'Detail inputs'!$H$3:$H$168,0),MATCH(I$4,'Detail inputs'!$B$3:$K$3,0)),0)</f>
        <v>0</v>
      </c>
      <c r="J46" s="89">
        <f>H46+I46*$F46/1000</f>
        <v>35.119999999999997</v>
      </c>
      <c r="K46" s="43">
        <f>IFERROR(J46/J47,"")</f>
        <v>1.7467145397420988E-2</v>
      </c>
      <c r="L46" s="43"/>
      <c r="M46" s="48">
        <f t="shared" si="12"/>
        <v>-9.1116173120728838E-3</v>
      </c>
      <c r="N46" s="43"/>
      <c r="O46" s="95">
        <f t="array" ref="O46">INDEX('Key inputs'!$B$16:$N$40,MATCH($B46&amp;$C46&amp;$E46,'Key inputs'!$B$16:$B$40&amp;'Key inputs'!$C$16:$C$40&amp;'Key inputs'!$D$16:$D$40,0),MATCH($G46&amp;O$4&amp;O$5,'Key inputs'!$B$17:$N$17&amp;'Key inputs'!$B$18:$N$18&amp;'Key inputs'!$B$19:$N$19,0))</f>
        <v>34.799999999999997</v>
      </c>
      <c r="P46" s="89">
        <f>IFERROR(INDEX('Detail inputs'!$B$3:$K$168,MATCH($B46&amp;$C46&amp;$E46&amp;$G46&amp;P$5,'Detail inputs'!$B$3:$B$168&amp;'Detail inputs'!$D$3:$D$168&amp;'Detail inputs'!$F$3:$F$168&amp;'Detail inputs'!$G$3:$G$168&amp;'Detail inputs'!$H$3:$H$168,0),MATCH(P$4,'Detail inputs'!$B$3:$K$3,0)),0)</f>
        <v>0</v>
      </c>
      <c r="Q46" s="89">
        <f>O46+P46*$F46/1000</f>
        <v>34.799999999999997</v>
      </c>
      <c r="R46" s="43">
        <f>IFERROR(Q46/Q47,"")</f>
        <v>1.662199580919841E-2</v>
      </c>
    </row>
    <row r="47" spans="2:22" s="77" customFormat="1" x14ac:dyDescent="0.35">
      <c r="B47" s="77" t="str">
        <f t="shared" si="9"/>
        <v>Ausgrid</v>
      </c>
      <c r="C47" s="77" t="str">
        <f t="shared" si="10"/>
        <v>Small business</v>
      </c>
      <c r="D47" s="77" t="str">
        <f t="shared" si="11"/>
        <v>without CL</v>
      </c>
      <c r="E47" s="3" t="s">
        <v>23</v>
      </c>
      <c r="F47" s="41">
        <f t="array" ref="F47">IFERROR(INDEX(Usage!$B$5:$P$18,MATCH($B47,Usage!$B$5:$B$18,0),MATCH($C47&amp;$D47&amp;$E47,Usage!$B$5:$S$5&amp;Usage!$B$6:$S$6&amp;Usage!$B$7:$S$7,0)),0)</f>
        <v>20000</v>
      </c>
      <c r="G47" s="77" t="s">
        <v>62</v>
      </c>
      <c r="H47" s="95"/>
      <c r="I47" s="95"/>
      <c r="J47" s="95">
        <f>SUM(J45:J46)</f>
        <v>2010.6319149999999</v>
      </c>
      <c r="K47" s="87"/>
      <c r="L47" s="88"/>
      <c r="M47" s="48">
        <f t="shared" si="12"/>
        <v>4.1270353554494488E-2</v>
      </c>
      <c r="N47" s="88"/>
      <c r="O47" s="95"/>
      <c r="P47" s="95"/>
      <c r="Q47" s="95">
        <f>SUM(Q45:Q46)</f>
        <v>2093.6114050000001</v>
      </c>
      <c r="R47" s="87"/>
    </row>
    <row r="48" spans="2:22" s="5" customFormat="1" outlineLevel="1" x14ac:dyDescent="0.35">
      <c r="B48" s="3" t="str">
        <f t="shared" si="9"/>
        <v>Ausgrid</v>
      </c>
      <c r="C48" s="3" t="str">
        <f>C47</f>
        <v>Small business</v>
      </c>
      <c r="D48" s="3" t="str">
        <f>D47</f>
        <v>without CL</v>
      </c>
      <c r="E48" s="77"/>
      <c r="F48" s="78"/>
      <c r="G48" s="77" t="s">
        <v>42</v>
      </c>
      <c r="H48" s="95"/>
      <c r="I48" s="95"/>
      <c r="J48" s="95">
        <f>J47*GST</f>
        <v>201.06319150000002</v>
      </c>
      <c r="K48" s="87"/>
      <c r="L48" s="88"/>
      <c r="M48" s="48">
        <f t="shared" si="12"/>
        <v>4.1270353554494488E-2</v>
      </c>
      <c r="N48" s="88"/>
      <c r="O48" s="95"/>
      <c r="P48" s="95"/>
      <c r="Q48" s="95">
        <f>Q47*GST</f>
        <v>209.36114050000003</v>
      </c>
      <c r="R48" s="87"/>
    </row>
    <row r="49" spans="2:22" s="5" customFormat="1" x14ac:dyDescent="0.35">
      <c r="B49" s="3" t="str">
        <f t="shared" si="9"/>
        <v>Ausgrid</v>
      </c>
      <c r="C49" s="3" t="str">
        <f>C48</f>
        <v>Small business</v>
      </c>
      <c r="D49" s="3" t="str">
        <f>D48</f>
        <v>without CL</v>
      </c>
      <c r="E49" s="77"/>
      <c r="F49" s="78"/>
      <c r="G49" s="5" t="s">
        <v>90</v>
      </c>
      <c r="H49" s="94"/>
      <c r="I49" s="94"/>
      <c r="J49" s="94">
        <f>SUM(J47:J48)</f>
        <v>2211.6951064999998</v>
      </c>
      <c r="K49" s="75"/>
      <c r="L49" s="27"/>
      <c r="M49" s="76">
        <f t="shared" si="12"/>
        <v>4.1270353554494488E-2</v>
      </c>
      <c r="N49" s="27"/>
      <c r="O49" s="94"/>
      <c r="P49" s="94"/>
      <c r="Q49" s="94">
        <f>SUM(Q47:Q48)</f>
        <v>2302.9725455000003</v>
      </c>
      <c r="R49" s="75"/>
    </row>
    <row r="50" spans="2:22" x14ac:dyDescent="0.35">
      <c r="F50" s="41"/>
      <c r="G50" s="73"/>
      <c r="K50" s="43"/>
      <c r="M50" s="48"/>
      <c r="R50" s="43"/>
    </row>
    <row r="51" spans="2:22" x14ac:dyDescent="0.35">
      <c r="B51" s="5" t="s">
        <v>4</v>
      </c>
      <c r="C51" s="5" t="s">
        <v>6</v>
      </c>
      <c r="D51" s="5" t="s">
        <v>150</v>
      </c>
      <c r="F51" s="41"/>
      <c r="G51" s="73"/>
      <c r="K51" s="43"/>
      <c r="M51" s="48" t="str">
        <f>IF(OR(J51=0,Q51=""),"",Q51/J51-1)</f>
        <v/>
      </c>
      <c r="R51" s="43"/>
    </row>
    <row r="52" spans="2:22" outlineLevel="1" x14ac:dyDescent="0.35">
      <c r="B52" s="3" t="str">
        <f>B51</f>
        <v>Endeavour</v>
      </c>
      <c r="C52" s="3" t="str">
        <f t="shared" ref="C52:C59" si="13">C51</f>
        <v>Residential</v>
      </c>
      <c r="D52" s="3" t="str">
        <f t="shared" ref="D52:D59" si="14">D51</f>
        <v>without CL</v>
      </c>
      <c r="E52" s="3" t="s">
        <v>23</v>
      </c>
      <c r="F52" s="41">
        <f t="array" ref="F52">IFERROR(INDEX(Usage!$B$5:$P$18,MATCH($B52,Usage!$B$5:$B$18,0),MATCH($C52&amp;$D52&amp;$E52,Usage!$B$5:$S$5&amp;Usage!$B$6:$S$6&amp;Usage!$B$7:$S$7,0)),0)</f>
        <v>4900</v>
      </c>
      <c r="G52" s="3" t="s">
        <v>57</v>
      </c>
      <c r="H52" s="89" t="str">
        <f t="array" ref="H52">IFERROR(INDEX('Detail inputs'!$B$3:$K$168,MATCH($B52&amp;$C52&amp;$E52&amp;$G52&amp;H$5,'Detail inputs'!$B$3:$B$168&amp;'Detail inputs'!$D$3:$D$168&amp;'Detail inputs'!$F$3:$F$168&amp;'Detail inputs'!$G$3:$G$168&amp;'Detail inputs'!$H$3:$H$168,0),MATCH(H$4,'Detail inputs'!$B$3:$K$3,0)),"")</f>
        <v/>
      </c>
      <c r="I52" s="89" t="str">
        <f t="array" ref="I52">IFERROR(INDEX('Detail inputs'!$B$3:$K$168,MATCH($B52&amp;$C52&amp;$E52&amp;$G52&amp;I$5,'Detail inputs'!$B$3:$B$168&amp;'Detail inputs'!$D$3:$D$168&amp;'Detail inputs'!$F$3:$F$168&amp;'Detail inputs'!$G$3:$G$168&amp;'Detail inputs'!$H$3:$H$168,0),MATCH(I$4,'Detail inputs'!$B$3:$K$3,0)),"")</f>
        <v/>
      </c>
      <c r="J52" s="89" t="str">
        <f>IFERROR(IF(H52="",I52*$F52/1000,IF(I52="",H52,H52+I52*$F52/1000)),"")</f>
        <v/>
      </c>
      <c r="K52" s="43" t="str">
        <f>IFERROR(J52/J55,"")</f>
        <v/>
      </c>
      <c r="L52" s="43"/>
      <c r="M52" s="48" t="str">
        <f t="shared" ref="M52:M59" si="15">IF(OR(J52=0,J52="",Q52=""),"",Q52/J52-1)</f>
        <v/>
      </c>
      <c r="N52" s="43"/>
      <c r="O52" s="89" t="str">
        <f t="array" ref="O52">IFERROR(INDEX('Detail inputs'!$B$3:$K$168,MATCH($B52&amp;$C52&amp;$E52&amp;$G52&amp;O$5,'Detail inputs'!$B$3:$B$168&amp;'Detail inputs'!$D$3:$D$168&amp;'Detail inputs'!$F$3:$F$168&amp;'Detail inputs'!$G$3:$G$168&amp;'Detail inputs'!$H$3:$H$168,0),MATCH(O$4,'Detail inputs'!$B$3:$K$3,0)),"")</f>
        <v/>
      </c>
      <c r="P52" s="89" t="str">
        <f t="array" ref="P52">IFERROR(INDEX('Detail inputs'!$B$3:$K$168,MATCH($B52&amp;$C52&amp;$E52&amp;$G52&amp;P$5,'Detail inputs'!$B$3:$B$168&amp;'Detail inputs'!$D$3:$D$168&amp;'Detail inputs'!$F$3:$F$168&amp;'Detail inputs'!$G$3:$G$168&amp;'Detail inputs'!$H$3:$H$168,0),MATCH(P$4,'Detail inputs'!$B$3:$K$3,0)),"")</f>
        <v/>
      </c>
      <c r="Q52" s="89" t="str">
        <f>IFERROR(IF(O52="",P52*$F52/1000,IF(P52="",O52,O52+P52*$F52/1000)),"")</f>
        <v/>
      </c>
      <c r="R52" s="43" t="str">
        <f>IFERROR(Q52/Q55,"")</f>
        <v/>
      </c>
    </row>
    <row r="53" spans="2:22" outlineLevel="1" x14ac:dyDescent="0.35">
      <c r="B53" s="3" t="str">
        <f t="shared" ref="B53:B59" si="16">B52</f>
        <v>Endeavour</v>
      </c>
      <c r="C53" s="3" t="str">
        <f t="shared" si="13"/>
        <v>Residential</v>
      </c>
      <c r="D53" s="3" t="str">
        <f t="shared" si="14"/>
        <v>without CL</v>
      </c>
      <c r="E53" s="3" t="s">
        <v>23</v>
      </c>
      <c r="F53" s="41">
        <f t="array" ref="F53">IFERROR(INDEX(Usage!$B$5:$P$18,MATCH($B53,Usage!$B$5:$B$18,0),MATCH($C53&amp;$D53&amp;$E53,Usage!$B$5:$S$5&amp;Usage!$B$6:$S$6&amp;Usage!$B$7:$S$7,0)),0)</f>
        <v>4900</v>
      </c>
      <c r="G53" s="3" t="s">
        <v>58</v>
      </c>
      <c r="H53" s="89" t="str">
        <f t="array" ref="H53">IFERROR(INDEX('Detail inputs'!$B$3:$K$168,MATCH($B53&amp;$C53&amp;$E53&amp;$G53&amp;H$5,'Detail inputs'!$B$3:$B$168&amp;'Detail inputs'!$D$3:$D$168&amp;'Detail inputs'!$F$3:$F$168&amp;'Detail inputs'!$G$3:$G$168&amp;'Detail inputs'!$H$3:$H$168,0),MATCH(H$4,'Detail inputs'!$B$3:$K$3,0)),"")</f>
        <v/>
      </c>
      <c r="I53" s="89" t="str">
        <f t="array" ref="I53">IFERROR(INDEX('Detail inputs'!$B$3:$K$168,MATCH($B53&amp;$C53&amp;$E53&amp;$G53&amp;I$5,'Detail inputs'!$B$3:$B$168&amp;'Detail inputs'!$D$3:$D$168&amp;'Detail inputs'!$F$3:$F$168&amp;'Detail inputs'!$G$3:$G$168&amp;'Detail inputs'!$H$3:$H$168,0),MATCH(I$4,'Detail inputs'!$B$3:$K$3,0)),"")</f>
        <v/>
      </c>
      <c r="J53" s="89" t="str">
        <f>IFERROR(IF(H53="",I53*$F53/1000,IF(I53="",H53,H53+I53*$F53/1000)),"")</f>
        <v/>
      </c>
      <c r="K53" s="43" t="str">
        <f>IFERROR(J53/J55,"")</f>
        <v/>
      </c>
      <c r="L53" s="43"/>
      <c r="M53" s="48" t="str">
        <f t="shared" si="15"/>
        <v/>
      </c>
      <c r="N53" s="43"/>
      <c r="O53" s="89" t="str">
        <f t="array" ref="O53">IFERROR(INDEX('Detail inputs'!$B$3:$K$168,MATCH($B53&amp;$C53&amp;$E53&amp;$G53&amp;O$5,'Detail inputs'!$B$3:$B$168&amp;'Detail inputs'!$D$3:$D$168&amp;'Detail inputs'!$F$3:$F$168&amp;'Detail inputs'!$G$3:$G$168&amp;'Detail inputs'!$H$3:$H$168,0),MATCH(O$4,'Detail inputs'!$B$3:$K$3,0)),"")</f>
        <v/>
      </c>
      <c r="P53" s="89" t="str">
        <f t="array" ref="P53">IFERROR(INDEX('Detail inputs'!$B$3:$K$168,MATCH($B53&amp;$C53&amp;$E53&amp;$G53&amp;P$5,'Detail inputs'!$B$3:$B$168&amp;'Detail inputs'!$D$3:$D$168&amp;'Detail inputs'!$F$3:$F$168&amp;'Detail inputs'!$G$3:$G$168&amp;'Detail inputs'!$H$3:$H$168,0),MATCH(P$4,'Detail inputs'!$B$3:$K$3,0)),"")</f>
        <v/>
      </c>
      <c r="Q53" s="89" t="str">
        <f>IFERROR(IF(O53="",P53*$F53/1000,IF(P53="",O53,O53+P53*$F53/1000)),"")</f>
        <v/>
      </c>
      <c r="R53" s="43" t="str">
        <f>IFERROR(Q53/Q56,"")</f>
        <v/>
      </c>
    </row>
    <row r="54" spans="2:22" outlineLevel="1" x14ac:dyDescent="0.35">
      <c r="B54" s="3" t="str">
        <f t="shared" si="16"/>
        <v>Endeavour</v>
      </c>
      <c r="C54" s="3" t="str">
        <f t="shared" si="13"/>
        <v>Residential</v>
      </c>
      <c r="D54" s="3" t="str">
        <f t="shared" si="14"/>
        <v>without CL</v>
      </c>
      <c r="E54" s="3" t="s">
        <v>23</v>
      </c>
      <c r="F54" s="41">
        <f t="array" ref="F54">IFERROR(INDEX(Usage!$B$5:$P$18,MATCH($B54,Usage!$B$5:$B$18,0),MATCH($C54&amp;$D54&amp;$E54,Usage!$B$5:$S$5&amp;Usage!$B$6:$S$6&amp;Usage!$B$7:$S$7,0)),0)</f>
        <v>4900</v>
      </c>
      <c r="G54" s="3" t="s">
        <v>59</v>
      </c>
      <c r="H54" s="89" t="str">
        <f t="array" ref="H54">IFERROR(INDEX('Detail inputs'!$B$3:$K$168,MATCH($B54&amp;$C54&amp;$E54&amp;$G54&amp;H$5,'Detail inputs'!$B$3:$B$168&amp;'Detail inputs'!$D$3:$D$168&amp;'Detail inputs'!$F$3:$F$168&amp;'Detail inputs'!$G$3:$G$168&amp;'Detail inputs'!$H$3:$H$168,0),MATCH(H$4,'Detail inputs'!$B$3:$K$3,0)),"")</f>
        <v/>
      </c>
      <c r="I54" s="89" t="str">
        <f t="array" ref="I54">IFERROR(INDEX('Detail inputs'!$B$3:$K$168,MATCH($B54&amp;$C54&amp;$E54&amp;$G54&amp;I$5,'Detail inputs'!$B$3:$B$168&amp;'Detail inputs'!$D$3:$D$168&amp;'Detail inputs'!$F$3:$F$168&amp;'Detail inputs'!$G$3:$G$168&amp;'Detail inputs'!$H$3:$H$168,0),MATCH(I$4,'Detail inputs'!$B$3:$K$3,0)),"")</f>
        <v/>
      </c>
      <c r="J54" s="89" t="str">
        <f>IFERROR(IF(H54="",I54*$F54/1000,IF(I54="",H54,H54+I54*$F54/1000)),"")</f>
        <v/>
      </c>
      <c r="K54" s="43" t="str">
        <f>IFERROR(J54/J55,"")</f>
        <v/>
      </c>
      <c r="L54" s="43"/>
      <c r="M54" s="48" t="str">
        <f t="shared" si="15"/>
        <v/>
      </c>
      <c r="N54" s="43"/>
      <c r="O54" s="89" t="str">
        <f t="array" ref="O54">IFERROR(INDEX('Detail inputs'!$B$3:$K$168,MATCH($B54&amp;$C54&amp;$E54&amp;$G54&amp;O$5,'Detail inputs'!$B$3:$B$168&amp;'Detail inputs'!$D$3:$D$168&amp;'Detail inputs'!$F$3:$F$168&amp;'Detail inputs'!$G$3:$G$168&amp;'Detail inputs'!$H$3:$H$168,0),MATCH(O$4,'Detail inputs'!$B$3:$K$3,0)),"")</f>
        <v/>
      </c>
      <c r="P54" s="89" t="str">
        <f t="array" ref="P54">IFERROR(INDEX('Detail inputs'!$B$3:$K$168,MATCH($B54&amp;$C54&amp;$E54&amp;$G54&amp;P$5,'Detail inputs'!$B$3:$B$168&amp;'Detail inputs'!$D$3:$D$168&amp;'Detail inputs'!$F$3:$F$168&amp;'Detail inputs'!$G$3:$G$168&amp;'Detail inputs'!$H$3:$H$168,0),MATCH(P$4,'Detail inputs'!$B$3:$K$3,0)),"")</f>
        <v/>
      </c>
      <c r="Q54" s="89" t="str">
        <f>IFERROR(IF(O54="",P54*$F54/1000,IF(P54="",O54,O54+P54*$F54/1000)),"")</f>
        <v/>
      </c>
      <c r="R54" s="43" t="str">
        <f>IFERROR(Q54/Q57,"")</f>
        <v/>
      </c>
    </row>
    <row r="55" spans="2:22" x14ac:dyDescent="0.35">
      <c r="B55" s="3" t="str">
        <f t="shared" si="16"/>
        <v>Endeavour</v>
      </c>
      <c r="C55" s="3" t="str">
        <f t="shared" si="13"/>
        <v>Residential</v>
      </c>
      <c r="D55" s="3" t="str">
        <f t="shared" si="14"/>
        <v>without CL</v>
      </c>
      <c r="E55" s="3" t="s">
        <v>23</v>
      </c>
      <c r="F55" s="41">
        <f t="array" ref="F55">IFERROR(INDEX(Usage!$B$5:$P$18,MATCH($B55,Usage!$B$5:$B$18,0),MATCH($C55&amp;$D55&amp;$E55,Usage!$B$5:$S$5&amp;Usage!$B$6:$S$6&amp;Usage!$B$7:$S$7,0)),0)</f>
        <v>4900</v>
      </c>
      <c r="G55" s="3" t="s">
        <v>64</v>
      </c>
      <c r="H55" s="95">
        <f t="array" ref="H55">INDEX('Key inputs'!$B$16:$N$40,MATCH($B55&amp;$C55&amp;$E55,'Key inputs'!$B$16:$B$40&amp;'Key inputs'!$C$16:$C$40&amp;'Key inputs'!$D$16:$D$40,0),MATCH($G55&amp;H$4&amp;H$5,'Key inputs'!$B$17:$N$17&amp;'Key inputs'!$B$18:$N$18&amp;'Key inputs'!$B$19:$N$19,0))</f>
        <v>141.4375</v>
      </c>
      <c r="I55" s="95">
        <f t="array" ref="I55">INDEX('Key inputs'!$B$16:$N$40,MATCH($B55&amp;$C55&amp;$E55,'Key inputs'!$B$16:$B$40&amp;'Key inputs'!$C$16:$C$40&amp;'Key inputs'!$D$16:$D$40,0),MATCH($G55&amp;I$4&amp;I$5,'Key inputs'!$B$17:$N$17&amp;'Key inputs'!$B$18:$N$18&amp;'Key inputs'!$B$19:$N$19,0))</f>
        <v>80.566000000000003</v>
      </c>
      <c r="J55" s="89">
        <f>H55+I55*$F55/1000</f>
        <v>536.21090000000004</v>
      </c>
      <c r="K55" s="43">
        <f>IFERROR(J55/J57,"")</f>
        <v>0.96456266642729971</v>
      </c>
      <c r="L55" s="43"/>
      <c r="M55" s="48">
        <f t="shared" si="15"/>
        <v>1.6674036279381799E-2</v>
      </c>
      <c r="N55" s="43"/>
      <c r="O55" s="95">
        <f t="array" ref="O55">INDEX('Key inputs'!$B$16:$N$40,MATCH($B55&amp;$C55&amp;$E55,'Key inputs'!$B$16:$B$40&amp;'Key inputs'!$C$16:$C$40&amp;'Key inputs'!$D$16:$D$40,0),MATCH($G55&amp;O$4&amp;O$5,'Key inputs'!$B$17:$N$17&amp;'Key inputs'!$B$18:$N$18&amp;'Key inputs'!$B$19:$N$19,0))</f>
        <v>148.482</v>
      </c>
      <c r="P55" s="95">
        <f t="array" ref="P55">INDEX('Key inputs'!$B$16:$N$40,MATCH($B55&amp;$C55&amp;$E55,'Key inputs'!$B$16:$B$40&amp;'Key inputs'!$C$16:$C$40&amp;'Key inputs'!$D$16:$D$40,0),MATCH($G55&amp;P$4&amp;P$5,'Key inputs'!$B$17:$N$17&amp;'Key inputs'!$B$18:$N$18&amp;'Key inputs'!$B$19:$N$19,0))</f>
        <v>80.953000000000003</v>
      </c>
      <c r="Q55" s="89">
        <f>O55+P55*$F55/1000</f>
        <v>545.15170000000001</v>
      </c>
      <c r="R55" s="43">
        <f>IFERROR(Q55/Q57,"")</f>
        <v>0.96289046044619409</v>
      </c>
      <c r="S55" s="129"/>
      <c r="T55" s="129"/>
      <c r="U55" s="129"/>
      <c r="V55" s="129"/>
    </row>
    <row r="56" spans="2:22" x14ac:dyDescent="0.35">
      <c r="B56" s="3" t="str">
        <f t="shared" si="16"/>
        <v>Endeavour</v>
      </c>
      <c r="C56" s="3" t="str">
        <f t="shared" si="13"/>
        <v>Residential</v>
      </c>
      <c r="D56" s="3" t="str">
        <f t="shared" si="14"/>
        <v>without CL</v>
      </c>
      <c r="E56" s="3" t="s">
        <v>23</v>
      </c>
      <c r="F56" s="41">
        <f t="array" ref="F56">IFERROR(INDEX(Usage!$B$5:$P$18,MATCH($B56,Usage!$B$5:$B$18,0),MATCH($C56&amp;$D56&amp;$E56,Usage!$B$5:$S$5&amp;Usage!$B$6:$S$6&amp;Usage!$B$7:$S$7,0)),0)</f>
        <v>4900</v>
      </c>
      <c r="G56" s="3" t="s">
        <v>68</v>
      </c>
      <c r="H56" s="95">
        <f t="array" ref="H56">INDEX('Key inputs'!$B$16:$N$40,MATCH($B56&amp;$C56&amp;$E56,'Key inputs'!$B$16:$B$40&amp;'Key inputs'!$C$16:$C$40&amp;'Key inputs'!$D$16:$D$40,0),MATCH($G56&amp;H$4&amp;H$5,'Key inputs'!$B$17:$N$17&amp;'Key inputs'!$B$18:$N$18&amp;'Key inputs'!$B$19:$N$19,0))</f>
        <v>19.7</v>
      </c>
      <c r="I56" s="89">
        <f>IFERROR(INDEX('Detail inputs'!$B$3:$K$168,MATCH($B56&amp;$C56&amp;$E56&amp;$G56&amp;I$5,'Detail inputs'!$B$3:$B$168&amp;'Detail inputs'!$D$3:$D$168&amp;'Detail inputs'!$F$3:$F$168&amp;'Detail inputs'!$G$3:$G$168&amp;'Detail inputs'!$H$3:$H$168,0),MATCH(I$4,'Detail inputs'!$B$3:$K$3,0)),0)</f>
        <v>0</v>
      </c>
      <c r="J56" s="89">
        <f>H56+I56*$F56/1000</f>
        <v>19.7</v>
      </c>
      <c r="K56" s="43">
        <f>IFERROR(J56/J57,"")</f>
        <v>3.5437333572700222E-2</v>
      </c>
      <c r="L56" s="43"/>
      <c r="M56" s="48">
        <f t="shared" si="15"/>
        <v>6.6497461928934021E-2</v>
      </c>
      <c r="N56" s="43"/>
      <c r="O56" s="95">
        <f t="array" ref="O56">INDEX('Key inputs'!$B$16:$N$40,MATCH($B56&amp;$C56&amp;$E56,'Key inputs'!$B$16:$B$40&amp;'Key inputs'!$C$16:$C$40&amp;'Key inputs'!$D$16:$D$40,0),MATCH($G56&amp;O$4&amp;O$5,'Key inputs'!$B$17:$N$17&amp;'Key inputs'!$B$18:$N$18&amp;'Key inputs'!$B$19:$N$19,0))</f>
        <v>21.009999999999998</v>
      </c>
      <c r="P56" s="89">
        <f>IFERROR(INDEX('Detail inputs'!$B$3:$K$168,MATCH($B56&amp;$C56&amp;$E56&amp;$G56&amp;P$5,'Detail inputs'!$B$3:$B$168&amp;'Detail inputs'!$D$3:$D$168&amp;'Detail inputs'!$F$3:$F$168&amp;'Detail inputs'!$G$3:$G$168&amp;'Detail inputs'!$H$3:$H$168,0),MATCH(P$4,'Detail inputs'!$B$3:$K$3,0)),0)</f>
        <v>0</v>
      </c>
      <c r="Q56" s="89">
        <f>O56+P56*$F56/1000</f>
        <v>21.009999999999998</v>
      </c>
      <c r="R56" s="43">
        <f>IFERROR(Q56/Q57,"")</f>
        <v>3.7109539553805915E-2</v>
      </c>
    </row>
    <row r="57" spans="2:22" s="77" customFormat="1" x14ac:dyDescent="0.35">
      <c r="B57" s="3" t="str">
        <f t="shared" si="16"/>
        <v>Endeavour</v>
      </c>
      <c r="C57" s="3" t="str">
        <f t="shared" si="13"/>
        <v>Residential</v>
      </c>
      <c r="D57" s="3" t="str">
        <f t="shared" si="14"/>
        <v>without CL</v>
      </c>
      <c r="E57" s="3" t="s">
        <v>23</v>
      </c>
      <c r="F57" s="41">
        <f t="array" ref="F57">IFERROR(INDEX(Usage!$B$5:$P$18,MATCH($B57,Usage!$B$5:$B$18,0),MATCH($C57&amp;$D57&amp;$E57,Usage!$B$5:$S$5&amp;Usage!$B$6:$S$6&amp;Usage!$B$7:$S$7,0)),0)</f>
        <v>4900</v>
      </c>
      <c r="G57" s="77" t="s">
        <v>62</v>
      </c>
      <c r="H57" s="95"/>
      <c r="I57" s="95"/>
      <c r="J57" s="95">
        <f>SUM(J55:J56)</f>
        <v>555.91090000000008</v>
      </c>
      <c r="K57" s="87"/>
      <c r="L57" s="88"/>
      <c r="M57" s="48">
        <f t="shared" si="15"/>
        <v>1.843964563385958E-2</v>
      </c>
      <c r="N57" s="88"/>
      <c r="O57" s="95"/>
      <c r="P57" s="95"/>
      <c r="Q57" s="95">
        <f>SUM(Q55:Q56)</f>
        <v>566.1617</v>
      </c>
      <c r="R57" s="87"/>
    </row>
    <row r="58" spans="2:22" outlineLevel="1" x14ac:dyDescent="0.35">
      <c r="B58" s="3" t="str">
        <f t="shared" si="16"/>
        <v>Endeavour</v>
      </c>
      <c r="C58" s="3" t="str">
        <f t="shared" si="13"/>
        <v>Residential</v>
      </c>
      <c r="D58" s="3" t="str">
        <f t="shared" si="14"/>
        <v>without CL</v>
      </c>
      <c r="F58" s="41"/>
      <c r="G58" s="77" t="s">
        <v>42</v>
      </c>
      <c r="H58" s="95"/>
      <c r="I58" s="95"/>
      <c r="J58" s="95">
        <f>J57*GST</f>
        <v>55.591090000000008</v>
      </c>
      <c r="K58" s="87"/>
      <c r="L58" s="88"/>
      <c r="M58" s="48">
        <f t="shared" si="15"/>
        <v>1.843964563385958E-2</v>
      </c>
      <c r="N58" s="88"/>
      <c r="O58" s="95"/>
      <c r="P58" s="95"/>
      <c r="Q58" s="95">
        <f>Q57*GST</f>
        <v>56.616170000000004</v>
      </c>
      <c r="R58" s="87"/>
    </row>
    <row r="59" spans="2:22" x14ac:dyDescent="0.35">
      <c r="B59" s="3" t="str">
        <f t="shared" si="16"/>
        <v>Endeavour</v>
      </c>
      <c r="C59" s="3" t="str">
        <f t="shared" si="13"/>
        <v>Residential</v>
      </c>
      <c r="D59" s="3" t="str">
        <f t="shared" si="14"/>
        <v>without CL</v>
      </c>
      <c r="F59" s="41"/>
      <c r="G59" s="5" t="s">
        <v>90</v>
      </c>
      <c r="H59" s="94"/>
      <c r="I59" s="94"/>
      <c r="J59" s="94">
        <f>SUM(J57:J58)</f>
        <v>611.50199000000009</v>
      </c>
      <c r="K59" s="75"/>
      <c r="L59" s="27"/>
      <c r="M59" s="76">
        <f t="shared" si="15"/>
        <v>1.843964563385958E-2</v>
      </c>
      <c r="N59" s="27"/>
      <c r="O59" s="94"/>
      <c r="P59" s="94"/>
      <c r="Q59" s="94">
        <f>SUM(Q57:Q58)</f>
        <v>622.77787000000001</v>
      </c>
      <c r="R59" s="75"/>
    </row>
    <row r="60" spans="2:22" x14ac:dyDescent="0.35">
      <c r="F60" s="41"/>
      <c r="K60" s="43"/>
      <c r="M60" s="48"/>
      <c r="R60" s="43"/>
    </row>
    <row r="61" spans="2:22" x14ac:dyDescent="0.35">
      <c r="B61" s="5" t="s">
        <v>4</v>
      </c>
      <c r="C61" s="5" t="s">
        <v>6</v>
      </c>
      <c r="D61" s="5" t="s">
        <v>151</v>
      </c>
      <c r="F61" s="41"/>
      <c r="K61" s="43"/>
      <c r="M61" s="48"/>
      <c r="R61" s="43"/>
    </row>
    <row r="62" spans="2:22" outlineLevel="1" x14ac:dyDescent="0.35">
      <c r="B62" s="3" t="str">
        <f>B61</f>
        <v>Endeavour</v>
      </c>
      <c r="C62" s="3" t="str">
        <f t="shared" ref="C62:C79" si="17">C61</f>
        <v>Residential</v>
      </c>
      <c r="D62" s="3" t="str">
        <f t="shared" ref="D62:D79" si="18">D61</f>
        <v>with CL</v>
      </c>
      <c r="E62" s="3" t="s">
        <v>23</v>
      </c>
      <c r="F62" s="41">
        <f t="array" ref="F62">IFERROR(INDEX(Usage!$B$5:$P$18,MATCH($B62,Usage!$B$5:$B$18,0),MATCH($C62&amp;$D62&amp;$E62,Usage!$B$5:$S$5&amp;Usage!$B$6:$S$6&amp;Usage!$B$7:$S$7,0)),0)</f>
        <v>5200</v>
      </c>
      <c r="G62" s="3" t="s">
        <v>57</v>
      </c>
      <c r="H62" s="89" t="str">
        <f t="array" ref="H62">IFERROR(INDEX('Detail inputs'!$B$3:$K$168,MATCH($B62&amp;$C62&amp;$E62&amp;$G62&amp;H$5,'Detail inputs'!$B$3:$B$168&amp;'Detail inputs'!$D$3:$D$168&amp;'Detail inputs'!$F$3:$F$168&amp;'Detail inputs'!$G$3:$G$168&amp;'Detail inputs'!$H$3:$H$168,0),MATCH(H$4,'Detail inputs'!$B$3:$K$3,0)),"")</f>
        <v/>
      </c>
      <c r="I62" s="89" t="str">
        <f t="array" ref="I62">IFERROR(INDEX('Detail inputs'!$B$3:$K$168,MATCH($B62&amp;$C62&amp;$E62&amp;$G62&amp;I$5,'Detail inputs'!$B$3:$B$168&amp;'Detail inputs'!$D$3:$D$168&amp;'Detail inputs'!$F$3:$F$168&amp;'Detail inputs'!$G$3:$G$168&amp;'Detail inputs'!$H$3:$H$168,0),MATCH(I$4,'Detail inputs'!$B$3:$K$3,0)),"")</f>
        <v/>
      </c>
      <c r="J62" s="89" t="str">
        <f>IFERROR(IF(H62="",I62*$F62/1000,IF(I62="",H62,H62+I62*$F62/1000)),"")</f>
        <v/>
      </c>
      <c r="K62" s="43" t="str">
        <f>IFERROR(J62/J65,"")</f>
        <v/>
      </c>
      <c r="L62" s="43"/>
      <c r="M62" s="48" t="str">
        <f t="shared" ref="M62:M82" si="19">IF(OR(J62=0,J62="",Q62=""),"",Q62/J62-1)</f>
        <v/>
      </c>
      <c r="N62" s="43"/>
      <c r="O62" s="89" t="str">
        <f t="array" ref="O62">IFERROR(INDEX('Detail inputs'!$B$3:$K$168,MATCH($B62&amp;$C62&amp;$E62&amp;$G62&amp;O$5,'Detail inputs'!$B$3:$B$168&amp;'Detail inputs'!$D$3:$D$168&amp;'Detail inputs'!$F$3:$F$168&amp;'Detail inputs'!$G$3:$G$168&amp;'Detail inputs'!$H$3:$H$168,0),MATCH(O$4,'Detail inputs'!$B$3:$K$3,0)),"")</f>
        <v/>
      </c>
      <c r="P62" s="89" t="str">
        <f t="array" ref="P62">IFERROR(INDEX('Detail inputs'!$B$3:$K$168,MATCH($B62&amp;$C62&amp;$E62&amp;$G62&amp;P$5,'Detail inputs'!$B$3:$B$168&amp;'Detail inputs'!$D$3:$D$168&amp;'Detail inputs'!$F$3:$F$168&amp;'Detail inputs'!$G$3:$G$168&amp;'Detail inputs'!$H$3:$H$168,0),MATCH(P$4,'Detail inputs'!$B$3:$K$3,0)),"")</f>
        <v/>
      </c>
      <c r="Q62" s="89" t="str">
        <f>IFERROR(IF(O62="",P62*$F62/1000,IF(P62="",O62,O62+P62*$F62/1000)),"")</f>
        <v/>
      </c>
      <c r="R62" s="43" t="str">
        <f>IFERROR(Q62/Q65,"")</f>
        <v/>
      </c>
    </row>
    <row r="63" spans="2:22" outlineLevel="1" x14ac:dyDescent="0.35">
      <c r="B63" s="3" t="str">
        <f>B62</f>
        <v>Endeavour</v>
      </c>
      <c r="C63" s="3" t="str">
        <f t="shared" si="17"/>
        <v>Residential</v>
      </c>
      <c r="D63" s="3" t="str">
        <f t="shared" si="18"/>
        <v>with CL</v>
      </c>
      <c r="E63" s="3" t="s">
        <v>23</v>
      </c>
      <c r="F63" s="41">
        <f t="array" ref="F63">IFERROR(INDEX(Usage!$B$5:$P$18,MATCH($B63,Usage!$B$5:$B$18,0),MATCH($C63&amp;$D63&amp;$E63,Usage!$B$5:$S$5&amp;Usage!$B$6:$S$6&amp;Usage!$B$7:$S$7,0)),0)</f>
        <v>5200</v>
      </c>
      <c r="G63" s="3" t="s">
        <v>58</v>
      </c>
      <c r="H63" s="89" t="str">
        <f t="array" ref="H63">IFERROR(INDEX('Detail inputs'!$B$3:$K$168,MATCH($B63&amp;$C63&amp;$E63&amp;$G63&amp;H$5,'Detail inputs'!$B$3:$B$168&amp;'Detail inputs'!$D$3:$D$168&amp;'Detail inputs'!$F$3:$F$168&amp;'Detail inputs'!$G$3:$G$168&amp;'Detail inputs'!$H$3:$H$168,0),MATCH(H$4,'Detail inputs'!$B$3:$K$3,0)),"")</f>
        <v/>
      </c>
      <c r="I63" s="89" t="str">
        <f t="array" ref="I63">IFERROR(INDEX('Detail inputs'!$B$3:$K$168,MATCH($B63&amp;$C63&amp;$E63&amp;$G63&amp;I$5,'Detail inputs'!$B$3:$B$168&amp;'Detail inputs'!$D$3:$D$168&amp;'Detail inputs'!$F$3:$F$168&amp;'Detail inputs'!$G$3:$G$168&amp;'Detail inputs'!$H$3:$H$168,0),MATCH(I$4,'Detail inputs'!$B$3:$K$3,0)),"")</f>
        <v/>
      </c>
      <c r="J63" s="89" t="str">
        <f>IFERROR(IF(H63="",I63*$F63/1000,IF(I63="",H63,H63+I63*$F63/1000)),"")</f>
        <v/>
      </c>
      <c r="K63" s="43" t="str">
        <f>IFERROR(J63/J65,"")</f>
        <v/>
      </c>
      <c r="L63" s="43"/>
      <c r="M63" s="48" t="str">
        <f t="shared" si="19"/>
        <v/>
      </c>
      <c r="N63" s="43"/>
      <c r="O63" s="89" t="str">
        <f t="array" ref="O63">IFERROR(INDEX('Detail inputs'!$B$3:$K$168,MATCH($B63&amp;$C63&amp;$E63&amp;$G63&amp;O$5,'Detail inputs'!$B$3:$B$168&amp;'Detail inputs'!$D$3:$D$168&amp;'Detail inputs'!$F$3:$F$168&amp;'Detail inputs'!$G$3:$G$168&amp;'Detail inputs'!$H$3:$H$168,0),MATCH(O$4,'Detail inputs'!$B$3:$K$3,0)),"")</f>
        <v/>
      </c>
      <c r="P63" s="89" t="str">
        <f t="array" ref="P63">IFERROR(INDEX('Detail inputs'!$B$3:$K$168,MATCH($B63&amp;$C63&amp;$E63&amp;$G63&amp;P$5,'Detail inputs'!$B$3:$B$168&amp;'Detail inputs'!$D$3:$D$168&amp;'Detail inputs'!$F$3:$F$168&amp;'Detail inputs'!$G$3:$G$168&amp;'Detail inputs'!$H$3:$H$168,0),MATCH(P$4,'Detail inputs'!$B$3:$K$3,0)),"")</f>
        <v/>
      </c>
      <c r="Q63" s="89" t="str">
        <f>IFERROR(IF(O63="",P63*$F63/1000,IF(P63="",O63,O63+P63*$F63/1000)),"")</f>
        <v/>
      </c>
      <c r="R63" s="43" t="str">
        <f>IFERROR(Q63/Q66,"")</f>
        <v/>
      </c>
    </row>
    <row r="64" spans="2:22" outlineLevel="1" x14ac:dyDescent="0.35">
      <c r="B64" s="3" t="str">
        <f t="shared" ref="B64:B79" si="20">B63</f>
        <v>Endeavour</v>
      </c>
      <c r="C64" s="3" t="str">
        <f t="shared" si="17"/>
        <v>Residential</v>
      </c>
      <c r="D64" s="3" t="str">
        <f t="shared" si="18"/>
        <v>with CL</v>
      </c>
      <c r="E64" s="3" t="s">
        <v>23</v>
      </c>
      <c r="F64" s="41">
        <f t="array" ref="F64">IFERROR(INDEX(Usage!$B$5:$P$18,MATCH($B64,Usage!$B$5:$B$18,0),MATCH($C64&amp;$D64&amp;$E64,Usage!$B$5:$S$5&amp;Usage!$B$6:$S$6&amp;Usage!$B$7:$S$7,0)),0)</f>
        <v>5200</v>
      </c>
      <c r="G64" s="3" t="s">
        <v>59</v>
      </c>
      <c r="H64" s="89" t="str">
        <f t="array" ref="H64">IFERROR(INDEX('Detail inputs'!$B$3:$K$168,MATCH($B64&amp;$C64&amp;$E64&amp;$G64&amp;H$5,'Detail inputs'!$B$3:$B$168&amp;'Detail inputs'!$D$3:$D$168&amp;'Detail inputs'!$F$3:$F$168&amp;'Detail inputs'!$G$3:$G$168&amp;'Detail inputs'!$H$3:$H$168,0),MATCH(H$4,'Detail inputs'!$B$3:$K$3,0)),"")</f>
        <v/>
      </c>
      <c r="I64" s="89" t="str">
        <f t="array" ref="I64">IFERROR(INDEX('Detail inputs'!$B$3:$K$168,MATCH($B64&amp;$C64&amp;$E64&amp;$G64&amp;I$5,'Detail inputs'!$B$3:$B$168&amp;'Detail inputs'!$D$3:$D$168&amp;'Detail inputs'!$F$3:$F$168&amp;'Detail inputs'!$G$3:$G$168&amp;'Detail inputs'!$H$3:$H$168,0),MATCH(I$4,'Detail inputs'!$B$3:$K$3,0)),"")</f>
        <v/>
      </c>
      <c r="J64" s="89" t="str">
        <f>IFERROR(IF(H64="",I64*$F64/1000,IF(I64="",H64,H64+I64*$F64/1000)),"")</f>
        <v/>
      </c>
      <c r="K64" s="43" t="str">
        <f>IFERROR(J64/J65,"")</f>
        <v/>
      </c>
      <c r="L64" s="43"/>
      <c r="M64" s="48" t="str">
        <f t="shared" si="19"/>
        <v/>
      </c>
      <c r="N64" s="43"/>
      <c r="O64" s="89" t="str">
        <f t="array" ref="O64">IFERROR(INDEX('Detail inputs'!$B$3:$K$168,MATCH($B64&amp;$C64&amp;$E64&amp;$G64&amp;O$5,'Detail inputs'!$B$3:$B$168&amp;'Detail inputs'!$D$3:$D$168&amp;'Detail inputs'!$F$3:$F$168&amp;'Detail inputs'!$G$3:$G$168&amp;'Detail inputs'!$H$3:$H$168,0),MATCH(O$4,'Detail inputs'!$B$3:$K$3,0)),"")</f>
        <v/>
      </c>
      <c r="P64" s="89" t="str">
        <f t="array" ref="P64">IFERROR(INDEX('Detail inputs'!$B$3:$K$168,MATCH($B64&amp;$C64&amp;$E64&amp;$G64&amp;P$5,'Detail inputs'!$B$3:$B$168&amp;'Detail inputs'!$D$3:$D$168&amp;'Detail inputs'!$F$3:$F$168&amp;'Detail inputs'!$G$3:$G$168&amp;'Detail inputs'!$H$3:$H$168,0),MATCH(P$4,'Detail inputs'!$B$3:$K$3,0)),"")</f>
        <v/>
      </c>
      <c r="Q64" s="89" t="str">
        <f>IFERROR(IF(O64="",P64*$F64/1000,IF(P64="",O64,O64+P64*$F64/1000)),"")</f>
        <v/>
      </c>
      <c r="R64" s="43" t="str">
        <f>IFERROR(Q64/Q67,"")</f>
        <v/>
      </c>
    </row>
    <row r="65" spans="2:22" x14ac:dyDescent="0.35">
      <c r="B65" s="3" t="str">
        <f t="shared" si="20"/>
        <v>Endeavour</v>
      </c>
      <c r="C65" s="3" t="str">
        <f t="shared" si="17"/>
        <v>Residential</v>
      </c>
      <c r="D65" s="3" t="str">
        <f t="shared" si="18"/>
        <v>with CL</v>
      </c>
      <c r="E65" s="3" t="s">
        <v>23</v>
      </c>
      <c r="F65" s="41">
        <f t="array" ref="F65">IFERROR(INDEX(Usage!$B$5:$P$18,MATCH($B65,Usage!$B$5:$B$18,0),MATCH($C65&amp;$D65&amp;$E65,Usage!$B$5:$S$5&amp;Usage!$B$6:$S$6&amp;Usage!$B$7:$S$7,0)),0)</f>
        <v>5200</v>
      </c>
      <c r="G65" s="3" t="s">
        <v>64</v>
      </c>
      <c r="H65" s="95">
        <f t="array" ref="H65">INDEX('Key inputs'!$B$16:$N$40,MATCH($B65&amp;$C65&amp;$E65,'Key inputs'!$B$16:$B$40&amp;'Key inputs'!$C$16:$C$40&amp;'Key inputs'!$D$16:$D$40,0),MATCH($G65&amp;H$4&amp;H$5,'Key inputs'!$B$17:$N$17&amp;'Key inputs'!$B$18:$N$18&amp;'Key inputs'!$B$19:$N$19,0))</f>
        <v>141.4375</v>
      </c>
      <c r="I65" s="95">
        <f t="array" ref="I65">INDEX('Key inputs'!$B$16:$N$40,MATCH($B65&amp;$C65&amp;$E65,'Key inputs'!$B$16:$B$40&amp;'Key inputs'!$C$16:$C$40&amp;'Key inputs'!$D$16:$D$40,0),MATCH($G65&amp;I$4&amp;I$5,'Key inputs'!$B$17:$N$17&amp;'Key inputs'!$B$18:$N$18&amp;'Key inputs'!$B$19:$N$19,0))</f>
        <v>80.566000000000003</v>
      </c>
      <c r="J65" s="89">
        <f>H65+I65*$F65/1000</f>
        <v>560.38069999999993</v>
      </c>
      <c r="K65" s="43">
        <f>IFERROR(J65/J67,"")</f>
        <v>0.96603920799295673</v>
      </c>
      <c r="L65" s="43"/>
      <c r="M65" s="48">
        <f t="shared" si="19"/>
        <v>1.6162048407448948E-2</v>
      </c>
      <c r="N65" s="43"/>
      <c r="O65" s="95">
        <f t="array" ref="O65">INDEX('Key inputs'!$B$16:$N$40,MATCH($B65&amp;$C65&amp;$E65,'Key inputs'!$B$16:$B$40&amp;'Key inputs'!$C$16:$C$40&amp;'Key inputs'!$D$16:$D$40,0),MATCH($G65&amp;O$4&amp;O$5,'Key inputs'!$B$17:$N$17&amp;'Key inputs'!$B$18:$N$18&amp;'Key inputs'!$B$19:$N$19,0))</f>
        <v>148.482</v>
      </c>
      <c r="P65" s="95">
        <f t="array" ref="P65">INDEX('Key inputs'!$B$16:$N$40,MATCH($B65&amp;$C65&amp;$E65,'Key inputs'!$B$16:$B$40&amp;'Key inputs'!$C$16:$C$40&amp;'Key inputs'!$D$16:$D$40,0),MATCH($G65&amp;P$4&amp;P$5,'Key inputs'!$B$17:$N$17&amp;'Key inputs'!$B$18:$N$18&amp;'Key inputs'!$B$19:$N$19,0))</f>
        <v>80.953000000000003</v>
      </c>
      <c r="Q65" s="89">
        <f>O65+P65*$F65/1000</f>
        <v>569.43760000000009</v>
      </c>
      <c r="R65" s="43">
        <f>IFERROR(Q65/Q67,"")</f>
        <v>0.9644168254727431</v>
      </c>
      <c r="S65" s="129"/>
      <c r="T65" s="129"/>
      <c r="U65" s="129"/>
      <c r="V65" s="129"/>
    </row>
    <row r="66" spans="2:22" x14ac:dyDescent="0.35">
      <c r="B66" s="3" t="str">
        <f t="shared" si="20"/>
        <v>Endeavour</v>
      </c>
      <c r="C66" s="3" t="str">
        <f t="shared" si="17"/>
        <v>Residential</v>
      </c>
      <c r="D66" s="3" t="str">
        <f t="shared" si="18"/>
        <v>with CL</v>
      </c>
      <c r="E66" s="3" t="s">
        <v>23</v>
      </c>
      <c r="F66" s="41">
        <f t="array" ref="F66">IFERROR(INDEX(Usage!$B$5:$P$18,MATCH($B66,Usage!$B$5:$B$18,0),MATCH($C66&amp;$D66&amp;$E66,Usage!$B$5:$S$5&amp;Usage!$B$6:$S$6&amp;Usage!$B$7:$S$7,0)),0)</f>
        <v>5200</v>
      </c>
      <c r="G66" s="3" t="s">
        <v>68</v>
      </c>
      <c r="H66" s="95">
        <f t="array" ref="H66">INDEX('Key inputs'!$B$16:$N$40,MATCH($B66&amp;$C66&amp;$E66,'Key inputs'!$B$16:$B$40&amp;'Key inputs'!$C$16:$C$40&amp;'Key inputs'!$D$16:$D$40,0),MATCH($G66&amp;H$4&amp;H$5,'Key inputs'!$B$17:$N$17&amp;'Key inputs'!$B$18:$N$18&amp;'Key inputs'!$B$19:$N$19,0))</f>
        <v>19.7</v>
      </c>
      <c r="I66" s="89">
        <f>IFERROR(INDEX('Detail inputs'!$B$3:$K$168,MATCH($B66&amp;$C66&amp;$E66&amp;$G66&amp;I$5,'Detail inputs'!$B$3:$B$168&amp;'Detail inputs'!$D$3:$D$168&amp;'Detail inputs'!$F$3:$F$168&amp;'Detail inputs'!$G$3:$G$168&amp;'Detail inputs'!$H$3:$H$168,0),MATCH(I$4,'Detail inputs'!$B$3:$K$3,0)),0)</f>
        <v>0</v>
      </c>
      <c r="J66" s="89">
        <f>H66+I66*$F66/1000</f>
        <v>19.7</v>
      </c>
      <c r="K66" s="43">
        <f>IFERROR(J66/J67,"")</f>
        <v>3.3960792007043161E-2</v>
      </c>
      <c r="L66" s="43"/>
      <c r="M66" s="48">
        <f t="shared" si="19"/>
        <v>6.6497461928934021E-2</v>
      </c>
      <c r="N66" s="43"/>
      <c r="O66" s="95">
        <f t="array" ref="O66">INDEX('Key inputs'!$B$16:$N$40,MATCH($B66&amp;$C66&amp;$E66,'Key inputs'!$B$16:$B$40&amp;'Key inputs'!$C$16:$C$40&amp;'Key inputs'!$D$16:$D$40,0),MATCH($G66&amp;O$4&amp;O$5,'Key inputs'!$B$17:$N$17&amp;'Key inputs'!$B$18:$N$18&amp;'Key inputs'!$B$19:$N$19,0))</f>
        <v>21.009999999999998</v>
      </c>
      <c r="P66" s="89">
        <f>IFERROR(INDEX('Detail inputs'!$B$3:$K$168,MATCH($B66&amp;$C66&amp;$E66&amp;$G66&amp;P$5,'Detail inputs'!$B$3:$B$168&amp;'Detail inputs'!$D$3:$D$168&amp;'Detail inputs'!$F$3:$F$168&amp;'Detail inputs'!$G$3:$G$168&amp;'Detail inputs'!$H$3:$H$168,0),MATCH(P$4,'Detail inputs'!$B$3:$K$3,0)),0)</f>
        <v>0</v>
      </c>
      <c r="Q66" s="89">
        <f>O66+P66*$F66/1000</f>
        <v>21.009999999999998</v>
      </c>
      <c r="R66" s="43">
        <f>IFERROR(Q66/Q67,"")</f>
        <v>3.5583174527256942E-2</v>
      </c>
    </row>
    <row r="67" spans="2:22" x14ac:dyDescent="0.35">
      <c r="B67" s="3" t="str">
        <f t="shared" si="20"/>
        <v>Endeavour</v>
      </c>
      <c r="C67" s="3" t="str">
        <f t="shared" si="17"/>
        <v>Residential</v>
      </c>
      <c r="D67" s="3" t="str">
        <f t="shared" si="18"/>
        <v>with CL</v>
      </c>
      <c r="E67" s="3" t="s">
        <v>23</v>
      </c>
      <c r="F67" s="41">
        <f t="array" ref="F67">IFERROR(INDEX(Usage!$B$5:$P$18,MATCH($B67,Usage!$B$5:$B$18,0),MATCH($C67&amp;$D67&amp;$E67,Usage!$B$5:$S$5&amp;Usage!$B$6:$S$6&amp;Usage!$B$7:$S$7,0)),0)</f>
        <v>5200</v>
      </c>
      <c r="G67" s="3" t="s">
        <v>62</v>
      </c>
      <c r="J67" s="95">
        <f>SUM(J65:J66)</f>
        <v>580.08069999999998</v>
      </c>
      <c r="K67" s="43"/>
      <c r="M67" s="48">
        <f t="shared" si="19"/>
        <v>1.7871478916640537E-2</v>
      </c>
      <c r="N67" s="88"/>
      <c r="O67" s="95"/>
      <c r="P67" s="95"/>
      <c r="Q67" s="95">
        <f>SUM(Q65:Q66)</f>
        <v>590.44760000000008</v>
      </c>
      <c r="R67" s="43"/>
    </row>
    <row r="68" spans="2:22" outlineLevel="1" x14ac:dyDescent="0.35">
      <c r="B68" s="3" t="str">
        <f t="shared" si="20"/>
        <v>Endeavour</v>
      </c>
      <c r="C68" s="3" t="str">
        <f t="shared" si="17"/>
        <v>Residential</v>
      </c>
      <c r="D68" s="3" t="str">
        <f t="shared" si="18"/>
        <v>with CL</v>
      </c>
      <c r="E68" s="3" t="s">
        <v>16</v>
      </c>
      <c r="F68" s="41">
        <f t="array" ref="F68">IFERROR(INDEX(Usage!$B$5:$P$18,MATCH($B68,Usage!$B$5:$B$18,0),MATCH($C68&amp;$D68&amp;$E68,Usage!$B$5:$S$5&amp;Usage!$B$6:$S$6&amp;Usage!$B$7:$S$7,0)),0)</f>
        <v>1474</v>
      </c>
      <c r="G68" s="3" t="s">
        <v>57</v>
      </c>
      <c r="H68" s="89" t="str">
        <f t="array" ref="H68">IFERROR(INDEX('Detail inputs'!$B$3:$K$168,MATCH($B68&amp;$C68&amp;$E68&amp;$G68&amp;H$5,'Detail inputs'!$B$3:$B$168&amp;'Detail inputs'!$D$3:$D$168&amp;'Detail inputs'!$F$3:$F$168&amp;'Detail inputs'!$G$3:$G$168&amp;'Detail inputs'!$H$3:$H$168,0),MATCH(H$4,'Detail inputs'!$B$3:$K$3,0)),"")</f>
        <v/>
      </c>
      <c r="I68" s="89" t="str">
        <f t="array" ref="I68">IFERROR(INDEX('Detail inputs'!$B$3:$K$168,MATCH($B68&amp;$C68&amp;$E68&amp;$G68&amp;I$5,'Detail inputs'!$B$3:$B$168&amp;'Detail inputs'!$D$3:$D$168&amp;'Detail inputs'!$F$3:$F$168&amp;'Detail inputs'!$G$3:$G$168&amp;'Detail inputs'!$H$3:$H$168,0),MATCH(I$4,'Detail inputs'!$B$3:$K$3,0)),"")</f>
        <v/>
      </c>
      <c r="J68" s="89" t="str">
        <f>IFERROR(IF(H68="",I68*$F68/1000,IF(I68="",H68*INDEX(Usage!$B$4:$M$18,MATCH($B68,Usage!$B$4:$B$18,0),MATCH(IF($E68="CL1","CL1 Proportion","CL2 Proportion"),Usage!$B$8:$M$8,0)),H68*INDEX(Usage!$B$4:$M$18,MATCH($B68,Usage!$B$4:$B$18,0),MATCH(IF($E68="CL1","CL1 Proportion","CL2 Proportion"),Usage!$B$8:$M$8,0))+I68*$F68/1000)),"")</f>
        <v/>
      </c>
      <c r="K68" s="43" t="str">
        <f>IFERROR(J68/J71,"")</f>
        <v/>
      </c>
      <c r="L68" s="43"/>
      <c r="M68" s="48" t="str">
        <f t="shared" si="19"/>
        <v/>
      </c>
      <c r="N68" s="43"/>
      <c r="O68" s="89" t="str">
        <f t="array" ref="O68">IFERROR(INDEX('Detail inputs'!$B$3:$K$168,MATCH($B68&amp;$C68&amp;$E68&amp;$G68&amp;O$5,'Detail inputs'!$B$3:$B$168&amp;'Detail inputs'!$D$3:$D$168&amp;'Detail inputs'!$F$3:$F$168&amp;'Detail inputs'!$G$3:$G$168&amp;'Detail inputs'!$H$3:$H$168,0),MATCH(O$4,'Detail inputs'!$B$3:$K$3,0)),"")</f>
        <v/>
      </c>
      <c r="P68" s="89" t="str">
        <f t="array" ref="P68">IFERROR(INDEX('Detail inputs'!$B$3:$K$168,MATCH($B68&amp;$C68&amp;$E68&amp;$G68&amp;P$5,'Detail inputs'!$B$3:$B$168&amp;'Detail inputs'!$D$3:$D$168&amp;'Detail inputs'!$F$3:$F$168&amp;'Detail inputs'!$G$3:$G$168&amp;'Detail inputs'!$H$3:$H$168,0),MATCH(P$4,'Detail inputs'!$B$3:$K$3,0)),"")</f>
        <v/>
      </c>
      <c r="Q68" s="89" t="str">
        <f>IFERROR(IF(O68="",P68*$F68/1000,IF(P68="",O68*INDEX(Usage!$B$4:$M$18,MATCH($B68,Usage!$B$4:$B$18,0),MATCH(IF($E68="CL1","CL1 Proportion","CL2 Proportion"),Usage!$B$8:$M$8,0)),O68*INDEX(Usage!$B$4:$M$18,MATCH($B68,Usage!$B$4:$B$18,0),MATCH(IF($E68="CL1","CL1 Proportion","CL2 Proportion"),Usage!$B$8:$M$8,0))+P68*$F68/1000)),"")</f>
        <v/>
      </c>
      <c r="R68" s="43" t="str">
        <f>IFERROR(Q68/Q71,"")</f>
        <v/>
      </c>
    </row>
    <row r="69" spans="2:22" outlineLevel="1" x14ac:dyDescent="0.35">
      <c r="B69" s="3" t="str">
        <f t="shared" si="20"/>
        <v>Endeavour</v>
      </c>
      <c r="C69" s="3" t="str">
        <f t="shared" si="17"/>
        <v>Residential</v>
      </c>
      <c r="D69" s="3" t="str">
        <f t="shared" si="18"/>
        <v>with CL</v>
      </c>
      <c r="E69" s="3" t="s">
        <v>16</v>
      </c>
      <c r="F69" s="41">
        <f t="array" ref="F69">IFERROR(INDEX(Usage!$B$5:$P$18,MATCH($B69,Usage!$B$5:$B$18,0),MATCH($C69&amp;$D69&amp;$E69,Usage!$B$5:$S$5&amp;Usage!$B$6:$S$6&amp;Usage!$B$7:$S$7,0)),0)</f>
        <v>1474</v>
      </c>
      <c r="G69" s="3" t="s">
        <v>58</v>
      </c>
      <c r="H69" s="89" t="str">
        <f t="array" ref="H69">IFERROR(INDEX('Detail inputs'!$B$3:$K$168,MATCH($B69&amp;$C69&amp;$E69&amp;$G69&amp;H$5,'Detail inputs'!$B$3:$B$168&amp;'Detail inputs'!$D$3:$D$168&amp;'Detail inputs'!$F$3:$F$168&amp;'Detail inputs'!$G$3:$G$168&amp;'Detail inputs'!$H$3:$H$168,0),MATCH(H$4,'Detail inputs'!$B$3:$K$3,0)),"")</f>
        <v/>
      </c>
      <c r="I69" s="89" t="str">
        <f t="array" ref="I69">IFERROR(INDEX('Detail inputs'!$B$3:$K$168,MATCH($B69&amp;$C69&amp;$E69&amp;$G69&amp;I$5,'Detail inputs'!$B$3:$B$168&amp;'Detail inputs'!$D$3:$D$168&amp;'Detail inputs'!$F$3:$F$168&amp;'Detail inputs'!$G$3:$G$168&amp;'Detail inputs'!$H$3:$H$168,0),MATCH(I$4,'Detail inputs'!$B$3:$K$3,0)),"")</f>
        <v/>
      </c>
      <c r="J69" s="89" t="str">
        <f>IFERROR(IF(H69="",I69*$F69/1000,IF(I69="",H69*INDEX(Usage!$B$4:$M$18,MATCH($B69,Usage!$B$4:$B$18,0),MATCH(IF($E69="CL1","CL1 Proportion","CL2 Proportion"),Usage!$B$8:$M$8,0)),H69*INDEX(Usage!$B$4:$M$18,MATCH($B69,Usage!$B$4:$B$18,0),MATCH(IF($E69="CL1","CL1 Proportion","CL2 Proportion"),Usage!$B$8:$M$8,0))+I69*$F69/1000)),"")</f>
        <v/>
      </c>
      <c r="K69" s="43" t="str">
        <f>IFERROR(J69/J71,"")</f>
        <v/>
      </c>
      <c r="L69" s="43"/>
      <c r="M69" s="48" t="str">
        <f t="shared" si="19"/>
        <v/>
      </c>
      <c r="N69" s="43"/>
      <c r="O69" s="89" t="str">
        <f t="array" ref="O69">IFERROR(INDEX('Detail inputs'!$B$3:$K$168,MATCH($B69&amp;$C69&amp;$E69&amp;$G69&amp;O$5,'Detail inputs'!$B$3:$B$168&amp;'Detail inputs'!$D$3:$D$168&amp;'Detail inputs'!$F$3:$F$168&amp;'Detail inputs'!$G$3:$G$168&amp;'Detail inputs'!$H$3:$H$168,0),MATCH(O$4,'Detail inputs'!$B$3:$K$3,0)),"")</f>
        <v/>
      </c>
      <c r="P69" s="89" t="str">
        <f t="array" ref="P69">IFERROR(INDEX('Detail inputs'!$B$3:$K$168,MATCH($B69&amp;$C69&amp;$E69&amp;$G69&amp;P$5,'Detail inputs'!$B$3:$B$168&amp;'Detail inputs'!$D$3:$D$168&amp;'Detail inputs'!$F$3:$F$168&amp;'Detail inputs'!$G$3:$G$168&amp;'Detail inputs'!$H$3:$H$168,0),MATCH(P$4,'Detail inputs'!$B$3:$K$3,0)),"")</f>
        <v/>
      </c>
      <c r="Q69" s="89" t="str">
        <f>IFERROR(IF(O69="",P69*$F69/1000,IF(P69="",O69*INDEX(Usage!$B$4:$M$18,MATCH($B69,Usage!$B$4:$B$18,0),MATCH(IF($E69="CL1","CL1 Proportion","CL2 Proportion"),Usage!$B$8:$M$8,0)),O69*INDEX(Usage!$B$4:$M$18,MATCH($B69,Usage!$B$4:$B$18,0),MATCH(IF($E69="CL1","CL1 Proportion","CL2 Proportion"),Usage!$B$8:$M$8,0))+P69*$F69/1000)),"")</f>
        <v/>
      </c>
      <c r="R69" s="43" t="str">
        <f>IFERROR(Q69/Q72,"")</f>
        <v/>
      </c>
    </row>
    <row r="70" spans="2:22" outlineLevel="1" x14ac:dyDescent="0.35">
      <c r="B70" s="3" t="str">
        <f t="shared" si="20"/>
        <v>Endeavour</v>
      </c>
      <c r="C70" s="3" t="str">
        <f t="shared" si="17"/>
        <v>Residential</v>
      </c>
      <c r="D70" s="3" t="str">
        <f t="shared" si="18"/>
        <v>with CL</v>
      </c>
      <c r="E70" s="3" t="s">
        <v>16</v>
      </c>
      <c r="F70" s="41">
        <f t="array" ref="F70">IFERROR(INDEX(Usage!$B$5:$P$18,MATCH($B70,Usage!$B$5:$B$18,0),MATCH($C70&amp;$D70&amp;$E70,Usage!$B$5:$S$5&amp;Usage!$B$6:$S$6&amp;Usage!$B$7:$S$7,0)),0)</f>
        <v>1474</v>
      </c>
      <c r="G70" s="3" t="s">
        <v>59</v>
      </c>
      <c r="H70" s="89" t="str">
        <f t="array" ref="H70">IFERROR(INDEX('Detail inputs'!$B$3:$K$168,MATCH($B70&amp;$C70&amp;$E70&amp;$G70&amp;H$5,'Detail inputs'!$B$3:$B$168&amp;'Detail inputs'!$D$3:$D$168&amp;'Detail inputs'!$F$3:$F$168&amp;'Detail inputs'!$G$3:$G$168&amp;'Detail inputs'!$H$3:$H$168,0),MATCH(H$4,'Detail inputs'!$B$3:$K$3,0)),"")</f>
        <v/>
      </c>
      <c r="I70" s="89" t="str">
        <f t="array" ref="I70">IFERROR(INDEX('Detail inputs'!$B$3:$K$168,MATCH($B70&amp;$C70&amp;$E70&amp;$G70&amp;I$5,'Detail inputs'!$B$3:$B$168&amp;'Detail inputs'!$D$3:$D$168&amp;'Detail inputs'!$F$3:$F$168&amp;'Detail inputs'!$G$3:$G$168&amp;'Detail inputs'!$H$3:$H$168,0),MATCH(I$4,'Detail inputs'!$B$3:$K$3,0)),"")</f>
        <v/>
      </c>
      <c r="J70" s="89" t="str">
        <f>IFERROR(IF(H70="",I70*$F70/1000,IF(I70="",H70*INDEX(Usage!$B$4:$M$18,MATCH($B70,Usage!$B$4:$B$18,0),MATCH(IF($E70="CL1","CL1 Proportion","CL2 Proportion"),Usage!$B$8:$M$8,0)),H70*INDEX(Usage!$B$4:$M$18,MATCH($B70,Usage!$B$4:$B$18,0),MATCH(IF($E70="CL1","CL1 Proportion","CL2 Proportion"),Usage!$B$8:$M$8,0))+I70*$F70/1000)),"")</f>
        <v/>
      </c>
      <c r="K70" s="43" t="str">
        <f>IFERROR(J70/J71,"")</f>
        <v/>
      </c>
      <c r="L70" s="43"/>
      <c r="M70" s="48" t="str">
        <f t="shared" si="19"/>
        <v/>
      </c>
      <c r="N70" s="43"/>
      <c r="O70" s="89" t="str">
        <f t="array" ref="O70">IFERROR(INDEX('Detail inputs'!$B$3:$K$168,MATCH($B70&amp;$C70&amp;$E70&amp;$G70&amp;O$5,'Detail inputs'!$B$3:$B$168&amp;'Detail inputs'!$D$3:$D$168&amp;'Detail inputs'!$F$3:$F$168&amp;'Detail inputs'!$G$3:$G$168&amp;'Detail inputs'!$H$3:$H$168,0),MATCH(O$4,'Detail inputs'!$B$3:$K$3,0)),"")</f>
        <v/>
      </c>
      <c r="P70" s="89" t="str">
        <f t="array" ref="P70">IFERROR(INDEX('Detail inputs'!$B$3:$K$168,MATCH($B70&amp;$C70&amp;$E70&amp;$G70&amp;P$5,'Detail inputs'!$B$3:$B$168&amp;'Detail inputs'!$D$3:$D$168&amp;'Detail inputs'!$F$3:$F$168&amp;'Detail inputs'!$G$3:$G$168&amp;'Detail inputs'!$H$3:$H$168,0),MATCH(P$4,'Detail inputs'!$B$3:$K$3,0)),"")</f>
        <v/>
      </c>
      <c r="Q70" s="89" t="str">
        <f>IFERROR(IF(O70="",P70*$F70/1000,IF(P70="",O70*INDEX(Usage!$B$4:$M$18,MATCH($B70,Usage!$B$4:$B$18,0),MATCH(IF($E70="CL1","CL1 Proportion","CL2 Proportion"),Usage!$B$8:$M$8,0)),O70*INDEX(Usage!$B$4:$M$18,MATCH($B70,Usage!$B$4:$B$18,0),MATCH(IF($E70="CL1","CL1 Proportion","CL2 Proportion"),Usage!$B$8:$M$8,0))+P70*$F70/1000)),"")</f>
        <v/>
      </c>
      <c r="R70" s="43" t="str">
        <f>IFERROR(Q70/Q73,"")</f>
        <v/>
      </c>
    </row>
    <row r="71" spans="2:22" x14ac:dyDescent="0.35">
      <c r="B71" s="3" t="str">
        <f t="shared" si="20"/>
        <v>Endeavour</v>
      </c>
      <c r="C71" s="3" t="str">
        <f t="shared" si="17"/>
        <v>Residential</v>
      </c>
      <c r="D71" s="3" t="str">
        <f t="shared" si="18"/>
        <v>with CL</v>
      </c>
      <c r="E71" s="3" t="s">
        <v>16</v>
      </c>
      <c r="F71" s="41">
        <f t="array" ref="F71">IFERROR(INDEX(Usage!$B$5:$P$18,MATCH($B71,Usage!$B$5:$B$18,0),MATCH($C71&amp;$D71&amp;$E71,Usage!$B$5:$S$5&amp;Usage!$B$6:$S$6&amp;Usage!$B$7:$S$7,0)),0)</f>
        <v>1474</v>
      </c>
      <c r="G71" s="3" t="s">
        <v>64</v>
      </c>
      <c r="H71" s="95">
        <f t="array" ref="H71">INDEX('Key inputs'!$B$16:$N$40,MATCH($B71&amp;$C71&amp;$E71,'Key inputs'!$B$16:$B$40&amp;'Key inputs'!$C$16:$C$40&amp;'Key inputs'!$D$16:$D$40,0),MATCH($G71&amp;H$4&amp;H$5,'Key inputs'!$B$17:$N$17&amp;'Key inputs'!$B$18:$N$18&amp;'Key inputs'!$B$19:$N$19,0))</f>
        <v>13.6145</v>
      </c>
      <c r="I71" s="95">
        <f t="array" ref="I71">INDEX('Key inputs'!$B$16:$N$40,MATCH($B71&amp;$C71&amp;$E71,'Key inputs'!$B$16:$B$40&amp;'Key inputs'!$C$16:$C$40&amp;'Key inputs'!$D$16:$D$40,0),MATCH($G71&amp;I$4&amp;I$5,'Key inputs'!$B$17:$N$17&amp;'Key inputs'!$B$18:$N$18&amp;'Key inputs'!$B$19:$N$19,0))</f>
        <v>15.167999999999999</v>
      </c>
      <c r="J71" s="89">
        <f>H71*INDEX(Usage!$B$4:$M$18,MATCH($B71,Usage!$B$4:$B$18,0),MATCH(IF($E71="CL1","CL1 Proportion","CL2 Proportion"),Usage!$B$8:$M$8,0))+I71*$F71/1000</f>
        <v>31.479346999999997</v>
      </c>
      <c r="K71" s="43">
        <f>IFERROR(J71/J73,"")</f>
        <v>0.87929056538801997</v>
      </c>
      <c r="L71" s="43"/>
      <c r="M71" s="48">
        <f t="shared" si="19"/>
        <v>4.6796682281878388E-2</v>
      </c>
      <c r="N71" s="43"/>
      <c r="O71" s="95">
        <f t="array" ref="O71">INDEX('Key inputs'!$B$16:$N$40,MATCH($B71&amp;$C71&amp;$E71,'Key inputs'!$B$16:$B$40&amp;'Key inputs'!$C$16:$C$40&amp;'Key inputs'!$D$16:$D$40,0),MATCH($G71&amp;O$4&amp;O$5,'Key inputs'!$B$17:$N$17&amp;'Key inputs'!$B$18:$N$18&amp;'Key inputs'!$B$19:$N$19,0))</f>
        <v>13.577999999999999</v>
      </c>
      <c r="P71" s="95">
        <f t="array" ref="P71">INDEX('Key inputs'!$B$16:$N$40,MATCH($B71&amp;$C71&amp;$E71,'Key inputs'!$B$16:$B$40&amp;'Key inputs'!$C$16:$C$40&amp;'Key inputs'!$D$16:$D$40,0),MATCH($G71&amp;P$4&amp;P$5,'Key inputs'!$B$17:$N$17&amp;'Key inputs'!$B$18:$N$18&amp;'Key inputs'!$B$19:$N$19,0))</f>
        <v>16.184000000000001</v>
      </c>
      <c r="Q71" s="89">
        <f>O71*INDEX(Usage!$B$4:$M$18,MATCH($B71,Usage!$B$4:$B$18,0),MATCH(IF($E71="CL1","CL1 Proportion","CL2 Proportion"),Usage!$B$8:$M$8,0))+P71*$F71/1000</f>
        <v>32.952475999999997</v>
      </c>
      <c r="R71" s="43">
        <f>IFERROR(Q71/Q73,"")</f>
        <v>0.8772804783207403</v>
      </c>
      <c r="S71" s="129"/>
      <c r="T71" s="129"/>
      <c r="U71" s="129"/>
      <c r="V71" s="129"/>
    </row>
    <row r="72" spans="2:22" x14ac:dyDescent="0.35">
      <c r="B72" s="3" t="str">
        <f t="shared" si="20"/>
        <v>Endeavour</v>
      </c>
      <c r="C72" s="3" t="str">
        <f t="shared" si="17"/>
        <v>Residential</v>
      </c>
      <c r="D72" s="3" t="str">
        <f t="shared" si="18"/>
        <v>with CL</v>
      </c>
      <c r="E72" s="3" t="s">
        <v>16</v>
      </c>
      <c r="F72" s="41">
        <f t="array" ref="F72">IFERROR(INDEX(Usage!$B$5:$P$18,MATCH($B72,Usage!$B$5:$B$18,0),MATCH($C72&amp;$D72&amp;$E72,Usage!$B$5:$S$5&amp;Usage!$B$6:$S$6&amp;Usage!$B$7:$S$7,0)),0)</f>
        <v>1474</v>
      </c>
      <c r="G72" s="3" t="s">
        <v>68</v>
      </c>
      <c r="H72" s="95">
        <f t="array" ref="H72">INDEX('Key inputs'!$B$16:$N$40,MATCH($B72&amp;$C72&amp;$E72,'Key inputs'!$B$16:$B$40&amp;'Key inputs'!$C$16:$C$40&amp;'Key inputs'!$D$16:$D$40,0),MATCH($G72&amp;H$4&amp;H$5,'Key inputs'!$B$17:$N$17&amp;'Key inputs'!$B$18:$N$18&amp;'Key inputs'!$B$19:$N$19,0))</f>
        <v>6.4499999999999993</v>
      </c>
      <c r="I72" s="89">
        <f>IFERROR(INDEX('Detail inputs'!$B$3:$K$168,MATCH($B72&amp;$C72&amp;$E72&amp;$G72&amp;I$5,'Detail inputs'!$B$3:$B$168&amp;'Detail inputs'!$D$3:$D$168&amp;'Detail inputs'!$F$3:$F$168&amp;'Detail inputs'!$G$3:$G$168&amp;'Detail inputs'!$H$3:$H$168,0),MATCH(I$4,'Detail inputs'!$B$3:$K$3,0)),0)</f>
        <v>0</v>
      </c>
      <c r="J72" s="89">
        <f>H72*INDEX(Usage!$B$4:$M$18,MATCH($B72,Usage!$B$4:$B$18,0),MATCH(IF($E72="CL1","CL1 Proportion","CL2 Proportion"),Usage!$B$8:$M$8,0))+I72*$F72/1000</f>
        <v>4.3214999999999995</v>
      </c>
      <c r="K72" s="43">
        <f>IFERROR(J72/J73,"")</f>
        <v>0.12070943461197998</v>
      </c>
      <c r="L72" s="43"/>
      <c r="M72" s="48">
        <f t="shared" si="19"/>
        <v>6.6666666666666874E-2</v>
      </c>
      <c r="N72" s="43"/>
      <c r="O72" s="95">
        <f t="array" ref="O72">INDEX('Key inputs'!$B$16:$N$40,MATCH($B72&amp;$C72&amp;$E72,'Key inputs'!$B$16:$B$40&amp;'Key inputs'!$C$16:$C$40&amp;'Key inputs'!$D$16:$D$40,0),MATCH($G72&amp;O$4&amp;O$5,'Key inputs'!$B$17:$N$17&amp;'Key inputs'!$B$18:$N$18&amp;'Key inputs'!$B$19:$N$19,0))</f>
        <v>6.8800000000000008</v>
      </c>
      <c r="P72" s="89">
        <f>IFERROR(INDEX('Detail inputs'!$B$3:$K$168,MATCH($B72&amp;$C72&amp;$E72&amp;$G72&amp;P$5,'Detail inputs'!$B$3:$B$168&amp;'Detail inputs'!$D$3:$D$168&amp;'Detail inputs'!$F$3:$F$168&amp;'Detail inputs'!$G$3:$G$168&amp;'Detail inputs'!$H$3:$H$168,0),MATCH(P$4,'Detail inputs'!$B$3:$K$3,0)),0)</f>
        <v>0</v>
      </c>
      <c r="Q72" s="89">
        <f>O72*INDEX(Usage!$B$4:$M$18,MATCH($B72,Usage!$B$4:$B$18,0),MATCH(IF($E72="CL1","CL1 Proportion","CL2 Proportion"),Usage!$B$8:$M$8,0))+P72*$F72/1000</f>
        <v>4.6096000000000004</v>
      </c>
      <c r="R72" s="43">
        <f>IFERROR(Q72/Q73,"")</f>
        <v>0.1227195216792597</v>
      </c>
    </row>
    <row r="73" spans="2:22" x14ac:dyDescent="0.35">
      <c r="B73" s="3" t="str">
        <f t="shared" si="20"/>
        <v>Endeavour</v>
      </c>
      <c r="C73" s="3" t="str">
        <f t="shared" si="17"/>
        <v>Residential</v>
      </c>
      <c r="D73" s="3" t="str">
        <f t="shared" si="18"/>
        <v>with CL</v>
      </c>
      <c r="E73" s="3" t="s">
        <v>16</v>
      </c>
      <c r="F73" s="41">
        <f t="array" ref="F73">IFERROR(INDEX(Usage!$B$5:$P$18,MATCH($B73,Usage!$B$5:$B$18,0),MATCH($C73&amp;$D73&amp;$E73,Usage!$B$5:$S$5&amp;Usage!$B$6:$S$6&amp;Usage!$B$7:$S$7,0)),0)</f>
        <v>1474</v>
      </c>
      <c r="G73" s="3" t="s">
        <v>62</v>
      </c>
      <c r="J73" s="95">
        <f>SUM(J71:J72)</f>
        <v>35.800846999999997</v>
      </c>
      <c r="K73" s="43"/>
      <c r="M73" s="48">
        <f t="shared" si="19"/>
        <v>4.9195176862715018E-2</v>
      </c>
      <c r="N73" s="88"/>
      <c r="O73" s="95"/>
      <c r="P73" s="95"/>
      <c r="Q73" s="95">
        <f>SUM(Q71:Q72)</f>
        <v>37.562075999999998</v>
      </c>
      <c r="R73" s="43"/>
    </row>
    <row r="74" spans="2:22" outlineLevel="1" x14ac:dyDescent="0.35">
      <c r="B74" s="3" t="str">
        <f t="shared" si="20"/>
        <v>Endeavour</v>
      </c>
      <c r="C74" s="3" t="str">
        <f t="shared" si="17"/>
        <v>Residential</v>
      </c>
      <c r="D74" s="3" t="str">
        <f t="shared" si="18"/>
        <v>with CL</v>
      </c>
      <c r="E74" s="3" t="s">
        <v>17</v>
      </c>
      <c r="F74" s="41">
        <f t="array" ref="F74">IFERROR(INDEX(Usage!$B$5:$P$18,MATCH($B74,Usage!$B$5:$B$18,0),MATCH($C74&amp;$D74&amp;$E74,Usage!$B$5:$S$5&amp;Usage!$B$6:$S$6&amp;Usage!$B$7:$S$7,0)),0)</f>
        <v>726</v>
      </c>
      <c r="G74" s="3" t="s">
        <v>57</v>
      </c>
      <c r="H74" s="89" t="str">
        <f t="array" ref="H74">IFERROR(INDEX('Detail inputs'!$B$3:$K$168,MATCH($B74&amp;$C74&amp;$E74&amp;$G74&amp;H$5,'Detail inputs'!$B$3:$B$168&amp;'Detail inputs'!$D$3:$D$168&amp;'Detail inputs'!$F$3:$F$168&amp;'Detail inputs'!$G$3:$G$168&amp;'Detail inputs'!$H$3:$H$168,0),MATCH(H$4,'Detail inputs'!$B$3:$K$3,0)),"")</f>
        <v/>
      </c>
      <c r="I74" s="89" t="str">
        <f t="array" ref="I74">IFERROR(INDEX('Detail inputs'!$B$3:$K$168,MATCH($B74&amp;$C74&amp;$E74&amp;$G74&amp;I$5,'Detail inputs'!$B$3:$B$168&amp;'Detail inputs'!$D$3:$D$168&amp;'Detail inputs'!$F$3:$F$168&amp;'Detail inputs'!$G$3:$G$168&amp;'Detail inputs'!$H$3:$H$168,0),MATCH(I$4,'Detail inputs'!$B$3:$K$3,0)),"")</f>
        <v/>
      </c>
      <c r="J74" s="89" t="str">
        <f>IFERROR(IF(H74="",I74*$F74/1000,IF(I74="",H74*INDEX(Usage!$B$4:$M$18,MATCH($B74,Usage!$B$4:$B$18,0),MATCH(IF($E74="CL1","CL1 Proportion","CL2 Proportion"),Usage!$B$8:$M$8,0)),H74*INDEX(Usage!$B$4:$M$18,MATCH($B74,Usage!$B$4:$B$18,0),MATCH(IF($E74="CL1","CL1 Proportion","CL2 Proportion"),Usage!$B$8:$M$8,0))+I74*$F74/1000)),"")</f>
        <v/>
      </c>
      <c r="K74" s="43" t="str">
        <f>IFERROR(J74/J77,"")</f>
        <v/>
      </c>
      <c r="L74" s="43"/>
      <c r="M74" s="48" t="str">
        <f t="shared" si="19"/>
        <v/>
      </c>
      <c r="N74" s="43"/>
      <c r="O74" s="89" t="str">
        <f t="array" ref="O74">IFERROR(INDEX('Detail inputs'!$B$3:$K$168,MATCH($B74&amp;$C74&amp;$E74&amp;$G74&amp;O$5,'Detail inputs'!$B$3:$B$168&amp;'Detail inputs'!$D$3:$D$168&amp;'Detail inputs'!$F$3:$F$168&amp;'Detail inputs'!$G$3:$G$168&amp;'Detail inputs'!$H$3:$H$168,0),MATCH(O$4,'Detail inputs'!$B$3:$K$3,0)),"")</f>
        <v/>
      </c>
      <c r="P74" s="89" t="str">
        <f t="array" ref="P74">IFERROR(INDEX('Detail inputs'!$B$3:$K$168,MATCH($B74&amp;$C74&amp;$E74&amp;$G74&amp;P$5,'Detail inputs'!$B$3:$B$168&amp;'Detail inputs'!$D$3:$D$168&amp;'Detail inputs'!$F$3:$F$168&amp;'Detail inputs'!$G$3:$G$168&amp;'Detail inputs'!$H$3:$H$168,0),MATCH(P$4,'Detail inputs'!$B$3:$K$3,0)),"")</f>
        <v/>
      </c>
      <c r="Q74" s="89" t="str">
        <f>IFERROR(IF(O74="",P74*$F74/1000,IF(P74="",O74*INDEX(Usage!$B$4:$M$18,MATCH($B74,Usage!$B$4:$B$18,0),MATCH(IF($E74="CL1","CL1 Proportion","CL2 Proportion"),Usage!$B$8:$M$8,0)),O74*INDEX(Usage!$B$4:$M$18,MATCH($B74,Usage!$B$4:$B$18,0),MATCH(IF($E74="CL1","CL1 Proportion","CL2 Proportion"),Usage!$B$8:$M$8,0))+P74*$F74/1000)),"")</f>
        <v/>
      </c>
      <c r="R74" s="43" t="str">
        <f>IFERROR(Q74/Q77,"")</f>
        <v/>
      </c>
    </row>
    <row r="75" spans="2:22" outlineLevel="1" x14ac:dyDescent="0.35">
      <c r="B75" s="3" t="str">
        <f t="shared" si="20"/>
        <v>Endeavour</v>
      </c>
      <c r="C75" s="3" t="str">
        <f t="shared" si="17"/>
        <v>Residential</v>
      </c>
      <c r="D75" s="3" t="str">
        <f t="shared" si="18"/>
        <v>with CL</v>
      </c>
      <c r="E75" s="3" t="s">
        <v>17</v>
      </c>
      <c r="F75" s="41">
        <f t="array" ref="F75">IFERROR(INDEX(Usage!$B$5:$P$18,MATCH($B75,Usage!$B$5:$B$18,0),MATCH($C75&amp;$D75&amp;$E75,Usage!$B$5:$S$5&amp;Usage!$B$6:$S$6&amp;Usage!$B$7:$S$7,0)),0)</f>
        <v>726</v>
      </c>
      <c r="G75" s="3" t="s">
        <v>58</v>
      </c>
      <c r="H75" s="89" t="str">
        <f t="array" ref="H75">IFERROR(INDEX('Detail inputs'!$B$3:$K$168,MATCH($B75&amp;$C75&amp;$E75&amp;$G75&amp;H$5,'Detail inputs'!$B$3:$B$168&amp;'Detail inputs'!$D$3:$D$168&amp;'Detail inputs'!$F$3:$F$168&amp;'Detail inputs'!$G$3:$G$168&amp;'Detail inputs'!$H$3:$H$168,0),MATCH(H$4,'Detail inputs'!$B$3:$K$3,0)),"")</f>
        <v/>
      </c>
      <c r="I75" s="89" t="str">
        <f t="array" ref="I75">IFERROR(INDEX('Detail inputs'!$B$3:$K$168,MATCH($B75&amp;$C75&amp;$E75&amp;$G75&amp;I$5,'Detail inputs'!$B$3:$B$168&amp;'Detail inputs'!$D$3:$D$168&amp;'Detail inputs'!$F$3:$F$168&amp;'Detail inputs'!$G$3:$G$168&amp;'Detail inputs'!$H$3:$H$168,0),MATCH(I$4,'Detail inputs'!$B$3:$K$3,0)),"")</f>
        <v/>
      </c>
      <c r="J75" s="89" t="str">
        <f>IFERROR(IF(H75="",I75*$F75/1000,IF(I75="",H75*INDEX(Usage!$B$4:$M$18,MATCH($B75,Usage!$B$4:$B$18,0),MATCH(IF($E75="CL1","CL1 Proportion","CL2 Proportion"),Usage!$B$8:$M$8,0)),H75*INDEX(Usage!$B$4:$M$18,MATCH($B75,Usage!$B$4:$B$18,0),MATCH(IF($E75="CL1","CL1 Proportion","CL2 Proportion"),Usage!$B$8:$M$8,0))+I75*$F75/1000)),"")</f>
        <v/>
      </c>
      <c r="K75" s="43" t="str">
        <f>IFERROR(J75/J77,"")</f>
        <v/>
      </c>
      <c r="L75" s="43"/>
      <c r="M75" s="48" t="str">
        <f t="shared" si="19"/>
        <v/>
      </c>
      <c r="N75" s="43"/>
      <c r="O75" s="89" t="str">
        <f t="array" ref="O75">IFERROR(INDEX('Detail inputs'!$B$3:$K$168,MATCH($B75&amp;$C75&amp;$E75&amp;$G75&amp;O$5,'Detail inputs'!$B$3:$B$168&amp;'Detail inputs'!$D$3:$D$168&amp;'Detail inputs'!$F$3:$F$168&amp;'Detail inputs'!$G$3:$G$168&amp;'Detail inputs'!$H$3:$H$168,0),MATCH(O$4,'Detail inputs'!$B$3:$K$3,0)),"")</f>
        <v/>
      </c>
      <c r="P75" s="89" t="str">
        <f t="array" ref="P75">IFERROR(INDEX('Detail inputs'!$B$3:$K$168,MATCH($B75&amp;$C75&amp;$E75&amp;$G75&amp;P$5,'Detail inputs'!$B$3:$B$168&amp;'Detail inputs'!$D$3:$D$168&amp;'Detail inputs'!$F$3:$F$168&amp;'Detail inputs'!$G$3:$G$168&amp;'Detail inputs'!$H$3:$H$168,0),MATCH(P$4,'Detail inputs'!$B$3:$K$3,0)),"")</f>
        <v/>
      </c>
      <c r="Q75" s="89" t="str">
        <f>IFERROR(IF(O75="",P75*$F75/1000,IF(P75="",O75*INDEX(Usage!$B$4:$M$18,MATCH($B75,Usage!$B$4:$B$18,0),MATCH(IF($E75="CL1","CL1 Proportion","CL2 Proportion"),Usage!$B$8:$M$8,0)),O75*INDEX(Usage!$B$4:$M$18,MATCH($B75,Usage!$B$4:$B$18,0),MATCH(IF($E75="CL1","CL1 Proportion","CL2 Proportion"),Usage!$B$8:$M$8,0))+P75*$F75/1000)),"")</f>
        <v/>
      </c>
      <c r="R75" s="43" t="str">
        <f>IFERROR(Q75/Q77,"")</f>
        <v/>
      </c>
    </row>
    <row r="76" spans="2:22" outlineLevel="1" x14ac:dyDescent="0.35">
      <c r="B76" s="3" t="str">
        <f t="shared" si="20"/>
        <v>Endeavour</v>
      </c>
      <c r="C76" s="3" t="str">
        <f t="shared" si="17"/>
        <v>Residential</v>
      </c>
      <c r="D76" s="3" t="str">
        <f t="shared" si="18"/>
        <v>with CL</v>
      </c>
      <c r="E76" s="3" t="s">
        <v>17</v>
      </c>
      <c r="F76" s="41">
        <f t="array" ref="F76">IFERROR(INDEX(Usage!$B$5:$P$18,MATCH($B76,Usage!$B$5:$B$18,0),MATCH($C76&amp;$D76&amp;$E76,Usage!$B$5:$S$5&amp;Usage!$B$6:$S$6&amp;Usage!$B$7:$S$7,0)),0)</f>
        <v>726</v>
      </c>
      <c r="G76" s="3" t="s">
        <v>59</v>
      </c>
      <c r="H76" s="89" t="str">
        <f t="array" ref="H76">IFERROR(INDEX('Detail inputs'!$B$3:$K$168,MATCH($B76&amp;$C76&amp;$E76&amp;$G76&amp;H$5,'Detail inputs'!$B$3:$B$168&amp;'Detail inputs'!$D$3:$D$168&amp;'Detail inputs'!$F$3:$F$168&amp;'Detail inputs'!$G$3:$G$168&amp;'Detail inputs'!$H$3:$H$168,0),MATCH(H$4,'Detail inputs'!$B$3:$K$3,0)),"")</f>
        <v/>
      </c>
      <c r="I76" s="89" t="str">
        <f t="array" ref="I76">IFERROR(INDEX('Detail inputs'!$B$3:$K$168,MATCH($B76&amp;$C76&amp;$E76&amp;$G76&amp;I$5,'Detail inputs'!$B$3:$B$168&amp;'Detail inputs'!$D$3:$D$168&amp;'Detail inputs'!$F$3:$F$168&amp;'Detail inputs'!$G$3:$G$168&amp;'Detail inputs'!$H$3:$H$168,0),MATCH(I$4,'Detail inputs'!$B$3:$K$3,0)),"")</f>
        <v/>
      </c>
      <c r="J76" s="89" t="str">
        <f>IFERROR(IF(H76="",I76*$F76/1000,IF(I76="",H76*INDEX(Usage!$B$4:$M$18,MATCH($B76,Usage!$B$4:$B$18,0),MATCH(IF($E76="CL1","CL1 Proportion","CL2 Proportion"),Usage!$B$8:$M$8,0)),H76*INDEX(Usage!$B$4:$M$18,MATCH($B76,Usage!$B$4:$B$18,0),MATCH(IF($E76="CL1","CL1 Proportion","CL2 Proportion"),Usage!$B$8:$M$8,0))+I76*$F76/1000)),"")</f>
        <v/>
      </c>
      <c r="K76" s="43" t="str">
        <f>IFERROR(J76/J77,"")</f>
        <v/>
      </c>
      <c r="L76" s="43"/>
      <c r="M76" s="48" t="str">
        <f t="shared" si="19"/>
        <v/>
      </c>
      <c r="N76" s="43"/>
      <c r="O76" s="89" t="str">
        <f t="array" ref="O76">IFERROR(INDEX('Detail inputs'!$B$3:$K$168,MATCH($B76&amp;$C76&amp;$E76&amp;$G76&amp;O$5,'Detail inputs'!$B$3:$B$168&amp;'Detail inputs'!$D$3:$D$168&amp;'Detail inputs'!$F$3:$F$168&amp;'Detail inputs'!$G$3:$G$168&amp;'Detail inputs'!$H$3:$H$168,0),MATCH(O$4,'Detail inputs'!$B$3:$K$3,0)),"")</f>
        <v/>
      </c>
      <c r="P76" s="89" t="str">
        <f t="array" ref="P76">IFERROR(INDEX('Detail inputs'!$B$3:$K$168,MATCH($B76&amp;$C76&amp;$E76&amp;$G76&amp;P$5,'Detail inputs'!$B$3:$B$168&amp;'Detail inputs'!$D$3:$D$168&amp;'Detail inputs'!$F$3:$F$168&amp;'Detail inputs'!$G$3:$G$168&amp;'Detail inputs'!$H$3:$H$168,0),MATCH(P$4,'Detail inputs'!$B$3:$K$3,0)),"")</f>
        <v/>
      </c>
      <c r="Q76" s="89" t="str">
        <f>IFERROR(IF(O76="",P76*$F76/1000,IF(P76="",O76*INDEX(Usage!$B$4:$M$18,MATCH($B76,Usage!$B$4:$B$18,0),MATCH(IF($E76="CL1","CL1 Proportion","CL2 Proportion"),Usage!$B$8:$M$8,0)),O76*INDEX(Usage!$B$4:$M$18,MATCH($B76,Usage!$B$4:$B$18,0),MATCH(IF($E76="CL1","CL1 Proportion","CL2 Proportion"),Usage!$B$8:$M$8,0))+P76*$F76/1000)),"")</f>
        <v/>
      </c>
      <c r="R76" s="43" t="str">
        <f>IFERROR(Q76/Q77,"")</f>
        <v/>
      </c>
    </row>
    <row r="77" spans="2:22" x14ac:dyDescent="0.35">
      <c r="B77" s="3" t="str">
        <f t="shared" si="20"/>
        <v>Endeavour</v>
      </c>
      <c r="C77" s="3" t="str">
        <f t="shared" si="17"/>
        <v>Residential</v>
      </c>
      <c r="D77" s="3" t="str">
        <f t="shared" si="18"/>
        <v>with CL</v>
      </c>
      <c r="E77" s="3" t="s">
        <v>17</v>
      </c>
      <c r="F77" s="41">
        <f t="array" ref="F77">IFERROR(INDEX(Usage!$B$5:$P$18,MATCH($B77,Usage!$B$5:$B$18,0),MATCH($C77&amp;$D77&amp;$E77,Usage!$B$5:$S$5&amp;Usage!$B$6:$S$6&amp;Usage!$B$7:$S$7,0)),0)</f>
        <v>726</v>
      </c>
      <c r="G77" s="3" t="s">
        <v>64</v>
      </c>
      <c r="H77" s="95">
        <f t="array" ref="H77">INDEX('Key inputs'!$B$16:$N$40,MATCH($B77&amp;$C77&amp;$E77,'Key inputs'!$B$16:$B$40&amp;'Key inputs'!$C$16:$C$40&amp;'Key inputs'!$D$16:$D$40,0),MATCH($G77&amp;H$4&amp;H$5,'Key inputs'!$B$17:$N$17&amp;'Key inputs'!$B$18:$N$18&amp;'Key inputs'!$B$19:$N$19,0))</f>
        <v>13.6145</v>
      </c>
      <c r="I77" s="95">
        <f t="array" ref="I77">INDEX('Key inputs'!$B$16:$N$40,MATCH($B77&amp;$C77&amp;$E77,'Key inputs'!$B$16:$B$40&amp;'Key inputs'!$C$16:$C$40&amp;'Key inputs'!$D$16:$D$40,0),MATCH($G77&amp;I$4&amp;I$5,'Key inputs'!$B$17:$N$17&amp;'Key inputs'!$B$18:$N$18&amp;'Key inputs'!$B$19:$N$19,0))</f>
        <v>36.497</v>
      </c>
      <c r="J77" s="89">
        <f>H77*INDEX(Usage!$B$4:$M$18,MATCH($B77,Usage!$B$4:$B$18,0),MATCH(IF($E77="CL1","CL1 Proportion","CL2 Proportion"),Usage!$B$8:$M$8,0))+I77*$F77/1000</f>
        <v>30.989606999999999</v>
      </c>
      <c r="K77" s="43">
        <f>IFERROR(J77/J79,"")</f>
        <v>0.93573002225036583</v>
      </c>
      <c r="L77" s="43"/>
      <c r="M77" s="48">
        <f t="shared" si="19"/>
        <v>1.3222529733920352E-2</v>
      </c>
      <c r="N77" s="43"/>
      <c r="O77" s="95">
        <f t="array" ref="O77">INDEX('Key inputs'!$B$16:$N$40,MATCH($B77&amp;$C77&amp;$E77,'Key inputs'!$B$16:$B$40&amp;'Key inputs'!$C$16:$C$40&amp;'Key inputs'!$D$16:$D$40,0),MATCH($G77&amp;O$4&amp;O$5,'Key inputs'!$B$17:$N$17&amp;'Key inputs'!$B$18:$N$18&amp;'Key inputs'!$B$19:$N$19,0))</f>
        <v>13.577999999999999</v>
      </c>
      <c r="P77" s="95">
        <f t="array" ref="P77">INDEX('Key inputs'!$B$16:$N$40,MATCH($B77&amp;$C77&amp;$E77,'Key inputs'!$B$16:$B$40&amp;'Key inputs'!$C$16:$C$40&amp;'Key inputs'!$D$16:$D$40,0),MATCH($G77&amp;P$4&amp;P$5,'Key inputs'!$B$17:$N$17&amp;'Key inputs'!$B$18:$N$18&amp;'Key inputs'!$B$19:$N$19,0))</f>
        <v>37.078000000000003</v>
      </c>
      <c r="Q77" s="89">
        <f>O77*INDEX(Usage!$B$4:$M$18,MATCH($B77,Usage!$B$4:$B$18,0),MATCH(IF($E77="CL1","CL1 Proportion","CL2 Proportion"),Usage!$B$8:$M$8,0))+P77*$F77/1000</f>
        <v>31.399368000000003</v>
      </c>
      <c r="R77" s="43">
        <f>IFERROR(Q77/Q79,"")</f>
        <v>0.93256858793918618</v>
      </c>
      <c r="S77" s="129"/>
      <c r="T77" s="129"/>
      <c r="U77" s="129"/>
      <c r="V77" s="129"/>
    </row>
    <row r="78" spans="2:22" x14ac:dyDescent="0.35">
      <c r="B78" s="3" t="str">
        <f t="shared" si="20"/>
        <v>Endeavour</v>
      </c>
      <c r="C78" s="3" t="str">
        <f t="shared" si="17"/>
        <v>Residential</v>
      </c>
      <c r="D78" s="3" t="str">
        <f t="shared" si="18"/>
        <v>with CL</v>
      </c>
      <c r="E78" s="3" t="s">
        <v>17</v>
      </c>
      <c r="F78" s="41">
        <f t="array" ref="F78">IFERROR(INDEX(Usage!$B$5:$P$18,MATCH($B78,Usage!$B$5:$B$18,0),MATCH($C78&amp;$D78&amp;$E78,Usage!$B$5:$S$5&amp;Usage!$B$6:$S$6&amp;Usage!$B$7:$S$7,0)),0)</f>
        <v>726</v>
      </c>
      <c r="G78" s="3" t="s">
        <v>68</v>
      </c>
      <c r="H78" s="95">
        <f t="array" ref="H78">INDEX('Key inputs'!$B$16:$N$40,MATCH($B78&amp;$C78&amp;$E78,'Key inputs'!$B$16:$B$40&amp;'Key inputs'!$C$16:$C$40&amp;'Key inputs'!$D$16:$D$40,0),MATCH($G78&amp;H$4&amp;H$5,'Key inputs'!$B$17:$N$17&amp;'Key inputs'!$B$18:$N$18&amp;'Key inputs'!$B$19:$N$19,0))</f>
        <v>6.4499999999999993</v>
      </c>
      <c r="I78" s="89">
        <f>IFERROR(INDEX('Detail inputs'!$B$3:$K$168,MATCH($B78&amp;$C78&amp;$E78&amp;$G78&amp;I$5,'Detail inputs'!$B$3:$B$168&amp;'Detail inputs'!$D$3:$D$168&amp;'Detail inputs'!$F$3:$F$168&amp;'Detail inputs'!$G$3:$G$168&amp;'Detail inputs'!$H$3:$H$168,0),MATCH(I$4,'Detail inputs'!$B$3:$K$3,0)),0)</f>
        <v>0</v>
      </c>
      <c r="J78" s="89">
        <f>H78*INDEX(Usage!$B$4:$M$18,MATCH($B78,Usage!$B$4:$B$18,0),MATCH(IF($E78="CL1","CL1 Proportion","CL2 Proportion"),Usage!$B$8:$M$8,0))+I78*$F78/1000</f>
        <v>2.1284999999999994</v>
      </c>
      <c r="K78" s="43">
        <f>IFERROR(J78/J79,"")</f>
        <v>6.4269977749634041E-2</v>
      </c>
      <c r="L78" s="43"/>
      <c r="M78" s="48">
        <f t="shared" si="19"/>
        <v>6.6666666666666874E-2</v>
      </c>
      <c r="N78" s="43"/>
      <c r="O78" s="95">
        <f t="array" ref="O78">INDEX('Key inputs'!$B$16:$N$40,MATCH($B78&amp;$C78&amp;$E78,'Key inputs'!$B$16:$B$40&amp;'Key inputs'!$C$16:$C$40&amp;'Key inputs'!$D$16:$D$40,0),MATCH($G78&amp;O$4&amp;O$5,'Key inputs'!$B$17:$N$17&amp;'Key inputs'!$B$18:$N$18&amp;'Key inputs'!$B$19:$N$19,0))</f>
        <v>6.8800000000000008</v>
      </c>
      <c r="P78" s="89">
        <f>IFERROR(INDEX('Detail inputs'!$B$3:$K$168,MATCH($B78&amp;$C78&amp;$E78&amp;$G78&amp;P$5,'Detail inputs'!$B$3:$B$168&amp;'Detail inputs'!$D$3:$D$168&amp;'Detail inputs'!$F$3:$F$168&amp;'Detail inputs'!$G$3:$G$168&amp;'Detail inputs'!$H$3:$H$168,0),MATCH(P$4,'Detail inputs'!$B$3:$K$3,0)),0)</f>
        <v>0</v>
      </c>
      <c r="Q78" s="89">
        <f>O78*INDEX(Usage!$B$4:$M$18,MATCH($B78,Usage!$B$4:$B$18,0),MATCH(IF($E78="CL1","CL1 Proportion","CL2 Proportion"),Usage!$B$8:$M$8,0))+P78*$F78/1000</f>
        <v>2.2704</v>
      </c>
      <c r="R78" s="43">
        <f>IFERROR(Q78/Q79,"")</f>
        <v>6.7431412060813711E-2</v>
      </c>
    </row>
    <row r="79" spans="2:22" x14ac:dyDescent="0.35">
      <c r="B79" s="3" t="str">
        <f t="shared" si="20"/>
        <v>Endeavour</v>
      </c>
      <c r="C79" s="3" t="str">
        <f t="shared" si="17"/>
        <v>Residential</v>
      </c>
      <c r="D79" s="3" t="str">
        <f t="shared" si="18"/>
        <v>with CL</v>
      </c>
      <c r="E79" s="3" t="s">
        <v>17</v>
      </c>
      <c r="F79" s="41">
        <f t="array" ref="F79">IFERROR(INDEX(Usage!$B$5:$P$18,MATCH($B79,Usage!$B$5:$B$18,0),MATCH($C79&amp;$D79&amp;$E79,Usage!$B$5:$S$5&amp;Usage!$B$6:$S$6&amp;Usage!$B$7:$S$7,0)),0)</f>
        <v>726</v>
      </c>
      <c r="G79" s="3" t="s">
        <v>62</v>
      </c>
      <c r="J79" s="95">
        <f>SUM(J77:J78)</f>
        <v>33.118107000000002</v>
      </c>
      <c r="K79" s="43"/>
      <c r="M79" s="48">
        <f t="shared" si="19"/>
        <v>1.6657383225436195E-2</v>
      </c>
      <c r="N79" s="88"/>
      <c r="O79" s="95"/>
      <c r="P79" s="95"/>
      <c r="Q79" s="95">
        <f>SUM(Q77:Q78)</f>
        <v>33.669768000000005</v>
      </c>
      <c r="R79" s="43"/>
    </row>
    <row r="80" spans="2:22" s="77" customFormat="1" x14ac:dyDescent="0.35">
      <c r="B80" s="77" t="str">
        <f t="shared" ref="B80:D82" si="21">B79</f>
        <v>Endeavour</v>
      </c>
      <c r="C80" s="77" t="str">
        <f t="shared" si="21"/>
        <v>Residential</v>
      </c>
      <c r="D80" s="77" t="str">
        <f t="shared" si="21"/>
        <v>with CL</v>
      </c>
      <c r="E80" s="3" t="s">
        <v>62</v>
      </c>
      <c r="F80" s="41">
        <f t="array" ref="F80">IFERROR(INDEX(Usage!$B$5:$P$18,MATCH($B80,Usage!$B$5:$B$18,0),MATCH($C80&amp;$D80&amp;$E80,Usage!$B$5:$S$5&amp;Usage!$B$6:$S$6&amp;Usage!$B$7:$S$7,0)),0)</f>
        <v>7400</v>
      </c>
      <c r="G80" s="77" t="s">
        <v>62</v>
      </c>
      <c r="H80" s="95"/>
      <c r="I80" s="95"/>
      <c r="J80" s="95">
        <f>SUM(J67,J73,J79)</f>
        <v>648.99965399999996</v>
      </c>
      <c r="K80" s="87"/>
      <c r="L80" s="88"/>
      <c r="M80" s="48">
        <f t="shared" si="19"/>
        <v>1.9537437226430532E-2</v>
      </c>
      <c r="N80" s="88"/>
      <c r="O80" s="95"/>
      <c r="P80" s="95"/>
      <c r="Q80" s="95">
        <f>SUM(Q67,Q73,Q79)</f>
        <v>661.6794440000001</v>
      </c>
      <c r="R80" s="87"/>
    </row>
    <row r="81" spans="2:22" outlineLevel="1" x14ac:dyDescent="0.35">
      <c r="B81" s="3" t="str">
        <f t="shared" si="21"/>
        <v>Endeavour</v>
      </c>
      <c r="C81" s="3" t="str">
        <f t="shared" si="21"/>
        <v>Residential</v>
      </c>
      <c r="D81" s="3" t="str">
        <f t="shared" si="21"/>
        <v>with CL</v>
      </c>
      <c r="F81" s="41"/>
      <c r="G81" s="77" t="s">
        <v>42</v>
      </c>
      <c r="H81" s="95"/>
      <c r="I81" s="95"/>
      <c r="J81" s="95">
        <f>J80*GST</f>
        <v>64.899965399999999</v>
      </c>
      <c r="K81" s="87"/>
      <c r="L81" s="88"/>
      <c r="M81" s="48">
        <f t="shared" si="19"/>
        <v>1.9537437226430532E-2</v>
      </c>
      <c r="N81" s="88"/>
      <c r="O81" s="95"/>
      <c r="P81" s="95"/>
      <c r="Q81" s="95">
        <f>Q80*GST</f>
        <v>66.16794440000001</v>
      </c>
      <c r="R81" s="87"/>
    </row>
    <row r="82" spans="2:22" x14ac:dyDescent="0.35">
      <c r="B82" s="3" t="str">
        <f t="shared" si="21"/>
        <v>Endeavour</v>
      </c>
      <c r="C82" s="3" t="str">
        <f t="shared" si="21"/>
        <v>Residential</v>
      </c>
      <c r="D82" s="3" t="str">
        <f t="shared" si="21"/>
        <v>with CL</v>
      </c>
      <c r="F82" s="41"/>
      <c r="G82" s="5" t="s">
        <v>90</v>
      </c>
      <c r="H82" s="94"/>
      <c r="I82" s="94"/>
      <c r="J82" s="94">
        <f>SUM(J80:J81)</f>
        <v>713.89961940000001</v>
      </c>
      <c r="K82" s="75"/>
      <c r="L82" s="27"/>
      <c r="M82" s="76">
        <f t="shared" si="19"/>
        <v>1.9537437226430532E-2</v>
      </c>
      <c r="N82" s="27"/>
      <c r="O82" s="94"/>
      <c r="P82" s="94"/>
      <c r="Q82" s="94">
        <f>SUM(Q80:Q81)</f>
        <v>727.84738840000011</v>
      </c>
      <c r="R82" s="75"/>
    </row>
    <row r="83" spans="2:22" x14ac:dyDescent="0.35">
      <c r="F83" s="41"/>
      <c r="K83" s="43"/>
      <c r="M83" s="48"/>
      <c r="R83" s="43"/>
    </row>
    <row r="84" spans="2:22" x14ac:dyDescent="0.35">
      <c r="B84" s="5" t="s">
        <v>4</v>
      </c>
      <c r="C84" s="5" t="s">
        <v>15</v>
      </c>
      <c r="D84" s="5" t="s">
        <v>150</v>
      </c>
      <c r="F84" s="41"/>
      <c r="K84" s="43"/>
      <c r="M84" s="48"/>
      <c r="R84" s="43"/>
    </row>
    <row r="85" spans="2:22" outlineLevel="1" x14ac:dyDescent="0.35">
      <c r="B85" s="3" t="s">
        <v>4</v>
      </c>
      <c r="C85" s="3" t="s">
        <v>15</v>
      </c>
      <c r="D85" s="3" t="s">
        <v>150</v>
      </c>
      <c r="E85" s="3" t="s">
        <v>23</v>
      </c>
      <c r="F85" s="41">
        <f t="array" ref="F85">IFERROR(INDEX(Usage!$B$5:$P$18,MATCH($B85,Usage!$B$5:$B$18,0),MATCH($C85&amp;$D85&amp;$E85,Usage!$B$5:$S$5&amp;Usage!$B$6:$S$6&amp;Usage!$B$7:$S$7,0)),0)</f>
        <v>20000</v>
      </c>
      <c r="G85" s="3" t="s">
        <v>57</v>
      </c>
      <c r="H85" s="89" t="str">
        <f t="array" ref="H85">IFERROR(INDEX('Detail inputs'!$B$3:$K$168,MATCH($B85&amp;$C85&amp;$E85&amp;$G85&amp;H$5,'Detail inputs'!$B$3:$B$168&amp;'Detail inputs'!$D$3:$D$168&amp;'Detail inputs'!$F$3:$F$168&amp;'Detail inputs'!$G$3:$G$168&amp;'Detail inputs'!$H$3:$H$168,0),MATCH(H$4,'Detail inputs'!$B$3:$K$3,0)),"")</f>
        <v/>
      </c>
      <c r="I85" s="89" t="str">
        <f t="array" ref="I85">IFERROR(INDEX('Detail inputs'!$B$3:$K$168,MATCH($B85&amp;$C85&amp;$E85&amp;$G85&amp;I$5,'Detail inputs'!$B$3:$B$168&amp;'Detail inputs'!$D$3:$D$168&amp;'Detail inputs'!$F$3:$F$168&amp;'Detail inputs'!$G$3:$G$168&amp;'Detail inputs'!$H$3:$H$168,0),MATCH(I$4,'Detail inputs'!$B$3:$K$3,0)),"")</f>
        <v/>
      </c>
      <c r="J85" s="89" t="str">
        <f>IFERROR(IF(H85="",I85*$F85/1000,IF(I85="",H85,H85+I85*$F85/1000)),"")</f>
        <v/>
      </c>
      <c r="K85" s="43" t="str">
        <f>IFERROR(J85/J88,"")</f>
        <v/>
      </c>
      <c r="L85" s="43"/>
      <c r="M85" s="48" t="str">
        <f t="shared" ref="M85:M92" si="22">IF(OR(J85=0,J85="",Q85=""),"",Q85/J85-1)</f>
        <v/>
      </c>
      <c r="N85" s="43"/>
      <c r="O85" s="89" t="str">
        <f t="array" ref="O85">IFERROR(INDEX('Detail inputs'!$B$3:$K$168,MATCH($B85&amp;$C85&amp;$E85&amp;$G85&amp;O$5,'Detail inputs'!$B$3:$B$168&amp;'Detail inputs'!$D$3:$D$168&amp;'Detail inputs'!$F$3:$F$168&amp;'Detail inputs'!$G$3:$G$168&amp;'Detail inputs'!$H$3:$H$168,0),MATCH(O$4,'Detail inputs'!$B$3:$K$3,0)),"")</f>
        <v/>
      </c>
      <c r="P85" s="89" t="str">
        <f t="array" ref="P85">IFERROR(INDEX('Detail inputs'!$B$3:$K$168,MATCH($B85&amp;$C85&amp;$E85&amp;$G85&amp;P$5,'Detail inputs'!$B$3:$B$168&amp;'Detail inputs'!$D$3:$D$168&amp;'Detail inputs'!$F$3:$F$168&amp;'Detail inputs'!$G$3:$G$168&amp;'Detail inputs'!$H$3:$H$168,0),MATCH(P$4,'Detail inputs'!$B$3:$K$3,0)),"")</f>
        <v/>
      </c>
      <c r="Q85" s="89" t="str">
        <f>IFERROR(IF(O85="",P85*$F85/1000,IF(P85="",O85,O85+P85*$F85/1000)),"")</f>
        <v/>
      </c>
      <c r="R85" s="43" t="str">
        <f>IFERROR(Q85/Q88,"")</f>
        <v/>
      </c>
    </row>
    <row r="86" spans="2:22" outlineLevel="1" x14ac:dyDescent="0.35">
      <c r="B86" s="3" t="s">
        <v>4</v>
      </c>
      <c r="C86" s="3" t="s">
        <v>15</v>
      </c>
      <c r="D86" s="3" t="s">
        <v>150</v>
      </c>
      <c r="E86" s="3" t="s">
        <v>23</v>
      </c>
      <c r="F86" s="41">
        <f t="array" ref="F86">IFERROR(INDEX(Usage!$B$5:$P$18,MATCH($B86,Usage!$B$5:$B$18,0),MATCH($C86&amp;$D86&amp;$E86,Usage!$B$5:$S$5&amp;Usage!$B$6:$S$6&amp;Usage!$B$7:$S$7,0)),0)</f>
        <v>20000</v>
      </c>
      <c r="G86" s="3" t="s">
        <v>58</v>
      </c>
      <c r="H86" s="89" t="str">
        <f t="array" ref="H86">IFERROR(INDEX('Detail inputs'!$B$3:$K$168,MATCH($B86&amp;$C86&amp;$E86&amp;$G86&amp;H$5,'Detail inputs'!$B$3:$B$168&amp;'Detail inputs'!$D$3:$D$168&amp;'Detail inputs'!$F$3:$F$168&amp;'Detail inputs'!$G$3:$G$168&amp;'Detail inputs'!$H$3:$H$168,0),MATCH(H$4,'Detail inputs'!$B$3:$K$3,0)),"")</f>
        <v/>
      </c>
      <c r="I86" s="89" t="str">
        <f t="array" ref="I86">IFERROR(INDEX('Detail inputs'!$B$3:$K$168,MATCH($B86&amp;$C86&amp;$E86&amp;$G86&amp;I$5,'Detail inputs'!$B$3:$B$168&amp;'Detail inputs'!$D$3:$D$168&amp;'Detail inputs'!$F$3:$F$168&amp;'Detail inputs'!$G$3:$G$168&amp;'Detail inputs'!$H$3:$H$168,0),MATCH(I$4,'Detail inputs'!$B$3:$K$3,0)),"")</f>
        <v/>
      </c>
      <c r="J86" s="89" t="str">
        <f>IFERROR(IF(H86="",I86*$F86/1000,IF(I86="",H86,H86+I86*$F86/1000)),"")</f>
        <v/>
      </c>
      <c r="K86" s="43" t="str">
        <f>IFERROR(J86/J88,"")</f>
        <v/>
      </c>
      <c r="L86" s="43"/>
      <c r="M86" s="48" t="str">
        <f t="shared" si="22"/>
        <v/>
      </c>
      <c r="N86" s="43"/>
      <c r="O86" s="89" t="str">
        <f t="array" ref="O86">IFERROR(INDEX('Detail inputs'!$B$3:$K$168,MATCH($B86&amp;$C86&amp;$E86&amp;$G86&amp;O$5,'Detail inputs'!$B$3:$B$168&amp;'Detail inputs'!$D$3:$D$168&amp;'Detail inputs'!$F$3:$F$168&amp;'Detail inputs'!$G$3:$G$168&amp;'Detail inputs'!$H$3:$H$168,0),MATCH(O$4,'Detail inputs'!$B$3:$K$3,0)),"")</f>
        <v/>
      </c>
      <c r="P86" s="89" t="str">
        <f t="array" ref="P86">IFERROR(INDEX('Detail inputs'!$B$3:$K$168,MATCH($B86&amp;$C86&amp;$E86&amp;$G86&amp;P$5,'Detail inputs'!$B$3:$B$168&amp;'Detail inputs'!$D$3:$D$168&amp;'Detail inputs'!$F$3:$F$168&amp;'Detail inputs'!$G$3:$G$168&amp;'Detail inputs'!$H$3:$H$168,0),MATCH(P$4,'Detail inputs'!$B$3:$K$3,0)),"")</f>
        <v/>
      </c>
      <c r="Q86" s="89" t="str">
        <f>IFERROR(IF(O86="",P86*$F86/1000,IF(P86="",O86,O86+P86*$F86/1000)),"")</f>
        <v/>
      </c>
      <c r="R86" s="43" t="str">
        <f>IFERROR(Q86/Q89,"")</f>
        <v/>
      </c>
    </row>
    <row r="87" spans="2:22" outlineLevel="1" x14ac:dyDescent="0.35">
      <c r="B87" s="3" t="s">
        <v>4</v>
      </c>
      <c r="C87" s="3" t="s">
        <v>15</v>
      </c>
      <c r="D87" s="3" t="s">
        <v>150</v>
      </c>
      <c r="E87" s="3" t="s">
        <v>23</v>
      </c>
      <c r="F87" s="41">
        <f t="array" ref="F87">IFERROR(INDEX(Usage!$B$5:$P$18,MATCH($B87,Usage!$B$5:$B$18,0),MATCH($C87&amp;$D87&amp;$E87,Usage!$B$5:$S$5&amp;Usage!$B$6:$S$6&amp;Usage!$B$7:$S$7,0)),0)</f>
        <v>20000</v>
      </c>
      <c r="G87" s="3" t="s">
        <v>59</v>
      </c>
      <c r="H87" s="89" t="str">
        <f t="array" ref="H87">IFERROR(INDEX('Detail inputs'!$B$3:$K$168,MATCH($B87&amp;$C87&amp;$E87&amp;$G87&amp;H$5,'Detail inputs'!$B$3:$B$168&amp;'Detail inputs'!$D$3:$D$168&amp;'Detail inputs'!$F$3:$F$168&amp;'Detail inputs'!$G$3:$G$168&amp;'Detail inputs'!$H$3:$H$168,0),MATCH(H$4,'Detail inputs'!$B$3:$K$3,0)),"")</f>
        <v/>
      </c>
      <c r="I87" s="89" t="str">
        <f t="array" ref="I87">IFERROR(INDEX('Detail inputs'!$B$3:$K$168,MATCH($B87&amp;$C87&amp;$E87&amp;$G87&amp;I$5,'Detail inputs'!$B$3:$B$168&amp;'Detail inputs'!$D$3:$D$168&amp;'Detail inputs'!$F$3:$F$168&amp;'Detail inputs'!$G$3:$G$168&amp;'Detail inputs'!$H$3:$H$168,0),MATCH(I$4,'Detail inputs'!$B$3:$K$3,0)),"")</f>
        <v/>
      </c>
      <c r="J87" s="89" t="str">
        <f>IFERROR(IF(H87="",I87*$F87/1000,IF(I87="",H87,H87+I87*$F87/1000)),"")</f>
        <v/>
      </c>
      <c r="K87" s="43" t="str">
        <f>IFERROR(J87/J88,"")</f>
        <v/>
      </c>
      <c r="L87" s="43"/>
      <c r="M87" s="48" t="str">
        <f t="shared" si="22"/>
        <v/>
      </c>
      <c r="N87" s="43"/>
      <c r="O87" s="89" t="str">
        <f t="array" ref="O87">IFERROR(INDEX('Detail inputs'!$B$3:$K$168,MATCH($B87&amp;$C87&amp;$E87&amp;$G87&amp;O$5,'Detail inputs'!$B$3:$B$168&amp;'Detail inputs'!$D$3:$D$168&amp;'Detail inputs'!$F$3:$F$168&amp;'Detail inputs'!$G$3:$G$168&amp;'Detail inputs'!$H$3:$H$168,0),MATCH(O$4,'Detail inputs'!$B$3:$K$3,0)),"")</f>
        <v/>
      </c>
      <c r="P87" s="89" t="str">
        <f t="array" ref="P87">IFERROR(INDEX('Detail inputs'!$B$3:$K$168,MATCH($B87&amp;$C87&amp;$E87&amp;$G87&amp;P$5,'Detail inputs'!$B$3:$B$168&amp;'Detail inputs'!$D$3:$D$168&amp;'Detail inputs'!$F$3:$F$168&amp;'Detail inputs'!$G$3:$G$168&amp;'Detail inputs'!$H$3:$H$168,0),MATCH(P$4,'Detail inputs'!$B$3:$K$3,0)),"")</f>
        <v/>
      </c>
      <c r="Q87" s="89" t="str">
        <f>IFERROR(IF(O87="",P87*$F87/1000,IF(P87="",O87,O87+P87*$F87/1000)),"")</f>
        <v/>
      </c>
      <c r="R87" s="43" t="str">
        <f>IFERROR(Q87/Q90,"")</f>
        <v/>
      </c>
    </row>
    <row r="88" spans="2:22" x14ac:dyDescent="0.35">
      <c r="B88" s="3" t="s">
        <v>4</v>
      </c>
      <c r="C88" s="3" t="s">
        <v>15</v>
      </c>
      <c r="D88" s="3" t="s">
        <v>150</v>
      </c>
      <c r="E88" s="3" t="s">
        <v>23</v>
      </c>
      <c r="F88" s="41">
        <f t="array" ref="F88">IFERROR(INDEX(Usage!$B$5:$P$18,MATCH($B88,Usage!$B$5:$B$18,0),MATCH($C88&amp;$D88&amp;$E88,Usage!$B$5:$S$5&amp;Usage!$B$6:$S$6&amp;Usage!$B$7:$S$7,0)),0)</f>
        <v>20000</v>
      </c>
      <c r="G88" s="3" t="s">
        <v>64</v>
      </c>
      <c r="H88" s="95">
        <f t="array" ref="H88">INDEX('Key inputs'!$B$16:$N$40,MATCH($B88&amp;$C88&amp;$E88,'Key inputs'!$B$16:$B$40&amp;'Key inputs'!$C$16:$C$40&amp;'Key inputs'!$D$16:$D$40,0),MATCH($G88&amp;H$4&amp;H$5,'Key inputs'!$B$17:$N$17&amp;'Key inputs'!$B$18:$N$18&amp;'Key inputs'!$B$19:$N$19,0))</f>
        <v>202.429</v>
      </c>
      <c r="I88" s="95">
        <f t="array" ref="I88">INDEX('Key inputs'!$B$16:$N$40,MATCH($B88&amp;$C88&amp;$E88,'Key inputs'!$B$16:$B$40&amp;'Key inputs'!$C$16:$C$40&amp;'Key inputs'!$D$16:$D$40,0),MATCH($G88&amp;I$4&amp;I$5,'Key inputs'!$B$17:$N$17&amp;'Key inputs'!$B$18:$N$18&amp;'Key inputs'!$B$19:$N$19,0))</f>
        <v>84.177000000000007</v>
      </c>
      <c r="J88" s="89">
        <f>H88+I88*$F88/1000</f>
        <v>1885.9690000000003</v>
      </c>
      <c r="K88" s="43">
        <f>IFERROR(J88/J90,"")</f>
        <v>0.98492815807573419</v>
      </c>
      <c r="L88" s="43"/>
      <c r="M88" s="48">
        <f t="shared" si="22"/>
        <v>1.1490379746432522E-2</v>
      </c>
      <c r="N88" s="43"/>
      <c r="O88" s="95">
        <f t="array" ref="O88">INDEX('Key inputs'!$B$16:$N$40,MATCH($B88&amp;$C88&amp;$E88,'Key inputs'!$B$16:$B$40&amp;'Key inputs'!$C$16:$C$40&amp;'Key inputs'!$D$16:$D$40,0),MATCH($G88&amp;O$4&amp;O$5,'Key inputs'!$B$17:$N$17&amp;'Key inputs'!$B$18:$N$18&amp;'Key inputs'!$B$19:$N$19,0))</f>
        <v>212.5395</v>
      </c>
      <c r="P88" s="95">
        <f t="array" ref="P88">INDEX('Key inputs'!$B$16:$N$40,MATCH($B88&amp;$C88&amp;$E88,'Key inputs'!$B$16:$B$40&amp;'Key inputs'!$C$16:$C$40&amp;'Key inputs'!$D$16:$D$40,0),MATCH($G88&amp;P$4&amp;P$5,'Key inputs'!$B$17:$N$17&amp;'Key inputs'!$B$18:$N$18&amp;'Key inputs'!$B$19:$N$19,0))</f>
        <v>84.754999999999995</v>
      </c>
      <c r="Q88" s="89">
        <f>O88+P88*$F88/1000</f>
        <v>1907.6395</v>
      </c>
      <c r="R88" s="43">
        <f>IFERROR(Q88/Q90,"")</f>
        <v>0.98411600731416848</v>
      </c>
      <c r="S88" s="129"/>
      <c r="T88" s="129"/>
      <c r="U88" s="129"/>
      <c r="V88" s="129"/>
    </row>
    <row r="89" spans="2:22" x14ac:dyDescent="0.35">
      <c r="B89" s="3" t="s">
        <v>4</v>
      </c>
      <c r="C89" s="3" t="s">
        <v>15</v>
      </c>
      <c r="D89" s="3" t="s">
        <v>150</v>
      </c>
      <c r="E89" s="3" t="s">
        <v>23</v>
      </c>
      <c r="F89" s="41">
        <f t="array" ref="F89">IFERROR(INDEX(Usage!$B$5:$P$18,MATCH($B89,Usage!$B$5:$B$18,0),MATCH($C89&amp;$D89&amp;$E89,Usage!$B$5:$S$5&amp;Usage!$B$6:$S$6&amp;Usage!$B$7:$S$7,0)),0)</f>
        <v>20000</v>
      </c>
      <c r="G89" s="3" t="s">
        <v>68</v>
      </c>
      <c r="H89" s="95">
        <f t="array" ref="H89">INDEX('Key inputs'!$B$16:$N$40,MATCH($B89&amp;$C89&amp;$E89,'Key inputs'!$B$16:$B$40&amp;'Key inputs'!$C$16:$C$40&amp;'Key inputs'!$D$16:$D$40,0),MATCH($G89&amp;H$4&amp;H$5,'Key inputs'!$B$17:$N$17&amp;'Key inputs'!$B$18:$N$18&amp;'Key inputs'!$B$19:$N$19,0))</f>
        <v>28.86</v>
      </c>
      <c r="I89" s="89">
        <f>IFERROR(INDEX('Detail inputs'!$B$3:$K$168,MATCH($B89&amp;$C89&amp;$E89&amp;$G89&amp;I$5,'Detail inputs'!$B$3:$B$168&amp;'Detail inputs'!$D$3:$D$168&amp;'Detail inputs'!$F$3:$F$168&amp;'Detail inputs'!$G$3:$G$168&amp;'Detail inputs'!$H$3:$H$168,0),MATCH(I$4,'Detail inputs'!$B$3:$K$3,0)),0)</f>
        <v>0</v>
      </c>
      <c r="J89" s="89">
        <f>H89+I89*$F89/1000</f>
        <v>28.86</v>
      </c>
      <c r="K89" s="43">
        <f>IFERROR(J89/J90,"")</f>
        <v>1.5071841924265821E-2</v>
      </c>
      <c r="L89" s="43"/>
      <c r="M89" s="48">
        <f t="shared" si="22"/>
        <v>6.6874566874566943E-2</v>
      </c>
      <c r="N89" s="43"/>
      <c r="O89" s="95">
        <f t="array" ref="O89">INDEX('Key inputs'!$B$16:$N$40,MATCH($B89&amp;$C89&amp;$E89,'Key inputs'!$B$16:$B$40&amp;'Key inputs'!$C$16:$C$40&amp;'Key inputs'!$D$16:$D$40,0),MATCH($G89&amp;O$4&amp;O$5,'Key inputs'!$B$17:$N$17&amp;'Key inputs'!$B$18:$N$18&amp;'Key inputs'!$B$19:$N$19,0))</f>
        <v>30.79</v>
      </c>
      <c r="P89" s="89">
        <f>IFERROR(INDEX('Detail inputs'!$B$3:$K$168,MATCH($B89&amp;$C89&amp;$E89&amp;$G89&amp;P$5,'Detail inputs'!$B$3:$B$168&amp;'Detail inputs'!$D$3:$D$168&amp;'Detail inputs'!$F$3:$F$168&amp;'Detail inputs'!$G$3:$G$168&amp;'Detail inputs'!$H$3:$H$168,0),MATCH(P$4,'Detail inputs'!$B$3:$K$3,0)),0)</f>
        <v>0</v>
      </c>
      <c r="Q89" s="89">
        <f>O89+P89*$F89/1000</f>
        <v>30.79</v>
      </c>
      <c r="R89" s="43">
        <f>IFERROR(Q89/Q90,"")</f>
        <v>1.5883992685831495E-2</v>
      </c>
    </row>
    <row r="90" spans="2:22" s="77" customFormat="1" x14ac:dyDescent="0.35">
      <c r="B90" s="77" t="s">
        <v>4</v>
      </c>
      <c r="C90" s="77" t="s">
        <v>15</v>
      </c>
      <c r="D90" s="77" t="s">
        <v>150</v>
      </c>
      <c r="E90" s="3" t="s">
        <v>23</v>
      </c>
      <c r="F90" s="41">
        <f t="array" ref="F90">IFERROR(INDEX(Usage!$B$5:$P$18,MATCH($B90,Usage!$B$5:$B$18,0),MATCH($C90&amp;$D90&amp;$E90,Usage!$B$5:$S$5&amp;Usage!$B$6:$S$6&amp;Usage!$B$7:$S$7,0)),0)</f>
        <v>20000</v>
      </c>
      <c r="G90" s="77" t="s">
        <v>62</v>
      </c>
      <c r="H90" s="95"/>
      <c r="I90" s="95"/>
      <c r="J90" s="95">
        <f>SUM(J88:J89)</f>
        <v>1914.8290000000002</v>
      </c>
      <c r="K90" s="87"/>
      <c r="L90" s="88"/>
      <c r="M90" s="48">
        <f t="shared" si="22"/>
        <v>1.2325121459931809E-2</v>
      </c>
      <c r="N90" s="88"/>
      <c r="O90" s="95"/>
      <c r="P90" s="95"/>
      <c r="Q90" s="95">
        <f>SUM(Q88:Q89)</f>
        <v>1938.4295</v>
      </c>
      <c r="R90" s="87"/>
    </row>
    <row r="91" spans="2:22" outlineLevel="1" x14ac:dyDescent="0.35">
      <c r="B91" s="3" t="s">
        <v>4</v>
      </c>
      <c r="C91" s="3" t="s">
        <v>15</v>
      </c>
      <c r="D91" s="3" t="s">
        <v>150</v>
      </c>
      <c r="E91" s="3" t="s">
        <v>23</v>
      </c>
      <c r="F91" s="41">
        <f t="array" ref="F91">IFERROR(INDEX(Usage!$B$5:$P$18,MATCH($B91,Usage!$B$5:$B$18,0),MATCH($C91&amp;$D91&amp;$E91,Usage!$B$5:$S$5&amp;Usage!$B$6:$S$6&amp;Usage!$B$7:$S$7,0)),0)</f>
        <v>20000</v>
      </c>
      <c r="G91" s="77" t="s">
        <v>42</v>
      </c>
      <c r="H91" s="95"/>
      <c r="I91" s="95"/>
      <c r="J91" s="95">
        <f>J90*GST</f>
        <v>191.48290000000003</v>
      </c>
      <c r="K91" s="87"/>
      <c r="L91" s="88"/>
      <c r="M91" s="48">
        <f t="shared" si="22"/>
        <v>1.2325121459931809E-2</v>
      </c>
      <c r="N91" s="88"/>
      <c r="O91" s="95"/>
      <c r="P91" s="95"/>
      <c r="Q91" s="95">
        <f>Q90*GST</f>
        <v>193.84295</v>
      </c>
      <c r="R91" s="87"/>
    </row>
    <row r="92" spans="2:22" x14ac:dyDescent="0.35">
      <c r="B92" s="3" t="s">
        <v>4</v>
      </c>
      <c r="C92" s="3" t="s">
        <v>15</v>
      </c>
      <c r="D92" s="3" t="s">
        <v>150</v>
      </c>
      <c r="F92" s="41"/>
      <c r="G92" s="5" t="s">
        <v>90</v>
      </c>
      <c r="H92" s="94"/>
      <c r="I92" s="94"/>
      <c r="J92" s="94">
        <f>SUM(J90:J91)</f>
        <v>2106.3119000000002</v>
      </c>
      <c r="K92" s="75"/>
      <c r="L92" s="27"/>
      <c r="M92" s="76">
        <f t="shared" si="22"/>
        <v>1.2325121459931809E-2</v>
      </c>
      <c r="N92" s="27"/>
      <c r="O92" s="94"/>
      <c r="P92" s="94"/>
      <c r="Q92" s="94">
        <f>SUM(Q90:Q91)</f>
        <v>2132.2724499999999</v>
      </c>
      <c r="R92" s="75"/>
    </row>
    <row r="93" spans="2:22" x14ac:dyDescent="0.35">
      <c r="F93" s="41"/>
      <c r="K93" s="43"/>
      <c r="M93" s="48"/>
      <c r="R93" s="43"/>
    </row>
    <row r="94" spans="2:22" x14ac:dyDescent="0.35">
      <c r="B94" s="5" t="s">
        <v>3</v>
      </c>
      <c r="C94" s="5" t="s">
        <v>6</v>
      </c>
      <c r="D94" s="5" t="s">
        <v>150</v>
      </c>
      <c r="E94" s="77"/>
      <c r="F94" s="78"/>
      <c r="K94" s="43"/>
      <c r="L94" s="43"/>
      <c r="M94" s="48"/>
      <c r="N94" s="43"/>
      <c r="R94" s="43"/>
    </row>
    <row r="95" spans="2:22" outlineLevel="1" x14ac:dyDescent="0.35">
      <c r="B95" s="77" t="str">
        <f>B94</f>
        <v>Essential</v>
      </c>
      <c r="C95" s="77" t="str">
        <f t="shared" ref="C95:C101" si="23">C94</f>
        <v>Residential</v>
      </c>
      <c r="D95" s="77" t="str">
        <f t="shared" ref="D95:D101" si="24">D94</f>
        <v>without CL</v>
      </c>
      <c r="E95" s="77" t="s">
        <v>23</v>
      </c>
      <c r="F95" s="41">
        <f t="array" ref="F95">IFERROR(INDEX(Usage!$B$5:$P$18,MATCH($B95,Usage!$B$5:$B$18,0),MATCH($C95&amp;$D95&amp;$E95,Usage!$B$5:$S$5&amp;Usage!$B$6:$S$6&amp;Usage!$B$7:$S$7,0)),0)</f>
        <v>4600</v>
      </c>
      <c r="G95" s="3" t="s">
        <v>57</v>
      </c>
      <c r="H95" s="89" t="str">
        <f t="array" ref="H95">IFERROR(INDEX('Detail inputs'!$B$3:$K$168,MATCH($B95&amp;$C95&amp;$E95&amp;$G95&amp;H$5,'Detail inputs'!$B$3:$B$168&amp;'Detail inputs'!$D$3:$D$168&amp;'Detail inputs'!$F$3:$F$168&amp;'Detail inputs'!$G$3:$G$168&amp;'Detail inputs'!$H$3:$H$168,0),MATCH(H$4,'Detail inputs'!$B$3:$K$3,0)),"")</f>
        <v/>
      </c>
      <c r="I95" s="89" t="str">
        <f t="array" ref="I95">IFERROR(INDEX('Detail inputs'!$B$3:$K$168,MATCH($B95&amp;$C95&amp;$E95&amp;$G95&amp;I$5,'Detail inputs'!$B$3:$B$168&amp;'Detail inputs'!$D$3:$D$168&amp;'Detail inputs'!$F$3:$F$168&amp;'Detail inputs'!$G$3:$G$168&amp;'Detail inputs'!$H$3:$H$168,0),MATCH(I$4,'Detail inputs'!$B$3:$K$3,0)),"")</f>
        <v/>
      </c>
      <c r="J95" s="89" t="str">
        <f>IFERROR(IF(H95="",I95*$F95/1000,IF(I95="",H95,H95+I95*$F95/1000)),"")</f>
        <v/>
      </c>
      <c r="K95" s="43" t="str">
        <f>IFERROR(J95/J99,"")</f>
        <v/>
      </c>
      <c r="L95" s="43"/>
      <c r="M95" s="48" t="str">
        <f t="shared" ref="M95:M100" si="25">IF(OR(J95=0,J95="",Q95=""),"",Q95/J95-1)</f>
        <v/>
      </c>
      <c r="N95" s="43"/>
      <c r="O95" s="89" t="str">
        <f t="array" ref="O95">IFERROR(INDEX('Detail inputs'!$B$3:$K$168,MATCH($B95&amp;$C95&amp;$E95&amp;$G95&amp;O$5,'Detail inputs'!$B$3:$B$168&amp;'Detail inputs'!$D$3:$D$168&amp;'Detail inputs'!$F$3:$F$168&amp;'Detail inputs'!$G$3:$G$168&amp;'Detail inputs'!$H$3:$H$168,0),MATCH(O$4,'Detail inputs'!$B$3:$K$3,0)),"")</f>
        <v/>
      </c>
      <c r="P95" s="89" t="str">
        <f t="array" ref="P95">IFERROR(INDEX('Detail inputs'!$B$3:$K$168,MATCH($B95&amp;$C95&amp;$E95&amp;$G95&amp;P$5,'Detail inputs'!$B$3:$B$168&amp;'Detail inputs'!$D$3:$D$168&amp;'Detail inputs'!$F$3:$F$168&amp;'Detail inputs'!$G$3:$G$168&amp;'Detail inputs'!$H$3:$H$168,0),MATCH(P$4,'Detail inputs'!$B$3:$K$3,0)),"")</f>
        <v/>
      </c>
      <c r="Q95" s="89" t="str">
        <f>IFERROR(IF(O95="",P95*$F95/1000,IF(P95="",O95,O95+P95*$F95/1000)),"")</f>
        <v/>
      </c>
      <c r="R95" s="43" t="str">
        <f>IFERROR(Q95/Q99,"")</f>
        <v/>
      </c>
    </row>
    <row r="96" spans="2:22" outlineLevel="1" x14ac:dyDescent="0.35">
      <c r="B96" s="77" t="str">
        <f t="shared" ref="B96:B101" si="26">B95</f>
        <v>Essential</v>
      </c>
      <c r="C96" s="77" t="str">
        <f t="shared" si="23"/>
        <v>Residential</v>
      </c>
      <c r="D96" s="77" t="str">
        <f t="shared" si="24"/>
        <v>without CL</v>
      </c>
      <c r="E96" s="77" t="s">
        <v>23</v>
      </c>
      <c r="F96" s="41">
        <f t="array" ref="F96">IFERROR(INDEX(Usage!$B$5:$P$18,MATCH($B96,Usage!$B$5:$B$18,0),MATCH($C96&amp;$D96&amp;$E96,Usage!$B$5:$S$5&amp;Usage!$B$6:$S$6&amp;Usage!$B$7:$S$7,0)),0)</f>
        <v>4600</v>
      </c>
      <c r="G96" s="3" t="s">
        <v>58</v>
      </c>
      <c r="H96" s="89" t="str">
        <f t="array" ref="H96">IFERROR(INDEX('Detail inputs'!$B$3:$K$168,MATCH($B96&amp;$C96&amp;$E96&amp;$G96&amp;H$5,'Detail inputs'!$B$3:$B$168&amp;'Detail inputs'!$D$3:$D$168&amp;'Detail inputs'!$F$3:$F$168&amp;'Detail inputs'!$G$3:$G$168&amp;'Detail inputs'!$H$3:$H$168,0),MATCH(H$4,'Detail inputs'!$B$3:$K$3,0)),"")</f>
        <v/>
      </c>
      <c r="I96" s="89" t="str">
        <f t="array" ref="I96">IFERROR(INDEX('Detail inputs'!$B$3:$K$168,MATCH($B96&amp;$C96&amp;$E96&amp;$G96&amp;I$5,'Detail inputs'!$B$3:$B$168&amp;'Detail inputs'!$D$3:$D$168&amp;'Detail inputs'!$F$3:$F$168&amp;'Detail inputs'!$G$3:$G$168&amp;'Detail inputs'!$H$3:$H$168,0),MATCH(I$4,'Detail inputs'!$B$3:$K$3,0)),"")</f>
        <v/>
      </c>
      <c r="J96" s="89" t="str">
        <f>IFERROR(IF(H96="",I96*$F96/1000,IF(I96="",H96,H96+I96*$F96/1000)),"")</f>
        <v/>
      </c>
      <c r="K96" s="43" t="str">
        <f>IFERROR(J96/J99,"")</f>
        <v/>
      </c>
      <c r="L96" s="43"/>
      <c r="M96" s="48" t="str">
        <f t="shared" si="25"/>
        <v/>
      </c>
      <c r="N96" s="43"/>
      <c r="O96" s="89" t="str">
        <f t="array" ref="O96">IFERROR(INDEX('Detail inputs'!$B$3:$K$168,MATCH($B96&amp;$C96&amp;$E96&amp;$G96&amp;O$5,'Detail inputs'!$B$3:$B$168&amp;'Detail inputs'!$D$3:$D$168&amp;'Detail inputs'!$F$3:$F$168&amp;'Detail inputs'!$G$3:$G$168&amp;'Detail inputs'!$H$3:$H$168,0),MATCH(O$4,'Detail inputs'!$B$3:$K$3,0)),"")</f>
        <v/>
      </c>
      <c r="P96" s="89" t="str">
        <f t="array" ref="P96">IFERROR(INDEX('Detail inputs'!$B$3:$K$168,MATCH($B96&amp;$C96&amp;$E96&amp;$G96&amp;P$5,'Detail inputs'!$B$3:$B$168&amp;'Detail inputs'!$D$3:$D$168&amp;'Detail inputs'!$F$3:$F$168&amp;'Detail inputs'!$G$3:$G$168&amp;'Detail inputs'!$H$3:$H$168,0),MATCH(P$4,'Detail inputs'!$B$3:$K$3,0)),"")</f>
        <v/>
      </c>
      <c r="Q96" s="89" t="str">
        <f>IFERROR(IF(O96="",P96*$F96/1000,IF(P96="",O96,O96+P96*$F96/1000)),"")</f>
        <v/>
      </c>
      <c r="R96" s="43" t="str">
        <f>IFERROR(Q96/Q99,"")</f>
        <v/>
      </c>
    </row>
    <row r="97" spans="2:22" outlineLevel="1" x14ac:dyDescent="0.35">
      <c r="B97" s="77" t="str">
        <f t="shared" si="26"/>
        <v>Essential</v>
      </c>
      <c r="C97" s="77" t="str">
        <f t="shared" si="23"/>
        <v>Residential</v>
      </c>
      <c r="D97" s="77" t="str">
        <f t="shared" si="24"/>
        <v>without CL</v>
      </c>
      <c r="E97" s="77" t="s">
        <v>23</v>
      </c>
      <c r="F97" s="41">
        <f t="array" ref="F97">IFERROR(INDEX(Usage!$B$5:$P$18,MATCH($B97,Usage!$B$5:$B$18,0),MATCH($C97&amp;$D97&amp;$E97,Usage!$B$5:$S$5&amp;Usage!$B$6:$S$6&amp;Usage!$B$7:$S$7,0)),0)</f>
        <v>4600</v>
      </c>
      <c r="G97" s="3" t="s">
        <v>59</v>
      </c>
      <c r="H97" s="89" t="str">
        <f t="array" ref="H97">IFERROR(INDEX('Detail inputs'!$B$3:$K$168,MATCH($B97&amp;$C97&amp;$E97&amp;$G97&amp;H$5,'Detail inputs'!$B$3:$B$168&amp;'Detail inputs'!$D$3:$D$168&amp;'Detail inputs'!$F$3:$F$168&amp;'Detail inputs'!$G$3:$G$168&amp;'Detail inputs'!$H$3:$H$168,0),MATCH(H$4,'Detail inputs'!$B$3:$K$3,0)),"")</f>
        <v/>
      </c>
      <c r="I97" s="89" t="str">
        <f t="array" ref="I97">IFERROR(INDEX('Detail inputs'!$B$3:$K$168,MATCH($B97&amp;$C97&amp;$E97&amp;$G97&amp;I$5,'Detail inputs'!$B$3:$B$168&amp;'Detail inputs'!$D$3:$D$168&amp;'Detail inputs'!$F$3:$F$168&amp;'Detail inputs'!$G$3:$G$168&amp;'Detail inputs'!$H$3:$H$168,0),MATCH(I$4,'Detail inputs'!$B$3:$K$3,0)),"")</f>
        <v/>
      </c>
      <c r="J97" s="89" t="str">
        <f>IFERROR(IF(H97="",I97*$F97/1000,IF(I97="",H97,H97+I97*$F97/1000)),"")</f>
        <v/>
      </c>
      <c r="K97" s="43" t="str">
        <f>IFERROR(J97/J99,"")</f>
        <v/>
      </c>
      <c r="L97" s="43"/>
      <c r="M97" s="48" t="str">
        <f t="shared" si="25"/>
        <v/>
      </c>
      <c r="N97" s="43"/>
      <c r="O97" s="89" t="str">
        <f t="array" ref="O97">IFERROR(INDEX('Detail inputs'!$B$3:$K$168,MATCH($B97&amp;$C97&amp;$E97&amp;$G97&amp;O$5,'Detail inputs'!$B$3:$B$168&amp;'Detail inputs'!$D$3:$D$168&amp;'Detail inputs'!$F$3:$F$168&amp;'Detail inputs'!$G$3:$G$168&amp;'Detail inputs'!$H$3:$H$168,0),MATCH(O$4,'Detail inputs'!$B$3:$K$3,0)),"")</f>
        <v/>
      </c>
      <c r="P97" s="89" t="str">
        <f t="array" ref="P97">IFERROR(INDEX('Detail inputs'!$B$3:$K$168,MATCH($B97&amp;$C97&amp;$E97&amp;$G97&amp;P$5,'Detail inputs'!$B$3:$B$168&amp;'Detail inputs'!$D$3:$D$168&amp;'Detail inputs'!$F$3:$F$168&amp;'Detail inputs'!$G$3:$G$168&amp;'Detail inputs'!$H$3:$H$168,0),MATCH(P$4,'Detail inputs'!$B$3:$K$3,0)),"")</f>
        <v/>
      </c>
      <c r="Q97" s="89" t="str">
        <f>IFERROR(IF(O97="",P97*$F97/1000,IF(P97="",O97,O97+P97*$F97/1000)),"")</f>
        <v/>
      </c>
      <c r="R97" s="43" t="str">
        <f>IFERROR(Q97/Q99,"")</f>
        <v/>
      </c>
    </row>
    <row r="98" spans="2:22" outlineLevel="1" x14ac:dyDescent="0.35">
      <c r="B98" s="77" t="str">
        <f t="shared" ref="B98:D99" si="27">B97</f>
        <v>Essential</v>
      </c>
      <c r="C98" s="77" t="str">
        <f t="shared" si="27"/>
        <v>Residential</v>
      </c>
      <c r="D98" s="77" t="str">
        <f t="shared" si="27"/>
        <v>without CL</v>
      </c>
      <c r="E98" s="77" t="s">
        <v>23</v>
      </c>
      <c r="F98" s="41">
        <f t="array" ref="F98">IFERROR(INDEX(Usage!$B$5:$P$18,MATCH($B98,Usage!$B$5:$B$18,0),MATCH($C98&amp;$D98&amp;$E98,Usage!$B$5:$S$5&amp;Usage!$B$6:$S$6&amp;Usage!$B$7:$S$7,0)),0)</f>
        <v>4600</v>
      </c>
      <c r="G98" s="3" t="s">
        <v>192</v>
      </c>
      <c r="H98" s="89" t="str">
        <f t="array" ref="H98">IFERROR(INDEX('Detail inputs'!$B$3:$K$168,MATCH($B98&amp;$C98&amp;$E98&amp;$G98&amp;H$5,'Detail inputs'!$B$3:$B$168&amp;'Detail inputs'!$D$3:$D$168&amp;'Detail inputs'!$F$3:$F$168&amp;'Detail inputs'!$G$3:$G$168&amp;'Detail inputs'!$H$3:$H$168,0),MATCH(H$4,'Detail inputs'!$B$3:$K$3,0)),"")</f>
        <v/>
      </c>
      <c r="I98" s="89" t="str">
        <f t="array" ref="I98">IFERROR(INDEX('Detail inputs'!$B$3:$K$168,MATCH($B98&amp;$C98&amp;$E98&amp;$G98&amp;I$5,'Detail inputs'!$B$3:$B$168&amp;'Detail inputs'!$D$3:$D$168&amp;'Detail inputs'!$F$3:$F$168&amp;'Detail inputs'!$G$3:$G$168&amp;'Detail inputs'!$H$3:$H$168,0),MATCH(I$4,'Detail inputs'!$B$3:$K$3,0)),"")</f>
        <v/>
      </c>
      <c r="J98" s="89" t="str">
        <f>IFERROR(IF(H98="",I98*$F98/1000,IF(I98="",H98,H98+I98*$F98/1000)),"")</f>
        <v/>
      </c>
      <c r="K98" s="43" t="str">
        <f>IFERROR(J98/J99,"")</f>
        <v/>
      </c>
      <c r="L98" s="43"/>
      <c r="M98" s="48" t="str">
        <f t="shared" si="25"/>
        <v/>
      </c>
      <c r="N98" s="43"/>
      <c r="O98" s="89" t="str">
        <f t="array" ref="O98">IFERROR(INDEX('Detail inputs'!$B$3:$K$168,MATCH($B98&amp;$C98&amp;$E98&amp;$G98&amp;O$5,'Detail inputs'!$B$3:$B$168&amp;'Detail inputs'!$D$3:$D$168&amp;'Detail inputs'!$F$3:$F$168&amp;'Detail inputs'!$G$3:$G$168&amp;'Detail inputs'!$H$3:$H$168,0),MATCH(O$4,'Detail inputs'!$B$3:$K$3,0)),"")</f>
        <v/>
      </c>
      <c r="P98" s="89" t="str">
        <f t="array" ref="P98">IFERROR(INDEX('Detail inputs'!$B$3:$K$168,MATCH($B98&amp;$C98&amp;$E98&amp;$G98&amp;P$5,'Detail inputs'!$B$3:$B$168&amp;'Detail inputs'!$D$3:$D$168&amp;'Detail inputs'!$F$3:$F$168&amp;'Detail inputs'!$G$3:$G$168&amp;'Detail inputs'!$H$3:$H$168,0),MATCH(P$4,'Detail inputs'!$B$3:$K$3,0)),"")</f>
        <v/>
      </c>
      <c r="Q98" s="89" t="str">
        <f>IFERROR(IF(O98="",P98*$F98/1000,IF(P98="",O98,O98+P98*$F98/1000)),"")</f>
        <v/>
      </c>
      <c r="R98" s="43" t="str">
        <f>IFERROR(Q98/Q99,"")</f>
        <v/>
      </c>
    </row>
    <row r="99" spans="2:22" x14ac:dyDescent="0.35">
      <c r="B99" s="77" t="str">
        <f t="shared" si="27"/>
        <v>Essential</v>
      </c>
      <c r="C99" s="77" t="str">
        <f t="shared" si="27"/>
        <v>Residential</v>
      </c>
      <c r="D99" s="77" t="str">
        <f t="shared" si="27"/>
        <v>without CL</v>
      </c>
      <c r="E99" s="77" t="s">
        <v>23</v>
      </c>
      <c r="F99" s="41">
        <f t="array" ref="F99">IFERROR(INDEX(Usage!$B$5:$P$18,MATCH($B99,Usage!$B$5:$B$18,0),MATCH($C99&amp;$D99&amp;$E99,Usage!$B$5:$S$5&amp;Usage!$B$6:$S$6&amp;Usage!$B$7:$S$7,0)),0)</f>
        <v>4600</v>
      </c>
      <c r="G99" s="3" t="s">
        <v>64</v>
      </c>
      <c r="H99" s="95">
        <f t="array" ref="H99">INDEX('Key inputs'!$B$16:$N$40,MATCH($B99&amp;$C99&amp;$E99,'Key inputs'!$B$16:$B$40&amp;'Key inputs'!$C$16:$C$40&amp;'Key inputs'!$D$16:$D$40,0),MATCH($G99&amp;H$4&amp;H$5,'Key inputs'!$B$17:$N$17&amp;'Key inputs'!$B$18:$N$18&amp;'Key inputs'!$B$19:$N$19,0))</f>
        <v>305.14</v>
      </c>
      <c r="I99" s="95">
        <f t="array" ref="I99">INDEX('Key inputs'!$B$16:$N$40,MATCH($B99&amp;$C99&amp;$E99,'Key inputs'!$B$16:$B$40&amp;'Key inputs'!$C$16:$C$40&amp;'Key inputs'!$D$16:$D$40,0),MATCH($G99&amp;I$4&amp;I$5,'Key inputs'!$B$17:$N$17&amp;'Key inputs'!$B$18:$N$18&amp;'Key inputs'!$B$19:$N$19,0))</f>
        <v>104.989</v>
      </c>
      <c r="J99" s="89">
        <f>H99+I99*$F99/1000</f>
        <v>788.08940000000007</v>
      </c>
      <c r="K99" s="43">
        <f>IFERROR(J99/J101,"")</f>
        <v>0.95979780279951488</v>
      </c>
      <c r="L99" s="43"/>
      <c r="M99" s="48">
        <f t="shared" si="25"/>
        <v>5.5036649395360238E-2</v>
      </c>
      <c r="N99" s="43"/>
      <c r="O99" s="95">
        <f t="array" ref="O99">INDEX('Key inputs'!$B$16:$N$40,MATCH($B99&amp;$C99&amp;$E99,'Key inputs'!$B$16:$B$40&amp;'Key inputs'!$C$16:$C$40&amp;'Key inputs'!$D$16:$D$40,0),MATCH($G99&amp;O$4&amp;O$5,'Key inputs'!$B$17:$N$17&amp;'Key inputs'!$B$18:$N$18&amp;'Key inputs'!$B$19:$N$19,0))</f>
        <v>320.762</v>
      </c>
      <c r="P99" s="95">
        <f t="array" ref="P99">INDEX('Key inputs'!$B$16:$N$40,MATCH($B99&amp;$C99&amp;$E99,'Key inputs'!$B$16:$B$40&amp;'Key inputs'!$C$16:$C$40&amp;'Key inputs'!$D$16:$D$40,0),MATCH($G99&amp;P$4&amp;P$5,'Key inputs'!$B$17:$N$17&amp;'Key inputs'!$B$18:$N$18&amp;'Key inputs'!$B$19:$N$19,0))</f>
        <v>111.02199999999999</v>
      </c>
      <c r="Q99" s="89">
        <f>O99+P99*$F99/1000</f>
        <v>831.46319999999992</v>
      </c>
      <c r="R99" s="43">
        <f>IFERROR(Q99/Q101,"")</f>
        <v>0.96067027828435536</v>
      </c>
      <c r="S99" s="129"/>
      <c r="T99" s="129"/>
      <c r="U99" s="129"/>
      <c r="V99" s="129"/>
    </row>
    <row r="100" spans="2:22" x14ac:dyDescent="0.35">
      <c r="B100" s="77" t="str">
        <f t="shared" si="26"/>
        <v>Essential</v>
      </c>
      <c r="C100" s="77" t="str">
        <f t="shared" si="23"/>
        <v>Residential</v>
      </c>
      <c r="D100" s="77" t="str">
        <f t="shared" si="24"/>
        <v>without CL</v>
      </c>
      <c r="E100" s="77" t="s">
        <v>23</v>
      </c>
      <c r="F100" s="41">
        <f t="array" ref="F100">IFERROR(INDEX(Usage!$B$5:$P$18,MATCH($B100,Usage!$B$5:$B$18,0),MATCH($C100&amp;$D100&amp;$E100,Usage!$B$5:$S$5&amp;Usage!$B$6:$S$6&amp;Usage!$B$7:$S$7,0)),0)</f>
        <v>4600</v>
      </c>
      <c r="G100" s="3" t="s">
        <v>68</v>
      </c>
      <c r="H100" s="95">
        <f t="array" ref="H100">INDEX('Key inputs'!$B$16:$N$40,MATCH($B100&amp;$C100&amp;$E100,'Key inputs'!$B$16:$B$40&amp;'Key inputs'!$C$16:$C$40&amp;'Key inputs'!$D$16:$D$40,0),MATCH($G100&amp;H$4&amp;H$5,'Key inputs'!$B$17:$N$17&amp;'Key inputs'!$B$18:$N$18&amp;'Key inputs'!$B$19:$N$19,0))</f>
        <v>33.010000000000005</v>
      </c>
      <c r="I100" s="89">
        <f>IFERROR(INDEX('Detail inputs'!$B$3:$K$168,MATCH($B100&amp;$C100&amp;$E100&amp;$G100&amp;I$5,'Detail inputs'!$B$3:$B$168&amp;'Detail inputs'!$D$3:$D$168&amp;'Detail inputs'!$F$3:$F$168&amp;'Detail inputs'!$G$3:$G$168&amp;'Detail inputs'!$H$3:$H$168,0),MATCH(I$4,'Detail inputs'!$B$3:$K$3,0)),0)</f>
        <v>0</v>
      </c>
      <c r="J100" s="89">
        <f>H100+I100*$F100/1000</f>
        <v>33.010000000000005</v>
      </c>
      <c r="K100" s="43">
        <f>IFERROR(J100/J101,"")</f>
        <v>4.020219720048511E-2</v>
      </c>
      <c r="L100" s="43"/>
      <c r="M100" s="48">
        <f t="shared" si="25"/>
        <v>3.120266585883047E-2</v>
      </c>
      <c r="N100" s="43"/>
      <c r="O100" s="95">
        <f t="array" ref="O100">INDEX('Key inputs'!$B$16:$N$40,MATCH($B100&amp;$C100&amp;$E100,'Key inputs'!$B$16:$B$40&amp;'Key inputs'!$C$16:$C$40&amp;'Key inputs'!$D$16:$D$40,0),MATCH($G100&amp;O$4&amp;O$5,'Key inputs'!$B$17:$N$17&amp;'Key inputs'!$B$18:$N$18&amp;'Key inputs'!$B$19:$N$19,0))</f>
        <v>34.04</v>
      </c>
      <c r="P100" s="89">
        <f>IFERROR(INDEX('Detail inputs'!$B$3:$K$168,MATCH($B100&amp;$C100&amp;$E100&amp;$G100&amp;P$5,'Detail inputs'!$B$3:$B$168&amp;'Detail inputs'!$D$3:$D$168&amp;'Detail inputs'!$F$3:$F$168&amp;'Detail inputs'!$G$3:$G$168&amp;'Detail inputs'!$H$3:$H$168,0),MATCH(P$4,'Detail inputs'!$B$3:$K$3,0)),0)</f>
        <v>0</v>
      </c>
      <c r="Q100" s="89">
        <f>O100+P100*$F100/1000</f>
        <v>34.04</v>
      </c>
      <c r="R100" s="43">
        <f>IFERROR(Q100/Q101,"")</f>
        <v>3.9329721715644729E-2</v>
      </c>
    </row>
    <row r="101" spans="2:22" s="77" customFormat="1" x14ac:dyDescent="0.35">
      <c r="B101" s="77" t="str">
        <f t="shared" si="26"/>
        <v>Essential</v>
      </c>
      <c r="C101" s="77" t="str">
        <f t="shared" si="23"/>
        <v>Residential</v>
      </c>
      <c r="D101" s="77" t="str">
        <f t="shared" si="24"/>
        <v>without CL</v>
      </c>
      <c r="E101" s="77" t="s">
        <v>23</v>
      </c>
      <c r="F101" s="41">
        <f t="array" ref="F101">IFERROR(INDEX(Usage!$B$5:$P$18,MATCH($B101,Usage!$B$5:$B$18,0),MATCH($C101&amp;$D101&amp;$E101,Usage!$B$5:$S$5&amp;Usage!$B$6:$S$6&amp;Usage!$B$7:$S$7,0)),0)</f>
        <v>4600</v>
      </c>
      <c r="G101" s="77" t="s">
        <v>62</v>
      </c>
      <c r="H101" s="95"/>
      <c r="I101" s="95"/>
      <c r="J101" s="95">
        <f>SUM(J99:J100)</f>
        <v>821.09940000000006</v>
      </c>
      <c r="K101" s="87"/>
      <c r="L101" s="88"/>
      <c r="M101" s="48">
        <f>IF(OR(J101=0,Q101=""),"",Q101/J101-1)</f>
        <v>5.407847088915152E-2</v>
      </c>
      <c r="N101" s="88"/>
      <c r="O101" s="95"/>
      <c r="P101" s="95"/>
      <c r="Q101" s="95">
        <f>IF(AND(Q99="",Q100=""),J101*(1+M101),SUM(Q99:Q100))</f>
        <v>865.50319999999988</v>
      </c>
      <c r="R101" s="87"/>
    </row>
    <row r="102" spans="2:22" outlineLevel="1" x14ac:dyDescent="0.35">
      <c r="B102" s="77" t="str">
        <f t="shared" ref="B102:D103" si="28">B101</f>
        <v>Essential</v>
      </c>
      <c r="C102" s="77" t="str">
        <f t="shared" si="28"/>
        <v>Residential</v>
      </c>
      <c r="D102" s="77" t="str">
        <f t="shared" si="28"/>
        <v>without CL</v>
      </c>
      <c r="E102" s="77"/>
      <c r="F102" s="78"/>
      <c r="G102" s="77" t="s">
        <v>42</v>
      </c>
      <c r="H102" s="95"/>
      <c r="I102" s="95"/>
      <c r="J102" s="95">
        <f>J101*GST</f>
        <v>82.109940000000009</v>
      </c>
      <c r="K102" s="87"/>
      <c r="L102" s="88"/>
      <c r="M102" s="48">
        <f>IF(OR(J102=0,Q102=""),"",Q102/J102-1)</f>
        <v>5.4078470889151742E-2</v>
      </c>
      <c r="N102" s="88"/>
      <c r="O102" s="95"/>
      <c r="P102" s="95"/>
      <c r="Q102" s="95">
        <f>Q101*GST</f>
        <v>86.550319999999999</v>
      </c>
      <c r="R102" s="87"/>
    </row>
    <row r="103" spans="2:22" x14ac:dyDescent="0.35">
      <c r="B103" s="77" t="str">
        <f t="shared" si="28"/>
        <v>Essential</v>
      </c>
      <c r="C103" s="77" t="str">
        <f t="shared" si="28"/>
        <v>Residential</v>
      </c>
      <c r="D103" s="77" t="str">
        <f t="shared" si="28"/>
        <v>without CL</v>
      </c>
      <c r="E103" s="77"/>
      <c r="F103" s="78"/>
      <c r="G103" s="5" t="s">
        <v>90</v>
      </c>
      <c r="H103" s="94"/>
      <c r="I103" s="94"/>
      <c r="J103" s="94">
        <f>SUM(J101:J102)</f>
        <v>903.20934000000011</v>
      </c>
      <c r="K103" s="75"/>
      <c r="L103" s="27"/>
      <c r="M103" s="48">
        <f>IF(OR(J103=0,Q103=""),"",Q103/J103-1)</f>
        <v>5.407847088915152E-2</v>
      </c>
      <c r="N103" s="27"/>
      <c r="O103" s="94"/>
      <c r="P103" s="94"/>
      <c r="Q103" s="94">
        <f>SUM(Q101:Q102)</f>
        <v>952.05351999999993</v>
      </c>
      <c r="R103" s="75"/>
    </row>
    <row r="104" spans="2:22" x14ac:dyDescent="0.35">
      <c r="F104" s="41"/>
      <c r="K104" s="43"/>
      <c r="M104" s="48"/>
      <c r="R104" s="43"/>
    </row>
    <row r="105" spans="2:22" x14ac:dyDescent="0.35">
      <c r="B105" s="5" t="s">
        <v>3</v>
      </c>
      <c r="C105" s="5" t="s">
        <v>6</v>
      </c>
      <c r="D105" s="5" t="s">
        <v>151</v>
      </c>
      <c r="E105" s="77"/>
      <c r="F105" s="78"/>
      <c r="K105" s="43"/>
      <c r="M105" s="48"/>
      <c r="R105" s="43"/>
    </row>
    <row r="106" spans="2:22" outlineLevel="1" x14ac:dyDescent="0.35">
      <c r="B106" s="3" t="str">
        <f>B105</f>
        <v>Essential</v>
      </c>
      <c r="C106" s="3" t="str">
        <f t="shared" ref="C106:C127" si="29">C105</f>
        <v>Residential</v>
      </c>
      <c r="D106" s="3" t="str">
        <f t="shared" ref="D106:D127" si="30">D105</f>
        <v>with CL</v>
      </c>
      <c r="E106" s="3" t="s">
        <v>23</v>
      </c>
      <c r="F106" s="41">
        <f t="array" ref="F106">IFERROR(INDEX(Usage!$B$5:$P$18,MATCH($B106,Usage!$B$5:$B$18,0),MATCH($C106&amp;$D106&amp;$E106,Usage!$B$5:$S$5&amp;Usage!$B$6:$S$6&amp;Usage!$B$7:$S$7,0)),0)</f>
        <v>4600</v>
      </c>
      <c r="G106" s="23" t="s">
        <v>57</v>
      </c>
      <c r="H106" s="89" t="str">
        <f t="array" ref="H106">IFERROR(INDEX('Detail inputs'!$B$3:$K$168,MATCH($B106&amp;$C106&amp;$E106&amp;$G106&amp;H$5,'Detail inputs'!$B$3:$B$168&amp;'Detail inputs'!$D$3:$D$168&amp;'Detail inputs'!$F$3:$F$168&amp;'Detail inputs'!$G$3:$G$168&amp;'Detail inputs'!$H$3:$H$168,0),MATCH(H$4,'Detail inputs'!$B$3:$K$3,0)),"")</f>
        <v/>
      </c>
      <c r="I106" s="89" t="str">
        <f t="array" ref="I106">IFERROR(INDEX('Detail inputs'!$B$3:$K$168,MATCH($B106&amp;$C106&amp;$E106&amp;$G106&amp;I$5,'Detail inputs'!$B$3:$B$168&amp;'Detail inputs'!$D$3:$D$168&amp;'Detail inputs'!$F$3:$F$168&amp;'Detail inputs'!$G$3:$G$168&amp;'Detail inputs'!$H$3:$H$168,0),MATCH(I$4,'Detail inputs'!$B$3:$K$3,0)),"")</f>
        <v/>
      </c>
      <c r="J106" s="89" t="str">
        <f>IFERROR(IF(H106="",I106*$F106/1000,IF(I106="",H106,H106+I106*$F106/1000)),"")</f>
        <v/>
      </c>
      <c r="K106" s="43" t="str">
        <f>IFERROR(J106/J110,"")</f>
        <v/>
      </c>
      <c r="L106" s="43"/>
      <c r="M106" s="48" t="str">
        <f t="shared" ref="M106:M111" si="31">IF(OR(J106=0,J106="",Q106=""),"",Q106/J106-1)</f>
        <v/>
      </c>
      <c r="N106" s="43"/>
      <c r="O106" s="89" t="str">
        <f t="array" ref="O106">IFERROR(INDEX('Detail inputs'!$B$3:$K$168,MATCH($B106&amp;$C106&amp;$E106&amp;$G106&amp;O$5,'Detail inputs'!$B$3:$B$168&amp;'Detail inputs'!$D$3:$D$168&amp;'Detail inputs'!$F$3:$F$168&amp;'Detail inputs'!$G$3:$G$168&amp;'Detail inputs'!$H$3:$H$168,0),MATCH(O$4,'Detail inputs'!$B$3:$K$3,0)),"")</f>
        <v/>
      </c>
      <c r="P106" s="89" t="str">
        <f t="array" ref="P106">IFERROR(INDEX('Detail inputs'!$B$3:$K$168,MATCH($B106&amp;$C106&amp;$E106&amp;$G106&amp;P$5,'Detail inputs'!$B$3:$B$168&amp;'Detail inputs'!$D$3:$D$168&amp;'Detail inputs'!$F$3:$F$168&amp;'Detail inputs'!$G$3:$G$168&amp;'Detail inputs'!$H$3:$H$168,0),MATCH(P$4,'Detail inputs'!$B$3:$K$3,0)),"")</f>
        <v/>
      </c>
      <c r="Q106" s="89" t="str">
        <f>IFERROR(IF(O106="",P106*$F106/1000,IF(P106="",O106,O106+P106*$F106/1000)),"")</f>
        <v/>
      </c>
      <c r="R106" s="43" t="str">
        <f>IFERROR(Q106/Q110,"")</f>
        <v/>
      </c>
    </row>
    <row r="107" spans="2:22" outlineLevel="1" x14ac:dyDescent="0.35">
      <c r="B107" s="3" t="str">
        <f t="shared" ref="B107:B127" si="32">B106</f>
        <v>Essential</v>
      </c>
      <c r="C107" s="3" t="str">
        <f t="shared" si="29"/>
        <v>Residential</v>
      </c>
      <c r="D107" s="3" t="str">
        <f t="shared" si="30"/>
        <v>with CL</v>
      </c>
      <c r="E107" s="3" t="s">
        <v>23</v>
      </c>
      <c r="F107" s="41">
        <f t="array" ref="F107">IFERROR(INDEX(Usage!$B$5:$P$18,MATCH($B107,Usage!$B$5:$B$18,0),MATCH($C107&amp;$D107&amp;$E107,Usage!$B$5:$S$5&amp;Usage!$B$6:$S$6&amp;Usage!$B$7:$S$7,0)),0)</f>
        <v>4600</v>
      </c>
      <c r="G107" s="23" t="s">
        <v>58</v>
      </c>
      <c r="H107" s="89" t="str">
        <f t="array" ref="H107">IFERROR(INDEX('Detail inputs'!$B$3:$K$168,MATCH($B107&amp;$C107&amp;$E107&amp;$G107&amp;H$5,'Detail inputs'!$B$3:$B$168&amp;'Detail inputs'!$D$3:$D$168&amp;'Detail inputs'!$F$3:$F$168&amp;'Detail inputs'!$G$3:$G$168&amp;'Detail inputs'!$H$3:$H$168,0),MATCH(H$4,'Detail inputs'!$B$3:$K$3,0)),"")</f>
        <v/>
      </c>
      <c r="I107" s="89" t="str">
        <f t="array" ref="I107">IFERROR(INDEX('Detail inputs'!$B$3:$K$168,MATCH($B107&amp;$C107&amp;$E107&amp;$G107&amp;I$5,'Detail inputs'!$B$3:$B$168&amp;'Detail inputs'!$D$3:$D$168&amp;'Detail inputs'!$F$3:$F$168&amp;'Detail inputs'!$G$3:$G$168&amp;'Detail inputs'!$H$3:$H$168,0),MATCH(I$4,'Detail inputs'!$B$3:$K$3,0)),"")</f>
        <v/>
      </c>
      <c r="J107" s="89" t="str">
        <f>IFERROR(IF(H107="",I107*$F107/1000,IF(I107="",H107,H107+I107*$F107/1000)),"")</f>
        <v/>
      </c>
      <c r="K107" s="43" t="str">
        <f>IFERROR(J107/J110,"")</f>
        <v/>
      </c>
      <c r="L107" s="43"/>
      <c r="M107" s="48" t="str">
        <f t="shared" si="31"/>
        <v/>
      </c>
      <c r="N107" s="43"/>
      <c r="O107" s="89" t="str">
        <f t="array" ref="O107">IFERROR(INDEX('Detail inputs'!$B$3:$K$168,MATCH($B107&amp;$C107&amp;$E107&amp;$G107&amp;O$5,'Detail inputs'!$B$3:$B$168&amp;'Detail inputs'!$D$3:$D$168&amp;'Detail inputs'!$F$3:$F$168&amp;'Detail inputs'!$G$3:$G$168&amp;'Detail inputs'!$H$3:$H$168,0),MATCH(O$4,'Detail inputs'!$B$3:$K$3,0)),"")</f>
        <v/>
      </c>
      <c r="P107" s="89" t="str">
        <f t="array" ref="P107">IFERROR(INDEX('Detail inputs'!$B$3:$K$168,MATCH($B107&amp;$C107&amp;$E107&amp;$G107&amp;P$5,'Detail inputs'!$B$3:$B$168&amp;'Detail inputs'!$D$3:$D$168&amp;'Detail inputs'!$F$3:$F$168&amp;'Detail inputs'!$G$3:$G$168&amp;'Detail inputs'!$H$3:$H$168,0),MATCH(P$4,'Detail inputs'!$B$3:$K$3,0)),"")</f>
        <v/>
      </c>
      <c r="Q107" s="89" t="str">
        <f>IFERROR(IF(O107="",P107*$F107/1000,IF(P107="",O107,O107+P107*$F107/1000)),"")</f>
        <v/>
      </c>
      <c r="R107" s="43" t="str">
        <f>IFERROR(Q107/Q110,"")</f>
        <v/>
      </c>
    </row>
    <row r="108" spans="2:22" outlineLevel="1" x14ac:dyDescent="0.35">
      <c r="B108" s="3" t="str">
        <f t="shared" si="32"/>
        <v>Essential</v>
      </c>
      <c r="C108" s="3" t="str">
        <f t="shared" si="29"/>
        <v>Residential</v>
      </c>
      <c r="D108" s="3" t="str">
        <f t="shared" si="30"/>
        <v>with CL</v>
      </c>
      <c r="E108" s="3" t="s">
        <v>23</v>
      </c>
      <c r="F108" s="41">
        <f t="array" ref="F108">IFERROR(INDEX(Usage!$B$5:$P$18,MATCH($B108,Usage!$B$5:$B$18,0),MATCH($C108&amp;$D108&amp;$E108,Usage!$B$5:$S$5&amp;Usage!$B$6:$S$6&amp;Usage!$B$7:$S$7,0)),0)</f>
        <v>4600</v>
      </c>
      <c r="G108" s="23" t="s">
        <v>59</v>
      </c>
      <c r="H108" s="89" t="str">
        <f t="array" ref="H108">IFERROR(INDEX('Detail inputs'!$B$3:$K$168,MATCH($B108&amp;$C108&amp;$E108&amp;$G108&amp;H$5,'Detail inputs'!$B$3:$B$168&amp;'Detail inputs'!$D$3:$D$168&amp;'Detail inputs'!$F$3:$F$168&amp;'Detail inputs'!$G$3:$G$168&amp;'Detail inputs'!$H$3:$H$168,0),MATCH(H$4,'Detail inputs'!$B$3:$K$3,0)),"")</f>
        <v/>
      </c>
      <c r="I108" s="89" t="str">
        <f t="array" ref="I108">IFERROR(INDEX('Detail inputs'!$B$3:$K$168,MATCH($B108&amp;$C108&amp;$E108&amp;$G108&amp;I$5,'Detail inputs'!$B$3:$B$168&amp;'Detail inputs'!$D$3:$D$168&amp;'Detail inputs'!$F$3:$F$168&amp;'Detail inputs'!$G$3:$G$168&amp;'Detail inputs'!$H$3:$H$168,0),MATCH(I$4,'Detail inputs'!$B$3:$K$3,0)),"")</f>
        <v/>
      </c>
      <c r="J108" s="89" t="str">
        <f>IFERROR(IF(H108="",I108*$F108/1000,IF(I108="",H108,H108+I108*$F108/1000)),"")</f>
        <v/>
      </c>
      <c r="K108" s="43" t="str">
        <f>IFERROR(J108/J110,"")</f>
        <v/>
      </c>
      <c r="L108" s="43"/>
      <c r="M108" s="48" t="str">
        <f t="shared" si="31"/>
        <v/>
      </c>
      <c r="N108" s="43"/>
      <c r="O108" s="89" t="str">
        <f t="array" ref="O108">IFERROR(INDEX('Detail inputs'!$B$3:$K$168,MATCH($B108&amp;$C108&amp;$E108&amp;$G108&amp;O$5,'Detail inputs'!$B$3:$B$168&amp;'Detail inputs'!$D$3:$D$168&amp;'Detail inputs'!$F$3:$F$168&amp;'Detail inputs'!$G$3:$G$168&amp;'Detail inputs'!$H$3:$H$168,0),MATCH(O$4,'Detail inputs'!$B$3:$K$3,0)),"")</f>
        <v/>
      </c>
      <c r="P108" s="89" t="str">
        <f t="array" ref="P108">IFERROR(INDEX('Detail inputs'!$B$3:$K$168,MATCH($B108&amp;$C108&amp;$E108&amp;$G108&amp;P$5,'Detail inputs'!$B$3:$B$168&amp;'Detail inputs'!$D$3:$D$168&amp;'Detail inputs'!$F$3:$F$168&amp;'Detail inputs'!$G$3:$G$168&amp;'Detail inputs'!$H$3:$H$168,0),MATCH(P$4,'Detail inputs'!$B$3:$K$3,0)),"")</f>
        <v/>
      </c>
      <c r="Q108" s="89" t="str">
        <f>IFERROR(IF(O108="",P108*$F108/1000,IF(P108="",O108,O108+P108*$F108/1000)),"")</f>
        <v/>
      </c>
      <c r="R108" s="43" t="str">
        <f>IFERROR(Q108/Q110,"")</f>
        <v/>
      </c>
    </row>
    <row r="109" spans="2:22" outlineLevel="1" x14ac:dyDescent="0.35">
      <c r="B109" s="3" t="str">
        <f t="shared" ref="B109:D110" si="33">B108</f>
        <v>Essential</v>
      </c>
      <c r="C109" s="3" t="str">
        <f t="shared" si="33"/>
        <v>Residential</v>
      </c>
      <c r="D109" s="3" t="str">
        <f t="shared" si="33"/>
        <v>with CL</v>
      </c>
      <c r="E109" s="3" t="s">
        <v>23</v>
      </c>
      <c r="F109" s="41">
        <f t="array" ref="F109">IFERROR(INDEX(Usage!$B$5:$P$18,MATCH($B109,Usage!$B$5:$B$18,0),MATCH($C109&amp;$D109&amp;$E109,Usage!$B$5:$S$5&amp;Usage!$B$6:$S$6&amp;Usage!$B$7:$S$7,0)),0)</f>
        <v>4600</v>
      </c>
      <c r="G109" s="23" t="s">
        <v>192</v>
      </c>
      <c r="H109" s="89" t="str">
        <f t="array" ref="H109">IFERROR(INDEX('Detail inputs'!$B$3:$K$168,MATCH($B109&amp;$C109&amp;$E109&amp;$G109&amp;H$5,'Detail inputs'!$B$3:$B$168&amp;'Detail inputs'!$D$3:$D$168&amp;'Detail inputs'!$F$3:$F$168&amp;'Detail inputs'!$G$3:$G$168&amp;'Detail inputs'!$H$3:$H$168,0),MATCH(H$4,'Detail inputs'!$B$3:$K$3,0)),"")</f>
        <v/>
      </c>
      <c r="I109" s="89" t="str">
        <f t="array" ref="I109">IFERROR(INDEX('Detail inputs'!$B$3:$K$168,MATCH($B109&amp;$C109&amp;$E109&amp;$G109&amp;I$5,'Detail inputs'!$B$3:$B$168&amp;'Detail inputs'!$D$3:$D$168&amp;'Detail inputs'!$F$3:$F$168&amp;'Detail inputs'!$G$3:$G$168&amp;'Detail inputs'!$H$3:$H$168,0),MATCH(I$4,'Detail inputs'!$B$3:$K$3,0)),"")</f>
        <v/>
      </c>
      <c r="J109" s="89" t="str">
        <f>IFERROR(IF(H109="",I109*$F109/1000,IF(I109="",H109,H109+I109*$F109/1000)),"")</f>
        <v/>
      </c>
      <c r="K109" s="43" t="str">
        <f>IFERROR(J109/J110,"")</f>
        <v/>
      </c>
      <c r="L109" s="43"/>
      <c r="M109" s="48" t="str">
        <f t="shared" si="31"/>
        <v/>
      </c>
      <c r="N109" s="43"/>
      <c r="O109" s="89" t="str">
        <f t="array" ref="O109">IFERROR(INDEX('Detail inputs'!$B$3:$K$168,MATCH($B109&amp;$C109&amp;$E109&amp;$G109&amp;O$5,'Detail inputs'!$B$3:$B$168&amp;'Detail inputs'!$D$3:$D$168&amp;'Detail inputs'!$F$3:$F$168&amp;'Detail inputs'!$G$3:$G$168&amp;'Detail inputs'!$H$3:$H$168,0),MATCH(O$4,'Detail inputs'!$B$3:$K$3,0)),"")</f>
        <v/>
      </c>
      <c r="P109" s="89" t="str">
        <f t="array" ref="P109">IFERROR(INDEX('Detail inputs'!$B$3:$K$168,MATCH($B109&amp;$C109&amp;$E109&amp;$G109&amp;P$5,'Detail inputs'!$B$3:$B$168&amp;'Detail inputs'!$D$3:$D$168&amp;'Detail inputs'!$F$3:$F$168&amp;'Detail inputs'!$G$3:$G$168&amp;'Detail inputs'!$H$3:$H$168,0),MATCH(P$4,'Detail inputs'!$B$3:$K$3,0)),"")</f>
        <v/>
      </c>
      <c r="Q109" s="89" t="str">
        <f>IFERROR(IF(O109="",P109*$F109/1000,IF(P109="",O109,O109+P109*$F109/1000)),"")</f>
        <v/>
      </c>
      <c r="R109" s="43" t="str">
        <f>IFERROR(Q109/Q110,"")</f>
        <v/>
      </c>
    </row>
    <row r="110" spans="2:22" x14ac:dyDescent="0.35">
      <c r="B110" s="3" t="str">
        <f t="shared" si="33"/>
        <v>Essential</v>
      </c>
      <c r="C110" s="3" t="str">
        <f t="shared" si="33"/>
        <v>Residential</v>
      </c>
      <c r="D110" s="3" t="str">
        <f t="shared" si="33"/>
        <v>with CL</v>
      </c>
      <c r="E110" s="3" t="s">
        <v>23</v>
      </c>
      <c r="F110" s="41">
        <f t="array" ref="F110">IFERROR(INDEX(Usage!$B$5:$P$18,MATCH($B110,Usage!$B$5:$B$18,0),MATCH($C110&amp;$D110&amp;$E110,Usage!$B$5:$S$5&amp;Usage!$B$6:$S$6&amp;Usage!$B$7:$S$7,0)),0)</f>
        <v>4600</v>
      </c>
      <c r="G110" s="23" t="s">
        <v>64</v>
      </c>
      <c r="H110" s="95">
        <f t="array" ref="H110">INDEX('Key inputs'!$B$16:$N$40,MATCH($B110&amp;$C110&amp;$E110,'Key inputs'!$B$16:$B$40&amp;'Key inputs'!$C$16:$C$40&amp;'Key inputs'!$D$16:$D$40,0),MATCH($G110&amp;H$4&amp;H$5,'Key inputs'!$B$17:$N$17&amp;'Key inputs'!$B$18:$N$18&amp;'Key inputs'!$B$19:$N$19,0))</f>
        <v>305.14</v>
      </c>
      <c r="I110" s="95">
        <f t="array" ref="I110">INDEX('Key inputs'!$B$16:$N$40,MATCH($B110&amp;$C110&amp;$E110,'Key inputs'!$B$16:$B$40&amp;'Key inputs'!$C$16:$C$40&amp;'Key inputs'!$D$16:$D$40,0),MATCH($G110&amp;I$4&amp;I$5,'Key inputs'!$B$17:$N$17&amp;'Key inputs'!$B$18:$N$18&amp;'Key inputs'!$B$19:$N$19,0))</f>
        <v>104.989</v>
      </c>
      <c r="J110" s="89">
        <f>H110+I110*$F110/1000</f>
        <v>788.08940000000007</v>
      </c>
      <c r="K110" s="43">
        <f>IFERROR(J110/J112,"")</f>
        <v>0.95979780279951488</v>
      </c>
      <c r="L110" s="43"/>
      <c r="M110" s="48">
        <f t="shared" si="31"/>
        <v>5.5036649395360238E-2</v>
      </c>
      <c r="N110" s="43"/>
      <c r="O110" s="95">
        <f t="array" ref="O110">INDEX('Key inputs'!$B$16:$N$40,MATCH($B110&amp;$C110&amp;$E110,'Key inputs'!$B$16:$B$40&amp;'Key inputs'!$C$16:$C$40&amp;'Key inputs'!$D$16:$D$40,0),MATCH($G110&amp;O$4&amp;O$5,'Key inputs'!$B$17:$N$17&amp;'Key inputs'!$B$18:$N$18&amp;'Key inputs'!$B$19:$N$19,0))</f>
        <v>320.762</v>
      </c>
      <c r="P110" s="95">
        <f t="array" ref="P110">INDEX('Key inputs'!$B$16:$N$40,MATCH($B110&amp;$C110&amp;$E110,'Key inputs'!$B$16:$B$40&amp;'Key inputs'!$C$16:$C$40&amp;'Key inputs'!$D$16:$D$40,0),MATCH($G110&amp;P$4&amp;P$5,'Key inputs'!$B$17:$N$17&amp;'Key inputs'!$B$18:$N$18&amp;'Key inputs'!$B$19:$N$19,0))</f>
        <v>111.02199999999999</v>
      </c>
      <c r="Q110" s="89">
        <f>O110+P110*$F110/1000</f>
        <v>831.46319999999992</v>
      </c>
      <c r="R110" s="43">
        <f>IFERROR(Q110/Q112,"")</f>
        <v>0.96067027828435536</v>
      </c>
      <c r="S110" s="129"/>
      <c r="T110" s="129"/>
      <c r="U110" s="129"/>
      <c r="V110" s="129"/>
    </row>
    <row r="111" spans="2:22" x14ac:dyDescent="0.35">
      <c r="B111" s="3" t="str">
        <f t="shared" si="32"/>
        <v>Essential</v>
      </c>
      <c r="C111" s="3" t="str">
        <f t="shared" si="29"/>
        <v>Residential</v>
      </c>
      <c r="D111" s="3" t="str">
        <f t="shared" si="30"/>
        <v>with CL</v>
      </c>
      <c r="E111" s="3" t="s">
        <v>23</v>
      </c>
      <c r="F111" s="41">
        <f t="array" ref="F111">IFERROR(INDEX(Usage!$B$5:$P$18,MATCH($B111,Usage!$B$5:$B$18,0),MATCH($C111&amp;$D111&amp;$E111,Usage!$B$5:$S$5&amp;Usage!$B$6:$S$6&amp;Usage!$B$7:$S$7,0)),0)</f>
        <v>4600</v>
      </c>
      <c r="G111" s="23" t="s">
        <v>68</v>
      </c>
      <c r="H111" s="95">
        <f t="array" ref="H111">INDEX('Key inputs'!$B$16:$N$40,MATCH($B111&amp;$C111&amp;$E111,'Key inputs'!$B$16:$B$40&amp;'Key inputs'!$C$16:$C$40&amp;'Key inputs'!$D$16:$D$40,0),MATCH($G111&amp;H$4&amp;H$5,'Key inputs'!$B$17:$N$17&amp;'Key inputs'!$B$18:$N$18&amp;'Key inputs'!$B$19:$N$19,0))</f>
        <v>33.010000000000005</v>
      </c>
      <c r="I111" s="89">
        <f>IFERROR(INDEX('Detail inputs'!$B$3:$K$168,MATCH($B111&amp;$C111&amp;$E111&amp;$G111&amp;I$5,'Detail inputs'!$B$3:$B$168&amp;'Detail inputs'!$D$3:$D$168&amp;'Detail inputs'!$F$3:$F$168&amp;'Detail inputs'!$G$3:$G$168&amp;'Detail inputs'!$H$3:$H$168,0),MATCH(I$4,'Detail inputs'!$B$3:$K$3,0)),0)</f>
        <v>0</v>
      </c>
      <c r="J111" s="89">
        <f>H111+I111*$F111/1000</f>
        <v>33.010000000000005</v>
      </c>
      <c r="K111" s="43">
        <f>IFERROR(J111/J112,"")</f>
        <v>4.020219720048511E-2</v>
      </c>
      <c r="L111" s="43"/>
      <c r="M111" s="48">
        <f t="shared" si="31"/>
        <v>3.120266585883047E-2</v>
      </c>
      <c r="N111" s="43"/>
      <c r="O111" s="95">
        <f t="array" ref="O111">INDEX('Key inputs'!$B$16:$N$40,MATCH($B111&amp;$C111&amp;$E111,'Key inputs'!$B$16:$B$40&amp;'Key inputs'!$C$16:$C$40&amp;'Key inputs'!$D$16:$D$40,0),MATCH($G111&amp;O$4&amp;O$5,'Key inputs'!$B$17:$N$17&amp;'Key inputs'!$B$18:$N$18&amp;'Key inputs'!$B$19:$N$19,0))</f>
        <v>34.04</v>
      </c>
      <c r="P111" s="89">
        <f>IFERROR(INDEX('Detail inputs'!$B$3:$K$168,MATCH($B111&amp;$C111&amp;$E111&amp;$G111&amp;P$5,'Detail inputs'!$B$3:$B$168&amp;'Detail inputs'!$D$3:$D$168&amp;'Detail inputs'!$F$3:$F$168&amp;'Detail inputs'!$G$3:$G$168&amp;'Detail inputs'!$H$3:$H$168,0),MATCH(P$4,'Detail inputs'!$B$3:$K$3,0)),0)</f>
        <v>0</v>
      </c>
      <c r="Q111" s="89">
        <f>O111+P111*$F111/1000</f>
        <v>34.04</v>
      </c>
      <c r="R111" s="43">
        <f>IFERROR(Q111/Q112,"")</f>
        <v>3.9329721715644729E-2</v>
      </c>
    </row>
    <row r="112" spans="2:22" x14ac:dyDescent="0.35">
      <c r="B112" s="3" t="str">
        <f t="shared" si="32"/>
        <v>Essential</v>
      </c>
      <c r="C112" s="3" t="str">
        <f t="shared" si="29"/>
        <v>Residential</v>
      </c>
      <c r="D112" s="3" t="str">
        <f t="shared" si="30"/>
        <v>with CL</v>
      </c>
      <c r="E112" s="3" t="s">
        <v>23</v>
      </c>
      <c r="F112" s="41">
        <f t="array" ref="F112">IFERROR(INDEX(Usage!$B$5:$P$18,MATCH($B112,Usage!$B$5:$B$18,0),MATCH($C112&amp;$D112&amp;$E112,Usage!$B$5:$S$5&amp;Usage!$B$6:$S$6&amp;Usage!$B$7:$S$7,0)),0)</f>
        <v>4600</v>
      </c>
      <c r="G112" s="3" t="s">
        <v>62</v>
      </c>
      <c r="J112" s="95">
        <f>SUM(J110:J111)</f>
        <v>821.09940000000006</v>
      </c>
      <c r="K112" s="43"/>
      <c r="M112" s="48">
        <f>IF(OR(J112=0,Q112=""),"",Q112/J112-1)</f>
        <v>5.407847088915152E-2</v>
      </c>
      <c r="N112" s="88"/>
      <c r="O112" s="95"/>
      <c r="P112" s="95"/>
      <c r="Q112" s="95">
        <f>IF(AND(Q110="",Q111=""),J112*(1+M112),SUM(Q110:Q111))</f>
        <v>865.50319999999988</v>
      </c>
      <c r="R112" s="43"/>
    </row>
    <row r="113" spans="2:22" outlineLevel="1" x14ac:dyDescent="0.35">
      <c r="B113" s="3" t="str">
        <f t="shared" si="32"/>
        <v>Essential</v>
      </c>
      <c r="C113" s="3" t="str">
        <f t="shared" si="29"/>
        <v>Residential</v>
      </c>
      <c r="D113" s="3" t="str">
        <f t="shared" si="30"/>
        <v>with CL</v>
      </c>
      <c r="E113" s="3" t="s">
        <v>16</v>
      </c>
      <c r="F113" s="41">
        <f t="array" ref="F113">IFERROR(INDEX(Usage!$B$5:$P$18,MATCH($B113,Usage!$B$5:$B$18,0),MATCH($C113&amp;$D113&amp;$E113,Usage!$B$5:$S$5&amp;Usage!$B$6:$S$6&amp;Usage!$B$7:$S$7,0)),0)</f>
        <v>1540</v>
      </c>
      <c r="G113" s="23" t="s">
        <v>57</v>
      </c>
      <c r="H113" s="89" t="str">
        <f t="array" ref="H113">IFERROR(INDEX('Detail inputs'!$B$3:$K$168,MATCH($B113&amp;$C113&amp;$E113&amp;$G113&amp;H$5,'Detail inputs'!$B$3:$B$168&amp;'Detail inputs'!$D$3:$D$168&amp;'Detail inputs'!$F$3:$F$168&amp;'Detail inputs'!$G$3:$G$168&amp;'Detail inputs'!$H$3:$H$168,0),MATCH(H$4,'Detail inputs'!$B$3:$K$3,0)),"")</f>
        <v/>
      </c>
      <c r="I113" s="89" t="str">
        <f t="array" ref="I113">IFERROR(INDEX('Detail inputs'!$B$3:$K$168,MATCH($B113&amp;$C113&amp;$E113&amp;$G113&amp;I$5,'Detail inputs'!$B$3:$B$168&amp;'Detail inputs'!$D$3:$D$168&amp;'Detail inputs'!$F$3:$F$168&amp;'Detail inputs'!$G$3:$G$168&amp;'Detail inputs'!$H$3:$H$168,0),MATCH(I$4,'Detail inputs'!$B$3:$K$3,0)),"")</f>
        <v/>
      </c>
      <c r="J113" s="89" t="str">
        <f>IFERROR(IF(H113="",I113*$F113/1000,IF(I113="",H113*INDEX(Usage!$B$4:$M$18,MATCH($B113,Usage!$B$4:$B$18,0),MATCH(IF($E113="CL1","CL1 Proportion","CL2 Proportion"),Usage!$B$8:$M$8,0)),H113*INDEX(Usage!$B$4:$M$18,MATCH($B113,Usage!$B$4:$B$18,0),MATCH(IF($E113="CL1","CL1 Proportion","CL2 Proportion"),Usage!$B$8:$M$8,0))+I113*$F113/1000)),"")</f>
        <v/>
      </c>
      <c r="K113" s="43" t="str">
        <f>IFERROR(J113/J117,"")</f>
        <v/>
      </c>
      <c r="L113" s="43"/>
      <c r="M113" s="48" t="str">
        <f t="shared" ref="M113:M118" si="34">IF(OR(J113=0,J113="",Q113=""),"",Q113/J113-1)</f>
        <v/>
      </c>
      <c r="N113" s="43"/>
      <c r="O113" s="89" t="str">
        <f t="array" ref="O113">IFERROR(INDEX('Detail inputs'!$B$3:$K$168,MATCH($B113&amp;$C113&amp;$E113&amp;$G113&amp;O$5,'Detail inputs'!$B$3:$B$168&amp;'Detail inputs'!$D$3:$D$168&amp;'Detail inputs'!$F$3:$F$168&amp;'Detail inputs'!$G$3:$G$168&amp;'Detail inputs'!$H$3:$H$168,0),MATCH(O$4,'Detail inputs'!$B$3:$K$3,0)),"")</f>
        <v/>
      </c>
      <c r="P113" s="89" t="str">
        <f t="array" ref="P113">IFERROR(INDEX('Detail inputs'!$B$3:$K$168,MATCH($B113&amp;$C113&amp;$E113&amp;$G113&amp;P$5,'Detail inputs'!$B$3:$B$168&amp;'Detail inputs'!$D$3:$D$168&amp;'Detail inputs'!$F$3:$F$168&amp;'Detail inputs'!$G$3:$G$168&amp;'Detail inputs'!$H$3:$H$168,0),MATCH(P$4,'Detail inputs'!$B$3:$K$3,0)),"")</f>
        <v/>
      </c>
      <c r="Q113" s="89" t="str">
        <f>IFERROR(IF(O113="",P113*$F113/1000,IF(P113="",O113*INDEX(Usage!$B$4:$M$18,MATCH($B113,Usage!$B$4:$B$18,0),MATCH(IF($E113="CL1","CL1 Proportion","CL2 Proportion"),Usage!$B$8:$M$8,0)),O113*INDEX(Usage!$B$4:$M$18,MATCH($B113,Usage!$B$4:$B$18,0),MATCH(IF($E113="CL1","CL1 Proportion","CL2 Proportion"),Usage!$B$8:$M$8,0))+P113*$F113/1000)),"")</f>
        <v/>
      </c>
      <c r="R113" s="43" t="str">
        <f>IFERROR(Q113/Q117,"")</f>
        <v/>
      </c>
    </row>
    <row r="114" spans="2:22" outlineLevel="1" x14ac:dyDescent="0.35">
      <c r="B114" s="3" t="str">
        <f t="shared" si="32"/>
        <v>Essential</v>
      </c>
      <c r="C114" s="3" t="str">
        <f t="shared" si="29"/>
        <v>Residential</v>
      </c>
      <c r="D114" s="3" t="str">
        <f t="shared" si="30"/>
        <v>with CL</v>
      </c>
      <c r="E114" s="3" t="s">
        <v>16</v>
      </c>
      <c r="F114" s="41">
        <f t="array" ref="F114">IFERROR(INDEX(Usage!$B$5:$P$18,MATCH($B114,Usage!$B$5:$B$18,0),MATCH($C114&amp;$D114&amp;$E114,Usage!$B$5:$S$5&amp;Usage!$B$6:$S$6&amp;Usage!$B$7:$S$7,0)),0)</f>
        <v>1540</v>
      </c>
      <c r="G114" s="23" t="s">
        <v>58</v>
      </c>
      <c r="H114" s="89" t="str">
        <f t="array" ref="H114">IFERROR(INDEX('Detail inputs'!$B$3:$K$168,MATCH($B114&amp;$C114&amp;$E114&amp;$G114&amp;H$5,'Detail inputs'!$B$3:$B$168&amp;'Detail inputs'!$D$3:$D$168&amp;'Detail inputs'!$F$3:$F$168&amp;'Detail inputs'!$G$3:$G$168&amp;'Detail inputs'!$H$3:$H$168,0),MATCH(H$4,'Detail inputs'!$B$3:$K$3,0)),"")</f>
        <v/>
      </c>
      <c r="I114" s="89" t="str">
        <f t="array" ref="I114">IFERROR(INDEX('Detail inputs'!$B$3:$K$168,MATCH($B114&amp;$C114&amp;$E114&amp;$G114&amp;I$5,'Detail inputs'!$B$3:$B$168&amp;'Detail inputs'!$D$3:$D$168&amp;'Detail inputs'!$F$3:$F$168&amp;'Detail inputs'!$G$3:$G$168&amp;'Detail inputs'!$H$3:$H$168,0),MATCH(I$4,'Detail inputs'!$B$3:$K$3,0)),"")</f>
        <v/>
      </c>
      <c r="J114" s="89" t="str">
        <f>IFERROR(IF(H114="",I114*$F114/1000,IF(I114="",H114*INDEX(Usage!$B$4:$M$18,MATCH($B114,Usage!$B$4:$B$18,0),MATCH(IF($E114="CL1","CL1 Proportion","CL2 Proportion"),Usage!$B$8:$M$8,0)),H114*INDEX(Usage!$B$4:$M$18,MATCH($B114,Usage!$B$4:$B$18,0),MATCH(IF($E114="CL1","CL1 Proportion","CL2 Proportion"),Usage!$B$8:$M$8,0))+I114*$F114/1000)),"")</f>
        <v/>
      </c>
      <c r="K114" s="43" t="str">
        <f>IFERROR(J114/J117,"")</f>
        <v/>
      </c>
      <c r="L114" s="43"/>
      <c r="M114" s="48" t="str">
        <f t="shared" si="34"/>
        <v/>
      </c>
      <c r="N114" s="43"/>
      <c r="O114" s="89" t="str">
        <f t="array" ref="O114">IFERROR(INDEX('Detail inputs'!$B$3:$K$168,MATCH($B114&amp;$C114&amp;$E114&amp;$G114&amp;O$5,'Detail inputs'!$B$3:$B$168&amp;'Detail inputs'!$D$3:$D$168&amp;'Detail inputs'!$F$3:$F$168&amp;'Detail inputs'!$G$3:$G$168&amp;'Detail inputs'!$H$3:$H$168,0),MATCH(O$4,'Detail inputs'!$B$3:$K$3,0)),"")</f>
        <v/>
      </c>
      <c r="P114" s="89" t="str">
        <f t="array" ref="P114">IFERROR(INDEX('Detail inputs'!$B$3:$K$168,MATCH($B114&amp;$C114&amp;$E114&amp;$G114&amp;P$5,'Detail inputs'!$B$3:$B$168&amp;'Detail inputs'!$D$3:$D$168&amp;'Detail inputs'!$F$3:$F$168&amp;'Detail inputs'!$G$3:$G$168&amp;'Detail inputs'!$H$3:$H$168,0),MATCH(P$4,'Detail inputs'!$B$3:$K$3,0)),"")</f>
        <v/>
      </c>
      <c r="Q114" s="89" t="str">
        <f>IFERROR(IF(O114="",P114*$F114/1000,IF(P114="",O114*INDEX(Usage!$B$4:$M$18,MATCH($B114,Usage!$B$4:$B$18,0),MATCH(IF($E114="CL1","CL1 Proportion","CL2 Proportion"),Usage!$B$8:$M$8,0)),O114*INDEX(Usage!$B$4:$M$18,MATCH($B114,Usage!$B$4:$B$18,0),MATCH(IF($E114="CL1","CL1 Proportion","CL2 Proportion"),Usage!$B$8:$M$8,0))+P114*$F114/1000)),"")</f>
        <v/>
      </c>
      <c r="R114" s="43" t="str">
        <f>IFERROR(Q114/Q117,"")</f>
        <v/>
      </c>
    </row>
    <row r="115" spans="2:22" outlineLevel="1" x14ac:dyDescent="0.35">
      <c r="B115" s="3" t="str">
        <f t="shared" si="32"/>
        <v>Essential</v>
      </c>
      <c r="C115" s="3" t="str">
        <f t="shared" si="29"/>
        <v>Residential</v>
      </c>
      <c r="D115" s="3" t="str">
        <f t="shared" si="30"/>
        <v>with CL</v>
      </c>
      <c r="E115" s="3" t="s">
        <v>16</v>
      </c>
      <c r="F115" s="41">
        <f t="array" ref="F115">IFERROR(INDEX(Usage!$B$5:$P$18,MATCH($B115,Usage!$B$5:$B$18,0),MATCH($C115&amp;$D115&amp;$E115,Usage!$B$5:$S$5&amp;Usage!$B$6:$S$6&amp;Usage!$B$7:$S$7,0)),0)</f>
        <v>1540</v>
      </c>
      <c r="G115" s="23" t="s">
        <v>59</v>
      </c>
      <c r="H115" s="89" t="str">
        <f t="array" ref="H115">IFERROR(INDEX('Detail inputs'!$B$3:$K$168,MATCH($B115&amp;$C115&amp;$E115&amp;$G115&amp;H$5,'Detail inputs'!$B$3:$B$168&amp;'Detail inputs'!$D$3:$D$168&amp;'Detail inputs'!$F$3:$F$168&amp;'Detail inputs'!$G$3:$G$168&amp;'Detail inputs'!$H$3:$H$168,0),MATCH(H$4,'Detail inputs'!$B$3:$K$3,0)),"")</f>
        <v/>
      </c>
      <c r="I115" s="89" t="str">
        <f t="array" ref="I115">IFERROR(INDEX('Detail inputs'!$B$3:$K$168,MATCH($B115&amp;$C115&amp;$E115&amp;$G115&amp;I$5,'Detail inputs'!$B$3:$B$168&amp;'Detail inputs'!$D$3:$D$168&amp;'Detail inputs'!$F$3:$F$168&amp;'Detail inputs'!$G$3:$G$168&amp;'Detail inputs'!$H$3:$H$168,0),MATCH(I$4,'Detail inputs'!$B$3:$K$3,0)),"")</f>
        <v/>
      </c>
      <c r="J115" s="89" t="str">
        <f>IFERROR(IF(H115="",I115*$F115/1000,IF(I115="",H115*INDEX(Usage!$B$4:$M$18,MATCH($B115,Usage!$B$4:$B$18,0),MATCH(IF($E115="CL1","CL1 Proportion","CL2 Proportion"),Usage!$B$8:$M$8,0)),H115*INDEX(Usage!$B$4:$M$18,MATCH($B115,Usage!$B$4:$B$18,0),MATCH(IF($E115="CL1","CL1 Proportion","CL2 Proportion"),Usage!$B$8:$M$8,0))+I115*$F115/1000)),"")</f>
        <v/>
      </c>
      <c r="K115" s="43" t="str">
        <f>IFERROR(J115/J117,"")</f>
        <v/>
      </c>
      <c r="L115" s="43"/>
      <c r="M115" s="48" t="str">
        <f t="shared" si="34"/>
        <v/>
      </c>
      <c r="N115" s="43"/>
      <c r="O115" s="89" t="str">
        <f t="array" ref="O115">IFERROR(INDEX('Detail inputs'!$B$3:$K$168,MATCH($B115&amp;$C115&amp;$E115&amp;$G115&amp;O$5,'Detail inputs'!$B$3:$B$168&amp;'Detail inputs'!$D$3:$D$168&amp;'Detail inputs'!$F$3:$F$168&amp;'Detail inputs'!$G$3:$G$168&amp;'Detail inputs'!$H$3:$H$168,0),MATCH(O$4,'Detail inputs'!$B$3:$K$3,0)),"")</f>
        <v/>
      </c>
      <c r="P115" s="89" t="str">
        <f t="array" ref="P115">IFERROR(INDEX('Detail inputs'!$B$3:$K$168,MATCH($B115&amp;$C115&amp;$E115&amp;$G115&amp;P$5,'Detail inputs'!$B$3:$B$168&amp;'Detail inputs'!$D$3:$D$168&amp;'Detail inputs'!$F$3:$F$168&amp;'Detail inputs'!$G$3:$G$168&amp;'Detail inputs'!$H$3:$H$168,0),MATCH(P$4,'Detail inputs'!$B$3:$K$3,0)),"")</f>
        <v/>
      </c>
      <c r="Q115" s="89" t="str">
        <f>IFERROR(IF(O115="",P115*$F115/1000,IF(P115="",O115*INDEX(Usage!$B$4:$M$18,MATCH($B115,Usage!$B$4:$B$18,0),MATCH(IF($E115="CL1","CL1 Proportion","CL2 Proportion"),Usage!$B$8:$M$8,0)),O115*INDEX(Usage!$B$4:$M$18,MATCH($B115,Usage!$B$4:$B$18,0),MATCH(IF($E115="CL1","CL1 Proportion","CL2 Proportion"),Usage!$B$8:$M$8,0))+P115*$F115/1000)),"")</f>
        <v/>
      </c>
      <c r="R115" s="43" t="str">
        <f>IFERROR(Q115/Q117,"")</f>
        <v/>
      </c>
    </row>
    <row r="116" spans="2:22" outlineLevel="1" x14ac:dyDescent="0.35">
      <c r="B116" s="3" t="str">
        <f t="shared" ref="B116:D117" si="35">B115</f>
        <v>Essential</v>
      </c>
      <c r="C116" s="3" t="str">
        <f t="shared" si="35"/>
        <v>Residential</v>
      </c>
      <c r="D116" s="3" t="str">
        <f t="shared" si="35"/>
        <v>with CL</v>
      </c>
      <c r="E116" s="3" t="s">
        <v>16</v>
      </c>
      <c r="F116" s="41">
        <f t="array" ref="F116">IFERROR(INDEX(Usage!$B$5:$P$18,MATCH($B116,Usage!$B$5:$B$18,0),MATCH($C116&amp;$D116&amp;$E116,Usage!$B$5:$S$5&amp;Usage!$B$6:$S$6&amp;Usage!$B$7:$S$7,0)),0)</f>
        <v>1540</v>
      </c>
      <c r="G116" s="23" t="s">
        <v>192</v>
      </c>
      <c r="H116" s="89" t="str">
        <f t="array" ref="H116">IFERROR(INDEX('Detail inputs'!$B$3:$K$168,MATCH($B116&amp;$C116&amp;$E116&amp;$G116&amp;H$5,'Detail inputs'!$B$3:$B$168&amp;'Detail inputs'!$D$3:$D$168&amp;'Detail inputs'!$F$3:$F$168&amp;'Detail inputs'!$G$3:$G$168&amp;'Detail inputs'!$H$3:$H$168,0),MATCH(H$4,'Detail inputs'!$B$3:$K$3,0)),"")</f>
        <v/>
      </c>
      <c r="I116" s="89" t="str">
        <f t="array" ref="I116">IFERROR(INDEX('Detail inputs'!$B$3:$K$168,MATCH($B116&amp;$C116&amp;$E116&amp;$G116&amp;I$5,'Detail inputs'!$B$3:$B$168&amp;'Detail inputs'!$D$3:$D$168&amp;'Detail inputs'!$F$3:$F$168&amp;'Detail inputs'!$G$3:$G$168&amp;'Detail inputs'!$H$3:$H$168,0),MATCH(I$4,'Detail inputs'!$B$3:$K$3,0)),"")</f>
        <v/>
      </c>
      <c r="J116" s="89" t="str">
        <f>IFERROR(IF(H116="",I116*$F116/1000,IF(I116="",H116*INDEX(Usage!$B$4:$M$18,MATCH($B116,Usage!$B$4:$B$18,0),MATCH(IF($E116="CL1","CL1 Proportion","CL2 Proportion"),Usage!$B$8:$M$8,0)),H116*INDEX(Usage!$B$4:$M$18,MATCH($B116,Usage!$B$4:$B$18,0),MATCH(IF($E116="CL1","CL1 Proportion","CL2 Proportion"),Usage!$B$8:$M$8,0))+I116*$F116/1000)),"")</f>
        <v/>
      </c>
      <c r="K116" s="43" t="str">
        <f>IFERROR(J116/J117,"")</f>
        <v/>
      </c>
      <c r="L116" s="43"/>
      <c r="M116" s="48" t="str">
        <f t="shared" si="34"/>
        <v/>
      </c>
      <c r="N116" s="43"/>
      <c r="O116" s="89" t="str">
        <f t="array" ref="O116">IFERROR(INDEX('Detail inputs'!$B$3:$K$168,MATCH($B116&amp;$C116&amp;$E116&amp;$G116&amp;O$5,'Detail inputs'!$B$3:$B$168&amp;'Detail inputs'!$D$3:$D$168&amp;'Detail inputs'!$F$3:$F$168&amp;'Detail inputs'!$G$3:$G$168&amp;'Detail inputs'!$H$3:$H$168,0),MATCH(O$4,'Detail inputs'!$B$3:$K$3,0)),"")</f>
        <v/>
      </c>
      <c r="P116" s="89" t="str">
        <f t="array" ref="P116">IFERROR(INDEX('Detail inputs'!$B$3:$K$168,MATCH($B116&amp;$C116&amp;$E116&amp;$G116&amp;P$5,'Detail inputs'!$B$3:$B$168&amp;'Detail inputs'!$D$3:$D$168&amp;'Detail inputs'!$F$3:$F$168&amp;'Detail inputs'!$G$3:$G$168&amp;'Detail inputs'!$H$3:$H$168,0),MATCH(P$4,'Detail inputs'!$B$3:$K$3,0)),"")</f>
        <v/>
      </c>
      <c r="Q116" s="89" t="str">
        <f>IFERROR(IF(O116="",P116*$F116/1000,IF(P116="",O116*INDEX(Usage!$B$4:$M$18,MATCH($B116,Usage!$B$4:$B$18,0),MATCH(IF($E116="CL1","CL1 Proportion","CL2 Proportion"),Usage!$B$8:$M$8,0)),O116*INDEX(Usage!$B$4:$M$18,MATCH($B116,Usage!$B$4:$B$18,0),MATCH(IF($E116="CL1","CL1 Proportion","CL2 Proportion"),Usage!$B$8:$M$8,0))+P116*$F116/1000)),"")</f>
        <v/>
      </c>
      <c r="R116" s="43" t="str">
        <f>IFERROR(Q116/Q117,"")</f>
        <v/>
      </c>
    </row>
    <row r="117" spans="2:22" x14ac:dyDescent="0.35">
      <c r="B117" s="3" t="str">
        <f t="shared" si="35"/>
        <v>Essential</v>
      </c>
      <c r="C117" s="3" t="str">
        <f t="shared" si="35"/>
        <v>Residential</v>
      </c>
      <c r="D117" s="3" t="str">
        <f t="shared" si="35"/>
        <v>with CL</v>
      </c>
      <c r="E117" s="3" t="s">
        <v>16</v>
      </c>
      <c r="F117" s="41">
        <f t="array" ref="F117">IFERROR(INDEX(Usage!$B$5:$P$18,MATCH($B117,Usage!$B$5:$B$18,0),MATCH($C117&amp;$D117&amp;$E117,Usage!$B$5:$S$5&amp;Usage!$B$6:$S$6&amp;Usage!$B$7:$S$7,0)),0)</f>
        <v>1540</v>
      </c>
      <c r="G117" s="23" t="s">
        <v>64</v>
      </c>
      <c r="H117" s="95">
        <f t="array" ref="H117">INDEX('Key inputs'!$B$16:$N$40,MATCH($B117&amp;$C117&amp;$E117,'Key inputs'!$B$16:$B$40&amp;'Key inputs'!$C$16:$C$40&amp;'Key inputs'!$D$16:$D$40,0),MATCH($G117&amp;H$4&amp;H$5,'Key inputs'!$B$17:$N$17&amp;'Key inputs'!$B$18:$N$18&amp;'Key inputs'!$B$19:$N$19,0))</f>
        <v>32.996000000000002</v>
      </c>
      <c r="I117" s="95">
        <f t="array" ref="I117">INDEX('Key inputs'!$B$16:$N$40,MATCH($B117&amp;$C117&amp;$E117,'Key inputs'!$B$16:$B$40&amp;'Key inputs'!$C$16:$C$40&amp;'Key inputs'!$D$16:$D$40,0),MATCH($G117&amp;I$4&amp;I$5,'Key inputs'!$B$17:$N$17&amp;'Key inputs'!$B$18:$N$18&amp;'Key inputs'!$B$19:$N$19,0))</f>
        <v>22.288</v>
      </c>
      <c r="J117" s="89">
        <f>H117*INDEX(Usage!$B$4:$M$18,MATCH($B117,Usage!$B$4:$B$18,0),MATCH(IF($E117="CL1","CL1 Proportion","CL2 Proportion"),Usage!$B$8:$M$8,0))+I117*$F117/1000</f>
        <v>59.730440000000002</v>
      </c>
      <c r="K117" s="43">
        <f>IFERROR(J117/J119,"")</f>
        <v>0.88258317025440314</v>
      </c>
      <c r="L117" s="43"/>
      <c r="M117" s="48">
        <f t="shared" si="34"/>
        <v>8.0795905739184048E-2</v>
      </c>
      <c r="N117" s="43"/>
      <c r="O117" s="95">
        <f t="array" ref="O117">INDEX('Key inputs'!$B$16:$N$40,MATCH($B117&amp;$C117&amp;$E117,'Key inputs'!$B$16:$B$40&amp;'Key inputs'!$C$16:$C$40&amp;'Key inputs'!$D$16:$D$40,0),MATCH($G117&amp;O$4&amp;O$5,'Key inputs'!$B$17:$N$17&amp;'Key inputs'!$B$18:$N$18&amp;'Key inputs'!$B$19:$N$19,0))</f>
        <v>34.127499999999998</v>
      </c>
      <c r="P117" s="95">
        <f t="array" ref="P117">INDEX('Key inputs'!$B$16:$N$40,MATCH($B117&amp;$C117&amp;$E117,'Key inputs'!$B$16:$B$40&amp;'Key inputs'!$C$16:$C$40&amp;'Key inputs'!$D$16:$D$40,0),MATCH($G117&amp;P$4&amp;P$5,'Key inputs'!$B$17:$N$17&amp;'Key inputs'!$B$18:$N$18&amp;'Key inputs'!$B$19:$N$19,0))</f>
        <v>24.855999999999998</v>
      </c>
      <c r="Q117" s="89">
        <f>O117*INDEX(Usage!$B$4:$M$18,MATCH($B117,Usage!$B$4:$B$18,0),MATCH(IF($E117="CL1","CL1 Proportion","CL2 Proportion"),Usage!$B$8:$M$8,0))+P117*$F117/1000</f>
        <v>64.556414999999987</v>
      </c>
      <c r="R117" s="43">
        <f>IFERROR(Q117/Q119,"")</f>
        <v>0.88794687538061512</v>
      </c>
      <c r="S117" s="129"/>
      <c r="T117" s="129"/>
      <c r="U117" s="129"/>
      <c r="V117" s="129"/>
    </row>
    <row r="118" spans="2:22" x14ac:dyDescent="0.35">
      <c r="B118" s="3" t="str">
        <f t="shared" si="32"/>
        <v>Essential</v>
      </c>
      <c r="C118" s="3" t="str">
        <f t="shared" si="29"/>
        <v>Residential</v>
      </c>
      <c r="D118" s="3" t="str">
        <f t="shared" si="30"/>
        <v>with CL</v>
      </c>
      <c r="E118" s="3" t="s">
        <v>16</v>
      </c>
      <c r="F118" s="41">
        <f t="array" ref="F118">IFERROR(INDEX(Usage!$B$5:$P$18,MATCH($B118,Usage!$B$5:$B$18,0),MATCH($C118&amp;$D118&amp;$E118,Usage!$B$5:$S$5&amp;Usage!$B$6:$S$6&amp;Usage!$B$7:$S$7,0)),0)</f>
        <v>1540</v>
      </c>
      <c r="G118" s="23" t="s">
        <v>68</v>
      </c>
      <c r="H118" s="95">
        <f t="array" ref="H118">INDEX('Key inputs'!$B$16:$N$40,MATCH($B118&amp;$C118&amp;$E118,'Key inputs'!$B$16:$B$40&amp;'Key inputs'!$C$16:$C$40&amp;'Key inputs'!$D$16:$D$40,0),MATCH($G118&amp;H$4&amp;H$5,'Key inputs'!$B$17:$N$17&amp;'Key inputs'!$B$18:$N$18&amp;'Key inputs'!$B$19:$N$19,0))</f>
        <v>10.32</v>
      </c>
      <c r="I118" s="89">
        <f>IFERROR(INDEX('Detail inputs'!$B$3:$K$168,MATCH($B118&amp;$C118&amp;$E118&amp;$G118&amp;I$5,'Detail inputs'!$B$3:$B$168&amp;'Detail inputs'!$D$3:$D$168&amp;'Detail inputs'!$F$3:$F$168&amp;'Detail inputs'!$G$3:$G$168&amp;'Detail inputs'!$H$3:$H$168,0),MATCH(I$4,'Detail inputs'!$B$3:$K$3,0)),0)</f>
        <v>0</v>
      </c>
      <c r="J118" s="89">
        <f>H118*INDEX(Usage!$B$4:$M$18,MATCH($B118,Usage!$B$4:$B$18,0),MATCH(IF($E118="CL1","CL1 Proportion","CL2 Proportion"),Usage!$B$8:$M$8,0))+I118*$F118/1000</f>
        <v>7.9464000000000006</v>
      </c>
      <c r="K118" s="43">
        <f>IFERROR(J118/J119,"")</f>
        <v>0.11741682974559688</v>
      </c>
      <c r="L118" s="43"/>
      <c r="M118" s="48">
        <f t="shared" si="34"/>
        <v>2.5193798449612226E-2</v>
      </c>
      <c r="N118" s="43"/>
      <c r="O118" s="95">
        <f t="array" ref="O118">INDEX('Key inputs'!$B$16:$N$40,MATCH($B118&amp;$C118&amp;$E118,'Key inputs'!$B$16:$B$40&amp;'Key inputs'!$C$16:$C$40&amp;'Key inputs'!$D$16:$D$40,0),MATCH($G118&amp;O$4&amp;O$5,'Key inputs'!$B$17:$N$17&amp;'Key inputs'!$B$18:$N$18&amp;'Key inputs'!$B$19:$N$19,0))</f>
        <v>10.58</v>
      </c>
      <c r="P118" s="89">
        <f>IFERROR(INDEX('Detail inputs'!$B$3:$K$168,MATCH($B118&amp;$C118&amp;$E118&amp;$G118&amp;P$5,'Detail inputs'!$B$3:$B$168&amp;'Detail inputs'!$D$3:$D$168&amp;'Detail inputs'!$F$3:$F$168&amp;'Detail inputs'!$G$3:$G$168&amp;'Detail inputs'!$H$3:$H$168,0),MATCH(P$4,'Detail inputs'!$B$3:$K$3,0)),0)</f>
        <v>0</v>
      </c>
      <c r="Q118" s="89">
        <f>O118*INDEX(Usage!$B$4:$M$18,MATCH($B118,Usage!$B$4:$B$18,0),MATCH(IF($E118="CL1","CL1 Proportion","CL2 Proportion"),Usage!$B$8:$M$8,0))+P118*$F118/1000</f>
        <v>8.1465999999999994</v>
      </c>
      <c r="R118" s="43">
        <f>IFERROR(Q118/Q119,"")</f>
        <v>0.11205312461938477</v>
      </c>
    </row>
    <row r="119" spans="2:22" x14ac:dyDescent="0.35">
      <c r="B119" s="3" t="str">
        <f t="shared" si="32"/>
        <v>Essential</v>
      </c>
      <c r="C119" s="3" t="str">
        <f t="shared" si="29"/>
        <v>Residential</v>
      </c>
      <c r="D119" s="3" t="str">
        <f t="shared" si="30"/>
        <v>with CL</v>
      </c>
      <c r="E119" s="3" t="s">
        <v>16</v>
      </c>
      <c r="F119" s="41">
        <f t="array" ref="F119">IFERROR(INDEX(Usage!$B$5:$P$18,MATCH($B119,Usage!$B$5:$B$18,0),MATCH($C119&amp;$D119&amp;$E119,Usage!$B$5:$S$5&amp;Usage!$B$6:$S$6&amp;Usage!$B$7:$S$7,0)),0)</f>
        <v>1540</v>
      </c>
      <c r="G119" s="3" t="s">
        <v>62</v>
      </c>
      <c r="J119" s="95">
        <f>SUM(J117:J118)</f>
        <v>67.676839999999999</v>
      </c>
      <c r="K119" s="43"/>
      <c r="M119" s="48">
        <f>IF(OR(J119=0,Q119=""),"",Q119/J119-1)</f>
        <v>7.4267282574068005E-2</v>
      </c>
      <c r="N119" s="88"/>
      <c r="O119" s="95"/>
      <c r="P119" s="95"/>
      <c r="Q119" s="95">
        <f>IF(AND(Q117="",Q118=""),J119*(1+M119),SUM(Q117:Q118))</f>
        <v>72.703014999999994</v>
      </c>
      <c r="R119" s="43"/>
    </row>
    <row r="120" spans="2:22" outlineLevel="1" x14ac:dyDescent="0.35">
      <c r="B120" s="3" t="str">
        <f t="shared" si="32"/>
        <v>Essential</v>
      </c>
      <c r="C120" s="3" t="str">
        <f t="shared" si="29"/>
        <v>Residential</v>
      </c>
      <c r="D120" s="3" t="str">
        <f t="shared" si="30"/>
        <v>with CL</v>
      </c>
      <c r="E120" s="3" t="s">
        <v>17</v>
      </c>
      <c r="F120" s="41">
        <f t="array" ref="F120">IFERROR(INDEX(Usage!$B$5:$P$18,MATCH($B120,Usage!$B$5:$B$18,0),MATCH($C120&amp;$D120&amp;$E120,Usage!$B$5:$S$5&amp;Usage!$B$6:$S$6&amp;Usage!$B$7:$S$7,0)),0)</f>
        <v>460</v>
      </c>
      <c r="G120" s="23" t="s">
        <v>57</v>
      </c>
      <c r="H120" s="89" t="str">
        <f t="array" ref="H120">IFERROR(INDEX('Detail inputs'!$B$3:$K$168,MATCH($B120&amp;$C120&amp;$E120&amp;$G120&amp;H$5,'Detail inputs'!$B$3:$B$168&amp;'Detail inputs'!$D$3:$D$168&amp;'Detail inputs'!$F$3:$F$168&amp;'Detail inputs'!$G$3:$G$168&amp;'Detail inputs'!$H$3:$H$168,0),MATCH(H$4,'Detail inputs'!$B$3:$K$3,0)),"")</f>
        <v/>
      </c>
      <c r="I120" s="89" t="str">
        <f t="array" ref="I120">IFERROR(INDEX('Detail inputs'!$B$3:$K$168,MATCH($B120&amp;$C120&amp;$E120&amp;$G120&amp;I$5,'Detail inputs'!$B$3:$B$168&amp;'Detail inputs'!$D$3:$D$168&amp;'Detail inputs'!$F$3:$F$168&amp;'Detail inputs'!$G$3:$G$168&amp;'Detail inputs'!$H$3:$H$168,0),MATCH(I$4,'Detail inputs'!$B$3:$K$3,0)),"")</f>
        <v/>
      </c>
      <c r="J120" s="89" t="str">
        <f>IFERROR(IF(H120="",I120*$F120/1000,IF(I120="",H120*INDEX(Usage!$B$4:$M$18,MATCH($B120,Usage!$B$4:$B$18,0),MATCH(IF($E120="CL1","CL1 Proportion","CL2 Proportion"),Usage!$B$8:$M$8,0)),H120*INDEX(Usage!$B$4:$M$18,MATCH($B120,Usage!$B$4:$B$18,0),MATCH(IF($E120="CL1","CL1 Proportion","CL2 Proportion"),Usage!$B$8:$M$8,0))+I120*$F120/1000)),"")</f>
        <v/>
      </c>
      <c r="K120" s="43" t="str">
        <f>IFERROR(J120/J124,"")</f>
        <v/>
      </c>
      <c r="L120" s="43"/>
      <c r="M120" s="48" t="str">
        <f t="shared" ref="M120:M125" si="36">IF(OR(J120=0,J120="",Q120=""),"",Q120/J120-1)</f>
        <v/>
      </c>
      <c r="N120" s="43"/>
      <c r="O120" s="89" t="str">
        <f t="array" ref="O120">IFERROR(INDEX('Detail inputs'!$B$3:$K$168,MATCH($B120&amp;$C120&amp;$E120&amp;$G120&amp;O$5,'Detail inputs'!$B$3:$B$168&amp;'Detail inputs'!$D$3:$D$168&amp;'Detail inputs'!$F$3:$F$168&amp;'Detail inputs'!$G$3:$G$168&amp;'Detail inputs'!$H$3:$H$168,0),MATCH(O$4,'Detail inputs'!$B$3:$K$3,0)),"")</f>
        <v/>
      </c>
      <c r="P120" s="89" t="str">
        <f t="array" ref="P120">IFERROR(INDEX('Detail inputs'!$B$3:$K$168,MATCH($B120&amp;$C120&amp;$E120&amp;$G120&amp;P$5,'Detail inputs'!$B$3:$B$168&amp;'Detail inputs'!$D$3:$D$168&amp;'Detail inputs'!$F$3:$F$168&amp;'Detail inputs'!$G$3:$G$168&amp;'Detail inputs'!$H$3:$H$168,0),MATCH(P$4,'Detail inputs'!$B$3:$K$3,0)),"")</f>
        <v/>
      </c>
      <c r="Q120" s="89" t="str">
        <f>IFERROR(IF(O120="",P120*$F120/1000,IF(P120="",O120*INDEX(Usage!$B$4:$M$18,MATCH($B120,Usage!$B$4:$B$18,0),MATCH(IF($E120="CL1","CL1 Proportion","CL2 Proportion"),Usage!$B$8:$M$8,0)),O120*INDEX(Usage!$B$4:$M$18,MATCH($B120,Usage!$B$4:$B$18,0),MATCH(IF($E120="CL1","CL1 Proportion","CL2 Proportion"),Usage!$B$8:$M$8,0))+P120*$F120/1000)),"")</f>
        <v/>
      </c>
      <c r="R120" s="43" t="str">
        <f>IFERROR(Q120/Q124,"")</f>
        <v/>
      </c>
    </row>
    <row r="121" spans="2:22" outlineLevel="1" x14ac:dyDescent="0.35">
      <c r="B121" s="3" t="str">
        <f t="shared" si="32"/>
        <v>Essential</v>
      </c>
      <c r="C121" s="3" t="str">
        <f t="shared" si="29"/>
        <v>Residential</v>
      </c>
      <c r="D121" s="3" t="str">
        <f t="shared" si="30"/>
        <v>with CL</v>
      </c>
      <c r="E121" s="3" t="s">
        <v>17</v>
      </c>
      <c r="F121" s="41">
        <f t="array" ref="F121">IFERROR(INDEX(Usage!$B$5:$P$18,MATCH($B121,Usage!$B$5:$B$18,0),MATCH($C121&amp;$D121&amp;$E121,Usage!$B$5:$S$5&amp;Usage!$B$6:$S$6&amp;Usage!$B$7:$S$7,0)),0)</f>
        <v>460</v>
      </c>
      <c r="G121" s="23" t="s">
        <v>58</v>
      </c>
      <c r="H121" s="89" t="str">
        <f t="array" ref="H121">IFERROR(INDEX('Detail inputs'!$B$3:$K$168,MATCH($B121&amp;$C121&amp;$E121&amp;$G121&amp;H$5,'Detail inputs'!$B$3:$B$168&amp;'Detail inputs'!$D$3:$D$168&amp;'Detail inputs'!$F$3:$F$168&amp;'Detail inputs'!$G$3:$G$168&amp;'Detail inputs'!$H$3:$H$168,0),MATCH(H$4,'Detail inputs'!$B$3:$K$3,0)),"")</f>
        <v/>
      </c>
      <c r="I121" s="89" t="str">
        <f t="array" ref="I121">IFERROR(INDEX('Detail inputs'!$B$3:$K$168,MATCH($B121&amp;$C121&amp;$E121&amp;$G121&amp;I$5,'Detail inputs'!$B$3:$B$168&amp;'Detail inputs'!$D$3:$D$168&amp;'Detail inputs'!$F$3:$F$168&amp;'Detail inputs'!$G$3:$G$168&amp;'Detail inputs'!$H$3:$H$168,0),MATCH(I$4,'Detail inputs'!$B$3:$K$3,0)),"")</f>
        <v/>
      </c>
      <c r="J121" s="89" t="str">
        <f>IFERROR(IF(H121="",I121*$F121/1000,IF(I121="",H121*INDEX(Usage!$B$4:$M$18,MATCH($B121,Usage!$B$4:$B$18,0),MATCH(IF($E121="CL1","CL1 Proportion","CL2 Proportion"),Usage!$B$8:$M$8,0)),H121*INDEX(Usage!$B$4:$M$18,MATCH($B121,Usage!$B$4:$B$18,0),MATCH(IF($E121="CL1","CL1 Proportion","CL2 Proportion"),Usage!$B$8:$M$8,0))+I121*$F121/1000)),"")</f>
        <v/>
      </c>
      <c r="K121" s="43" t="str">
        <f>IFERROR(J121/J124,"")</f>
        <v/>
      </c>
      <c r="L121" s="43"/>
      <c r="M121" s="48" t="str">
        <f t="shared" si="36"/>
        <v/>
      </c>
      <c r="N121" s="43"/>
      <c r="O121" s="89" t="str">
        <f t="array" ref="O121">IFERROR(INDEX('Detail inputs'!$B$3:$K$168,MATCH($B121&amp;$C121&amp;$E121&amp;$G121&amp;O$5,'Detail inputs'!$B$3:$B$168&amp;'Detail inputs'!$D$3:$D$168&amp;'Detail inputs'!$F$3:$F$168&amp;'Detail inputs'!$G$3:$G$168&amp;'Detail inputs'!$H$3:$H$168,0),MATCH(O$4,'Detail inputs'!$B$3:$K$3,0)),"")</f>
        <v/>
      </c>
      <c r="P121" s="89" t="str">
        <f t="array" ref="P121">IFERROR(INDEX('Detail inputs'!$B$3:$K$168,MATCH($B121&amp;$C121&amp;$E121&amp;$G121&amp;P$5,'Detail inputs'!$B$3:$B$168&amp;'Detail inputs'!$D$3:$D$168&amp;'Detail inputs'!$F$3:$F$168&amp;'Detail inputs'!$G$3:$G$168&amp;'Detail inputs'!$H$3:$H$168,0),MATCH(P$4,'Detail inputs'!$B$3:$K$3,0)),"")</f>
        <v/>
      </c>
      <c r="Q121" s="89" t="str">
        <f>IFERROR(IF(O121="",P121*$F121/1000,IF(P121="",O121*INDEX(Usage!$B$4:$M$18,MATCH($B121,Usage!$B$4:$B$18,0),MATCH(IF($E121="CL1","CL1 Proportion","CL2 Proportion"),Usage!$B$8:$M$8,0)),O121*INDEX(Usage!$B$4:$M$18,MATCH($B121,Usage!$B$4:$B$18,0),MATCH(IF($E121="CL1","CL1 Proportion","CL2 Proportion"),Usage!$B$8:$M$8,0))+P121*$F121/1000)),"")</f>
        <v/>
      </c>
      <c r="R121" s="43" t="str">
        <f>IFERROR(Q121/Q124,"")</f>
        <v/>
      </c>
    </row>
    <row r="122" spans="2:22" outlineLevel="1" x14ac:dyDescent="0.35">
      <c r="B122" s="3" t="str">
        <f t="shared" si="32"/>
        <v>Essential</v>
      </c>
      <c r="C122" s="3" t="str">
        <f t="shared" si="29"/>
        <v>Residential</v>
      </c>
      <c r="D122" s="3" t="str">
        <f t="shared" si="30"/>
        <v>with CL</v>
      </c>
      <c r="E122" s="3" t="s">
        <v>17</v>
      </c>
      <c r="F122" s="41">
        <f t="array" ref="F122">IFERROR(INDEX(Usage!$B$5:$P$18,MATCH($B122,Usage!$B$5:$B$18,0),MATCH($C122&amp;$D122&amp;$E122,Usage!$B$5:$S$5&amp;Usage!$B$6:$S$6&amp;Usage!$B$7:$S$7,0)),0)</f>
        <v>460</v>
      </c>
      <c r="G122" s="23" t="s">
        <v>59</v>
      </c>
      <c r="H122" s="89" t="str">
        <f t="array" ref="H122">IFERROR(INDEX('Detail inputs'!$B$3:$K$168,MATCH($B122&amp;$C122&amp;$E122&amp;$G122&amp;H$5,'Detail inputs'!$B$3:$B$168&amp;'Detail inputs'!$D$3:$D$168&amp;'Detail inputs'!$F$3:$F$168&amp;'Detail inputs'!$G$3:$G$168&amp;'Detail inputs'!$H$3:$H$168,0),MATCH(H$4,'Detail inputs'!$B$3:$K$3,0)),"")</f>
        <v/>
      </c>
      <c r="I122" s="89" t="str">
        <f t="array" ref="I122">IFERROR(INDEX('Detail inputs'!$B$3:$K$168,MATCH($B122&amp;$C122&amp;$E122&amp;$G122&amp;I$5,'Detail inputs'!$B$3:$B$168&amp;'Detail inputs'!$D$3:$D$168&amp;'Detail inputs'!$F$3:$F$168&amp;'Detail inputs'!$G$3:$G$168&amp;'Detail inputs'!$H$3:$H$168,0),MATCH(I$4,'Detail inputs'!$B$3:$K$3,0)),"")</f>
        <v/>
      </c>
      <c r="J122" s="89" t="str">
        <f>IFERROR(IF(H122="",I122*$F122/1000,IF(I122="",H122*INDEX(Usage!$B$4:$M$18,MATCH($B122,Usage!$B$4:$B$18,0),MATCH(IF($E122="CL1","CL1 Proportion","CL2 Proportion"),Usage!$B$8:$M$8,0)),H122*INDEX(Usage!$B$4:$M$18,MATCH($B122,Usage!$B$4:$B$18,0),MATCH(IF($E122="CL1","CL1 Proportion","CL2 Proportion"),Usage!$B$8:$M$8,0))+I122*$F122/1000)),"")</f>
        <v/>
      </c>
      <c r="K122" s="43" t="str">
        <f>IFERROR(J122/J124,"")</f>
        <v/>
      </c>
      <c r="L122" s="43"/>
      <c r="M122" s="48" t="str">
        <f t="shared" si="36"/>
        <v/>
      </c>
      <c r="N122" s="43"/>
      <c r="O122" s="89" t="str">
        <f t="array" ref="O122">IFERROR(INDEX('Detail inputs'!$B$3:$K$168,MATCH($B122&amp;$C122&amp;$E122&amp;$G122&amp;O$5,'Detail inputs'!$B$3:$B$168&amp;'Detail inputs'!$D$3:$D$168&amp;'Detail inputs'!$F$3:$F$168&amp;'Detail inputs'!$G$3:$G$168&amp;'Detail inputs'!$H$3:$H$168,0),MATCH(O$4,'Detail inputs'!$B$3:$K$3,0)),"")</f>
        <v/>
      </c>
      <c r="P122" s="89" t="str">
        <f t="array" ref="P122">IFERROR(INDEX('Detail inputs'!$B$3:$K$168,MATCH($B122&amp;$C122&amp;$E122&amp;$G122&amp;P$5,'Detail inputs'!$B$3:$B$168&amp;'Detail inputs'!$D$3:$D$168&amp;'Detail inputs'!$F$3:$F$168&amp;'Detail inputs'!$G$3:$G$168&amp;'Detail inputs'!$H$3:$H$168,0),MATCH(P$4,'Detail inputs'!$B$3:$K$3,0)),"")</f>
        <v/>
      </c>
      <c r="Q122" s="89" t="str">
        <f>IFERROR(IF(O122="",P122*$F122/1000,IF(P122="",O122*INDEX(Usage!$B$4:$M$18,MATCH($B122,Usage!$B$4:$B$18,0),MATCH(IF($E122="CL1","CL1 Proportion","CL2 Proportion"),Usage!$B$8:$M$8,0)),O122*INDEX(Usage!$B$4:$M$18,MATCH($B122,Usage!$B$4:$B$18,0),MATCH(IF($E122="CL1","CL1 Proportion","CL2 Proportion"),Usage!$B$8:$M$8,0))+P122*$F122/1000)),"")</f>
        <v/>
      </c>
      <c r="R122" s="43" t="str">
        <f>IFERROR(Q122/Q124,"")</f>
        <v/>
      </c>
    </row>
    <row r="123" spans="2:22" outlineLevel="1" x14ac:dyDescent="0.35">
      <c r="B123" s="3" t="str">
        <f t="shared" ref="B123:D124" si="37">B122</f>
        <v>Essential</v>
      </c>
      <c r="C123" s="3" t="str">
        <f t="shared" si="37"/>
        <v>Residential</v>
      </c>
      <c r="D123" s="3" t="str">
        <f t="shared" si="37"/>
        <v>with CL</v>
      </c>
      <c r="E123" s="3" t="s">
        <v>17</v>
      </c>
      <c r="F123" s="41">
        <f t="array" ref="F123">IFERROR(INDEX(Usage!$B$5:$P$18,MATCH($B123,Usage!$B$5:$B$18,0),MATCH($C123&amp;$D123&amp;$E123,Usage!$B$5:$S$5&amp;Usage!$B$6:$S$6&amp;Usage!$B$7:$S$7,0)),0)</f>
        <v>460</v>
      </c>
      <c r="G123" s="23" t="s">
        <v>192</v>
      </c>
      <c r="H123" s="89" t="str">
        <f t="array" ref="H123">IFERROR(INDEX('Detail inputs'!$B$3:$K$168,MATCH($B123&amp;$C123&amp;$E123&amp;$G123&amp;H$5,'Detail inputs'!$B$3:$B$168&amp;'Detail inputs'!$D$3:$D$168&amp;'Detail inputs'!$F$3:$F$168&amp;'Detail inputs'!$G$3:$G$168&amp;'Detail inputs'!$H$3:$H$168,0),MATCH(H$4,'Detail inputs'!$B$3:$K$3,0)),"")</f>
        <v/>
      </c>
      <c r="I123" s="89" t="str">
        <f t="array" ref="I123">IFERROR(INDEX('Detail inputs'!$B$3:$K$168,MATCH($B123&amp;$C123&amp;$E123&amp;$G123&amp;I$5,'Detail inputs'!$B$3:$B$168&amp;'Detail inputs'!$D$3:$D$168&amp;'Detail inputs'!$F$3:$F$168&amp;'Detail inputs'!$G$3:$G$168&amp;'Detail inputs'!$H$3:$H$168,0),MATCH(I$4,'Detail inputs'!$B$3:$K$3,0)),"")</f>
        <v/>
      </c>
      <c r="J123" s="89" t="str">
        <f>IFERROR(IF(H123="",I123*$F123/1000,IF(I123="",H123*INDEX(Usage!$B$4:$M$18,MATCH($B123,Usage!$B$4:$B$18,0),MATCH(IF($E123="CL1","CL1 Proportion","CL2 Proportion"),Usage!$B$8:$M$8,0)),H123*INDEX(Usage!$B$4:$M$18,MATCH($B123,Usage!$B$4:$B$18,0),MATCH(IF($E123="CL1","CL1 Proportion","CL2 Proportion"),Usage!$B$8:$M$8,0))+I123*$F123/1000)),"")</f>
        <v/>
      </c>
      <c r="K123" s="43" t="str">
        <f>IFERROR(J123/J124,"")</f>
        <v/>
      </c>
      <c r="L123" s="43"/>
      <c r="M123" s="48" t="str">
        <f t="shared" si="36"/>
        <v/>
      </c>
      <c r="N123" s="43"/>
      <c r="O123" s="89" t="str">
        <f t="array" ref="O123">IFERROR(INDEX('Detail inputs'!$B$3:$K$168,MATCH($B123&amp;$C123&amp;$E123&amp;$G123&amp;O$5,'Detail inputs'!$B$3:$B$168&amp;'Detail inputs'!$D$3:$D$168&amp;'Detail inputs'!$F$3:$F$168&amp;'Detail inputs'!$G$3:$G$168&amp;'Detail inputs'!$H$3:$H$168,0),MATCH(O$4,'Detail inputs'!$B$3:$K$3,0)),"")</f>
        <v/>
      </c>
      <c r="P123" s="89" t="str">
        <f t="array" ref="P123">IFERROR(INDEX('Detail inputs'!$B$3:$K$168,MATCH($B123&amp;$C123&amp;$E123&amp;$G123&amp;P$5,'Detail inputs'!$B$3:$B$168&amp;'Detail inputs'!$D$3:$D$168&amp;'Detail inputs'!$F$3:$F$168&amp;'Detail inputs'!$G$3:$G$168&amp;'Detail inputs'!$H$3:$H$168,0),MATCH(P$4,'Detail inputs'!$B$3:$K$3,0)),"")</f>
        <v/>
      </c>
      <c r="Q123" s="89" t="str">
        <f>IFERROR(IF(O123="",P123*$F123/1000,IF(P123="",O123*INDEX(Usage!$B$4:$M$18,MATCH($B123,Usage!$B$4:$B$18,0),MATCH(IF($E123="CL1","CL1 Proportion","CL2 Proportion"),Usage!$B$8:$M$8,0)),O123*INDEX(Usage!$B$4:$M$18,MATCH($B123,Usage!$B$4:$B$18,0),MATCH(IF($E123="CL1","CL1 Proportion","CL2 Proportion"),Usage!$B$8:$M$8,0))+P123*$F123/1000)),"")</f>
        <v/>
      </c>
      <c r="R123" s="43" t="str">
        <f>IFERROR(Q123/Q124,"")</f>
        <v/>
      </c>
    </row>
    <row r="124" spans="2:22" x14ac:dyDescent="0.35">
      <c r="B124" s="3" t="str">
        <f t="shared" si="37"/>
        <v>Essential</v>
      </c>
      <c r="C124" s="3" t="str">
        <f t="shared" si="37"/>
        <v>Residential</v>
      </c>
      <c r="D124" s="3" t="str">
        <f t="shared" si="37"/>
        <v>with CL</v>
      </c>
      <c r="E124" s="3" t="s">
        <v>17</v>
      </c>
      <c r="F124" s="41">
        <f t="array" ref="F124">IFERROR(INDEX(Usage!$B$5:$P$18,MATCH($B124,Usage!$B$5:$B$18,0),MATCH($C124&amp;$D124&amp;$E124,Usage!$B$5:$S$5&amp;Usage!$B$6:$S$6&amp;Usage!$B$7:$S$7,0)),0)</f>
        <v>460</v>
      </c>
      <c r="G124" s="23" t="s">
        <v>64</v>
      </c>
      <c r="H124" s="95">
        <f t="array" ref="H124">INDEX('Key inputs'!$B$16:$N$40,MATCH($B124&amp;$C124&amp;$E124,'Key inputs'!$B$16:$B$40&amp;'Key inputs'!$C$16:$C$40&amp;'Key inputs'!$D$16:$D$40,0),MATCH($G124&amp;H$4&amp;H$5,'Key inputs'!$B$17:$N$17&amp;'Key inputs'!$B$18:$N$18&amp;'Key inputs'!$B$19:$N$19,0))</f>
        <v>32.996000000000002</v>
      </c>
      <c r="I124" s="95">
        <f t="array" ref="I124">INDEX('Key inputs'!$B$16:$N$40,MATCH($B124&amp;$C124&amp;$E124,'Key inputs'!$B$16:$B$40&amp;'Key inputs'!$C$16:$C$40&amp;'Key inputs'!$D$16:$D$40,0),MATCH($G124&amp;I$4&amp;I$5,'Key inputs'!$B$17:$N$17&amp;'Key inputs'!$B$18:$N$18&amp;'Key inputs'!$B$19:$N$19,0))</f>
        <v>47.561</v>
      </c>
      <c r="J124" s="89">
        <f>H124*INDEX(Usage!$B$4:$M$18,MATCH($B124,Usage!$B$4:$B$18,0),MATCH(IF($E124="CL1","CL1 Proportion","CL2 Proportion"),Usage!$B$8:$M$8,0))+I124*$F124/1000</f>
        <v>29.467140000000001</v>
      </c>
      <c r="K124" s="43">
        <f>IFERROR(J124/J126,"")</f>
        <v>0.92545399384562044</v>
      </c>
      <c r="L124" s="43"/>
      <c r="M124" s="48">
        <f t="shared" si="36"/>
        <v>7.0587271109445959E-2</v>
      </c>
      <c r="N124" s="43"/>
      <c r="O124" s="95">
        <f t="array" ref="O124">INDEX('Key inputs'!$B$16:$N$40,MATCH($B124&amp;$C124&amp;$E124,'Key inputs'!$B$16:$B$40&amp;'Key inputs'!$C$16:$C$40&amp;'Key inputs'!$D$16:$D$40,0),MATCH($G124&amp;O$4&amp;O$5,'Key inputs'!$B$17:$N$17&amp;'Key inputs'!$B$18:$N$18&amp;'Key inputs'!$B$19:$N$19,0))</f>
        <v>34.127499999999998</v>
      </c>
      <c r="P124" s="95">
        <f t="array" ref="P124">INDEX('Key inputs'!$B$16:$N$40,MATCH($B124&amp;$C124&amp;$E124,'Key inputs'!$B$16:$B$40&amp;'Key inputs'!$C$16:$C$40&amp;'Key inputs'!$D$16:$D$40,0),MATCH($G124&amp;P$4&amp;P$5,'Key inputs'!$B$17:$N$17&amp;'Key inputs'!$B$18:$N$18&amp;'Key inputs'!$B$19:$N$19,0))</f>
        <v>51.517000000000003</v>
      </c>
      <c r="Q124" s="89">
        <f>O124*INDEX(Usage!$B$4:$M$18,MATCH($B124,Usage!$B$4:$B$18,0),MATCH(IF($E124="CL1","CL1 Proportion","CL2 Proportion"),Usage!$B$8:$M$8,0))+P124*$F124/1000</f>
        <v>31.547145</v>
      </c>
      <c r="R124" s="43">
        <f>IFERROR(Q124/Q126,"")</f>
        <v>0.92838843520608638</v>
      </c>
      <c r="S124" s="129"/>
      <c r="T124" s="129"/>
      <c r="U124" s="129"/>
      <c r="V124" s="129"/>
    </row>
    <row r="125" spans="2:22" x14ac:dyDescent="0.35">
      <c r="B125" s="3" t="str">
        <f t="shared" si="32"/>
        <v>Essential</v>
      </c>
      <c r="C125" s="3" t="str">
        <f t="shared" si="29"/>
        <v>Residential</v>
      </c>
      <c r="D125" s="3" t="str">
        <f t="shared" si="30"/>
        <v>with CL</v>
      </c>
      <c r="E125" s="3" t="s">
        <v>17</v>
      </c>
      <c r="F125" s="41">
        <f t="array" ref="F125">IFERROR(INDEX(Usage!$B$5:$P$18,MATCH($B125,Usage!$B$5:$B$18,0),MATCH($C125&amp;$D125&amp;$E125,Usage!$B$5:$S$5&amp;Usage!$B$6:$S$6&amp;Usage!$B$7:$S$7,0)),0)</f>
        <v>460</v>
      </c>
      <c r="G125" s="23" t="s">
        <v>68</v>
      </c>
      <c r="H125" s="95">
        <f t="array" ref="H125">INDEX('Key inputs'!$B$16:$N$40,MATCH($B125&amp;$C125&amp;$E125,'Key inputs'!$B$16:$B$40&amp;'Key inputs'!$C$16:$C$40&amp;'Key inputs'!$D$16:$D$40,0),MATCH($G125&amp;H$4&amp;H$5,'Key inputs'!$B$17:$N$17&amp;'Key inputs'!$B$18:$N$18&amp;'Key inputs'!$B$19:$N$19,0))</f>
        <v>10.32</v>
      </c>
      <c r="I125" s="89">
        <f>IFERROR(INDEX('Detail inputs'!$B$3:$K$168,MATCH($B125&amp;$C125&amp;$E125&amp;$G125&amp;I$5,'Detail inputs'!$B$3:$B$168&amp;'Detail inputs'!$D$3:$D$168&amp;'Detail inputs'!$F$3:$F$168&amp;'Detail inputs'!$G$3:$G$168&amp;'Detail inputs'!$H$3:$H$168,0),MATCH(I$4,'Detail inputs'!$B$3:$K$3,0)),0)</f>
        <v>0</v>
      </c>
      <c r="J125" s="89">
        <f>H125*INDEX(Usage!$B$4:$M$18,MATCH($B125,Usage!$B$4:$B$18,0),MATCH(IF($E125="CL1","CL1 Proportion","CL2 Proportion"),Usage!$B$8:$M$8,0))+I125*$F125/1000</f>
        <v>2.3735999999999997</v>
      </c>
      <c r="K125" s="43">
        <f>IFERROR(J125/J126,"")</f>
        <v>7.4546006154379563E-2</v>
      </c>
      <c r="L125" s="43"/>
      <c r="M125" s="48">
        <f t="shared" si="36"/>
        <v>2.5193798449612448E-2</v>
      </c>
      <c r="N125" s="43"/>
      <c r="O125" s="95">
        <f t="array" ref="O125">INDEX('Key inputs'!$B$16:$N$40,MATCH($B125&amp;$C125&amp;$E125,'Key inputs'!$B$16:$B$40&amp;'Key inputs'!$C$16:$C$40&amp;'Key inputs'!$D$16:$D$40,0),MATCH($G125&amp;O$4&amp;O$5,'Key inputs'!$B$17:$N$17&amp;'Key inputs'!$B$18:$N$18&amp;'Key inputs'!$B$19:$N$19,0))</f>
        <v>10.58</v>
      </c>
      <c r="P125" s="89">
        <f>IFERROR(INDEX('Detail inputs'!$B$3:$K$168,MATCH($B125&amp;$C125&amp;$E125&amp;$G125&amp;P$5,'Detail inputs'!$B$3:$B$168&amp;'Detail inputs'!$D$3:$D$168&amp;'Detail inputs'!$F$3:$F$168&amp;'Detail inputs'!$G$3:$G$168&amp;'Detail inputs'!$H$3:$H$168,0),MATCH(P$4,'Detail inputs'!$B$3:$K$3,0)),0)</f>
        <v>0</v>
      </c>
      <c r="Q125" s="89">
        <f>O125*INDEX(Usage!$B$4:$M$18,MATCH($B125,Usage!$B$4:$B$18,0),MATCH(IF($E125="CL1","CL1 Proportion","CL2 Proportion"),Usage!$B$8:$M$8,0))+P125*$F125/1000</f>
        <v>2.4333999999999998</v>
      </c>
      <c r="R125" s="43">
        <f>IFERROR(Q125/Q126,"")</f>
        <v>7.1611564793913687E-2</v>
      </c>
    </row>
    <row r="126" spans="2:22" x14ac:dyDescent="0.35">
      <c r="B126" s="3" t="str">
        <f t="shared" si="32"/>
        <v>Essential</v>
      </c>
      <c r="C126" s="3" t="str">
        <f t="shared" si="29"/>
        <v>Residential</v>
      </c>
      <c r="D126" s="3" t="str">
        <f t="shared" si="30"/>
        <v>with CL</v>
      </c>
      <c r="E126" s="3" t="s">
        <v>17</v>
      </c>
      <c r="F126" s="41">
        <f t="array" ref="F126">IFERROR(INDEX(Usage!$B$5:$P$18,MATCH($B126,Usage!$B$5:$B$18,0),MATCH($C126&amp;$D126&amp;$E126,Usage!$B$5:$S$5&amp;Usage!$B$6:$S$6&amp;Usage!$B$7:$S$7,0)),0)</f>
        <v>460</v>
      </c>
      <c r="G126" s="3" t="s">
        <v>62</v>
      </c>
      <c r="J126" s="95">
        <f>SUM(J124:J125)</f>
        <v>31.84074</v>
      </c>
      <c r="K126" s="43"/>
      <c r="M126" s="48">
        <f>IF(OR(J126=0,Q126=""),"",Q126/J126-1)</f>
        <v>6.7203369017177383E-2</v>
      </c>
      <c r="N126" s="88"/>
      <c r="O126" s="95"/>
      <c r="P126" s="95"/>
      <c r="Q126" s="95">
        <f>IF(AND(Q124="",Q125=""),J126*(1+M126),SUM(Q124:Q125))</f>
        <v>33.980544999999999</v>
      </c>
      <c r="R126" s="43"/>
    </row>
    <row r="127" spans="2:22" s="77" customFormat="1" x14ac:dyDescent="0.35">
      <c r="B127" s="77" t="str">
        <f t="shared" si="32"/>
        <v>Essential</v>
      </c>
      <c r="C127" s="77" t="str">
        <f t="shared" si="29"/>
        <v>Residential</v>
      </c>
      <c r="D127" s="77" t="str">
        <f t="shared" si="30"/>
        <v>with CL</v>
      </c>
      <c r="E127" s="77" t="s">
        <v>62</v>
      </c>
      <c r="F127" s="41">
        <f t="array" ref="F127">IFERROR(INDEX(Usage!$B$5:$P$18,MATCH($B127,Usage!$B$5:$B$18,0),MATCH($C127&amp;$D127&amp;$E127,Usage!$B$5:$S$5&amp;Usage!$B$6:$S$6&amp;Usage!$B$7:$S$7,0)),0)</f>
        <v>6600</v>
      </c>
      <c r="G127" s="77" t="s">
        <v>62</v>
      </c>
      <c r="H127" s="95"/>
      <c r="I127" s="95"/>
      <c r="J127" s="95">
        <f>J112+J119+J126</f>
        <v>920.61698000000001</v>
      </c>
      <c r="K127" s="87"/>
      <c r="L127" s="88"/>
      <c r="M127" s="48">
        <f>IF(OR(J127=0,Q127=""),"",Q127/J127-1)</f>
        <v>5.6016542297536054E-2</v>
      </c>
      <c r="N127" s="88"/>
      <c r="O127" s="95"/>
      <c r="P127" s="95"/>
      <c r="Q127" s="95">
        <f>Q112+Q119+Q126</f>
        <v>972.18675999999994</v>
      </c>
      <c r="R127" s="87"/>
    </row>
    <row r="128" spans="2:22" outlineLevel="1" x14ac:dyDescent="0.35">
      <c r="B128" s="3" t="str">
        <f t="shared" ref="B128:D129" si="38">B127</f>
        <v>Essential</v>
      </c>
      <c r="C128" s="3" t="str">
        <f t="shared" si="38"/>
        <v>Residential</v>
      </c>
      <c r="D128" s="3" t="str">
        <f t="shared" si="38"/>
        <v>with CL</v>
      </c>
      <c r="E128" s="77"/>
      <c r="F128" s="78"/>
      <c r="G128" s="77" t="s">
        <v>42</v>
      </c>
      <c r="H128" s="95"/>
      <c r="I128" s="95"/>
      <c r="J128" s="95">
        <f>J127*GST</f>
        <v>92.061698000000007</v>
      </c>
      <c r="K128" s="87"/>
      <c r="L128" s="88"/>
      <c r="M128" s="48">
        <f>IF(OR(J128=0,Q128=""),"",Q128/J128-1)</f>
        <v>5.6016542297536054E-2</v>
      </c>
      <c r="N128" s="88"/>
      <c r="O128" s="95"/>
      <c r="P128" s="95"/>
      <c r="Q128" s="95">
        <f>Q127*GST</f>
        <v>97.218676000000002</v>
      </c>
      <c r="R128" s="87"/>
    </row>
    <row r="129" spans="2:22" x14ac:dyDescent="0.35">
      <c r="B129" s="3" t="str">
        <f t="shared" si="38"/>
        <v>Essential</v>
      </c>
      <c r="C129" s="3" t="str">
        <f t="shared" si="38"/>
        <v>Residential</v>
      </c>
      <c r="D129" s="3" t="str">
        <f t="shared" si="38"/>
        <v>with CL</v>
      </c>
      <c r="E129" s="77"/>
      <c r="F129" s="78"/>
      <c r="G129" s="5" t="s">
        <v>90</v>
      </c>
      <c r="H129" s="94"/>
      <c r="I129" s="94"/>
      <c r="J129" s="94">
        <f>SUM(J127:J128)</f>
        <v>1012.678678</v>
      </c>
      <c r="K129" s="75"/>
      <c r="L129" s="27"/>
      <c r="M129" s="48">
        <f>IF(OR(J129=0,Q129=""),"",Q129/J129-1)</f>
        <v>5.6016542297536276E-2</v>
      </c>
      <c r="N129" s="27"/>
      <c r="O129" s="94"/>
      <c r="P129" s="94"/>
      <c r="Q129" s="94">
        <f>SUM(Q127:Q128)</f>
        <v>1069.405436</v>
      </c>
      <c r="R129" s="75"/>
    </row>
    <row r="130" spans="2:22" x14ac:dyDescent="0.35">
      <c r="F130" s="41"/>
      <c r="K130" s="43"/>
      <c r="M130" s="48"/>
      <c r="R130" s="43"/>
    </row>
    <row r="131" spans="2:22" x14ac:dyDescent="0.35">
      <c r="B131" s="5" t="s">
        <v>3</v>
      </c>
      <c r="C131" s="5" t="s">
        <v>15</v>
      </c>
      <c r="D131" s="5" t="s">
        <v>150</v>
      </c>
      <c r="E131" s="5"/>
      <c r="F131" s="74"/>
      <c r="K131" s="43"/>
      <c r="M131" s="48"/>
      <c r="R131" s="43"/>
    </row>
    <row r="132" spans="2:22" outlineLevel="1" x14ac:dyDescent="0.35">
      <c r="B132" s="3" t="str">
        <f>B131</f>
        <v>Essential</v>
      </c>
      <c r="C132" s="3" t="str">
        <f t="shared" ref="C132:C138" si="39">C131</f>
        <v>Small business</v>
      </c>
      <c r="D132" s="3" t="str">
        <f t="shared" ref="D132:D138" si="40">D131</f>
        <v>without CL</v>
      </c>
      <c r="E132" s="3" t="s">
        <v>23</v>
      </c>
      <c r="F132" s="41">
        <f t="array" ref="F132">IFERROR(INDEX(Usage!$B$5:$P$18,MATCH($B132,Usage!$B$5:$B$18,0),MATCH($C132&amp;$D132&amp;$E132,Usage!$B$5:$S$5&amp;Usage!$B$6:$S$6&amp;Usage!$B$7:$S$7,0)),0)</f>
        <v>20000</v>
      </c>
      <c r="G132" s="3" t="s">
        <v>57</v>
      </c>
      <c r="H132" s="89" t="str">
        <f t="array" ref="H132">IFERROR(INDEX('Detail inputs'!$B$3:$K$168,MATCH($B132&amp;$C132&amp;$E132&amp;$G132&amp;H$5,'Detail inputs'!$B$3:$B$168&amp;'Detail inputs'!$D$3:$D$168&amp;'Detail inputs'!$F$3:$F$168&amp;'Detail inputs'!$G$3:$G$168&amp;'Detail inputs'!$H$3:$H$168,0),MATCH(H$4,'Detail inputs'!$B$3:$K$3,0)),"")</f>
        <v/>
      </c>
      <c r="I132" s="89" t="str">
        <f t="array" ref="I132">IFERROR(INDEX('Detail inputs'!$B$3:$K$168,MATCH($B132&amp;$C132&amp;$E132&amp;$G132&amp;I$5,'Detail inputs'!$B$3:$B$168&amp;'Detail inputs'!$D$3:$D$168&amp;'Detail inputs'!$F$3:$F$168&amp;'Detail inputs'!$G$3:$G$168&amp;'Detail inputs'!$H$3:$H$168,0),MATCH(I$4,'Detail inputs'!$B$3:$K$3,0)),"")</f>
        <v/>
      </c>
      <c r="J132" s="89" t="str">
        <f>IFERROR(IF(H132="",I132*$F132/1000,IF(I132="",H132,H132+I132*$F132/1000)),"")</f>
        <v/>
      </c>
      <c r="K132" s="43" t="str">
        <f>IFERROR(J132/J136,"")</f>
        <v/>
      </c>
      <c r="L132" s="43"/>
      <c r="M132" s="48" t="str">
        <f t="shared" ref="M132:M137" si="41">IF(OR(J132=0,J132="",Q132=""),"",Q132/J132-1)</f>
        <v/>
      </c>
      <c r="N132" s="43"/>
      <c r="O132" s="89" t="str">
        <f t="array" ref="O132">IFERROR(INDEX('Detail inputs'!$B$3:$K$168,MATCH($B132&amp;$C132&amp;$E132&amp;$G132&amp;O$5,'Detail inputs'!$B$3:$B$168&amp;'Detail inputs'!$D$3:$D$168&amp;'Detail inputs'!$F$3:$F$168&amp;'Detail inputs'!$G$3:$G$168&amp;'Detail inputs'!$H$3:$H$168,0),MATCH(O$4,'Detail inputs'!$B$3:$K$3,0)),"")</f>
        <v/>
      </c>
      <c r="P132" s="89" t="str">
        <f t="array" ref="P132">IFERROR(INDEX('Detail inputs'!$B$3:$K$168,MATCH($B132&amp;$C132&amp;$E132&amp;$G132&amp;P$5,'Detail inputs'!$B$3:$B$168&amp;'Detail inputs'!$D$3:$D$168&amp;'Detail inputs'!$F$3:$F$168&amp;'Detail inputs'!$G$3:$G$168&amp;'Detail inputs'!$H$3:$H$168,0),MATCH(P$4,'Detail inputs'!$B$3:$K$3,0)),"")</f>
        <v/>
      </c>
      <c r="Q132" s="89" t="str">
        <f>IFERROR(IF(O132="",P132*$F132/1000,IF(P132="",O132,O132+P132*$F132/1000)),"")</f>
        <v/>
      </c>
      <c r="R132" s="43" t="str">
        <f>IFERROR(Q132/Q136,"")</f>
        <v/>
      </c>
    </row>
    <row r="133" spans="2:22" outlineLevel="1" x14ac:dyDescent="0.35">
      <c r="B133" s="3" t="str">
        <f t="shared" ref="B133:B138" si="42">B132</f>
        <v>Essential</v>
      </c>
      <c r="C133" s="3" t="str">
        <f t="shared" si="39"/>
        <v>Small business</v>
      </c>
      <c r="D133" s="3" t="str">
        <f t="shared" si="40"/>
        <v>without CL</v>
      </c>
      <c r="E133" s="3" t="s">
        <v>23</v>
      </c>
      <c r="F133" s="41">
        <f t="array" ref="F133">IFERROR(INDEX(Usage!$B$5:$P$18,MATCH($B133,Usage!$B$5:$B$18,0),MATCH($C133&amp;$D133&amp;$E133,Usage!$B$5:$S$5&amp;Usage!$B$6:$S$6&amp;Usage!$B$7:$S$7,0)),0)</f>
        <v>20000</v>
      </c>
      <c r="G133" s="3" t="s">
        <v>58</v>
      </c>
      <c r="H133" s="89" t="str">
        <f t="array" ref="H133">IFERROR(INDEX('Detail inputs'!$B$3:$K$168,MATCH($B133&amp;$C133&amp;$E133&amp;$G133&amp;H$5,'Detail inputs'!$B$3:$B$168&amp;'Detail inputs'!$D$3:$D$168&amp;'Detail inputs'!$F$3:$F$168&amp;'Detail inputs'!$G$3:$G$168&amp;'Detail inputs'!$H$3:$H$168,0),MATCH(H$4,'Detail inputs'!$B$3:$K$3,0)),"")</f>
        <v/>
      </c>
      <c r="I133" s="89" t="str">
        <f t="array" ref="I133">IFERROR(INDEX('Detail inputs'!$B$3:$K$168,MATCH($B133&amp;$C133&amp;$E133&amp;$G133&amp;I$5,'Detail inputs'!$B$3:$B$168&amp;'Detail inputs'!$D$3:$D$168&amp;'Detail inputs'!$F$3:$F$168&amp;'Detail inputs'!$G$3:$G$168&amp;'Detail inputs'!$H$3:$H$168,0),MATCH(I$4,'Detail inputs'!$B$3:$K$3,0)),"")</f>
        <v/>
      </c>
      <c r="J133" s="89" t="str">
        <f>IFERROR(IF(H133="",I133*$F133/1000,IF(I133="",H133,H133+I133*$F133/1000)),"")</f>
        <v/>
      </c>
      <c r="K133" s="43" t="str">
        <f>IFERROR(J133/J136,"")</f>
        <v/>
      </c>
      <c r="L133" s="43"/>
      <c r="M133" s="48" t="str">
        <f t="shared" si="41"/>
        <v/>
      </c>
      <c r="N133" s="43"/>
      <c r="O133" s="89" t="str">
        <f t="array" ref="O133">IFERROR(INDEX('Detail inputs'!$B$3:$K$168,MATCH($B133&amp;$C133&amp;$E133&amp;$G133&amp;O$5,'Detail inputs'!$B$3:$B$168&amp;'Detail inputs'!$D$3:$D$168&amp;'Detail inputs'!$F$3:$F$168&amp;'Detail inputs'!$G$3:$G$168&amp;'Detail inputs'!$H$3:$H$168,0),MATCH(O$4,'Detail inputs'!$B$3:$K$3,0)),"")</f>
        <v/>
      </c>
      <c r="P133" s="89" t="str">
        <f t="array" ref="P133">IFERROR(INDEX('Detail inputs'!$B$3:$K$168,MATCH($B133&amp;$C133&amp;$E133&amp;$G133&amp;P$5,'Detail inputs'!$B$3:$B$168&amp;'Detail inputs'!$D$3:$D$168&amp;'Detail inputs'!$F$3:$F$168&amp;'Detail inputs'!$G$3:$G$168&amp;'Detail inputs'!$H$3:$H$168,0),MATCH(P$4,'Detail inputs'!$B$3:$K$3,0)),"")</f>
        <v/>
      </c>
      <c r="Q133" s="89" t="str">
        <f>IFERROR(IF(O133="",P133*$F133/1000,IF(P133="",O133,O133+P133*$F133/1000)),"")</f>
        <v/>
      </c>
      <c r="R133" s="43" t="str">
        <f>IFERROR(Q133/Q136,"")</f>
        <v/>
      </c>
    </row>
    <row r="134" spans="2:22" outlineLevel="1" x14ac:dyDescent="0.35">
      <c r="B134" s="3" t="str">
        <f t="shared" si="42"/>
        <v>Essential</v>
      </c>
      <c r="C134" s="3" t="str">
        <f t="shared" si="39"/>
        <v>Small business</v>
      </c>
      <c r="D134" s="3" t="str">
        <f t="shared" si="40"/>
        <v>without CL</v>
      </c>
      <c r="E134" s="3" t="s">
        <v>23</v>
      </c>
      <c r="F134" s="41">
        <f t="array" ref="F134">IFERROR(INDEX(Usage!$B$5:$P$18,MATCH($B134,Usage!$B$5:$B$18,0),MATCH($C134&amp;$D134&amp;$E134,Usage!$B$5:$S$5&amp;Usage!$B$6:$S$6&amp;Usage!$B$7:$S$7,0)),0)</f>
        <v>20000</v>
      </c>
      <c r="G134" s="3" t="s">
        <v>59</v>
      </c>
      <c r="H134" s="89" t="str">
        <f t="array" ref="H134">IFERROR(INDEX('Detail inputs'!$B$3:$K$168,MATCH($B134&amp;$C134&amp;$E134&amp;$G134&amp;H$5,'Detail inputs'!$B$3:$B$168&amp;'Detail inputs'!$D$3:$D$168&amp;'Detail inputs'!$F$3:$F$168&amp;'Detail inputs'!$G$3:$G$168&amp;'Detail inputs'!$H$3:$H$168,0),MATCH(H$4,'Detail inputs'!$B$3:$K$3,0)),"")</f>
        <v/>
      </c>
      <c r="I134" s="89" t="str">
        <f t="array" ref="I134">IFERROR(INDEX('Detail inputs'!$B$3:$K$168,MATCH($B134&amp;$C134&amp;$E134&amp;$G134&amp;I$5,'Detail inputs'!$B$3:$B$168&amp;'Detail inputs'!$D$3:$D$168&amp;'Detail inputs'!$F$3:$F$168&amp;'Detail inputs'!$G$3:$G$168&amp;'Detail inputs'!$H$3:$H$168,0),MATCH(I$4,'Detail inputs'!$B$3:$K$3,0)),"")</f>
        <v/>
      </c>
      <c r="J134" s="89" t="str">
        <f>IFERROR(IF(H134="",I134*$F134/1000,IF(I134="",H134,H134+I134*$F134/1000)),"")</f>
        <v/>
      </c>
      <c r="K134" s="43" t="str">
        <f>IFERROR(J134/J136,"")</f>
        <v/>
      </c>
      <c r="L134" s="43"/>
      <c r="M134" s="48" t="str">
        <f t="shared" si="41"/>
        <v/>
      </c>
      <c r="N134" s="43"/>
      <c r="O134" s="89" t="str">
        <f t="array" ref="O134">IFERROR(INDEX('Detail inputs'!$B$3:$K$168,MATCH($B134&amp;$C134&amp;$E134&amp;$G134&amp;O$5,'Detail inputs'!$B$3:$B$168&amp;'Detail inputs'!$D$3:$D$168&amp;'Detail inputs'!$F$3:$F$168&amp;'Detail inputs'!$G$3:$G$168&amp;'Detail inputs'!$H$3:$H$168,0),MATCH(O$4,'Detail inputs'!$B$3:$K$3,0)),"")</f>
        <v/>
      </c>
      <c r="P134" s="89" t="str">
        <f t="array" ref="P134">IFERROR(INDEX('Detail inputs'!$B$3:$K$168,MATCH($B134&amp;$C134&amp;$E134&amp;$G134&amp;P$5,'Detail inputs'!$B$3:$B$168&amp;'Detail inputs'!$D$3:$D$168&amp;'Detail inputs'!$F$3:$F$168&amp;'Detail inputs'!$G$3:$G$168&amp;'Detail inputs'!$H$3:$H$168,0),MATCH(P$4,'Detail inputs'!$B$3:$K$3,0)),"")</f>
        <v/>
      </c>
      <c r="Q134" s="89" t="str">
        <f>IFERROR(IF(O134="",P134*$F134/1000,IF(P134="",O134,O134+P134*$F134/1000)),"")</f>
        <v/>
      </c>
      <c r="R134" s="43" t="str">
        <f>IFERROR(Q134/Q136,"")</f>
        <v/>
      </c>
    </row>
    <row r="135" spans="2:22" outlineLevel="1" x14ac:dyDescent="0.35">
      <c r="B135" s="3" t="str">
        <f t="shared" ref="B135:D136" si="43">B134</f>
        <v>Essential</v>
      </c>
      <c r="C135" s="3" t="str">
        <f t="shared" si="43"/>
        <v>Small business</v>
      </c>
      <c r="D135" s="3" t="str">
        <f t="shared" si="43"/>
        <v>without CL</v>
      </c>
      <c r="E135" s="3" t="s">
        <v>23</v>
      </c>
      <c r="F135" s="41">
        <f t="array" ref="F135">IFERROR(INDEX(Usage!$B$5:$P$18,MATCH($B135,Usage!$B$5:$B$18,0),MATCH($C135&amp;$D135&amp;$E135,Usage!$B$5:$S$5&amp;Usage!$B$6:$S$6&amp;Usage!$B$7:$S$7,0)),0)</f>
        <v>20000</v>
      </c>
      <c r="G135" s="3" t="s">
        <v>192</v>
      </c>
      <c r="H135" s="89" t="str">
        <f t="array" ref="H135">IFERROR(INDEX('Detail inputs'!$B$3:$K$168,MATCH($B135&amp;$C135&amp;$E135&amp;$G135&amp;H$5,'Detail inputs'!$B$3:$B$168&amp;'Detail inputs'!$D$3:$D$168&amp;'Detail inputs'!$F$3:$F$168&amp;'Detail inputs'!$G$3:$G$168&amp;'Detail inputs'!$H$3:$H$168,0),MATCH(H$4,'Detail inputs'!$B$3:$K$3,0)),"")</f>
        <v/>
      </c>
      <c r="I135" s="89" t="str">
        <f t="array" ref="I135">IFERROR(INDEX('Detail inputs'!$B$3:$K$168,MATCH($B135&amp;$C135&amp;$E135&amp;$G135&amp;I$5,'Detail inputs'!$B$3:$B$168&amp;'Detail inputs'!$D$3:$D$168&amp;'Detail inputs'!$F$3:$F$168&amp;'Detail inputs'!$G$3:$G$168&amp;'Detail inputs'!$H$3:$H$168,0),MATCH(I$4,'Detail inputs'!$B$3:$K$3,0)),"")</f>
        <v/>
      </c>
      <c r="J135" s="89" t="str">
        <f>IFERROR(IF(H135="",I135*$F135/1000,IF(I135="",H135,H135+I135*$F135/1000)),"")</f>
        <v/>
      </c>
      <c r="K135" s="43" t="str">
        <f>IFERROR(J135/J136,"")</f>
        <v/>
      </c>
      <c r="L135" s="43"/>
      <c r="M135" s="48" t="str">
        <f t="shared" si="41"/>
        <v/>
      </c>
      <c r="N135" s="43"/>
      <c r="O135" s="89" t="str">
        <f t="array" ref="O135">IFERROR(INDEX('Detail inputs'!$B$3:$K$168,MATCH($B135&amp;$C135&amp;$E135&amp;$G135&amp;O$5,'Detail inputs'!$B$3:$B$168&amp;'Detail inputs'!$D$3:$D$168&amp;'Detail inputs'!$F$3:$F$168&amp;'Detail inputs'!$G$3:$G$168&amp;'Detail inputs'!$H$3:$H$168,0),MATCH(O$4,'Detail inputs'!$B$3:$K$3,0)),"")</f>
        <v/>
      </c>
      <c r="P135" s="89" t="str">
        <f t="array" ref="P135">IFERROR(INDEX('Detail inputs'!$B$3:$K$168,MATCH($B135&amp;$C135&amp;$E135&amp;$G135&amp;P$5,'Detail inputs'!$B$3:$B$168&amp;'Detail inputs'!$D$3:$D$168&amp;'Detail inputs'!$F$3:$F$168&amp;'Detail inputs'!$G$3:$G$168&amp;'Detail inputs'!$H$3:$H$168,0),MATCH(P$4,'Detail inputs'!$B$3:$K$3,0)),"")</f>
        <v/>
      </c>
      <c r="Q135" s="89" t="str">
        <f>IFERROR(IF(O135="",P135*$F135/1000,IF(P135="",O135,O135+P135*$F135/1000)),"")</f>
        <v/>
      </c>
      <c r="R135" s="43" t="str">
        <f>IFERROR(Q135/Q136,"")</f>
        <v/>
      </c>
    </row>
    <row r="136" spans="2:22" x14ac:dyDescent="0.35">
      <c r="B136" s="3" t="str">
        <f t="shared" si="43"/>
        <v>Essential</v>
      </c>
      <c r="C136" s="3" t="str">
        <f t="shared" si="43"/>
        <v>Small business</v>
      </c>
      <c r="D136" s="3" t="str">
        <f t="shared" si="43"/>
        <v>without CL</v>
      </c>
      <c r="E136" s="3" t="s">
        <v>23</v>
      </c>
      <c r="F136" s="41">
        <f t="array" ref="F136">IFERROR(INDEX(Usage!$B$5:$P$18,MATCH($B136,Usage!$B$5:$B$18,0),MATCH($C136&amp;$D136&amp;$E136,Usage!$B$5:$S$5&amp;Usage!$B$6:$S$6&amp;Usage!$B$7:$S$7,0)),0)</f>
        <v>20000</v>
      </c>
      <c r="G136" s="3" t="s">
        <v>64</v>
      </c>
      <c r="H136" s="95">
        <f t="array" ref="H136">INDEX('Key inputs'!$B$16:$N$40,MATCH($B136&amp;$C136&amp;$E136,'Key inputs'!$B$16:$B$40&amp;'Key inputs'!$C$16:$C$40&amp;'Key inputs'!$D$16:$D$40,0),MATCH($G136&amp;H$4&amp;H$5,'Key inputs'!$B$17:$N$17&amp;'Key inputs'!$B$18:$N$18&amp;'Key inputs'!$B$19:$N$19,0))</f>
        <v>305.14</v>
      </c>
      <c r="I136" s="95">
        <f t="array" ref="I136">INDEX('Key inputs'!$B$16:$N$40,MATCH($B136&amp;$C136&amp;$E136,'Key inputs'!$B$16:$B$40&amp;'Key inputs'!$C$16:$C$40&amp;'Key inputs'!$D$16:$D$40,0),MATCH($G136&amp;I$4&amp;I$5,'Key inputs'!$B$17:$N$17&amp;'Key inputs'!$B$18:$N$18&amp;'Key inputs'!$B$19:$N$19,0))</f>
        <v>145.08000000000001</v>
      </c>
      <c r="J136" s="89">
        <f>H136+I136*$F136/1000</f>
        <v>3206.7400000000002</v>
      </c>
      <c r="K136" s="43">
        <f>IFERROR(J136/J138,"")</f>
        <v>0.98981094220233035</v>
      </c>
      <c r="L136" s="43"/>
      <c r="M136" s="48">
        <f t="shared" si="41"/>
        <v>5.4311231967667961E-2</v>
      </c>
      <c r="N136" s="43"/>
      <c r="O136" s="95">
        <f t="array" ref="O136">INDEX('Key inputs'!$B$16:$N$40,MATCH($B136&amp;$C136&amp;$E136,'Key inputs'!$B$16:$B$40&amp;'Key inputs'!$C$16:$C$40&amp;'Key inputs'!$D$16:$D$40,0),MATCH($G136&amp;O$4&amp;O$5,'Key inputs'!$B$17:$N$17&amp;'Key inputs'!$B$18:$N$18&amp;'Key inputs'!$B$19:$N$19,0))</f>
        <v>320.762</v>
      </c>
      <c r="P136" s="95">
        <f t="array" ref="P136">INDEX('Key inputs'!$B$16:$N$40,MATCH($B136&amp;$C136&amp;$E136,'Key inputs'!$B$16:$B$40&amp;'Key inputs'!$C$16:$C$40&amp;'Key inputs'!$D$16:$D$40,0),MATCH($G136&amp;P$4&amp;P$5,'Key inputs'!$B$17:$N$17&amp;'Key inputs'!$B$18:$N$18&amp;'Key inputs'!$B$19:$N$19,0))</f>
        <v>153.00700000000001</v>
      </c>
      <c r="Q136" s="89">
        <f>O136+P136*$F136/1000</f>
        <v>3380.902</v>
      </c>
      <c r="R136" s="43">
        <f>IFERROR(Q136/Q138,"")</f>
        <v>0.99003204153979774</v>
      </c>
      <c r="S136" s="129"/>
      <c r="T136" s="129"/>
      <c r="U136" s="129"/>
      <c r="V136" s="129"/>
    </row>
    <row r="137" spans="2:22" x14ac:dyDescent="0.35">
      <c r="B137" s="3" t="str">
        <f t="shared" si="42"/>
        <v>Essential</v>
      </c>
      <c r="C137" s="3" t="str">
        <f t="shared" si="39"/>
        <v>Small business</v>
      </c>
      <c r="D137" s="3" t="str">
        <f t="shared" si="40"/>
        <v>without CL</v>
      </c>
      <c r="E137" s="3" t="s">
        <v>23</v>
      </c>
      <c r="F137" s="41">
        <f t="array" ref="F137">IFERROR(INDEX(Usage!$B$5:$P$18,MATCH($B137,Usage!$B$5:$B$18,0),MATCH($C137&amp;$D137&amp;$E137,Usage!$B$5:$S$5&amp;Usage!$B$6:$S$6&amp;Usage!$B$7:$S$7,0)),0)</f>
        <v>20000</v>
      </c>
      <c r="G137" s="3" t="s">
        <v>68</v>
      </c>
      <c r="H137" s="95">
        <f t="array" ref="H137">INDEX('Key inputs'!$B$16:$N$40,MATCH($B137&amp;$C137&amp;$E137,'Key inputs'!$B$16:$B$40&amp;'Key inputs'!$C$16:$C$40&amp;'Key inputs'!$D$16:$D$40,0),MATCH($G137&amp;H$4&amp;H$5,'Key inputs'!$B$17:$N$17&amp;'Key inputs'!$B$18:$N$18&amp;'Key inputs'!$B$19:$N$19,0))</f>
        <v>33.010000000000005</v>
      </c>
      <c r="I137" s="89">
        <f>IFERROR(INDEX('Detail inputs'!$B$3:$K$168,MATCH($B137&amp;$C137&amp;$E137&amp;$G137&amp;I$5,'Detail inputs'!$B$3:$B$168&amp;'Detail inputs'!$D$3:$D$168&amp;'Detail inputs'!$F$3:$F$168&amp;'Detail inputs'!$G$3:$G$168&amp;'Detail inputs'!$H$3:$H$168,0),MATCH(I$4,'Detail inputs'!$B$3:$K$3,0)),0)</f>
        <v>0</v>
      </c>
      <c r="J137" s="89">
        <f>H137+I137*$F137/1000</f>
        <v>33.010000000000005</v>
      </c>
      <c r="K137" s="43">
        <f>IFERROR(J137/J138,"")</f>
        <v>1.0189057797669574E-2</v>
      </c>
      <c r="L137" s="43"/>
      <c r="M137" s="48">
        <f t="shared" si="41"/>
        <v>3.120266585883047E-2</v>
      </c>
      <c r="N137" s="43"/>
      <c r="O137" s="95">
        <f t="array" ref="O137">INDEX('Key inputs'!$B$16:$N$40,MATCH($B137&amp;$C137&amp;$E137,'Key inputs'!$B$16:$B$40&amp;'Key inputs'!$C$16:$C$40&amp;'Key inputs'!$D$16:$D$40,0),MATCH($G137&amp;O$4&amp;O$5,'Key inputs'!$B$17:$N$17&amp;'Key inputs'!$B$18:$N$18&amp;'Key inputs'!$B$19:$N$19,0))</f>
        <v>34.04</v>
      </c>
      <c r="P137" s="89">
        <f>IFERROR(INDEX('Detail inputs'!$B$3:$K$168,MATCH($B137&amp;$C137&amp;$E137&amp;$G137&amp;P$5,'Detail inputs'!$B$3:$B$168&amp;'Detail inputs'!$D$3:$D$168&amp;'Detail inputs'!$F$3:$F$168&amp;'Detail inputs'!$G$3:$G$168&amp;'Detail inputs'!$H$3:$H$168,0),MATCH(P$4,'Detail inputs'!$B$3:$K$3,0)),0)</f>
        <v>0</v>
      </c>
      <c r="Q137" s="89">
        <f>O137+P137*$F137/1000</f>
        <v>34.04</v>
      </c>
      <c r="R137" s="43">
        <f>IFERROR(Q137/Q138,"")</f>
        <v>9.967958460202252E-3</v>
      </c>
    </row>
    <row r="138" spans="2:22" s="77" customFormat="1" x14ac:dyDescent="0.35">
      <c r="B138" s="77" t="str">
        <f t="shared" si="42"/>
        <v>Essential</v>
      </c>
      <c r="C138" s="77" t="str">
        <f t="shared" si="39"/>
        <v>Small business</v>
      </c>
      <c r="D138" s="77" t="str">
        <f t="shared" si="40"/>
        <v>without CL</v>
      </c>
      <c r="E138" s="3" t="s">
        <v>23</v>
      </c>
      <c r="F138" s="41">
        <f t="array" ref="F138">IFERROR(INDEX(Usage!$B$5:$P$18,MATCH($B138,Usage!$B$5:$B$18,0),MATCH($C138&amp;$D138&amp;$E138,Usage!$B$5:$S$5&amp;Usage!$B$6:$S$6&amp;Usage!$B$7:$S$7,0)),0)</f>
        <v>20000</v>
      </c>
      <c r="G138" s="77" t="s">
        <v>62</v>
      </c>
      <c r="H138" s="95"/>
      <c r="I138" s="95"/>
      <c r="J138" s="95">
        <f>SUM(J136:J137)</f>
        <v>3239.7500000000005</v>
      </c>
      <c r="K138" s="87"/>
      <c r="L138" s="88"/>
      <c r="M138" s="48">
        <f>IF(OR(J138=0,Q138=""),"",Q138/J138-1)</f>
        <v>5.4075777451963791E-2</v>
      </c>
      <c r="N138" s="88"/>
      <c r="O138" s="95"/>
      <c r="P138" s="95"/>
      <c r="Q138" s="95">
        <f>IF(AND(Q136="",Q137=""),J138*(1+M138),SUM(Q136:Q137))</f>
        <v>3414.942</v>
      </c>
      <c r="R138" s="87"/>
    </row>
    <row r="139" spans="2:22" outlineLevel="1" x14ac:dyDescent="0.35">
      <c r="B139" s="3" t="str">
        <f t="shared" ref="B139:D140" si="44">B138</f>
        <v>Essential</v>
      </c>
      <c r="C139" s="3" t="str">
        <f t="shared" si="44"/>
        <v>Small business</v>
      </c>
      <c r="D139" s="3" t="str">
        <f t="shared" si="44"/>
        <v>without CL</v>
      </c>
      <c r="E139" s="77"/>
      <c r="F139" s="78"/>
      <c r="G139" s="77" t="s">
        <v>42</v>
      </c>
      <c r="H139" s="95"/>
      <c r="I139" s="95"/>
      <c r="J139" s="95">
        <f>J138*GST</f>
        <v>323.97500000000008</v>
      </c>
      <c r="K139" s="87"/>
      <c r="L139" s="88"/>
      <c r="M139" s="48">
        <f>IF(OR(J139=0,Q139=""),"",Q139/J139-1)</f>
        <v>5.4075777451963791E-2</v>
      </c>
      <c r="N139" s="88"/>
      <c r="O139" s="95"/>
      <c r="P139" s="95"/>
      <c r="Q139" s="95">
        <f>Q138*GST</f>
        <v>341.49420000000003</v>
      </c>
      <c r="R139" s="87"/>
    </row>
    <row r="140" spans="2:22" x14ac:dyDescent="0.35">
      <c r="B140" s="3" t="str">
        <f t="shared" si="44"/>
        <v>Essential</v>
      </c>
      <c r="C140" s="3" t="str">
        <f t="shared" si="44"/>
        <v>Small business</v>
      </c>
      <c r="D140" s="3" t="str">
        <f t="shared" si="44"/>
        <v>without CL</v>
      </c>
      <c r="E140" s="77"/>
      <c r="F140" s="78"/>
      <c r="G140" s="5" t="s">
        <v>90</v>
      </c>
      <c r="H140" s="94"/>
      <c r="I140" s="94"/>
      <c r="J140" s="94">
        <f>SUM(J138:J139)</f>
        <v>3563.7250000000004</v>
      </c>
      <c r="K140" s="75"/>
      <c r="L140" s="27"/>
      <c r="M140" s="48">
        <f>IF(OR(J140=0,Q140=""),"",Q140/J140-1)</f>
        <v>5.4075777451963791E-2</v>
      </c>
      <c r="N140" s="27"/>
      <c r="O140" s="94"/>
      <c r="P140" s="94"/>
      <c r="Q140" s="94">
        <f>SUM(Q138:Q139)</f>
        <v>3756.4362000000001</v>
      </c>
      <c r="R140" s="75"/>
    </row>
    <row r="142" spans="2:22" x14ac:dyDescent="0.35">
      <c r="B142" s="5" t="s">
        <v>0</v>
      </c>
      <c r="C142" s="5" t="s">
        <v>6</v>
      </c>
      <c r="D142" s="5" t="s">
        <v>150</v>
      </c>
      <c r="E142" s="77"/>
      <c r="F142" s="78"/>
      <c r="K142" s="43"/>
      <c r="L142" s="43"/>
      <c r="M142" s="48"/>
      <c r="N142" s="43"/>
      <c r="R142" s="43"/>
    </row>
    <row r="143" spans="2:22" outlineLevel="1" x14ac:dyDescent="0.35">
      <c r="B143" s="77" t="str">
        <f t="shared" ref="B143:D150" si="45">B142</f>
        <v>Energex</v>
      </c>
      <c r="C143" s="77" t="str">
        <f t="shared" si="45"/>
        <v>Residential</v>
      </c>
      <c r="D143" s="77" t="str">
        <f t="shared" si="45"/>
        <v>without CL</v>
      </c>
      <c r="E143" s="77" t="s">
        <v>23</v>
      </c>
      <c r="F143" s="41">
        <f t="array" ref="F143">IFERROR(INDEX(Usage!$B$5:$P$18,MATCH($B143,Usage!$B$5:$B$18,0),MATCH($C143&amp;$D143&amp;$E143,Usage!$B$5:$S$5&amp;Usage!$B$6:$S$6&amp;Usage!$B$7:$S$7,0)),0)</f>
        <v>4600</v>
      </c>
      <c r="G143" s="3" t="s">
        <v>57</v>
      </c>
      <c r="H143" s="89" t="str">
        <f t="array" ref="H143">IFERROR(INDEX('Detail inputs'!$B$3:$K$168,MATCH($B143&amp;$C143&amp;$E143&amp;$G143&amp;H$5,'Detail inputs'!$B$3:$B$168&amp;'Detail inputs'!$D$3:$D$168&amp;'Detail inputs'!$F$3:$F$168&amp;'Detail inputs'!$G$3:$G$168&amp;'Detail inputs'!$H$3:$H$168,0),MATCH(H$4,'Detail inputs'!$B$3:$K$3,0)),"")</f>
        <v/>
      </c>
      <c r="I143" s="89" t="str">
        <f t="array" ref="I143">IFERROR(INDEX('Detail inputs'!$B$3:$K$168,MATCH($B143&amp;$C143&amp;$E143&amp;$G143&amp;I$5,'Detail inputs'!$B$3:$B$168&amp;'Detail inputs'!$D$3:$D$168&amp;'Detail inputs'!$F$3:$F$168&amp;'Detail inputs'!$G$3:$G$168&amp;'Detail inputs'!$H$3:$H$168,0),MATCH(I$4,'Detail inputs'!$B$3:$K$3,0)),"")</f>
        <v/>
      </c>
      <c r="J143" s="89" t="str">
        <f>IFERROR(IF(H143="",I143*$F143/1000,IF(I143="",H143,H143+I143*$F143/1000)),"")</f>
        <v/>
      </c>
      <c r="K143" s="43" t="str">
        <f>IFERROR(J143/J146,"")</f>
        <v/>
      </c>
      <c r="L143" s="43"/>
      <c r="M143" s="48" t="str">
        <f t="shared" ref="M143:M150" si="46">IF(OR(J143=0,J143="",Q143=""),"",Q143/J143-1)</f>
        <v/>
      </c>
      <c r="N143" s="43"/>
      <c r="O143" s="89" t="str">
        <f t="array" ref="O143">IFERROR(INDEX('Detail inputs'!$B$3:$K$168,MATCH($B143&amp;$C143&amp;$E143&amp;$G143&amp;O$5,'Detail inputs'!$B$3:$B$168&amp;'Detail inputs'!$D$3:$D$168&amp;'Detail inputs'!$F$3:$F$168&amp;'Detail inputs'!$G$3:$G$168&amp;'Detail inputs'!$H$3:$H$168,0),MATCH(O$4,'Detail inputs'!$B$3:$K$3,0)),"")</f>
        <v/>
      </c>
      <c r="P143" s="89" t="str">
        <f t="array" ref="P143">IFERROR(INDEX('Detail inputs'!$B$3:$K$168,MATCH($B143&amp;$C143&amp;$E143&amp;$G143&amp;P$5,'Detail inputs'!$B$3:$B$168&amp;'Detail inputs'!$D$3:$D$168&amp;'Detail inputs'!$F$3:$F$168&amp;'Detail inputs'!$G$3:$G$168&amp;'Detail inputs'!$H$3:$H$168,0),MATCH(P$4,'Detail inputs'!$B$3:$K$3,0)),"")</f>
        <v/>
      </c>
      <c r="Q143" s="89" t="str">
        <f>IFERROR(IF(O143="",P143*$F143/1000,IF(P143="",O143,O143+P143*$F143/1000)),"")</f>
        <v/>
      </c>
      <c r="R143" s="43" t="str">
        <f>IFERROR(Q143/Q146,"")</f>
        <v/>
      </c>
    </row>
    <row r="144" spans="2:22" outlineLevel="1" x14ac:dyDescent="0.35">
      <c r="B144" s="77" t="str">
        <f t="shared" si="45"/>
        <v>Energex</v>
      </c>
      <c r="C144" s="77" t="str">
        <f t="shared" si="45"/>
        <v>Residential</v>
      </c>
      <c r="D144" s="77" t="str">
        <f t="shared" si="45"/>
        <v>without CL</v>
      </c>
      <c r="E144" s="77" t="s">
        <v>23</v>
      </c>
      <c r="F144" s="41">
        <f t="array" ref="F144">IFERROR(INDEX(Usage!$B$5:$P$18,MATCH($B144,Usage!$B$5:$B$18,0),MATCH($C144&amp;$D144&amp;$E144,Usage!$B$5:$S$5&amp;Usage!$B$6:$S$6&amp;Usage!$B$7:$S$7,0)),0)</f>
        <v>4600</v>
      </c>
      <c r="G144" s="3" t="s">
        <v>58</v>
      </c>
      <c r="H144" s="89" t="str">
        <f t="array" ref="H144">IFERROR(INDEX('Detail inputs'!$B$3:$K$168,MATCH($B144&amp;$C144&amp;$E144&amp;$G144&amp;H$5,'Detail inputs'!$B$3:$B$168&amp;'Detail inputs'!$D$3:$D$168&amp;'Detail inputs'!$F$3:$F$168&amp;'Detail inputs'!$G$3:$G$168&amp;'Detail inputs'!$H$3:$H$168,0),MATCH(H$4,'Detail inputs'!$B$3:$K$3,0)),"")</f>
        <v/>
      </c>
      <c r="I144" s="89" t="str">
        <f t="array" ref="I144">IFERROR(INDEX('Detail inputs'!$B$3:$K$168,MATCH($B144&amp;$C144&amp;$E144&amp;$G144&amp;I$5,'Detail inputs'!$B$3:$B$168&amp;'Detail inputs'!$D$3:$D$168&amp;'Detail inputs'!$F$3:$F$168&amp;'Detail inputs'!$G$3:$G$168&amp;'Detail inputs'!$H$3:$H$168,0),MATCH(I$4,'Detail inputs'!$B$3:$K$3,0)),"")</f>
        <v/>
      </c>
      <c r="J144" s="89" t="str">
        <f>IFERROR(IF(H144="",I144*$F144/1000,IF(I144="",H144,H144+I144*$F144/1000)),"")</f>
        <v/>
      </c>
      <c r="K144" s="43" t="str">
        <f>IFERROR(J144/J146,"")</f>
        <v/>
      </c>
      <c r="L144" s="43"/>
      <c r="M144" s="48" t="str">
        <f t="shared" si="46"/>
        <v/>
      </c>
      <c r="N144" s="43"/>
      <c r="O144" s="89" t="str">
        <f t="array" ref="O144">IFERROR(INDEX('Detail inputs'!$B$3:$K$168,MATCH($B144&amp;$C144&amp;$E144&amp;$G144&amp;O$5,'Detail inputs'!$B$3:$B$168&amp;'Detail inputs'!$D$3:$D$168&amp;'Detail inputs'!$F$3:$F$168&amp;'Detail inputs'!$G$3:$G$168&amp;'Detail inputs'!$H$3:$H$168,0),MATCH(O$4,'Detail inputs'!$B$3:$K$3,0)),"")</f>
        <v/>
      </c>
      <c r="P144" s="89" t="str">
        <f t="array" ref="P144">IFERROR(INDEX('Detail inputs'!$B$3:$K$168,MATCH($B144&amp;$C144&amp;$E144&amp;$G144&amp;P$5,'Detail inputs'!$B$3:$B$168&amp;'Detail inputs'!$D$3:$D$168&amp;'Detail inputs'!$F$3:$F$168&amp;'Detail inputs'!$G$3:$G$168&amp;'Detail inputs'!$H$3:$H$168,0),MATCH(P$4,'Detail inputs'!$B$3:$K$3,0)),"")</f>
        <v/>
      </c>
      <c r="Q144" s="89" t="str">
        <f>IFERROR(IF(O144="",P144*$F144/1000,IF(P144="",O144,O144+P144*$F144/1000)),"")</f>
        <v/>
      </c>
      <c r="R144" s="43" t="str">
        <f>IFERROR(Q144/Q146,"")</f>
        <v/>
      </c>
    </row>
    <row r="145" spans="2:22" outlineLevel="1" x14ac:dyDescent="0.35">
      <c r="B145" s="77" t="str">
        <f t="shared" si="45"/>
        <v>Energex</v>
      </c>
      <c r="C145" s="77" t="str">
        <f t="shared" si="45"/>
        <v>Residential</v>
      </c>
      <c r="D145" s="77" t="str">
        <f t="shared" si="45"/>
        <v>without CL</v>
      </c>
      <c r="E145" s="77" t="s">
        <v>23</v>
      </c>
      <c r="F145" s="41">
        <f t="array" ref="F145">IFERROR(INDEX(Usage!$B$5:$P$18,MATCH($B145,Usage!$B$5:$B$18,0),MATCH($C145&amp;$D145&amp;$E145,Usage!$B$5:$S$5&amp;Usage!$B$6:$S$6&amp;Usage!$B$7:$S$7,0)),0)</f>
        <v>4600</v>
      </c>
      <c r="G145" s="3" t="s">
        <v>192</v>
      </c>
      <c r="H145" s="89" t="str">
        <f t="array" ref="H145">IFERROR(INDEX('Detail inputs'!$B$3:$K$168,MATCH($B145&amp;$C145&amp;$E145&amp;$G145&amp;H$5,'Detail inputs'!$B$3:$B$168&amp;'Detail inputs'!$D$3:$D$168&amp;'Detail inputs'!$F$3:$F$168&amp;'Detail inputs'!$G$3:$G$168&amp;'Detail inputs'!$H$3:$H$168,0),MATCH(H$4,'Detail inputs'!$B$3:$K$3,0)),"")</f>
        <v/>
      </c>
      <c r="I145" s="89" t="str">
        <f t="array" ref="I145">IFERROR(INDEX('Detail inputs'!$B$3:$K$168,MATCH($B145&amp;$C145&amp;$E145&amp;$G145&amp;I$5,'Detail inputs'!$B$3:$B$168&amp;'Detail inputs'!$D$3:$D$168&amp;'Detail inputs'!$F$3:$F$168&amp;'Detail inputs'!$G$3:$G$168&amp;'Detail inputs'!$H$3:$H$168,0),MATCH(I$4,'Detail inputs'!$B$3:$K$3,0)),"")</f>
        <v/>
      </c>
      <c r="J145" s="89" t="str">
        <f>IFERROR(IF(H145="",I145*$F145/1000,IF(I145="",H145,H145+I145*$F145/1000)),"")</f>
        <v/>
      </c>
      <c r="K145" s="43" t="str">
        <f>IFERROR(J145/J146,"")</f>
        <v/>
      </c>
      <c r="L145" s="43"/>
      <c r="M145" s="48" t="str">
        <f t="shared" si="46"/>
        <v/>
      </c>
      <c r="N145" s="43"/>
      <c r="O145" s="89" t="str">
        <f t="array" ref="O145">IFERROR(INDEX('Detail inputs'!$B$3:$K$168,MATCH($B145&amp;$C145&amp;$E145&amp;$G145&amp;O$5,'Detail inputs'!$B$3:$B$168&amp;'Detail inputs'!$D$3:$D$168&amp;'Detail inputs'!$F$3:$F$168&amp;'Detail inputs'!$G$3:$G$168&amp;'Detail inputs'!$H$3:$H$168,0),MATCH(O$4,'Detail inputs'!$B$3:$K$3,0)),"")</f>
        <v/>
      </c>
      <c r="P145" s="89" t="str">
        <f t="array" ref="P145">IFERROR(INDEX('Detail inputs'!$B$3:$K$168,MATCH($B145&amp;$C145&amp;$E145&amp;$G145&amp;P$5,'Detail inputs'!$B$3:$B$168&amp;'Detail inputs'!$D$3:$D$168&amp;'Detail inputs'!$F$3:$F$168&amp;'Detail inputs'!$G$3:$G$168&amp;'Detail inputs'!$H$3:$H$168,0),MATCH(P$4,'Detail inputs'!$B$3:$K$3,0)),"")</f>
        <v/>
      </c>
      <c r="Q145" s="89" t="str">
        <f>IFERROR(IF(O145="",P145*$F145/1000,IF(P145="",O145,O145+P145*$F145/1000)),"")</f>
        <v/>
      </c>
      <c r="R145" s="43" t="str">
        <f>IFERROR(Q145/Q146,"")</f>
        <v/>
      </c>
    </row>
    <row r="146" spans="2:22" x14ac:dyDescent="0.35">
      <c r="B146" s="77" t="str">
        <f t="shared" si="45"/>
        <v>Energex</v>
      </c>
      <c r="C146" s="77" t="str">
        <f t="shared" si="45"/>
        <v>Residential</v>
      </c>
      <c r="D146" s="77" t="str">
        <f t="shared" si="45"/>
        <v>without CL</v>
      </c>
      <c r="E146" s="77" t="s">
        <v>23</v>
      </c>
      <c r="F146" s="41">
        <f t="array" ref="F146">IFERROR(INDEX(Usage!$B$5:$P$18,MATCH($B146,Usage!$B$5:$B$18,0),MATCH($C146&amp;$D146&amp;$E146,Usage!$B$5:$S$5&amp;Usage!$B$6:$S$6&amp;Usage!$B$7:$S$7,0)),0)</f>
        <v>4600</v>
      </c>
      <c r="G146" s="3" t="s">
        <v>64</v>
      </c>
      <c r="H146" s="95">
        <f t="array" ref="H146">INDEX('Key inputs'!$B$16:$N$40,MATCH($B146&amp;$C146&amp;$E146,'Key inputs'!$B$16:$B$40&amp;'Key inputs'!$C$16:$C$40&amp;'Key inputs'!$D$16:$D$40,0),MATCH($G146&amp;H$4&amp;H$5,'Key inputs'!$B$17:$N$17&amp;'Key inputs'!$B$18:$N$18&amp;'Key inputs'!$B$19:$N$19,0))</f>
        <v>186.51500000000001</v>
      </c>
      <c r="I146" s="95">
        <f t="array" ref="I146">INDEX('Key inputs'!$B$16:$N$40,MATCH($B146&amp;$C146&amp;$E146,'Key inputs'!$B$16:$B$40&amp;'Key inputs'!$C$16:$C$40&amp;'Key inputs'!$D$16:$D$40,0),MATCH($G146&amp;I$4&amp;I$5,'Key inputs'!$B$17:$N$17&amp;'Key inputs'!$B$18:$N$18&amp;'Key inputs'!$B$19:$N$19,0))</f>
        <v>80.319999999999993</v>
      </c>
      <c r="J146" s="89">
        <f>H146+I146*$F146/1000</f>
        <v>555.98699999999997</v>
      </c>
      <c r="K146" s="43">
        <f>IFERROR(J146/J148,"")</f>
        <v>0.93455515269198086</v>
      </c>
      <c r="L146" s="43"/>
      <c r="M146" s="48">
        <f t="shared" si="46"/>
        <v>3.8042256383692852E-2</v>
      </c>
      <c r="N146" s="43"/>
      <c r="O146" s="95">
        <f t="array" ref="O146">INDEX('Key inputs'!$B$16:$N$40,MATCH($B146&amp;$C146&amp;$E146,'Key inputs'!$B$16:$B$40&amp;'Key inputs'!$C$16:$C$40&amp;'Key inputs'!$D$16:$D$40,0),MATCH($G146&amp;O$4&amp;O$5,'Key inputs'!$B$17:$N$17&amp;'Key inputs'!$B$18:$N$18&amp;'Key inputs'!$B$19:$N$19,0))</f>
        <v>187.61</v>
      </c>
      <c r="P146" s="95">
        <f t="array" ref="P146">INDEX('Key inputs'!$B$16:$N$40,MATCH($B146&amp;$C146&amp;$E146,'Key inputs'!$B$16:$B$40&amp;'Key inputs'!$C$16:$C$40&amp;'Key inputs'!$D$16:$D$40,0),MATCH($G146&amp;P$4&amp;P$5,'Key inputs'!$B$17:$N$17&amp;'Key inputs'!$B$18:$N$18&amp;'Key inputs'!$B$19:$N$19,0))</f>
        <v>84.68</v>
      </c>
      <c r="Q146" s="89">
        <f>O146+P146*$F146/1000</f>
        <v>577.13800000000015</v>
      </c>
      <c r="R146" s="43">
        <f>IFERROR(Q146/Q148,"")</f>
        <v>0.93808585870571204</v>
      </c>
      <c r="S146" s="129"/>
      <c r="T146" s="129"/>
      <c r="U146" s="129"/>
      <c r="V146" s="129"/>
    </row>
    <row r="147" spans="2:22" x14ac:dyDescent="0.35">
      <c r="B147" s="77" t="str">
        <f t="shared" si="45"/>
        <v>Energex</v>
      </c>
      <c r="C147" s="77" t="str">
        <f t="shared" si="45"/>
        <v>Residential</v>
      </c>
      <c r="D147" s="77" t="str">
        <f t="shared" si="45"/>
        <v>without CL</v>
      </c>
      <c r="E147" s="77" t="s">
        <v>23</v>
      </c>
      <c r="F147" s="41">
        <f t="array" ref="F147">IFERROR(INDEX(Usage!$B$5:$P$18,MATCH($B147,Usage!$B$5:$B$18,0),MATCH($C147&amp;$D147&amp;$E147,Usage!$B$5:$S$5&amp;Usage!$B$6:$S$6&amp;Usage!$B$7:$S$7,0)),0)</f>
        <v>4600</v>
      </c>
      <c r="G147" s="3" t="s">
        <v>68</v>
      </c>
      <c r="H147" s="95">
        <f t="array" ref="H147">INDEX('Key inputs'!$B$16:$N$40,MATCH($B147&amp;$C147&amp;$E147,'Key inputs'!$B$16:$B$40&amp;'Key inputs'!$C$16:$C$40&amp;'Key inputs'!$D$16:$D$40,0),MATCH($G147&amp;H$4&amp;H$5,'Key inputs'!$B$17:$N$17&amp;'Key inputs'!$B$18:$N$18&amp;'Key inputs'!$B$19:$N$19,0))</f>
        <v>38.934550000000002</v>
      </c>
      <c r="I147" s="89">
        <f>IFERROR(INDEX('Detail inputs'!$B$3:$K$168,MATCH($B147&amp;$C147&amp;$E147&amp;$G147&amp;I$5,'Detail inputs'!$B$3:$B$168&amp;'Detail inputs'!$D$3:$D$168&amp;'Detail inputs'!$F$3:$F$168&amp;'Detail inputs'!$G$3:$G$168&amp;'Detail inputs'!$H$3:$H$168,0),MATCH(I$4,'Detail inputs'!$B$3:$K$3,0)),0)</f>
        <v>0</v>
      </c>
      <c r="J147" s="89">
        <f>H147+I147*$F147/1000</f>
        <v>38.934550000000002</v>
      </c>
      <c r="K147" s="43">
        <f>IFERROR(J147/J148,"")</f>
        <v>6.5444847308019014E-2</v>
      </c>
      <c r="L147" s="43"/>
      <c r="M147" s="48">
        <f t="shared" si="46"/>
        <v>-2.1655573263335559E-2</v>
      </c>
      <c r="N147" s="43"/>
      <c r="O147" s="95">
        <f t="array" ref="O147">INDEX('Key inputs'!$B$16:$N$40,MATCH($B147&amp;$C147&amp;$E147,'Key inputs'!$B$16:$B$40&amp;'Key inputs'!$C$16:$C$40&amp;'Key inputs'!$D$16:$D$40,0),MATCH($G147&amp;O$4&amp;O$5,'Key inputs'!$B$17:$N$17&amp;'Key inputs'!$B$18:$N$18&amp;'Key inputs'!$B$19:$N$19,0))</f>
        <v>38.0914</v>
      </c>
      <c r="P147" s="89">
        <f>IFERROR(INDEX('Detail inputs'!$B$3:$K$168,MATCH($B147&amp;$C147&amp;$E147&amp;$G147&amp;P$5,'Detail inputs'!$B$3:$B$168&amp;'Detail inputs'!$D$3:$D$168&amp;'Detail inputs'!$F$3:$F$168&amp;'Detail inputs'!$G$3:$G$168&amp;'Detail inputs'!$H$3:$H$168,0),MATCH(P$4,'Detail inputs'!$B$3:$K$3,0)),0)</f>
        <v>0</v>
      </c>
      <c r="Q147" s="89">
        <f>O147+P147*$F147/1000</f>
        <v>38.0914</v>
      </c>
      <c r="R147" s="43">
        <f>IFERROR(Q147/Q148,"")</f>
        <v>6.1914141294287933E-2</v>
      </c>
    </row>
    <row r="148" spans="2:22" s="77" customFormat="1" x14ac:dyDescent="0.35">
      <c r="B148" s="77" t="str">
        <f t="shared" si="45"/>
        <v>Energex</v>
      </c>
      <c r="C148" s="77" t="str">
        <f t="shared" si="45"/>
        <v>Residential</v>
      </c>
      <c r="D148" s="77" t="str">
        <f t="shared" si="45"/>
        <v>without CL</v>
      </c>
      <c r="E148" s="77" t="s">
        <v>23</v>
      </c>
      <c r="F148" s="41">
        <f t="array" ref="F148">IFERROR(INDEX(Usage!$B$5:$P$18,MATCH($B148,Usage!$B$5:$B$18,0),MATCH($C148&amp;$D148&amp;$E148,Usage!$B$5:$S$5&amp;Usage!$B$6:$S$6&amp;Usage!$B$7:$S$7,0)),0)</f>
        <v>4600</v>
      </c>
      <c r="G148" s="77" t="s">
        <v>62</v>
      </c>
      <c r="H148" s="95"/>
      <c r="I148" s="95"/>
      <c r="J148" s="95">
        <f>SUM(J146:J147)</f>
        <v>594.92155000000002</v>
      </c>
      <c r="K148" s="87"/>
      <c r="L148" s="88"/>
      <c r="M148" s="48">
        <f t="shared" si="46"/>
        <v>3.4135341037822897E-2</v>
      </c>
      <c r="N148" s="88"/>
      <c r="O148" s="95"/>
      <c r="P148" s="95"/>
      <c r="Q148" s="95">
        <f>SUM(Q146:Q147)</f>
        <v>615.22940000000017</v>
      </c>
      <c r="R148" s="87"/>
    </row>
    <row r="149" spans="2:22" outlineLevel="1" x14ac:dyDescent="0.35">
      <c r="B149" s="77" t="str">
        <f t="shared" si="45"/>
        <v>Energex</v>
      </c>
      <c r="C149" s="77" t="str">
        <f t="shared" si="45"/>
        <v>Residential</v>
      </c>
      <c r="D149" s="77" t="str">
        <f t="shared" si="45"/>
        <v>without CL</v>
      </c>
      <c r="E149" s="77"/>
      <c r="F149" s="78"/>
      <c r="G149" s="77" t="s">
        <v>42</v>
      </c>
      <c r="H149" s="95"/>
      <c r="I149" s="95"/>
      <c r="J149" s="95">
        <f>J148*GST</f>
        <v>59.492155000000004</v>
      </c>
      <c r="K149" s="87"/>
      <c r="L149" s="88"/>
      <c r="M149" s="48">
        <f t="shared" si="46"/>
        <v>3.4135341037822897E-2</v>
      </c>
      <c r="N149" s="88"/>
      <c r="O149" s="95"/>
      <c r="P149" s="95"/>
      <c r="Q149" s="95">
        <f>Q148*GST</f>
        <v>61.52294000000002</v>
      </c>
      <c r="R149" s="87"/>
    </row>
    <row r="150" spans="2:22" x14ac:dyDescent="0.35">
      <c r="B150" s="77" t="str">
        <f t="shared" si="45"/>
        <v>Energex</v>
      </c>
      <c r="C150" s="77" t="str">
        <f t="shared" si="45"/>
        <v>Residential</v>
      </c>
      <c r="D150" s="77" t="str">
        <f t="shared" si="45"/>
        <v>without CL</v>
      </c>
      <c r="E150" s="77"/>
      <c r="F150" s="78"/>
      <c r="G150" s="5" t="s">
        <v>90</v>
      </c>
      <c r="H150" s="94"/>
      <c r="I150" s="94"/>
      <c r="J150" s="94">
        <f>SUM(J148:J149)</f>
        <v>654.41370500000005</v>
      </c>
      <c r="K150" s="75"/>
      <c r="L150" s="27"/>
      <c r="M150" s="76">
        <f t="shared" si="46"/>
        <v>3.4135341037822897E-2</v>
      </c>
      <c r="N150" s="27"/>
      <c r="O150" s="94"/>
      <c r="P150" s="94"/>
      <c r="Q150" s="94">
        <f>SUM(Q148:Q149)</f>
        <v>676.75234000000023</v>
      </c>
      <c r="R150" s="75"/>
    </row>
    <row r="151" spans="2:22" x14ac:dyDescent="0.35">
      <c r="F151" s="41"/>
      <c r="K151" s="43"/>
      <c r="M151" s="48"/>
      <c r="R151" s="43"/>
    </row>
    <row r="152" spans="2:22" x14ac:dyDescent="0.35">
      <c r="B152" s="5" t="s">
        <v>0</v>
      </c>
      <c r="C152" s="5" t="s">
        <v>6</v>
      </c>
      <c r="D152" s="5" t="s">
        <v>151</v>
      </c>
      <c r="E152" s="77"/>
      <c r="F152" s="78"/>
      <c r="K152" s="43"/>
      <c r="M152" s="48"/>
      <c r="R152" s="43"/>
    </row>
    <row r="153" spans="2:22" outlineLevel="1" x14ac:dyDescent="0.35">
      <c r="B153" s="3" t="str">
        <f t="shared" ref="B153:D156" si="47">B152</f>
        <v>Energex</v>
      </c>
      <c r="C153" s="3" t="str">
        <f t="shared" si="47"/>
        <v>Residential</v>
      </c>
      <c r="D153" s="3" t="str">
        <f t="shared" si="47"/>
        <v>with CL</v>
      </c>
      <c r="E153" s="3" t="s">
        <v>23</v>
      </c>
      <c r="F153" s="41">
        <f t="array" ref="F153">IFERROR(INDEX(Usage!$B$5:$P$18,MATCH($B153,Usage!$B$5:$B$18,0),MATCH($C153&amp;$D153&amp;$E153,Usage!$B$5:$S$5&amp;Usage!$B$6:$S$6&amp;Usage!$B$7:$S$7,0)),0)</f>
        <v>4400</v>
      </c>
      <c r="G153" s="23" t="s">
        <v>57</v>
      </c>
      <c r="H153" s="89" t="str">
        <f t="array" ref="H153">IFERROR(INDEX('Detail inputs'!$B$3:$K$168,MATCH($B153&amp;$C153&amp;$E153&amp;$G153&amp;H$5,'Detail inputs'!$B$3:$B$168&amp;'Detail inputs'!$D$3:$D$168&amp;'Detail inputs'!$F$3:$F$168&amp;'Detail inputs'!$G$3:$G$168&amp;'Detail inputs'!$H$3:$H$168,0),MATCH(H$4,'Detail inputs'!$B$3:$K$3,0)),"")</f>
        <v/>
      </c>
      <c r="I153" s="89" t="str">
        <f t="array" ref="I153">IFERROR(INDEX('Detail inputs'!$B$3:$K$168,MATCH($B153&amp;$C153&amp;$E153&amp;$G153&amp;I$5,'Detail inputs'!$B$3:$B$168&amp;'Detail inputs'!$D$3:$D$168&amp;'Detail inputs'!$F$3:$F$168&amp;'Detail inputs'!$G$3:$G$168&amp;'Detail inputs'!$H$3:$H$168,0),MATCH(I$4,'Detail inputs'!$B$3:$K$3,0)),"")</f>
        <v/>
      </c>
      <c r="J153" s="89" t="str">
        <f>IFERROR(IF(H153="",I153*$F153/1000,IF(I153="",H153,H153+I153*$F153/1000)),"")</f>
        <v/>
      </c>
      <c r="K153" s="43" t="str">
        <f>IFERROR(J153/J156,"")</f>
        <v/>
      </c>
      <c r="L153" s="43"/>
      <c r="M153" s="48" t="str">
        <f t="shared" ref="M153:M173" si="48">IF(OR(J153=0,J153="",Q153=""),"",Q153/J153-1)</f>
        <v/>
      </c>
      <c r="N153" s="43"/>
      <c r="O153" s="89" t="str">
        <f t="array" ref="O153">IFERROR(INDEX('Detail inputs'!$B$3:$K$168,MATCH($B153&amp;$C153&amp;$E153&amp;$G153&amp;O$5,'Detail inputs'!$B$3:$B$168&amp;'Detail inputs'!$D$3:$D$168&amp;'Detail inputs'!$F$3:$F$168&amp;'Detail inputs'!$G$3:$G$168&amp;'Detail inputs'!$H$3:$H$168,0),MATCH(O$4,'Detail inputs'!$B$3:$K$3,0)),"")</f>
        <v/>
      </c>
      <c r="P153" s="89" t="str">
        <f t="array" ref="P153">IFERROR(INDEX('Detail inputs'!$B$3:$K$168,MATCH($B153&amp;$C153&amp;$E153&amp;$G153&amp;P$5,'Detail inputs'!$B$3:$B$168&amp;'Detail inputs'!$D$3:$D$168&amp;'Detail inputs'!$F$3:$F$168&amp;'Detail inputs'!$G$3:$G$168&amp;'Detail inputs'!$H$3:$H$168,0),MATCH(P$4,'Detail inputs'!$B$3:$K$3,0)),"")</f>
        <v/>
      </c>
      <c r="Q153" s="89" t="str">
        <f>IFERROR(IF(O153="",P153*$F153/1000,IF(P153="",O153,O153+P153*$F153/1000)),"")</f>
        <v/>
      </c>
      <c r="R153" s="43" t="str">
        <f>IFERROR(Q153/Q156,"")</f>
        <v/>
      </c>
    </row>
    <row r="154" spans="2:22" outlineLevel="1" x14ac:dyDescent="0.35">
      <c r="B154" s="3" t="str">
        <f t="shared" si="47"/>
        <v>Energex</v>
      </c>
      <c r="C154" s="3" t="str">
        <f t="shared" si="47"/>
        <v>Residential</v>
      </c>
      <c r="D154" s="3" t="str">
        <f t="shared" si="47"/>
        <v>with CL</v>
      </c>
      <c r="E154" s="3" t="s">
        <v>23</v>
      </c>
      <c r="F154" s="41">
        <f t="array" ref="F154">IFERROR(INDEX(Usage!$B$5:$P$18,MATCH($B154,Usage!$B$5:$B$18,0),MATCH($C154&amp;$D154&amp;$E154,Usage!$B$5:$S$5&amp;Usage!$B$6:$S$6&amp;Usage!$B$7:$S$7,0)),0)</f>
        <v>4400</v>
      </c>
      <c r="G154" s="23" t="s">
        <v>58</v>
      </c>
      <c r="H154" s="89" t="str">
        <f t="array" ref="H154">IFERROR(INDEX('Detail inputs'!$B$3:$K$168,MATCH($B154&amp;$C154&amp;$E154&amp;$G154&amp;H$5,'Detail inputs'!$B$3:$B$168&amp;'Detail inputs'!$D$3:$D$168&amp;'Detail inputs'!$F$3:$F$168&amp;'Detail inputs'!$G$3:$G$168&amp;'Detail inputs'!$H$3:$H$168,0),MATCH(H$4,'Detail inputs'!$B$3:$K$3,0)),"")</f>
        <v/>
      </c>
      <c r="I154" s="89" t="str">
        <f t="array" ref="I154">IFERROR(INDEX('Detail inputs'!$B$3:$K$168,MATCH($B154&amp;$C154&amp;$E154&amp;$G154&amp;I$5,'Detail inputs'!$B$3:$B$168&amp;'Detail inputs'!$D$3:$D$168&amp;'Detail inputs'!$F$3:$F$168&amp;'Detail inputs'!$G$3:$G$168&amp;'Detail inputs'!$H$3:$H$168,0),MATCH(I$4,'Detail inputs'!$B$3:$K$3,0)),"")</f>
        <v/>
      </c>
      <c r="J154" s="89" t="str">
        <f>IFERROR(IF(H154="",I154*$F154/1000,IF(I154="",H154,H154+I154*$F154/1000)),"")</f>
        <v/>
      </c>
      <c r="K154" s="43" t="str">
        <f>IFERROR(J154/J156,"")</f>
        <v/>
      </c>
      <c r="L154" s="43"/>
      <c r="M154" s="48" t="str">
        <f t="shared" si="48"/>
        <v/>
      </c>
      <c r="N154" s="43"/>
      <c r="O154" s="89" t="str">
        <f t="array" ref="O154">IFERROR(INDEX('Detail inputs'!$B$3:$K$168,MATCH($B154&amp;$C154&amp;$E154&amp;$G154&amp;O$5,'Detail inputs'!$B$3:$B$168&amp;'Detail inputs'!$D$3:$D$168&amp;'Detail inputs'!$F$3:$F$168&amp;'Detail inputs'!$G$3:$G$168&amp;'Detail inputs'!$H$3:$H$168,0),MATCH(O$4,'Detail inputs'!$B$3:$K$3,0)),"")</f>
        <v/>
      </c>
      <c r="P154" s="89" t="str">
        <f t="array" ref="P154">IFERROR(INDEX('Detail inputs'!$B$3:$K$168,MATCH($B154&amp;$C154&amp;$E154&amp;$G154&amp;P$5,'Detail inputs'!$B$3:$B$168&amp;'Detail inputs'!$D$3:$D$168&amp;'Detail inputs'!$F$3:$F$168&amp;'Detail inputs'!$G$3:$G$168&amp;'Detail inputs'!$H$3:$H$168,0),MATCH(P$4,'Detail inputs'!$B$3:$K$3,0)),"")</f>
        <v/>
      </c>
      <c r="Q154" s="89" t="str">
        <f>IFERROR(IF(O154="",P154*$F154/1000,IF(P154="",O154,O154+P154*$F154/1000)),"")</f>
        <v/>
      </c>
      <c r="R154" s="43" t="str">
        <f>IFERROR(Q154/Q156,"")</f>
        <v/>
      </c>
    </row>
    <row r="155" spans="2:22" outlineLevel="1" x14ac:dyDescent="0.35">
      <c r="B155" s="3" t="str">
        <f t="shared" si="47"/>
        <v>Energex</v>
      </c>
      <c r="C155" s="3" t="str">
        <f t="shared" si="47"/>
        <v>Residential</v>
      </c>
      <c r="D155" s="3" t="str">
        <f t="shared" si="47"/>
        <v>with CL</v>
      </c>
      <c r="E155" s="3" t="s">
        <v>23</v>
      </c>
      <c r="F155" s="41">
        <f t="array" ref="F155">IFERROR(INDEX(Usage!$B$5:$P$18,MATCH($B155,Usage!$B$5:$B$18,0),MATCH($C155&amp;$D155&amp;$E155,Usage!$B$5:$S$5&amp;Usage!$B$6:$S$6&amp;Usage!$B$7:$S$7,0)),0)</f>
        <v>4400</v>
      </c>
      <c r="G155" s="23" t="s">
        <v>192</v>
      </c>
      <c r="H155" s="89" t="str">
        <f t="array" ref="H155">IFERROR(INDEX('Detail inputs'!$B$3:$K$168,MATCH($B155&amp;$C155&amp;$E155&amp;$G155&amp;H$5,'Detail inputs'!$B$3:$B$168&amp;'Detail inputs'!$D$3:$D$168&amp;'Detail inputs'!$F$3:$F$168&amp;'Detail inputs'!$G$3:$G$168&amp;'Detail inputs'!$H$3:$H$168,0),MATCH(H$4,'Detail inputs'!$B$3:$K$3,0)),"")</f>
        <v/>
      </c>
      <c r="I155" s="89" t="str">
        <f t="array" ref="I155">IFERROR(INDEX('Detail inputs'!$B$3:$K$168,MATCH($B155&amp;$C155&amp;$E155&amp;$G155&amp;I$5,'Detail inputs'!$B$3:$B$168&amp;'Detail inputs'!$D$3:$D$168&amp;'Detail inputs'!$F$3:$F$168&amp;'Detail inputs'!$G$3:$G$168&amp;'Detail inputs'!$H$3:$H$168,0),MATCH(I$4,'Detail inputs'!$B$3:$K$3,0)),"")</f>
        <v/>
      </c>
      <c r="J155" s="89" t="str">
        <f>IFERROR(IF(H155="",I155*$F155/1000,IF(I155="",H155,H155+I155*$F155/1000)),"")</f>
        <v/>
      </c>
      <c r="K155" s="43" t="str">
        <f>IFERROR(J155/J156,"")</f>
        <v/>
      </c>
      <c r="L155" s="43"/>
      <c r="M155" s="48" t="str">
        <f t="shared" si="48"/>
        <v/>
      </c>
      <c r="N155" s="43"/>
      <c r="O155" s="89" t="str">
        <f t="array" ref="O155">IFERROR(INDEX('Detail inputs'!$B$3:$K$168,MATCH($B155&amp;$C155&amp;$E155&amp;$G155&amp;O$5,'Detail inputs'!$B$3:$B$168&amp;'Detail inputs'!$D$3:$D$168&amp;'Detail inputs'!$F$3:$F$168&amp;'Detail inputs'!$G$3:$G$168&amp;'Detail inputs'!$H$3:$H$168,0),MATCH(O$4,'Detail inputs'!$B$3:$K$3,0)),"")</f>
        <v/>
      </c>
      <c r="P155" s="89" t="str">
        <f t="array" ref="P155">IFERROR(INDEX('Detail inputs'!$B$3:$K$168,MATCH($B155&amp;$C155&amp;$E155&amp;$G155&amp;P$5,'Detail inputs'!$B$3:$B$168&amp;'Detail inputs'!$D$3:$D$168&amp;'Detail inputs'!$F$3:$F$168&amp;'Detail inputs'!$G$3:$G$168&amp;'Detail inputs'!$H$3:$H$168,0),MATCH(P$4,'Detail inputs'!$B$3:$K$3,0)),"")</f>
        <v/>
      </c>
      <c r="Q155" s="89" t="str">
        <f>IFERROR(IF(O155="",P155*$F155/1000,IF(P155="",O155,O155+P155*$F155/1000)),"")</f>
        <v/>
      </c>
      <c r="R155" s="43" t="str">
        <f>IFERROR(Q155/Q156,"")</f>
        <v/>
      </c>
    </row>
    <row r="156" spans="2:22" x14ac:dyDescent="0.35">
      <c r="B156" s="3" t="str">
        <f t="shared" si="47"/>
        <v>Energex</v>
      </c>
      <c r="C156" s="3" t="str">
        <f t="shared" si="47"/>
        <v>Residential</v>
      </c>
      <c r="D156" s="3" t="str">
        <f t="shared" si="47"/>
        <v>with CL</v>
      </c>
      <c r="E156" s="3" t="s">
        <v>23</v>
      </c>
      <c r="F156" s="41">
        <f t="array" ref="F156">IFERROR(INDEX(Usage!$B$5:$P$18,MATCH($B156,Usage!$B$5:$B$18,0),MATCH($C156&amp;$D156&amp;$E156,Usage!$B$5:$S$5&amp;Usage!$B$6:$S$6&amp;Usage!$B$7:$S$7,0)),0)</f>
        <v>4400</v>
      </c>
      <c r="G156" s="23" t="s">
        <v>64</v>
      </c>
      <c r="H156" s="95">
        <f t="array" ref="H156">INDEX('Key inputs'!$B$16:$N$40,MATCH($B156&amp;$C156&amp;$E156,'Key inputs'!$B$16:$B$40&amp;'Key inputs'!$C$16:$C$40&amp;'Key inputs'!$D$16:$D$40,0),MATCH($G156&amp;H$4&amp;H$5,'Key inputs'!$B$17:$N$17&amp;'Key inputs'!$B$18:$N$18&amp;'Key inputs'!$B$19:$N$19,0))</f>
        <v>186.51500000000001</v>
      </c>
      <c r="I156" s="95">
        <f t="array" ref="I156">INDEX('Key inputs'!$B$16:$N$40,MATCH($B156&amp;$C156&amp;$E156,'Key inputs'!$B$16:$B$40&amp;'Key inputs'!$C$16:$C$40&amp;'Key inputs'!$D$16:$D$40,0),MATCH($G156&amp;I$4&amp;I$5,'Key inputs'!$B$17:$N$17&amp;'Key inputs'!$B$18:$N$18&amp;'Key inputs'!$B$19:$N$19,0))</f>
        <v>80.319999999999993</v>
      </c>
      <c r="J156" s="89">
        <f>H156+I156*$F156/1000</f>
        <v>539.923</v>
      </c>
      <c r="K156" s="43">
        <f>IFERROR(J156/J158,"")</f>
        <v>0.93273897870037292</v>
      </c>
      <c r="L156" s="43"/>
      <c r="M156" s="48">
        <f t="shared" si="48"/>
        <v>3.7559059347351376E-2</v>
      </c>
      <c r="N156" s="43"/>
      <c r="O156" s="95">
        <f t="array" ref="O156">INDEX('Key inputs'!$B$16:$N$40,MATCH($B156&amp;$C156&amp;$E156,'Key inputs'!$B$16:$B$40&amp;'Key inputs'!$C$16:$C$40&amp;'Key inputs'!$D$16:$D$40,0),MATCH($G156&amp;O$4&amp;O$5,'Key inputs'!$B$17:$N$17&amp;'Key inputs'!$B$18:$N$18&amp;'Key inputs'!$B$19:$N$19,0))</f>
        <v>187.61</v>
      </c>
      <c r="P156" s="95">
        <f t="array" ref="P156">INDEX('Key inputs'!$B$16:$N$40,MATCH($B156&amp;$C156&amp;$E156,'Key inputs'!$B$16:$B$40&amp;'Key inputs'!$C$16:$C$40&amp;'Key inputs'!$D$16:$D$40,0),MATCH($G156&amp;P$4&amp;P$5,'Key inputs'!$B$17:$N$17&amp;'Key inputs'!$B$18:$N$18&amp;'Key inputs'!$B$19:$N$19,0))</f>
        <v>84.68</v>
      </c>
      <c r="Q156" s="89">
        <f>O156+P156*$F156/1000</f>
        <v>560.202</v>
      </c>
      <c r="R156" s="43">
        <f>IFERROR(Q156/Q158,"")</f>
        <v>0.93633324385660943</v>
      </c>
      <c r="S156" s="129"/>
      <c r="T156" s="129"/>
      <c r="U156" s="129"/>
      <c r="V156" s="129"/>
    </row>
    <row r="157" spans="2:22" x14ac:dyDescent="0.35">
      <c r="B157" s="3" t="str">
        <f t="shared" ref="B157:B171" si="49">B156</f>
        <v>Energex</v>
      </c>
      <c r="C157" s="3" t="str">
        <f t="shared" ref="C157:C171" si="50">C156</f>
        <v>Residential</v>
      </c>
      <c r="D157" s="3" t="str">
        <f t="shared" ref="D157:D171" si="51">D156</f>
        <v>with CL</v>
      </c>
      <c r="E157" s="3" t="s">
        <v>23</v>
      </c>
      <c r="F157" s="41">
        <f t="array" ref="F157">IFERROR(INDEX(Usage!$B$5:$P$18,MATCH($B157,Usage!$B$5:$B$18,0),MATCH($C157&amp;$D157&amp;$E157,Usage!$B$5:$S$5&amp;Usage!$B$6:$S$6&amp;Usage!$B$7:$S$7,0)),0)</f>
        <v>4400</v>
      </c>
      <c r="G157" s="23" t="s">
        <v>68</v>
      </c>
      <c r="H157" s="95">
        <f t="array" ref="H157">INDEX('Key inputs'!$B$16:$N$40,MATCH($B157&amp;$C157&amp;$E157,'Key inputs'!$B$16:$B$40&amp;'Key inputs'!$C$16:$C$40&amp;'Key inputs'!$D$16:$D$40,0),MATCH($G157&amp;H$4&amp;H$5,'Key inputs'!$B$17:$N$17&amp;'Key inputs'!$B$18:$N$18&amp;'Key inputs'!$B$19:$N$19,0))</f>
        <v>38.934550000000002</v>
      </c>
      <c r="I157" s="89">
        <f>IFERROR(INDEX('Detail inputs'!$B$3:$K$168,MATCH($B157&amp;$C157&amp;$E157&amp;$G157&amp;I$5,'Detail inputs'!$B$3:$B$168&amp;'Detail inputs'!$D$3:$D$168&amp;'Detail inputs'!$F$3:$F$168&amp;'Detail inputs'!$G$3:$G$168&amp;'Detail inputs'!$H$3:$H$168,0),MATCH(I$4,'Detail inputs'!$B$3:$K$3,0)),0)</f>
        <v>0</v>
      </c>
      <c r="J157" s="89">
        <f>H157+I157*$F157/1000</f>
        <v>38.934550000000002</v>
      </c>
      <c r="K157" s="43">
        <f>IFERROR(J157/J158,"")</f>
        <v>6.7261021299627174E-2</v>
      </c>
      <c r="L157" s="43"/>
      <c r="M157" s="48">
        <f t="shared" si="48"/>
        <v>-2.1655573263335559E-2</v>
      </c>
      <c r="N157" s="43"/>
      <c r="O157" s="95">
        <f t="array" ref="O157">INDEX('Key inputs'!$B$16:$N$40,MATCH($B157&amp;$C157&amp;$E157,'Key inputs'!$B$16:$B$40&amp;'Key inputs'!$C$16:$C$40&amp;'Key inputs'!$D$16:$D$40,0),MATCH($G157&amp;O$4&amp;O$5,'Key inputs'!$B$17:$N$17&amp;'Key inputs'!$B$18:$N$18&amp;'Key inputs'!$B$19:$N$19,0))</f>
        <v>38.0914</v>
      </c>
      <c r="P157" s="89">
        <f>IFERROR(INDEX('Detail inputs'!$B$3:$K$168,MATCH($B157&amp;$C157&amp;$E157&amp;$G157&amp;P$5,'Detail inputs'!$B$3:$B$168&amp;'Detail inputs'!$D$3:$D$168&amp;'Detail inputs'!$F$3:$F$168&amp;'Detail inputs'!$G$3:$G$168&amp;'Detail inputs'!$H$3:$H$168,0),MATCH(P$4,'Detail inputs'!$B$3:$K$3,0)),0)</f>
        <v>0</v>
      </c>
      <c r="Q157" s="89">
        <f>O157+P157*$F157/1000</f>
        <v>38.0914</v>
      </c>
      <c r="R157" s="43">
        <f>IFERROR(Q157/Q158,"")</f>
        <v>6.3666756143390513E-2</v>
      </c>
    </row>
    <row r="158" spans="2:22" x14ac:dyDescent="0.35">
      <c r="B158" s="3" t="str">
        <f t="shared" si="49"/>
        <v>Energex</v>
      </c>
      <c r="C158" s="3" t="str">
        <f t="shared" si="50"/>
        <v>Residential</v>
      </c>
      <c r="D158" s="3" t="str">
        <f t="shared" si="51"/>
        <v>with CL</v>
      </c>
      <c r="E158" s="3" t="s">
        <v>23</v>
      </c>
      <c r="F158" s="41">
        <f t="array" ref="F158">IFERROR(INDEX(Usage!$B$5:$P$18,MATCH($B158,Usage!$B$5:$B$18,0),MATCH($C158&amp;$D158&amp;$E158,Usage!$B$5:$S$5&amp;Usage!$B$6:$S$6&amp;Usage!$B$7:$S$7,0)),0)</f>
        <v>4400</v>
      </c>
      <c r="G158" s="3" t="s">
        <v>62</v>
      </c>
      <c r="J158" s="95">
        <f>SUM(J156:J157)</f>
        <v>578.85754999999995</v>
      </c>
      <c r="K158" s="43"/>
      <c r="M158" s="48">
        <f t="shared" si="48"/>
        <v>3.3576222682074608E-2</v>
      </c>
      <c r="N158" s="88"/>
      <c r="O158" s="95"/>
      <c r="P158" s="95"/>
      <c r="Q158" s="95">
        <f>SUM(Q156:Q157)</f>
        <v>598.29340000000002</v>
      </c>
      <c r="R158" s="43"/>
    </row>
    <row r="159" spans="2:22" outlineLevel="1" x14ac:dyDescent="0.35">
      <c r="B159" s="3" t="str">
        <f t="shared" si="49"/>
        <v>Energex</v>
      </c>
      <c r="C159" s="3" t="str">
        <f t="shared" si="50"/>
        <v>Residential</v>
      </c>
      <c r="D159" s="3" t="str">
        <f t="shared" si="51"/>
        <v>with CL</v>
      </c>
      <c r="E159" s="3" t="s">
        <v>16</v>
      </c>
      <c r="F159" s="41">
        <f t="array" ref="F159">IFERROR(INDEX(Usage!$B$5:$P$18,MATCH($B159,Usage!$B$5:$B$18,0),MATCH($C159&amp;$D159&amp;$E159,Usage!$B$5:$S$5&amp;Usage!$B$6:$S$6&amp;Usage!$B$7:$S$7,0)),0)</f>
        <v>551</v>
      </c>
      <c r="G159" s="23" t="s">
        <v>57</v>
      </c>
      <c r="H159" s="89" t="str">
        <f t="array" ref="H159">IFERROR(INDEX('Detail inputs'!$B$3:$K$168,MATCH($B159&amp;$C159&amp;$E159&amp;$G159&amp;H$5,'Detail inputs'!$B$3:$B$168&amp;'Detail inputs'!$D$3:$D$168&amp;'Detail inputs'!$F$3:$F$168&amp;'Detail inputs'!$G$3:$G$168&amp;'Detail inputs'!$H$3:$H$168,0),MATCH(H$4,'Detail inputs'!$B$3:$K$3,0)),"")</f>
        <v/>
      </c>
      <c r="I159" s="89" t="str">
        <f t="array" ref="I159">IFERROR(INDEX('Detail inputs'!$B$3:$K$168,MATCH($B159&amp;$C159&amp;$E159&amp;$G159&amp;I$5,'Detail inputs'!$B$3:$B$168&amp;'Detail inputs'!$D$3:$D$168&amp;'Detail inputs'!$F$3:$F$168&amp;'Detail inputs'!$G$3:$G$168&amp;'Detail inputs'!$H$3:$H$168,0),MATCH(I$4,'Detail inputs'!$B$3:$K$3,0)),"")</f>
        <v/>
      </c>
      <c r="J159" s="89" t="str">
        <f>IFERROR(IF(H159="",I159*$F159/1000,IF(I159="",H159*INDEX(Usage!$B$4:$M$18,MATCH($B159,Usage!$B$4:$B$18,0),MATCH(IF($E159="CL1","CL1 Proportion","CL2 Proportion"),Usage!$B$8:$M$8,0)),H159*INDEX(Usage!$B$4:$M$18,MATCH($B159,Usage!$B$4:$B$18,0),MATCH(IF($E159="CL1","CL1 Proportion","CL2 Proportion"),Usage!$B$8:$M$8,0))+I159*$F159/1000)),"")</f>
        <v/>
      </c>
      <c r="K159" s="43" t="str">
        <f>IFERROR(J159/J162,"")</f>
        <v/>
      </c>
      <c r="L159" s="43"/>
      <c r="M159" s="48" t="str">
        <f t="shared" si="48"/>
        <v/>
      </c>
      <c r="N159" s="43"/>
      <c r="O159" s="89" t="str">
        <f t="array" ref="O159">IFERROR(INDEX('Detail inputs'!$B$3:$K$168,MATCH($B159&amp;$C159&amp;$E159&amp;$G159&amp;O$5,'Detail inputs'!$B$3:$B$168&amp;'Detail inputs'!$D$3:$D$168&amp;'Detail inputs'!$F$3:$F$168&amp;'Detail inputs'!$G$3:$G$168&amp;'Detail inputs'!$H$3:$H$168,0),MATCH(O$4,'Detail inputs'!$B$3:$K$3,0)),"")</f>
        <v/>
      </c>
      <c r="P159" s="89" t="str">
        <f t="array" ref="P159">IFERROR(INDEX('Detail inputs'!$B$3:$K$168,MATCH($B159&amp;$C159&amp;$E159&amp;$G159&amp;P$5,'Detail inputs'!$B$3:$B$168&amp;'Detail inputs'!$D$3:$D$168&amp;'Detail inputs'!$F$3:$F$168&amp;'Detail inputs'!$G$3:$G$168&amp;'Detail inputs'!$H$3:$H$168,0),MATCH(P$4,'Detail inputs'!$B$3:$K$3,0)),"")</f>
        <v/>
      </c>
      <c r="Q159" s="89" t="str">
        <f>IFERROR(IF(O159="",P159*$F159/1000,IF(P159="",O159*INDEX(Usage!$B$4:$M$18,MATCH($B159,Usage!$B$4:$B$18,0),MATCH(IF($E159="CL1","CL1 Proportion","CL2 Proportion"),Usage!$B$8:$M$8,0)),O159*INDEX(Usage!$B$4:$M$18,MATCH($B159,Usage!$B$4:$B$18,0),MATCH(IF($E159="CL1","CL1 Proportion","CL2 Proportion"),Usage!$B$8:$M$8,0))+P159*$F159/1000)),"")</f>
        <v/>
      </c>
      <c r="R159" s="43" t="str">
        <f>IFERROR(Q159/Q162,"")</f>
        <v/>
      </c>
    </row>
    <row r="160" spans="2:22" outlineLevel="1" x14ac:dyDescent="0.35">
      <c r="B160" s="3" t="str">
        <f t="shared" si="49"/>
        <v>Energex</v>
      </c>
      <c r="C160" s="3" t="str">
        <f t="shared" si="50"/>
        <v>Residential</v>
      </c>
      <c r="D160" s="3" t="str">
        <f t="shared" si="51"/>
        <v>with CL</v>
      </c>
      <c r="E160" s="3" t="s">
        <v>16</v>
      </c>
      <c r="F160" s="41">
        <f t="array" ref="F160">IFERROR(INDEX(Usage!$B$5:$P$18,MATCH($B160,Usage!$B$5:$B$18,0),MATCH($C160&amp;$D160&amp;$E160,Usage!$B$5:$S$5&amp;Usage!$B$6:$S$6&amp;Usage!$B$7:$S$7,0)),0)</f>
        <v>551</v>
      </c>
      <c r="G160" s="23" t="s">
        <v>58</v>
      </c>
      <c r="H160" s="89" t="str">
        <f t="array" ref="H160">IFERROR(INDEX('Detail inputs'!$B$3:$K$168,MATCH($B160&amp;$C160&amp;$E160&amp;$G160&amp;H$5,'Detail inputs'!$B$3:$B$168&amp;'Detail inputs'!$D$3:$D$168&amp;'Detail inputs'!$F$3:$F$168&amp;'Detail inputs'!$G$3:$G$168&amp;'Detail inputs'!$H$3:$H$168,0),MATCH(H$4,'Detail inputs'!$B$3:$K$3,0)),"")</f>
        <v/>
      </c>
      <c r="I160" s="89" t="str">
        <f t="array" ref="I160">IFERROR(INDEX('Detail inputs'!$B$3:$K$168,MATCH($B160&amp;$C160&amp;$E160&amp;$G160&amp;I$5,'Detail inputs'!$B$3:$B$168&amp;'Detail inputs'!$D$3:$D$168&amp;'Detail inputs'!$F$3:$F$168&amp;'Detail inputs'!$G$3:$G$168&amp;'Detail inputs'!$H$3:$H$168,0),MATCH(I$4,'Detail inputs'!$B$3:$K$3,0)),"")</f>
        <v/>
      </c>
      <c r="J160" s="89" t="str">
        <f>IFERROR(IF(H160="",I160*$F160/1000,IF(I160="",H160*INDEX(Usage!$B$4:$M$18,MATCH($B160,Usage!$B$4:$B$18,0),MATCH(IF($E160="CL1","CL1 Proportion","CL2 Proportion"),Usage!$B$8:$M$8,0)),H160*INDEX(Usage!$B$4:$M$18,MATCH($B160,Usage!$B$4:$B$18,0),MATCH(IF($E160="CL1","CL1 Proportion","CL2 Proportion"),Usage!$B$8:$M$8,0))+I160*$F160/1000)),"")</f>
        <v/>
      </c>
      <c r="K160" s="43" t="str">
        <f>IFERROR(J160/J162,"")</f>
        <v/>
      </c>
      <c r="L160" s="43"/>
      <c r="M160" s="48" t="str">
        <f t="shared" si="48"/>
        <v/>
      </c>
      <c r="N160" s="43"/>
      <c r="O160" s="89" t="str">
        <f t="array" ref="O160">IFERROR(INDEX('Detail inputs'!$B$3:$K$168,MATCH($B160&amp;$C160&amp;$E160&amp;$G160&amp;O$5,'Detail inputs'!$B$3:$B$168&amp;'Detail inputs'!$D$3:$D$168&amp;'Detail inputs'!$F$3:$F$168&amp;'Detail inputs'!$G$3:$G$168&amp;'Detail inputs'!$H$3:$H$168,0),MATCH(O$4,'Detail inputs'!$B$3:$K$3,0)),"")</f>
        <v/>
      </c>
      <c r="P160" s="89" t="str">
        <f t="array" ref="P160">IFERROR(INDEX('Detail inputs'!$B$3:$K$168,MATCH($B160&amp;$C160&amp;$E160&amp;$G160&amp;P$5,'Detail inputs'!$B$3:$B$168&amp;'Detail inputs'!$D$3:$D$168&amp;'Detail inputs'!$F$3:$F$168&amp;'Detail inputs'!$G$3:$G$168&amp;'Detail inputs'!$H$3:$H$168,0),MATCH(P$4,'Detail inputs'!$B$3:$K$3,0)),"")</f>
        <v/>
      </c>
      <c r="Q160" s="89" t="str">
        <f>IFERROR(IF(O160="",P160*$F160/1000,IF(P160="",O160*INDEX(Usage!$B$4:$M$18,MATCH($B160,Usage!$B$4:$B$18,0),MATCH(IF($E160="CL1","CL1 Proportion","CL2 Proportion"),Usage!$B$8:$M$8,0)),O160*INDEX(Usage!$B$4:$M$18,MATCH($B160,Usage!$B$4:$B$18,0),MATCH(IF($E160="CL1","CL1 Proportion","CL2 Proportion"),Usage!$B$8:$M$8,0))+P160*$F160/1000)),"")</f>
        <v/>
      </c>
      <c r="R160" s="43" t="str">
        <f>IFERROR(Q160/Q162,"")</f>
        <v/>
      </c>
    </row>
    <row r="161" spans="2:22" outlineLevel="1" x14ac:dyDescent="0.35">
      <c r="B161" s="3" t="str">
        <f t="shared" si="49"/>
        <v>Energex</v>
      </c>
      <c r="C161" s="3" t="str">
        <f t="shared" si="50"/>
        <v>Residential</v>
      </c>
      <c r="D161" s="3" t="str">
        <f t="shared" si="51"/>
        <v>with CL</v>
      </c>
      <c r="E161" s="3" t="s">
        <v>16</v>
      </c>
      <c r="F161" s="41">
        <f t="array" ref="F161">IFERROR(INDEX(Usage!$B$5:$P$18,MATCH($B161,Usage!$B$5:$B$18,0),MATCH($C161&amp;$D161&amp;$E161,Usage!$B$5:$S$5&amp;Usage!$B$6:$S$6&amp;Usage!$B$7:$S$7,0)),0)</f>
        <v>551</v>
      </c>
      <c r="G161" s="23" t="s">
        <v>192</v>
      </c>
      <c r="H161" s="89" t="str">
        <f t="array" ref="H161">IFERROR(INDEX('Detail inputs'!$B$3:$K$168,MATCH($B161&amp;$C161&amp;$E161&amp;$G161&amp;H$5,'Detail inputs'!$B$3:$B$168&amp;'Detail inputs'!$D$3:$D$168&amp;'Detail inputs'!$F$3:$F$168&amp;'Detail inputs'!$G$3:$G$168&amp;'Detail inputs'!$H$3:$H$168,0),MATCH(H$4,'Detail inputs'!$B$3:$K$3,0)),"")</f>
        <v/>
      </c>
      <c r="I161" s="89" t="str">
        <f t="array" ref="I161">IFERROR(INDEX('Detail inputs'!$B$3:$K$168,MATCH($B161&amp;$C161&amp;$E161&amp;$G161&amp;I$5,'Detail inputs'!$B$3:$B$168&amp;'Detail inputs'!$D$3:$D$168&amp;'Detail inputs'!$F$3:$F$168&amp;'Detail inputs'!$G$3:$G$168&amp;'Detail inputs'!$H$3:$H$168,0),MATCH(I$4,'Detail inputs'!$B$3:$K$3,0)),"")</f>
        <v/>
      </c>
      <c r="J161" s="89" t="str">
        <f>IFERROR(IF(H161="",I161*$F161/1000,IF(I161="",H161*INDEX(Usage!$B$4:$M$18,MATCH($B161,Usage!$B$4:$B$18,0),MATCH(IF($E161="CL1","CL1 Proportion","CL2 Proportion"),Usage!$B$8:$M$8,0)),H161*INDEX(Usage!$B$4:$M$18,MATCH($B161,Usage!$B$4:$B$18,0),MATCH(IF($E161="CL1","CL1 Proportion","CL2 Proportion"),Usage!$B$8:$M$8,0))+I161*$F161/1000)),"")</f>
        <v/>
      </c>
      <c r="K161" s="43" t="str">
        <f>IFERROR(J161/J162,"")</f>
        <v/>
      </c>
      <c r="L161" s="43"/>
      <c r="M161" s="48" t="str">
        <f t="shared" si="48"/>
        <v/>
      </c>
      <c r="N161" s="43"/>
      <c r="O161" s="89" t="str">
        <f t="array" ref="O161">IFERROR(INDEX('Detail inputs'!$B$3:$K$168,MATCH($B161&amp;$C161&amp;$E161&amp;$G161&amp;O$5,'Detail inputs'!$B$3:$B$168&amp;'Detail inputs'!$D$3:$D$168&amp;'Detail inputs'!$F$3:$F$168&amp;'Detail inputs'!$G$3:$G$168&amp;'Detail inputs'!$H$3:$H$168,0),MATCH(O$4,'Detail inputs'!$B$3:$K$3,0)),"")</f>
        <v/>
      </c>
      <c r="P161" s="89" t="str">
        <f t="array" ref="P161">IFERROR(INDEX('Detail inputs'!$B$3:$K$168,MATCH($B161&amp;$C161&amp;$E161&amp;$G161&amp;P$5,'Detail inputs'!$B$3:$B$168&amp;'Detail inputs'!$D$3:$D$168&amp;'Detail inputs'!$F$3:$F$168&amp;'Detail inputs'!$G$3:$G$168&amp;'Detail inputs'!$H$3:$H$168,0),MATCH(P$4,'Detail inputs'!$B$3:$K$3,0)),"")</f>
        <v/>
      </c>
      <c r="Q161" s="89" t="str">
        <f>IFERROR(IF(O161="",P161*$F161/1000,IF(P161="",O161*INDEX(Usage!$B$4:$M$18,MATCH($B161,Usage!$B$4:$B$18,0),MATCH(IF($E161="CL1","CL1 Proportion","CL2 Proportion"),Usage!$B$8:$M$8,0)),O161*INDEX(Usage!$B$4:$M$18,MATCH($B161,Usage!$B$4:$B$18,0),MATCH(IF($E161="CL1","CL1 Proportion","CL2 Proportion"),Usage!$B$8:$M$8,0))+P161*$F161/1000)),"")</f>
        <v/>
      </c>
      <c r="R161" s="43" t="str">
        <f>IFERROR(Q161/Q162,"")</f>
        <v/>
      </c>
    </row>
    <row r="162" spans="2:22" x14ac:dyDescent="0.35">
      <c r="B162" s="3" t="str">
        <f t="shared" si="49"/>
        <v>Energex</v>
      </c>
      <c r="C162" s="3" t="str">
        <f t="shared" si="50"/>
        <v>Residential</v>
      </c>
      <c r="D162" s="3" t="str">
        <f t="shared" si="51"/>
        <v>with CL</v>
      </c>
      <c r="E162" s="3" t="s">
        <v>16</v>
      </c>
      <c r="F162" s="41">
        <f t="array" ref="F162">IFERROR(INDEX(Usage!$B$5:$P$18,MATCH($B162,Usage!$B$5:$B$18,0),MATCH($C162&amp;$D162&amp;$E162,Usage!$B$5:$S$5&amp;Usage!$B$6:$S$6&amp;Usage!$B$7:$S$7,0)),0)</f>
        <v>551</v>
      </c>
      <c r="G162" s="23" t="s">
        <v>64</v>
      </c>
      <c r="H162" s="95">
        <f t="array" ref="H162">INDEX('Key inputs'!$B$16:$N$40,MATCH($B162&amp;$C162&amp;$E162,'Key inputs'!$B$16:$B$40&amp;'Key inputs'!$C$16:$C$40&amp;'Key inputs'!$D$16:$D$40,0),MATCH($G162&amp;H$4&amp;H$5,'Key inputs'!$B$17:$N$17&amp;'Key inputs'!$B$18:$N$18&amp;'Key inputs'!$B$19:$N$19,0))</f>
        <v>0</v>
      </c>
      <c r="I162" s="95">
        <f t="array" ref="I162">INDEX('Key inputs'!$B$16:$N$40,MATCH($B162&amp;$C162&amp;$E162,'Key inputs'!$B$16:$B$40&amp;'Key inputs'!$C$16:$C$40&amp;'Key inputs'!$D$16:$D$40,0),MATCH($G162&amp;I$4&amp;I$5,'Key inputs'!$B$17:$N$17&amp;'Key inputs'!$B$18:$N$18&amp;'Key inputs'!$B$19:$N$19,0))</f>
        <v>37.89</v>
      </c>
      <c r="J162" s="89">
        <f>H162*INDEX(Usage!$B$4:$M$18,MATCH($B162,Usage!$B$4:$B$18,0),MATCH(IF($E162="CL1","CL1 Proportion","CL2 Proportion"),Usage!$B$8:$M$8,0))+I162*$F162/1000</f>
        <v>20.877389999999998</v>
      </c>
      <c r="K162" s="43">
        <f>IFERROR(J162/J164,"")</f>
        <v>0.86036810431833299</v>
      </c>
      <c r="L162" s="43"/>
      <c r="M162" s="48">
        <f t="shared" si="48"/>
        <v>3.4573766165215014E-2</v>
      </c>
      <c r="N162" s="43"/>
      <c r="O162" s="95">
        <f t="array" ref="O162">INDEX('Key inputs'!$B$16:$N$40,MATCH($B162&amp;$C162&amp;$E162,'Key inputs'!$B$16:$B$40&amp;'Key inputs'!$C$16:$C$40&amp;'Key inputs'!$D$16:$D$40,0),MATCH($G162&amp;O$4&amp;O$5,'Key inputs'!$B$17:$N$17&amp;'Key inputs'!$B$18:$N$18&amp;'Key inputs'!$B$19:$N$19,0))</f>
        <v>0</v>
      </c>
      <c r="P162" s="95">
        <f t="array" ref="P162">INDEX('Key inputs'!$B$16:$N$40,MATCH($B162&amp;$C162&amp;$E162,'Key inputs'!$B$16:$B$40&amp;'Key inputs'!$C$16:$C$40&amp;'Key inputs'!$D$16:$D$40,0),MATCH($G162&amp;P$4&amp;P$5,'Key inputs'!$B$17:$N$17&amp;'Key inputs'!$B$18:$N$18&amp;'Key inputs'!$B$19:$N$19,0))</f>
        <v>39.199999999999996</v>
      </c>
      <c r="Q162" s="89">
        <f>O162*INDEX(Usage!$B$4:$M$18,MATCH($B162,Usage!$B$4:$B$18,0),MATCH(IF($E162="CL1","CL1 Proportion","CL2 Proportion"),Usage!$B$8:$M$8,0))+P162*$F162/1000</f>
        <v>21.599199999999996</v>
      </c>
      <c r="R162" s="43">
        <f>IFERROR(Q162/Q164,"")</f>
        <v>0.87030035762006497</v>
      </c>
      <c r="S162" s="129"/>
      <c r="T162" s="129"/>
      <c r="U162" s="129"/>
      <c r="V162" s="129"/>
    </row>
    <row r="163" spans="2:22" x14ac:dyDescent="0.35">
      <c r="B163" s="3" t="str">
        <f t="shared" si="49"/>
        <v>Energex</v>
      </c>
      <c r="C163" s="3" t="str">
        <f t="shared" si="50"/>
        <v>Residential</v>
      </c>
      <c r="D163" s="3" t="str">
        <f t="shared" si="51"/>
        <v>with CL</v>
      </c>
      <c r="E163" s="3" t="s">
        <v>16</v>
      </c>
      <c r="F163" s="41">
        <f t="array" ref="F163">IFERROR(INDEX(Usage!$B$5:$P$18,MATCH($B163,Usage!$B$5:$B$18,0),MATCH($C163&amp;$D163&amp;$E163,Usage!$B$5:$S$5&amp;Usage!$B$6:$S$6&amp;Usage!$B$7:$S$7,0)),0)</f>
        <v>551</v>
      </c>
      <c r="G163" s="23" t="s">
        <v>68</v>
      </c>
      <c r="H163" s="95">
        <f t="array" ref="H163">INDEX('Key inputs'!$B$16:$N$40,MATCH($B163&amp;$C163&amp;$E163,'Key inputs'!$B$16:$B$40&amp;'Key inputs'!$C$16:$C$40&amp;'Key inputs'!$D$16:$D$40,0),MATCH($G163&amp;H$4&amp;H$5,'Key inputs'!$B$17:$N$17&amp;'Key inputs'!$B$18:$N$18&amp;'Key inputs'!$B$19:$N$19,0))</f>
        <v>11.68365</v>
      </c>
      <c r="I163" s="89">
        <f>IFERROR(INDEX('Detail inputs'!$B$3:$K$168,MATCH($B163&amp;$C163&amp;$E163&amp;$G163&amp;I$5,'Detail inputs'!$B$3:$B$168&amp;'Detail inputs'!$D$3:$D$168&amp;'Detail inputs'!$F$3:$F$168&amp;'Detail inputs'!$G$3:$G$168&amp;'Detail inputs'!$H$3:$H$168,0),MATCH(I$4,'Detail inputs'!$B$3:$K$3,0)),0)</f>
        <v>0</v>
      </c>
      <c r="J163" s="89">
        <f>H163*INDEX(Usage!$B$4:$M$18,MATCH($B163,Usage!$B$4:$B$18,0),MATCH(IF($E163="CL1","CL1 Proportion","CL2 Proportion"),Usage!$B$8:$M$8,0))+I163*$F163/1000</f>
        <v>3.3882584999999996</v>
      </c>
      <c r="K163" s="43">
        <f>IFERROR(J163/J164,"")</f>
        <v>0.13963189568166703</v>
      </c>
      <c r="L163" s="43"/>
      <c r="M163" s="48">
        <f t="shared" si="48"/>
        <v>-4.9984379881287011E-2</v>
      </c>
      <c r="N163" s="43"/>
      <c r="O163" s="95">
        <f t="array" ref="O163">INDEX('Key inputs'!$B$16:$N$40,MATCH($B163&amp;$C163&amp;$E163,'Key inputs'!$B$16:$B$40&amp;'Key inputs'!$C$16:$C$40&amp;'Key inputs'!$D$16:$D$40,0),MATCH($G163&amp;O$4&amp;O$5,'Key inputs'!$B$17:$N$17&amp;'Key inputs'!$B$18:$N$18&amp;'Key inputs'!$B$19:$N$19,0))</f>
        <v>11.09965</v>
      </c>
      <c r="P163" s="89">
        <f>IFERROR(INDEX('Detail inputs'!$B$3:$K$168,MATCH($B163&amp;$C163&amp;$E163&amp;$G163&amp;P$5,'Detail inputs'!$B$3:$B$168&amp;'Detail inputs'!$D$3:$D$168&amp;'Detail inputs'!$F$3:$F$168&amp;'Detail inputs'!$G$3:$G$168&amp;'Detail inputs'!$H$3:$H$168,0),MATCH(P$4,'Detail inputs'!$B$3:$K$3,0)),0)</f>
        <v>0</v>
      </c>
      <c r="Q163" s="89">
        <f>O163*INDEX(Usage!$B$4:$M$18,MATCH($B163,Usage!$B$4:$B$18,0),MATCH(IF($E163="CL1","CL1 Proportion","CL2 Proportion"),Usage!$B$8:$M$8,0))+P163*$F163/1000</f>
        <v>3.2188984999999999</v>
      </c>
      <c r="R163" s="43">
        <f>IFERROR(Q163/Q164,"")</f>
        <v>0.12969964237993495</v>
      </c>
    </row>
    <row r="164" spans="2:22" x14ac:dyDescent="0.35">
      <c r="B164" s="3" t="str">
        <f t="shared" si="49"/>
        <v>Energex</v>
      </c>
      <c r="C164" s="3" t="str">
        <f t="shared" si="50"/>
        <v>Residential</v>
      </c>
      <c r="D164" s="3" t="str">
        <f t="shared" si="51"/>
        <v>with CL</v>
      </c>
      <c r="E164" s="3" t="s">
        <v>16</v>
      </c>
      <c r="F164" s="41">
        <f t="array" ref="F164">IFERROR(INDEX(Usage!$B$5:$P$18,MATCH($B164,Usage!$B$5:$B$18,0),MATCH($C164&amp;$D164&amp;$E164,Usage!$B$5:$S$5&amp;Usage!$B$6:$S$6&amp;Usage!$B$7:$S$7,0)),0)</f>
        <v>551</v>
      </c>
      <c r="G164" s="3" t="s">
        <v>62</v>
      </c>
      <c r="J164" s="95">
        <f>SUM(J162:J163)</f>
        <v>24.265648499999998</v>
      </c>
      <c r="K164" s="43"/>
      <c r="M164" s="48">
        <f t="shared" si="48"/>
        <v>2.2766751937414842E-2</v>
      </c>
      <c r="N164" s="88"/>
      <c r="O164" s="95"/>
      <c r="P164" s="95"/>
      <c r="Q164" s="95">
        <f>SUM(Q162:Q163)</f>
        <v>24.818098499999998</v>
      </c>
      <c r="R164" s="43"/>
    </row>
    <row r="165" spans="2:22" outlineLevel="1" x14ac:dyDescent="0.35">
      <c r="B165" s="3" t="str">
        <f t="shared" si="49"/>
        <v>Energex</v>
      </c>
      <c r="C165" s="3" t="str">
        <f t="shared" si="50"/>
        <v>Residential</v>
      </c>
      <c r="D165" s="3" t="str">
        <f t="shared" si="51"/>
        <v>with CL</v>
      </c>
      <c r="E165" s="3" t="s">
        <v>17</v>
      </c>
      <c r="F165" s="41">
        <f t="array" ref="F165">IFERROR(INDEX(Usage!$B$5:$P$18,MATCH($B165,Usage!$B$5:$B$18,0),MATCH($C165&amp;$D165&amp;$E165,Usage!$B$5:$S$5&amp;Usage!$B$6:$S$6&amp;Usage!$B$7:$S$7,0)),0)</f>
        <v>1349</v>
      </c>
      <c r="G165" s="23" t="s">
        <v>57</v>
      </c>
      <c r="H165" s="89" t="str">
        <f t="array" ref="H165">IFERROR(INDEX('Detail inputs'!$B$3:$K$168,MATCH($B165&amp;$C165&amp;$E165&amp;$G165&amp;H$5,'Detail inputs'!$B$3:$B$168&amp;'Detail inputs'!$D$3:$D$168&amp;'Detail inputs'!$F$3:$F$168&amp;'Detail inputs'!$G$3:$G$168&amp;'Detail inputs'!$H$3:$H$168,0),MATCH(H$4,'Detail inputs'!$B$3:$K$3,0)),"")</f>
        <v/>
      </c>
      <c r="I165" s="89" t="str">
        <f t="array" ref="I165">IFERROR(INDEX('Detail inputs'!$B$3:$K$168,MATCH($B165&amp;$C165&amp;$E165&amp;$G165&amp;I$5,'Detail inputs'!$B$3:$B$168&amp;'Detail inputs'!$D$3:$D$168&amp;'Detail inputs'!$F$3:$F$168&amp;'Detail inputs'!$G$3:$G$168&amp;'Detail inputs'!$H$3:$H$168,0),MATCH(I$4,'Detail inputs'!$B$3:$K$3,0)),"")</f>
        <v/>
      </c>
      <c r="J165" s="89" t="str">
        <f>IFERROR(IF(H165="",I165*$F165/1000,IF(I165="",H165*INDEX(Usage!$B$4:$M$18,MATCH($B165,Usage!$B$4:$B$18,0),MATCH(IF($E165="CL1","CL1 Proportion","CL2 Proportion"),Usage!$B$8:$M$8,0)),H165*INDEX(Usage!$B$4:$M$18,MATCH($B165,Usage!$B$4:$B$18,0),MATCH(IF($E165="CL1","CL1 Proportion","CL2 Proportion"),Usage!$B$8:$M$8,0))+I165*$F165/1000)),"")</f>
        <v/>
      </c>
      <c r="K165" s="43" t="str">
        <f>IFERROR(J165/J168,"")</f>
        <v/>
      </c>
      <c r="L165" s="43"/>
      <c r="M165" s="48" t="str">
        <f t="shared" si="48"/>
        <v/>
      </c>
      <c r="N165" s="43"/>
      <c r="O165" s="89" t="str">
        <f t="array" ref="O165">IFERROR(INDEX('Detail inputs'!$B$3:$K$168,MATCH($B165&amp;$C165&amp;$E165&amp;$G165&amp;O$5,'Detail inputs'!$B$3:$B$168&amp;'Detail inputs'!$D$3:$D$168&amp;'Detail inputs'!$F$3:$F$168&amp;'Detail inputs'!$G$3:$G$168&amp;'Detail inputs'!$H$3:$H$168,0),MATCH(O$4,'Detail inputs'!$B$3:$K$3,0)),"")</f>
        <v/>
      </c>
      <c r="P165" s="89" t="str">
        <f t="array" ref="P165">IFERROR(INDEX('Detail inputs'!$B$3:$K$168,MATCH($B165&amp;$C165&amp;$E165&amp;$G165&amp;P$5,'Detail inputs'!$B$3:$B$168&amp;'Detail inputs'!$D$3:$D$168&amp;'Detail inputs'!$F$3:$F$168&amp;'Detail inputs'!$G$3:$G$168&amp;'Detail inputs'!$H$3:$H$168,0),MATCH(P$4,'Detail inputs'!$B$3:$K$3,0)),"")</f>
        <v/>
      </c>
      <c r="Q165" s="89" t="str">
        <f>IFERROR(IF(O165="",P165*$F165/1000,IF(P165="",O165*INDEX(Usage!$B$4:$M$18,MATCH($B165,Usage!$B$4:$B$18,0),MATCH(IF($E165="CL1","CL1 Proportion","CL2 Proportion"),Usage!$B$8:$M$8,0)),O165*INDEX(Usage!$B$4:$M$18,MATCH($B165,Usage!$B$4:$B$18,0),MATCH(IF($E165="CL1","CL1 Proportion","CL2 Proportion"),Usage!$B$8:$M$8,0))+P165*$F165/1000)),"")</f>
        <v/>
      </c>
      <c r="R165" s="43" t="str">
        <f>IFERROR(Q165/Q168,"")</f>
        <v/>
      </c>
    </row>
    <row r="166" spans="2:22" outlineLevel="1" x14ac:dyDescent="0.35">
      <c r="B166" s="3" t="str">
        <f t="shared" si="49"/>
        <v>Energex</v>
      </c>
      <c r="C166" s="3" t="str">
        <f t="shared" si="50"/>
        <v>Residential</v>
      </c>
      <c r="D166" s="3" t="str">
        <f t="shared" si="51"/>
        <v>with CL</v>
      </c>
      <c r="E166" s="3" t="s">
        <v>17</v>
      </c>
      <c r="F166" s="41">
        <f t="array" ref="F166">IFERROR(INDEX(Usage!$B$5:$P$18,MATCH($B166,Usage!$B$5:$B$18,0),MATCH($C166&amp;$D166&amp;$E166,Usage!$B$5:$S$5&amp;Usage!$B$6:$S$6&amp;Usage!$B$7:$S$7,0)),0)</f>
        <v>1349</v>
      </c>
      <c r="G166" s="23" t="s">
        <v>58</v>
      </c>
      <c r="H166" s="89" t="str">
        <f t="array" ref="H166">IFERROR(INDEX('Detail inputs'!$B$3:$K$168,MATCH($B166&amp;$C166&amp;$E166&amp;$G166&amp;H$5,'Detail inputs'!$B$3:$B$168&amp;'Detail inputs'!$D$3:$D$168&amp;'Detail inputs'!$F$3:$F$168&amp;'Detail inputs'!$G$3:$G$168&amp;'Detail inputs'!$H$3:$H$168,0),MATCH(H$4,'Detail inputs'!$B$3:$K$3,0)),"")</f>
        <v/>
      </c>
      <c r="I166" s="89" t="str">
        <f t="array" ref="I166">IFERROR(INDEX('Detail inputs'!$B$3:$K$168,MATCH($B166&amp;$C166&amp;$E166&amp;$G166&amp;I$5,'Detail inputs'!$B$3:$B$168&amp;'Detail inputs'!$D$3:$D$168&amp;'Detail inputs'!$F$3:$F$168&amp;'Detail inputs'!$G$3:$G$168&amp;'Detail inputs'!$H$3:$H$168,0),MATCH(I$4,'Detail inputs'!$B$3:$K$3,0)),"")</f>
        <v/>
      </c>
      <c r="J166" s="89" t="str">
        <f>IFERROR(IF(H166="",I166*$F166/1000,IF(I166="",H166*INDEX(Usage!$B$4:$M$18,MATCH($B166,Usage!$B$4:$B$18,0),MATCH(IF($E166="CL1","CL1 Proportion","CL2 Proportion"),Usage!$B$8:$M$8,0)),H166*INDEX(Usage!$B$4:$M$18,MATCH($B166,Usage!$B$4:$B$18,0),MATCH(IF($E166="CL1","CL1 Proportion","CL2 Proportion"),Usage!$B$8:$M$8,0))+I166*$F166/1000)),"")</f>
        <v/>
      </c>
      <c r="K166" s="43" t="str">
        <f>IFERROR(J166/J168,"")</f>
        <v/>
      </c>
      <c r="L166" s="43"/>
      <c r="M166" s="48" t="str">
        <f t="shared" si="48"/>
        <v/>
      </c>
      <c r="N166" s="43"/>
      <c r="O166" s="89" t="str">
        <f t="array" ref="O166">IFERROR(INDEX('Detail inputs'!$B$3:$K$168,MATCH($B166&amp;$C166&amp;$E166&amp;$G166&amp;O$5,'Detail inputs'!$B$3:$B$168&amp;'Detail inputs'!$D$3:$D$168&amp;'Detail inputs'!$F$3:$F$168&amp;'Detail inputs'!$G$3:$G$168&amp;'Detail inputs'!$H$3:$H$168,0),MATCH(O$4,'Detail inputs'!$B$3:$K$3,0)),"")</f>
        <v/>
      </c>
      <c r="P166" s="89" t="str">
        <f t="array" ref="P166">IFERROR(INDEX('Detail inputs'!$B$3:$K$168,MATCH($B166&amp;$C166&amp;$E166&amp;$G166&amp;P$5,'Detail inputs'!$B$3:$B$168&amp;'Detail inputs'!$D$3:$D$168&amp;'Detail inputs'!$F$3:$F$168&amp;'Detail inputs'!$G$3:$G$168&amp;'Detail inputs'!$H$3:$H$168,0),MATCH(P$4,'Detail inputs'!$B$3:$K$3,0)),"")</f>
        <v/>
      </c>
      <c r="Q166" s="89" t="str">
        <f>IFERROR(IF(O166="",P166*$F166/1000,IF(P166="",O166*INDEX(Usage!$B$4:$M$18,MATCH($B166,Usage!$B$4:$B$18,0),MATCH(IF($E166="CL1","CL1 Proportion","CL2 Proportion"),Usage!$B$8:$M$8,0)),O166*INDEX(Usage!$B$4:$M$18,MATCH($B166,Usage!$B$4:$B$18,0),MATCH(IF($E166="CL1","CL1 Proportion","CL2 Proportion"),Usage!$B$8:$M$8,0))+P166*$F166/1000)),"")</f>
        <v/>
      </c>
      <c r="R166" s="43" t="str">
        <f>IFERROR(Q166/Q168,"")</f>
        <v/>
      </c>
    </row>
    <row r="167" spans="2:22" outlineLevel="1" x14ac:dyDescent="0.35">
      <c r="B167" s="3" t="str">
        <f t="shared" si="49"/>
        <v>Energex</v>
      </c>
      <c r="C167" s="3" t="str">
        <f t="shared" si="50"/>
        <v>Residential</v>
      </c>
      <c r="D167" s="3" t="str">
        <f t="shared" si="51"/>
        <v>with CL</v>
      </c>
      <c r="E167" s="3" t="s">
        <v>17</v>
      </c>
      <c r="F167" s="41">
        <f t="array" ref="F167">IFERROR(INDEX(Usage!$B$5:$P$18,MATCH($B167,Usage!$B$5:$B$18,0),MATCH($C167&amp;$D167&amp;$E167,Usage!$B$5:$S$5&amp;Usage!$B$6:$S$6&amp;Usage!$B$7:$S$7,0)),0)</f>
        <v>1349</v>
      </c>
      <c r="G167" s="23" t="s">
        <v>192</v>
      </c>
      <c r="H167" s="89" t="str">
        <f t="array" ref="H167">IFERROR(INDEX('Detail inputs'!$B$3:$K$168,MATCH($B167&amp;$C167&amp;$E167&amp;$G167&amp;H$5,'Detail inputs'!$B$3:$B$168&amp;'Detail inputs'!$D$3:$D$168&amp;'Detail inputs'!$F$3:$F$168&amp;'Detail inputs'!$G$3:$G$168&amp;'Detail inputs'!$H$3:$H$168,0),MATCH(H$4,'Detail inputs'!$B$3:$K$3,0)),"")</f>
        <v/>
      </c>
      <c r="I167" s="89" t="str">
        <f t="array" ref="I167">IFERROR(INDEX('Detail inputs'!$B$3:$K$168,MATCH($B167&amp;$C167&amp;$E167&amp;$G167&amp;I$5,'Detail inputs'!$B$3:$B$168&amp;'Detail inputs'!$D$3:$D$168&amp;'Detail inputs'!$F$3:$F$168&amp;'Detail inputs'!$G$3:$G$168&amp;'Detail inputs'!$H$3:$H$168,0),MATCH(I$4,'Detail inputs'!$B$3:$K$3,0)),"")</f>
        <v/>
      </c>
      <c r="J167" s="89" t="str">
        <f>IFERROR(IF(H167="",I167*$F167/1000,IF(I167="",H167*INDEX(Usage!$B$4:$M$18,MATCH($B167,Usage!$B$4:$B$18,0),MATCH(IF($E167="CL1","CL1 Proportion","CL2 Proportion"),Usage!$B$8:$M$8,0)),H167*INDEX(Usage!$B$4:$M$18,MATCH($B167,Usage!$B$4:$B$18,0),MATCH(IF($E167="CL1","CL1 Proportion","CL2 Proportion"),Usage!$B$8:$M$8,0))+I167*$F167/1000)),"")</f>
        <v/>
      </c>
      <c r="K167" s="43" t="str">
        <f>IFERROR(J167/J168,"")</f>
        <v/>
      </c>
      <c r="L167" s="43"/>
      <c r="M167" s="48" t="str">
        <f t="shared" si="48"/>
        <v/>
      </c>
      <c r="N167" s="43"/>
      <c r="O167" s="89" t="str">
        <f t="array" ref="O167">IFERROR(INDEX('Detail inputs'!$B$3:$K$168,MATCH($B167&amp;$C167&amp;$E167&amp;$G167&amp;O$5,'Detail inputs'!$B$3:$B$168&amp;'Detail inputs'!$D$3:$D$168&amp;'Detail inputs'!$F$3:$F$168&amp;'Detail inputs'!$G$3:$G$168&amp;'Detail inputs'!$H$3:$H$168,0),MATCH(O$4,'Detail inputs'!$B$3:$K$3,0)),"")</f>
        <v/>
      </c>
      <c r="P167" s="89" t="str">
        <f t="array" ref="P167">IFERROR(INDEX('Detail inputs'!$B$3:$K$168,MATCH($B167&amp;$C167&amp;$E167&amp;$G167&amp;P$5,'Detail inputs'!$B$3:$B$168&amp;'Detail inputs'!$D$3:$D$168&amp;'Detail inputs'!$F$3:$F$168&amp;'Detail inputs'!$G$3:$G$168&amp;'Detail inputs'!$H$3:$H$168,0),MATCH(P$4,'Detail inputs'!$B$3:$K$3,0)),"")</f>
        <v/>
      </c>
      <c r="Q167" s="89" t="str">
        <f>IFERROR(IF(O167="",P167*$F167/1000,IF(P167="",O167*INDEX(Usage!$B$4:$M$18,MATCH($B167,Usage!$B$4:$B$18,0),MATCH(IF($E167="CL1","CL1 Proportion","CL2 Proportion"),Usage!$B$8:$M$8,0)),O167*INDEX(Usage!$B$4:$M$18,MATCH($B167,Usage!$B$4:$B$18,0),MATCH(IF($E167="CL1","CL1 Proportion","CL2 Proportion"),Usage!$B$8:$M$8,0))+P167*$F167/1000)),"")</f>
        <v/>
      </c>
      <c r="R167" s="43" t="str">
        <f>IFERROR(Q167/Q168,"")</f>
        <v/>
      </c>
    </row>
    <row r="168" spans="2:22" x14ac:dyDescent="0.35">
      <c r="B168" s="3" t="str">
        <f t="shared" si="49"/>
        <v>Energex</v>
      </c>
      <c r="C168" s="3" t="str">
        <f t="shared" si="50"/>
        <v>Residential</v>
      </c>
      <c r="D168" s="3" t="str">
        <f t="shared" si="51"/>
        <v>with CL</v>
      </c>
      <c r="E168" s="3" t="s">
        <v>17</v>
      </c>
      <c r="F168" s="41">
        <f t="array" ref="F168">IFERROR(INDEX(Usage!$B$5:$P$18,MATCH($B168,Usage!$B$5:$B$18,0),MATCH($C168&amp;$D168&amp;$E168,Usage!$B$5:$S$5&amp;Usage!$B$6:$S$6&amp;Usage!$B$7:$S$7,0)),0)</f>
        <v>1349</v>
      </c>
      <c r="G168" s="23" t="s">
        <v>64</v>
      </c>
      <c r="H168" s="95">
        <f t="array" ref="H168">INDEX('Key inputs'!$B$16:$N$40,MATCH($B168&amp;$C168&amp;$E168,'Key inputs'!$B$16:$B$40&amp;'Key inputs'!$C$16:$C$40&amp;'Key inputs'!$D$16:$D$40,0),MATCH($G168&amp;H$4&amp;H$5,'Key inputs'!$B$17:$N$17&amp;'Key inputs'!$B$18:$N$18&amp;'Key inputs'!$B$19:$N$19,0))</f>
        <v>0</v>
      </c>
      <c r="I168" s="95">
        <f t="array" ref="I168">INDEX('Key inputs'!$B$16:$N$40,MATCH($B168&amp;$C168&amp;$E168,'Key inputs'!$B$16:$B$40&amp;'Key inputs'!$C$16:$C$40&amp;'Key inputs'!$D$16:$D$40,0),MATCH($G168&amp;I$4&amp;I$5,'Key inputs'!$B$17:$N$17&amp;'Key inputs'!$B$18:$N$18&amp;'Key inputs'!$B$19:$N$19,0))</f>
        <v>47.89</v>
      </c>
      <c r="J168" s="89">
        <f>H168*INDEX(Usage!$B$4:$M$18,MATCH($B168,Usage!$B$4:$B$18,0),MATCH(IF($E168="CL1","CL1 Proportion","CL2 Proportion"),Usage!$B$8:$M$8,0))+I168*$F168/1000</f>
        <v>64.603610000000003</v>
      </c>
      <c r="K168" s="43">
        <f>IFERROR(J168/J170,"")</f>
        <v>0.88620706279495487</v>
      </c>
      <c r="L168" s="43"/>
      <c r="M168" s="48">
        <f t="shared" si="48"/>
        <v>2.735435372729178E-2</v>
      </c>
      <c r="N168" s="43"/>
      <c r="O168" s="95">
        <f t="array" ref="O168">INDEX('Key inputs'!$B$16:$N$40,MATCH($B168&amp;$C168&amp;$E168,'Key inputs'!$B$16:$B$40&amp;'Key inputs'!$C$16:$C$40&amp;'Key inputs'!$D$16:$D$40,0),MATCH($G168&amp;O$4&amp;O$5,'Key inputs'!$B$17:$N$17&amp;'Key inputs'!$B$18:$N$18&amp;'Key inputs'!$B$19:$N$19,0))</f>
        <v>0</v>
      </c>
      <c r="P168" s="95">
        <f t="array" ref="P168">INDEX('Key inputs'!$B$16:$N$40,MATCH($B168&amp;$C168&amp;$E168,'Key inputs'!$B$16:$B$40&amp;'Key inputs'!$C$16:$C$40&amp;'Key inputs'!$D$16:$D$40,0),MATCH($G168&amp;P$4&amp;P$5,'Key inputs'!$B$17:$N$17&amp;'Key inputs'!$B$18:$N$18&amp;'Key inputs'!$B$19:$N$19,0))</f>
        <v>49.2</v>
      </c>
      <c r="Q168" s="89">
        <f>O168*INDEX(Usage!$B$4:$M$18,MATCH($B168,Usage!$B$4:$B$18,0),MATCH(IF($E168="CL1","CL1 Proportion","CL2 Proportion"),Usage!$B$8:$M$8,0))+P168*$F168/1000</f>
        <v>66.370800000000003</v>
      </c>
      <c r="R168" s="43">
        <f>IFERROR(Q168/Q170,"")</f>
        <v>0.89386415043462086</v>
      </c>
      <c r="S168" s="129"/>
      <c r="T168" s="129"/>
      <c r="U168" s="129"/>
      <c r="V168" s="129"/>
    </row>
    <row r="169" spans="2:22" x14ac:dyDescent="0.35">
      <c r="B169" s="3" t="str">
        <f t="shared" si="49"/>
        <v>Energex</v>
      </c>
      <c r="C169" s="3" t="str">
        <f t="shared" si="50"/>
        <v>Residential</v>
      </c>
      <c r="D169" s="3" t="str">
        <f t="shared" si="51"/>
        <v>with CL</v>
      </c>
      <c r="E169" s="3" t="s">
        <v>17</v>
      </c>
      <c r="F169" s="41">
        <f t="array" ref="F169">IFERROR(INDEX(Usage!$B$5:$P$18,MATCH($B169,Usage!$B$5:$B$18,0),MATCH($C169&amp;$D169&amp;$E169,Usage!$B$5:$S$5&amp;Usage!$B$6:$S$6&amp;Usage!$B$7:$S$7,0)),0)</f>
        <v>1349</v>
      </c>
      <c r="G169" s="23" t="s">
        <v>68</v>
      </c>
      <c r="H169" s="95">
        <f t="array" ref="H169">INDEX('Key inputs'!$B$16:$N$40,MATCH($B169&amp;$C169&amp;$E169,'Key inputs'!$B$16:$B$40&amp;'Key inputs'!$C$16:$C$40&amp;'Key inputs'!$D$16:$D$40,0),MATCH($G169&amp;H$4&amp;H$5,'Key inputs'!$B$17:$N$17&amp;'Key inputs'!$B$18:$N$18&amp;'Key inputs'!$B$19:$N$19,0))</f>
        <v>11.68365</v>
      </c>
      <c r="I169" s="89">
        <f>IFERROR(INDEX('Detail inputs'!$B$3:$K$168,MATCH($B169&amp;$C169&amp;$E169&amp;$G169&amp;I$5,'Detail inputs'!$B$3:$B$168&amp;'Detail inputs'!$D$3:$D$168&amp;'Detail inputs'!$F$3:$F$168&amp;'Detail inputs'!$G$3:$G$168&amp;'Detail inputs'!$H$3:$H$168,0),MATCH(I$4,'Detail inputs'!$B$3:$K$3,0)),0)</f>
        <v>0</v>
      </c>
      <c r="J169" s="89">
        <f>H169*INDEX(Usage!$B$4:$M$18,MATCH($B169,Usage!$B$4:$B$18,0),MATCH(IF($E169="CL1","CL1 Proportion","CL2 Proportion"),Usage!$B$8:$M$8,0))+I169*$F169/1000</f>
        <v>8.2953914999999991</v>
      </c>
      <c r="K169" s="43">
        <f>IFERROR(J169/J170,"")</f>
        <v>0.11379293720504526</v>
      </c>
      <c r="L169" s="43"/>
      <c r="M169" s="48">
        <f t="shared" si="48"/>
        <v>-4.9984379881287011E-2</v>
      </c>
      <c r="N169" s="43"/>
      <c r="O169" s="95">
        <f t="array" ref="O169">INDEX('Key inputs'!$B$16:$N$40,MATCH($B169&amp;$C169&amp;$E169,'Key inputs'!$B$16:$B$40&amp;'Key inputs'!$C$16:$C$40&amp;'Key inputs'!$D$16:$D$40,0),MATCH($G169&amp;O$4&amp;O$5,'Key inputs'!$B$17:$N$17&amp;'Key inputs'!$B$18:$N$18&amp;'Key inputs'!$B$19:$N$19,0))</f>
        <v>11.09965</v>
      </c>
      <c r="P169" s="89">
        <f>IFERROR(INDEX('Detail inputs'!$B$3:$K$168,MATCH($B169&amp;$C169&amp;$E169&amp;$G169&amp;P$5,'Detail inputs'!$B$3:$B$168&amp;'Detail inputs'!$D$3:$D$168&amp;'Detail inputs'!$F$3:$F$168&amp;'Detail inputs'!$G$3:$G$168&amp;'Detail inputs'!$H$3:$H$168,0),MATCH(P$4,'Detail inputs'!$B$3:$K$3,0)),0)</f>
        <v>0</v>
      </c>
      <c r="Q169" s="89">
        <f>O169*INDEX(Usage!$B$4:$M$18,MATCH($B169,Usage!$B$4:$B$18,0),MATCH(IF($E169="CL1","CL1 Proportion","CL2 Proportion"),Usage!$B$8:$M$8,0))+P169*$F169/1000</f>
        <v>7.8807514999999997</v>
      </c>
      <c r="R169" s="43">
        <f>IFERROR(Q169/Q170,"")</f>
        <v>0.10613584956537911</v>
      </c>
    </row>
    <row r="170" spans="2:22" x14ac:dyDescent="0.35">
      <c r="B170" s="3" t="str">
        <f t="shared" si="49"/>
        <v>Energex</v>
      </c>
      <c r="C170" s="3" t="str">
        <f t="shared" si="50"/>
        <v>Residential</v>
      </c>
      <c r="D170" s="3" t="str">
        <f t="shared" si="51"/>
        <v>with CL</v>
      </c>
      <c r="E170" s="3" t="s">
        <v>17</v>
      </c>
      <c r="F170" s="41">
        <f t="array" ref="F170">IFERROR(INDEX(Usage!$B$5:$P$18,MATCH($B170,Usage!$B$5:$B$18,0),MATCH($C170&amp;$D170&amp;$E170,Usage!$B$5:$S$5&amp;Usage!$B$6:$S$6&amp;Usage!$B$7:$S$7,0)),0)</f>
        <v>1349</v>
      </c>
      <c r="G170" s="3" t="s">
        <v>62</v>
      </c>
      <c r="J170" s="95">
        <f>SUM(J168:J169)</f>
        <v>72.899001499999997</v>
      </c>
      <c r="K170" s="43"/>
      <c r="M170" s="48">
        <f t="shared" si="48"/>
        <v>1.8553752070253005E-2</v>
      </c>
      <c r="N170" s="88"/>
      <c r="O170" s="95"/>
      <c r="P170" s="95"/>
      <c r="Q170" s="95">
        <f>SUM(Q168:Q169)</f>
        <v>74.251551500000005</v>
      </c>
      <c r="R170" s="43"/>
    </row>
    <row r="171" spans="2:22" s="77" customFormat="1" x14ac:dyDescent="0.35">
      <c r="B171" s="77" t="str">
        <f t="shared" si="49"/>
        <v>Energex</v>
      </c>
      <c r="C171" s="77" t="str">
        <f t="shared" si="50"/>
        <v>Residential</v>
      </c>
      <c r="D171" s="77" t="str">
        <f t="shared" si="51"/>
        <v>with CL</v>
      </c>
      <c r="E171" s="77" t="s">
        <v>62</v>
      </c>
      <c r="F171" s="41">
        <f t="array" ref="F171">IFERROR(INDEX(Usage!$B$5:$P$18,MATCH($B171,Usage!$B$5:$B$18,0),MATCH($C171&amp;$D171&amp;$E171,Usage!$B$5:$S$5&amp;Usage!$B$6:$S$6&amp;Usage!$B$7:$S$7,0)),0)</f>
        <v>6300</v>
      </c>
      <c r="G171" s="77" t="s">
        <v>62</v>
      </c>
      <c r="H171" s="95"/>
      <c r="I171" s="95"/>
      <c r="J171" s="95">
        <f>SUM(J158,J164,J170)</f>
        <v>676.02219999999988</v>
      </c>
      <c r="K171" s="87"/>
      <c r="L171" s="88"/>
      <c r="M171" s="48">
        <f t="shared" si="48"/>
        <v>3.1568268024334323E-2</v>
      </c>
      <c r="N171" s="88"/>
      <c r="O171" s="95"/>
      <c r="P171" s="95"/>
      <c r="Q171" s="95">
        <f>SUM(Q158,Q164,Q170)</f>
        <v>697.36305000000004</v>
      </c>
      <c r="R171" s="87"/>
    </row>
    <row r="172" spans="2:22" outlineLevel="1" x14ac:dyDescent="0.35">
      <c r="B172" s="3" t="str">
        <f t="shared" ref="B172:D173" si="52">B171</f>
        <v>Energex</v>
      </c>
      <c r="C172" s="3" t="str">
        <f t="shared" si="52"/>
        <v>Residential</v>
      </c>
      <c r="D172" s="3" t="str">
        <f t="shared" si="52"/>
        <v>with CL</v>
      </c>
      <c r="E172" s="77"/>
      <c r="F172" s="78"/>
      <c r="G172" s="77" t="s">
        <v>42</v>
      </c>
      <c r="H172" s="95"/>
      <c r="I172" s="95"/>
      <c r="J172" s="95">
        <f>J171*GST</f>
        <v>67.602219999999988</v>
      </c>
      <c r="K172" s="87"/>
      <c r="L172" s="88"/>
      <c r="M172" s="48">
        <f t="shared" si="48"/>
        <v>3.1568268024334323E-2</v>
      </c>
      <c r="N172" s="88"/>
      <c r="O172" s="95"/>
      <c r="P172" s="95"/>
      <c r="Q172" s="95">
        <f>Q171*GST</f>
        <v>69.736305000000002</v>
      </c>
      <c r="R172" s="87"/>
    </row>
    <row r="173" spans="2:22" x14ac:dyDescent="0.35">
      <c r="B173" s="3" t="str">
        <f t="shared" si="52"/>
        <v>Energex</v>
      </c>
      <c r="C173" s="3" t="str">
        <f t="shared" si="52"/>
        <v>Residential</v>
      </c>
      <c r="D173" s="3" t="str">
        <f t="shared" si="52"/>
        <v>with CL</v>
      </c>
      <c r="E173" s="77"/>
      <c r="F173" s="78"/>
      <c r="G173" s="5" t="s">
        <v>90</v>
      </c>
      <c r="H173" s="94"/>
      <c r="I173" s="94"/>
      <c r="J173" s="94">
        <f>SUM(J171:J172)</f>
        <v>743.62441999999987</v>
      </c>
      <c r="K173" s="75"/>
      <c r="L173" s="27"/>
      <c r="M173" s="76">
        <f t="shared" si="48"/>
        <v>3.1568268024334323E-2</v>
      </c>
      <c r="N173" s="27"/>
      <c r="O173" s="94"/>
      <c r="P173" s="94"/>
      <c r="Q173" s="94">
        <f>SUM(Q171:Q172)</f>
        <v>767.09935500000006</v>
      </c>
      <c r="R173" s="75"/>
    </row>
    <row r="174" spans="2:22" x14ac:dyDescent="0.35">
      <c r="F174" s="41"/>
      <c r="K174" s="43"/>
      <c r="M174" s="48"/>
      <c r="R174" s="43"/>
    </row>
    <row r="175" spans="2:22" x14ac:dyDescent="0.35">
      <c r="B175" s="5" t="s">
        <v>0</v>
      </c>
      <c r="C175" s="5" t="s">
        <v>15</v>
      </c>
      <c r="D175" s="5" t="s">
        <v>150</v>
      </c>
      <c r="E175" s="5"/>
      <c r="F175" s="74"/>
      <c r="K175" s="43"/>
      <c r="M175" s="48"/>
      <c r="R175" s="43"/>
    </row>
    <row r="176" spans="2:22" outlineLevel="1" x14ac:dyDescent="0.35">
      <c r="B176" s="3" t="str">
        <f t="shared" ref="B176:D183" si="53">B175</f>
        <v>Energex</v>
      </c>
      <c r="C176" s="3" t="str">
        <f t="shared" si="53"/>
        <v>Small business</v>
      </c>
      <c r="D176" s="3" t="str">
        <f t="shared" si="53"/>
        <v>without CL</v>
      </c>
      <c r="E176" s="3" t="s">
        <v>23</v>
      </c>
      <c r="F176" s="41">
        <f t="array" ref="F176">IFERROR(INDEX(Usage!$B$5:$P$18,MATCH($B176,Usage!$B$5:$B$18,0),MATCH($C176&amp;$D176&amp;$E176,Usage!$B$5:$S$5&amp;Usage!$B$6:$S$6&amp;Usage!$B$7:$S$7,0)),0)</f>
        <v>20000</v>
      </c>
      <c r="G176" s="3" t="s">
        <v>57</v>
      </c>
      <c r="H176" s="89" t="str">
        <f t="array" ref="H176">IFERROR(INDEX('Detail inputs'!$B$3:$K$168,MATCH($B176&amp;$C176&amp;$E176&amp;$G176&amp;H$5,'Detail inputs'!$B$3:$B$168&amp;'Detail inputs'!$D$3:$D$168&amp;'Detail inputs'!$F$3:$F$168&amp;'Detail inputs'!$G$3:$G$168&amp;'Detail inputs'!$H$3:$H$168,0),MATCH(H$4,'Detail inputs'!$B$3:$K$3,0)),"")</f>
        <v/>
      </c>
      <c r="I176" s="89" t="str">
        <f t="array" ref="I176">IFERROR(INDEX('Detail inputs'!$B$3:$K$168,MATCH($B176&amp;$C176&amp;$E176&amp;$G176&amp;I$5,'Detail inputs'!$B$3:$B$168&amp;'Detail inputs'!$D$3:$D$168&amp;'Detail inputs'!$F$3:$F$168&amp;'Detail inputs'!$G$3:$G$168&amp;'Detail inputs'!$H$3:$H$168,0),MATCH(I$4,'Detail inputs'!$B$3:$K$3,0)),"")</f>
        <v/>
      </c>
      <c r="J176" s="89" t="str">
        <f>IFERROR(IF(H176="",I176*$F176/1000,IF(I176="",H176,H176+I176*$F176/1000)),"")</f>
        <v/>
      </c>
      <c r="K176" s="43" t="str">
        <f>IFERROR(J176/J179,"")</f>
        <v/>
      </c>
      <c r="L176" s="43"/>
      <c r="M176" s="48" t="str">
        <f t="shared" ref="M176:M183" si="54">IF(OR(J176=0,J176="",Q176=""),"",Q176/J176-1)</f>
        <v/>
      </c>
      <c r="N176" s="43"/>
      <c r="O176" s="89" t="str">
        <f t="array" ref="O176">IFERROR(INDEX('Detail inputs'!$B$3:$K$168,MATCH($B176&amp;$C176&amp;$E176&amp;$G176&amp;O$5,'Detail inputs'!$B$3:$B$168&amp;'Detail inputs'!$D$3:$D$168&amp;'Detail inputs'!$F$3:$F$168&amp;'Detail inputs'!$G$3:$G$168&amp;'Detail inputs'!$H$3:$H$168,0),MATCH(O$4,'Detail inputs'!$B$3:$K$3,0)),"")</f>
        <v/>
      </c>
      <c r="P176" s="89" t="str">
        <f t="array" ref="P176">IFERROR(INDEX('Detail inputs'!$B$3:$K$168,MATCH($B176&amp;$C176&amp;$E176&amp;$G176&amp;P$5,'Detail inputs'!$B$3:$B$168&amp;'Detail inputs'!$D$3:$D$168&amp;'Detail inputs'!$F$3:$F$168&amp;'Detail inputs'!$G$3:$G$168&amp;'Detail inputs'!$H$3:$H$168,0),MATCH(P$4,'Detail inputs'!$B$3:$K$3,0)),"")</f>
        <v/>
      </c>
      <c r="Q176" s="89" t="str">
        <f>IFERROR(IF(O176="",P176*$F176/1000,IF(P176="",O176,O176+P176*$F176/1000)),"")</f>
        <v/>
      </c>
      <c r="R176" s="43" t="str">
        <f>IFERROR(Q176/Q179,"")</f>
        <v/>
      </c>
    </row>
    <row r="177" spans="2:22" outlineLevel="1" x14ac:dyDescent="0.35">
      <c r="B177" s="3" t="str">
        <f t="shared" si="53"/>
        <v>Energex</v>
      </c>
      <c r="C177" s="3" t="str">
        <f t="shared" si="53"/>
        <v>Small business</v>
      </c>
      <c r="D177" s="3" t="str">
        <f t="shared" si="53"/>
        <v>without CL</v>
      </c>
      <c r="E177" s="3" t="s">
        <v>23</v>
      </c>
      <c r="F177" s="41">
        <f t="array" ref="F177">IFERROR(INDEX(Usage!$B$5:$P$18,MATCH($B177,Usage!$B$5:$B$18,0),MATCH($C177&amp;$D177&amp;$E177,Usage!$B$5:$S$5&amp;Usage!$B$6:$S$6&amp;Usage!$B$7:$S$7,0)),0)</f>
        <v>20000</v>
      </c>
      <c r="G177" s="3" t="s">
        <v>58</v>
      </c>
      <c r="H177" s="89" t="str">
        <f t="array" ref="H177">IFERROR(INDEX('Detail inputs'!$B$3:$K$168,MATCH($B177&amp;$C177&amp;$E177&amp;$G177&amp;H$5,'Detail inputs'!$B$3:$B$168&amp;'Detail inputs'!$D$3:$D$168&amp;'Detail inputs'!$F$3:$F$168&amp;'Detail inputs'!$G$3:$G$168&amp;'Detail inputs'!$H$3:$H$168,0),MATCH(H$4,'Detail inputs'!$B$3:$K$3,0)),"")</f>
        <v/>
      </c>
      <c r="I177" s="89" t="str">
        <f t="array" ref="I177">IFERROR(INDEX('Detail inputs'!$B$3:$K$168,MATCH($B177&amp;$C177&amp;$E177&amp;$G177&amp;I$5,'Detail inputs'!$B$3:$B$168&amp;'Detail inputs'!$D$3:$D$168&amp;'Detail inputs'!$F$3:$F$168&amp;'Detail inputs'!$G$3:$G$168&amp;'Detail inputs'!$H$3:$H$168,0),MATCH(I$4,'Detail inputs'!$B$3:$K$3,0)),"")</f>
        <v/>
      </c>
      <c r="J177" s="89" t="str">
        <f>IFERROR(IF(H177="",I177*$F177/1000,IF(I177="",H177,H177+I177*$F177/1000)),"")</f>
        <v/>
      </c>
      <c r="K177" s="43" t="str">
        <f>IFERROR(J177/J179,"")</f>
        <v/>
      </c>
      <c r="L177" s="43"/>
      <c r="M177" s="48" t="str">
        <f t="shared" si="54"/>
        <v/>
      </c>
      <c r="N177" s="43"/>
      <c r="O177" s="89" t="str">
        <f t="array" ref="O177">IFERROR(INDEX('Detail inputs'!$B$3:$K$168,MATCH($B177&amp;$C177&amp;$E177&amp;$G177&amp;O$5,'Detail inputs'!$B$3:$B$168&amp;'Detail inputs'!$D$3:$D$168&amp;'Detail inputs'!$F$3:$F$168&amp;'Detail inputs'!$G$3:$G$168&amp;'Detail inputs'!$H$3:$H$168,0),MATCH(O$4,'Detail inputs'!$B$3:$K$3,0)),"")</f>
        <v/>
      </c>
      <c r="P177" s="89" t="str">
        <f t="array" ref="P177">IFERROR(INDEX('Detail inputs'!$B$3:$K$168,MATCH($B177&amp;$C177&amp;$E177&amp;$G177&amp;P$5,'Detail inputs'!$B$3:$B$168&amp;'Detail inputs'!$D$3:$D$168&amp;'Detail inputs'!$F$3:$F$168&amp;'Detail inputs'!$G$3:$G$168&amp;'Detail inputs'!$H$3:$H$168,0),MATCH(P$4,'Detail inputs'!$B$3:$K$3,0)),"")</f>
        <v/>
      </c>
      <c r="Q177" s="89" t="str">
        <f>IFERROR(IF(O177="",P177*$F177/1000,IF(P177="",O177,O177+P177*$F177/1000)),"")</f>
        <v/>
      </c>
      <c r="R177" s="43" t="str">
        <f>IFERROR(Q177/Q179,"")</f>
        <v/>
      </c>
    </row>
    <row r="178" spans="2:22" outlineLevel="1" x14ac:dyDescent="0.35">
      <c r="B178" s="3" t="str">
        <f t="shared" si="53"/>
        <v>Energex</v>
      </c>
      <c r="C178" s="3" t="str">
        <f t="shared" si="53"/>
        <v>Small business</v>
      </c>
      <c r="D178" s="3" t="str">
        <f t="shared" si="53"/>
        <v>without CL</v>
      </c>
      <c r="E178" s="3" t="s">
        <v>23</v>
      </c>
      <c r="F178" s="41">
        <f t="array" ref="F178">IFERROR(INDEX(Usage!$B$5:$P$18,MATCH($B178,Usage!$B$5:$B$18,0),MATCH($C178&amp;$D178&amp;$E178,Usage!$B$5:$S$5&amp;Usage!$B$6:$S$6&amp;Usage!$B$7:$S$7,0)),0)</f>
        <v>20000</v>
      </c>
      <c r="G178" s="3" t="s">
        <v>192</v>
      </c>
      <c r="H178" s="89" t="str">
        <f t="array" ref="H178">IFERROR(INDEX('Detail inputs'!$B$3:$K$168,MATCH($B178&amp;$C178&amp;$E178&amp;$G178&amp;H$5,'Detail inputs'!$B$3:$B$168&amp;'Detail inputs'!$D$3:$D$168&amp;'Detail inputs'!$F$3:$F$168&amp;'Detail inputs'!$G$3:$G$168&amp;'Detail inputs'!$H$3:$H$168,0),MATCH(H$4,'Detail inputs'!$B$3:$K$3,0)),"")</f>
        <v/>
      </c>
      <c r="I178" s="89" t="str">
        <f t="array" ref="I178">IFERROR(INDEX('Detail inputs'!$B$3:$K$168,MATCH($B178&amp;$C178&amp;$E178&amp;$G178&amp;I$5,'Detail inputs'!$B$3:$B$168&amp;'Detail inputs'!$D$3:$D$168&amp;'Detail inputs'!$F$3:$F$168&amp;'Detail inputs'!$G$3:$G$168&amp;'Detail inputs'!$H$3:$H$168,0),MATCH(I$4,'Detail inputs'!$B$3:$K$3,0)),"")</f>
        <v/>
      </c>
      <c r="J178" s="89" t="str">
        <f>IFERROR(IF(H178="",I178*$F178/1000,IF(I178="",H178,H178+I178*$F178/1000)),"")</f>
        <v/>
      </c>
      <c r="K178" s="43" t="str">
        <f>IFERROR(J178/J179,"")</f>
        <v/>
      </c>
      <c r="L178" s="43"/>
      <c r="M178" s="48" t="str">
        <f t="shared" si="54"/>
        <v/>
      </c>
      <c r="N178" s="43"/>
      <c r="O178" s="89" t="str">
        <f t="array" ref="O178">IFERROR(INDEX('Detail inputs'!$B$3:$K$168,MATCH($B178&amp;$C178&amp;$E178&amp;$G178&amp;O$5,'Detail inputs'!$B$3:$B$168&amp;'Detail inputs'!$D$3:$D$168&amp;'Detail inputs'!$F$3:$F$168&amp;'Detail inputs'!$G$3:$G$168&amp;'Detail inputs'!$H$3:$H$168,0),MATCH(O$4,'Detail inputs'!$B$3:$K$3,0)),"")</f>
        <v/>
      </c>
      <c r="P178" s="89" t="str">
        <f t="array" ref="P178">IFERROR(INDEX('Detail inputs'!$B$3:$K$168,MATCH($B178&amp;$C178&amp;$E178&amp;$G178&amp;P$5,'Detail inputs'!$B$3:$B$168&amp;'Detail inputs'!$D$3:$D$168&amp;'Detail inputs'!$F$3:$F$168&amp;'Detail inputs'!$G$3:$G$168&amp;'Detail inputs'!$H$3:$H$168,0),MATCH(P$4,'Detail inputs'!$B$3:$K$3,0)),"")</f>
        <v/>
      </c>
      <c r="Q178" s="89" t="str">
        <f>IFERROR(IF(O178="",P178*$F178/1000,IF(P178="",O178,O178+P178*$F178/1000)),"")</f>
        <v/>
      </c>
      <c r="R178" s="43" t="str">
        <f>IFERROR(Q178/Q179,"")</f>
        <v/>
      </c>
    </row>
    <row r="179" spans="2:22" x14ac:dyDescent="0.35">
      <c r="B179" s="3" t="str">
        <f t="shared" si="53"/>
        <v>Energex</v>
      </c>
      <c r="C179" s="3" t="str">
        <f t="shared" si="53"/>
        <v>Small business</v>
      </c>
      <c r="D179" s="3" t="str">
        <f t="shared" si="53"/>
        <v>without CL</v>
      </c>
      <c r="E179" s="3" t="s">
        <v>23</v>
      </c>
      <c r="F179" s="41">
        <f t="array" ref="F179">IFERROR(INDEX(Usage!$B$5:$P$18,MATCH($B179,Usage!$B$5:$B$18,0),MATCH($C179&amp;$D179&amp;$E179,Usage!$B$5:$S$5&amp;Usage!$B$6:$S$6&amp;Usage!$B$7:$S$7,0)),0)</f>
        <v>20000</v>
      </c>
      <c r="G179" s="3" t="s">
        <v>64</v>
      </c>
      <c r="H179" s="95">
        <f t="array" ref="H179">INDEX('Key inputs'!$B$16:$N$40,MATCH($B179&amp;$C179&amp;$E179,'Key inputs'!$B$16:$B$40&amp;'Key inputs'!$C$16:$C$40&amp;'Key inputs'!$D$16:$D$40,0),MATCH($G179&amp;H$4&amp;H$5,'Key inputs'!$B$17:$N$17&amp;'Key inputs'!$B$18:$N$18&amp;'Key inputs'!$B$19:$N$19,0))</f>
        <v>251.48500000000001</v>
      </c>
      <c r="I179" s="95">
        <f t="array" ref="I179">INDEX('Key inputs'!$B$16:$N$40,MATCH($B179&amp;$C179&amp;$E179,'Key inputs'!$B$16:$B$40&amp;'Key inputs'!$C$16:$C$40&amp;'Key inputs'!$D$16:$D$40,0),MATCH($G179&amp;I$4&amp;I$5,'Key inputs'!$B$17:$N$17&amp;'Key inputs'!$B$18:$N$18&amp;'Key inputs'!$B$19:$N$19,0))</f>
        <v>86.2</v>
      </c>
      <c r="J179" s="89">
        <f>H179+I179*$F179/1000</f>
        <v>1975.4850000000001</v>
      </c>
      <c r="K179" s="43">
        <f>IFERROR(J179/J181,"")</f>
        <v>0.9806720749905351</v>
      </c>
      <c r="L179" s="43"/>
      <c r="M179" s="48">
        <f t="shared" si="54"/>
        <v>4.0509039552312442E-2</v>
      </c>
      <c r="N179" s="43"/>
      <c r="O179" s="95">
        <f t="array" ref="O179">INDEX('Key inputs'!$B$16:$N$40,MATCH($B179&amp;$C179&amp;$E179,'Key inputs'!$B$16:$B$40&amp;'Key inputs'!$C$16:$C$40&amp;'Key inputs'!$D$16:$D$40,0),MATCH($G179&amp;O$4&amp;O$5,'Key inputs'!$B$17:$N$17&amp;'Key inputs'!$B$18:$N$18&amp;'Key inputs'!$B$19:$N$19,0))</f>
        <v>253.30999999999997</v>
      </c>
      <c r="P179" s="95">
        <f t="array" ref="P179">INDEX('Key inputs'!$B$16:$N$40,MATCH($B179&amp;$C179&amp;$E179,'Key inputs'!$B$16:$B$40&amp;'Key inputs'!$C$16:$C$40&amp;'Key inputs'!$D$16:$D$40,0),MATCH($G179&amp;P$4&amp;P$5,'Key inputs'!$B$17:$N$17&amp;'Key inputs'!$B$18:$N$18&amp;'Key inputs'!$B$19:$N$19,0))</f>
        <v>90.11</v>
      </c>
      <c r="Q179" s="89">
        <f>O179+P179*$F179/1000</f>
        <v>2055.5100000000002</v>
      </c>
      <c r="R179" s="43">
        <f>IFERROR(Q179/Q181,"")</f>
        <v>0.98180580123800076</v>
      </c>
      <c r="S179" s="129"/>
      <c r="T179" s="129"/>
      <c r="U179" s="129"/>
      <c r="V179" s="129"/>
    </row>
    <row r="180" spans="2:22" x14ac:dyDescent="0.35">
      <c r="B180" s="3" t="str">
        <f t="shared" si="53"/>
        <v>Energex</v>
      </c>
      <c r="C180" s="3" t="str">
        <f t="shared" si="53"/>
        <v>Small business</v>
      </c>
      <c r="D180" s="3" t="str">
        <f t="shared" si="53"/>
        <v>without CL</v>
      </c>
      <c r="E180" s="3" t="s">
        <v>23</v>
      </c>
      <c r="F180" s="41">
        <f t="array" ref="F180">IFERROR(INDEX(Usage!$B$5:$P$18,MATCH($B180,Usage!$B$5:$B$18,0),MATCH($C180&amp;$D180&amp;$E180,Usage!$B$5:$S$5&amp;Usage!$B$6:$S$6&amp;Usage!$B$7:$S$7,0)),0)</f>
        <v>20000</v>
      </c>
      <c r="G180" s="3" t="s">
        <v>68</v>
      </c>
      <c r="H180" s="95">
        <f t="array" ref="H180">INDEX('Key inputs'!$B$16:$N$40,MATCH($B180&amp;$C180&amp;$E180,'Key inputs'!$B$16:$B$40&amp;'Key inputs'!$C$16:$C$40&amp;'Key inputs'!$D$16:$D$40,0),MATCH($G180&amp;H$4&amp;H$5,'Key inputs'!$B$17:$N$17&amp;'Key inputs'!$B$18:$N$18&amp;'Key inputs'!$B$19:$N$19,0))</f>
        <v>38.934550000000002</v>
      </c>
      <c r="I180" s="89">
        <f>IFERROR(INDEX('Detail inputs'!$B$3:$K$168,MATCH($B180&amp;$C180&amp;$E180&amp;$G180&amp;I$5,'Detail inputs'!$B$3:$B$168&amp;'Detail inputs'!$D$3:$D$168&amp;'Detail inputs'!$F$3:$F$168&amp;'Detail inputs'!$G$3:$G$168&amp;'Detail inputs'!$H$3:$H$168,0),MATCH(I$4,'Detail inputs'!$B$3:$K$3,0)),0)</f>
        <v>0</v>
      </c>
      <c r="J180" s="89">
        <f>H180+I180*$F180/1000</f>
        <v>38.934550000000002</v>
      </c>
      <c r="K180" s="43">
        <f>IFERROR(J180/J181,"")</f>
        <v>1.9327925009464886E-2</v>
      </c>
      <c r="L180" s="43"/>
      <c r="M180" s="48">
        <f t="shared" si="54"/>
        <v>-2.1655573263335559E-2</v>
      </c>
      <c r="N180" s="43"/>
      <c r="O180" s="95">
        <f t="array" ref="O180">INDEX('Key inputs'!$B$16:$N$40,MATCH($B180&amp;$C180&amp;$E180,'Key inputs'!$B$16:$B$40&amp;'Key inputs'!$C$16:$C$40&amp;'Key inputs'!$D$16:$D$40,0),MATCH($G180&amp;O$4&amp;O$5,'Key inputs'!$B$17:$N$17&amp;'Key inputs'!$B$18:$N$18&amp;'Key inputs'!$B$19:$N$19,0))</f>
        <v>38.0914</v>
      </c>
      <c r="P180" s="89">
        <f>IFERROR(INDEX('Detail inputs'!$B$3:$K$168,MATCH($B180&amp;$C180&amp;$E180&amp;$G180&amp;P$5,'Detail inputs'!$B$3:$B$168&amp;'Detail inputs'!$D$3:$D$168&amp;'Detail inputs'!$F$3:$F$168&amp;'Detail inputs'!$G$3:$G$168&amp;'Detail inputs'!$H$3:$H$168,0),MATCH(P$4,'Detail inputs'!$B$3:$K$3,0)),0)</f>
        <v>0</v>
      </c>
      <c r="Q180" s="89">
        <f>O180+P180*$F180/1000</f>
        <v>38.0914</v>
      </c>
      <c r="R180" s="43">
        <f>IFERROR(Q180/Q181,"")</f>
        <v>1.8194198761999299E-2</v>
      </c>
    </row>
    <row r="181" spans="2:22" s="77" customFormat="1" x14ac:dyDescent="0.35">
      <c r="B181" s="77" t="str">
        <f t="shared" si="53"/>
        <v>Energex</v>
      </c>
      <c r="C181" s="77" t="str">
        <f t="shared" si="53"/>
        <v>Small business</v>
      </c>
      <c r="D181" s="77" t="str">
        <f t="shared" si="53"/>
        <v>without CL</v>
      </c>
      <c r="E181" s="3" t="s">
        <v>23</v>
      </c>
      <c r="F181" s="41">
        <f t="array" ref="F181">IFERROR(INDEX(Usage!$B$5:$P$18,MATCH($B181,Usage!$B$5:$B$18,0),MATCH($C181&amp;$D181&amp;$E181,Usage!$B$5:$S$5&amp;Usage!$B$6:$S$6&amp;Usage!$B$7:$S$7,0)),0)</f>
        <v>20000</v>
      </c>
      <c r="G181" s="77" t="s">
        <v>62</v>
      </c>
      <c r="H181" s="95"/>
      <c r="I181" s="95"/>
      <c r="J181" s="95">
        <f>SUM(J179:J180)</f>
        <v>2014.4195500000001</v>
      </c>
      <c r="K181" s="87"/>
      <c r="L181" s="88"/>
      <c r="M181" s="48">
        <f t="shared" si="54"/>
        <v>3.9307526577569085E-2</v>
      </c>
      <c r="N181" s="88"/>
      <c r="O181" s="95"/>
      <c r="P181" s="95"/>
      <c r="Q181" s="95">
        <f>SUM(Q179:Q180)</f>
        <v>2093.6014</v>
      </c>
      <c r="R181" s="87"/>
    </row>
    <row r="182" spans="2:22" outlineLevel="1" x14ac:dyDescent="0.35">
      <c r="B182" s="3" t="str">
        <f t="shared" si="53"/>
        <v>Energex</v>
      </c>
      <c r="C182" s="3" t="str">
        <f t="shared" si="53"/>
        <v>Small business</v>
      </c>
      <c r="D182" s="3" t="str">
        <f t="shared" si="53"/>
        <v>without CL</v>
      </c>
      <c r="E182" s="77"/>
      <c r="F182" s="78"/>
      <c r="G182" s="77" t="s">
        <v>42</v>
      </c>
      <c r="H182" s="95"/>
      <c r="I182" s="95"/>
      <c r="J182" s="95">
        <f>J181*GST</f>
        <v>201.44195500000001</v>
      </c>
      <c r="K182" s="87"/>
      <c r="L182" s="88"/>
      <c r="M182" s="48">
        <f t="shared" si="54"/>
        <v>3.9307526577569085E-2</v>
      </c>
      <c r="N182" s="88"/>
      <c r="O182" s="95"/>
      <c r="P182" s="95"/>
      <c r="Q182" s="95">
        <f>Q181*GST</f>
        <v>209.36014</v>
      </c>
      <c r="R182" s="87"/>
    </row>
    <row r="183" spans="2:22" x14ac:dyDescent="0.35">
      <c r="B183" s="3" t="str">
        <f t="shared" si="53"/>
        <v>Energex</v>
      </c>
      <c r="C183" s="3" t="str">
        <f t="shared" si="53"/>
        <v>Small business</v>
      </c>
      <c r="D183" s="3" t="str">
        <f t="shared" si="53"/>
        <v>without CL</v>
      </c>
      <c r="E183" s="77"/>
      <c r="F183" s="78"/>
      <c r="G183" s="5" t="s">
        <v>90</v>
      </c>
      <c r="H183" s="94"/>
      <c r="I183" s="94"/>
      <c r="J183" s="94">
        <f>SUM(J181:J182)</f>
        <v>2215.8615049999999</v>
      </c>
      <c r="K183" s="75"/>
      <c r="L183" s="27"/>
      <c r="M183" s="76">
        <f t="shared" si="54"/>
        <v>3.9307526577569307E-2</v>
      </c>
      <c r="N183" s="27"/>
      <c r="O183" s="94"/>
      <c r="P183" s="94"/>
      <c r="Q183" s="94">
        <f>SUM(Q181:Q182)</f>
        <v>2302.9615400000002</v>
      </c>
      <c r="R183" s="75"/>
    </row>
    <row r="185" spans="2:22" x14ac:dyDescent="0.35">
      <c r="B185" s="5" t="s">
        <v>5</v>
      </c>
      <c r="C185" s="5" t="s">
        <v>6</v>
      </c>
      <c r="D185" s="5" t="s">
        <v>150</v>
      </c>
      <c r="F185" s="41"/>
      <c r="G185" s="73"/>
      <c r="K185" s="43"/>
      <c r="M185" s="48"/>
      <c r="R185" s="43"/>
    </row>
    <row r="186" spans="2:22" outlineLevel="1" x14ac:dyDescent="0.35">
      <c r="B186" s="3" t="str">
        <f t="shared" ref="B186:B193" si="55">B185</f>
        <v>SAPN</v>
      </c>
      <c r="C186" s="3" t="str">
        <f t="shared" ref="C186:C193" si="56">C185</f>
        <v>Residential</v>
      </c>
      <c r="D186" s="3" t="str">
        <f t="shared" ref="D186:D193" si="57">D185</f>
        <v>without CL</v>
      </c>
      <c r="E186" s="3" t="s">
        <v>23</v>
      </c>
      <c r="F186" s="41">
        <f t="array" ref="F186">IFERROR(INDEX(Usage!$B$5:$P$18,MATCH($B186,Usage!$B$5:$B$18,0),MATCH($C186&amp;$D186&amp;$E186,Usage!$B$5:$S$5&amp;Usage!$B$6:$S$6&amp;Usage!$B$7:$S$7,0)),0)</f>
        <v>4000</v>
      </c>
      <c r="G186" s="3" t="s">
        <v>57</v>
      </c>
      <c r="H186" s="89" t="str">
        <f t="array" ref="H186">IFERROR(INDEX('Detail inputs'!$B$3:$K$168,MATCH($B186&amp;$C186&amp;$E186&amp;$G186&amp;H$5,'Detail inputs'!$B$3:$B$168&amp;'Detail inputs'!$D$3:$D$168&amp;'Detail inputs'!$F$3:$F$168&amp;'Detail inputs'!$G$3:$G$168&amp;'Detail inputs'!$H$3:$H$168,0),MATCH(H$4,'Detail inputs'!$B$3:$K$3,0)),"")</f>
        <v/>
      </c>
      <c r="I186" s="89" t="str">
        <f t="array" ref="I186">IFERROR(INDEX('Detail inputs'!$B$3:$K$168,MATCH($B186&amp;$C186&amp;$E186&amp;$G186&amp;I$5,'Detail inputs'!$B$3:$B$168&amp;'Detail inputs'!$D$3:$D$168&amp;'Detail inputs'!$F$3:$F$168&amp;'Detail inputs'!$G$3:$G$168&amp;'Detail inputs'!$H$3:$H$168,0),MATCH(I$4,'Detail inputs'!$B$3:$K$3,0)),"")</f>
        <v/>
      </c>
      <c r="J186" s="89" t="str">
        <f>IFERROR(IF(H186="",I186*$F186/1000,IF(I186="",H186,H186+I186*$F186/1000)),"")</f>
        <v/>
      </c>
      <c r="K186" s="43" t="str">
        <f>IFERROR(J186/J189,"")</f>
        <v/>
      </c>
      <c r="L186" s="43"/>
      <c r="M186" s="48" t="str">
        <f t="shared" ref="M186:M193" si="58">IF(OR(J186=0,J186="",Q186=""),"",Q186/J186-1)</f>
        <v/>
      </c>
      <c r="N186" s="43"/>
      <c r="O186" s="89" t="str">
        <f t="array" ref="O186">IFERROR(INDEX('Detail inputs'!$B$3:$K$168,MATCH($B186&amp;$C186&amp;$E186&amp;$G186&amp;O$5,'Detail inputs'!$B$3:$B$168&amp;'Detail inputs'!$D$3:$D$168&amp;'Detail inputs'!$F$3:$F$168&amp;'Detail inputs'!$G$3:$G$168&amp;'Detail inputs'!$H$3:$H$168,0),MATCH(O$4,'Detail inputs'!$B$3:$K$3,0)),"")</f>
        <v/>
      </c>
      <c r="P186" s="89" t="str">
        <f t="array" ref="P186">IFERROR(INDEX('Detail inputs'!$B$3:$K$168,MATCH($B186&amp;$C186&amp;$E186&amp;$G186&amp;P$5,'Detail inputs'!$B$3:$B$168&amp;'Detail inputs'!$D$3:$D$168&amp;'Detail inputs'!$F$3:$F$168&amp;'Detail inputs'!$G$3:$G$168&amp;'Detail inputs'!$H$3:$H$168,0),MATCH(P$4,'Detail inputs'!$B$3:$K$3,0)),"")</f>
        <v/>
      </c>
      <c r="Q186" s="89" t="str">
        <f>IFERROR(IF(O186="",P186*$F186/1000,IF(P186="",O186,O186+P186*$F186/1000)),"")</f>
        <v/>
      </c>
      <c r="R186" s="43" t="str">
        <f>IFERROR(Q186/#REF!,"")</f>
        <v/>
      </c>
    </row>
    <row r="187" spans="2:22" outlineLevel="1" x14ac:dyDescent="0.35">
      <c r="B187" s="3" t="str">
        <f t="shared" si="55"/>
        <v>SAPN</v>
      </c>
      <c r="C187" s="3" t="str">
        <f t="shared" si="56"/>
        <v>Residential</v>
      </c>
      <c r="D187" s="3" t="str">
        <f t="shared" si="57"/>
        <v>without CL</v>
      </c>
      <c r="E187" s="3" t="s">
        <v>23</v>
      </c>
      <c r="F187" s="41">
        <f t="array" ref="F187">IFERROR(INDEX(Usage!$B$5:$P$18,MATCH($B187,Usage!$B$5:$B$18,0),MATCH($C187&amp;$D187&amp;$E187,Usage!$B$5:$S$5&amp;Usage!$B$6:$S$6&amp;Usage!$B$7:$S$7,0)),0)</f>
        <v>4000</v>
      </c>
      <c r="G187" s="3" t="s">
        <v>58</v>
      </c>
      <c r="H187" s="89" t="str">
        <f t="array" ref="H187">IFERROR(INDEX('Detail inputs'!$B$3:$K$168,MATCH($B187&amp;$C187&amp;$E187&amp;$G187&amp;H$5,'Detail inputs'!$B$3:$B$168&amp;'Detail inputs'!$D$3:$D$168&amp;'Detail inputs'!$F$3:$F$168&amp;'Detail inputs'!$G$3:$G$168&amp;'Detail inputs'!$H$3:$H$168,0),MATCH(H$4,'Detail inputs'!$B$3:$K$3,0)),"")</f>
        <v/>
      </c>
      <c r="I187" s="89" t="str">
        <f t="array" ref="I187">IFERROR(INDEX('Detail inputs'!$B$3:$K$168,MATCH($B187&amp;$C187&amp;$E187&amp;$G187&amp;I$5,'Detail inputs'!$B$3:$B$168&amp;'Detail inputs'!$D$3:$D$168&amp;'Detail inputs'!$F$3:$F$168&amp;'Detail inputs'!$G$3:$G$168&amp;'Detail inputs'!$H$3:$H$168,0),MATCH(I$4,'Detail inputs'!$B$3:$K$3,0)),"")</f>
        <v/>
      </c>
      <c r="J187" s="89" t="str">
        <f>IFERROR(IF(H187="",I187*$F187/1000,IF(I187="",H187,H187+I187*$F187/1000)),"")</f>
        <v/>
      </c>
      <c r="K187" s="43" t="str">
        <f>IFERROR(J187/J189,"")</f>
        <v/>
      </c>
      <c r="L187" s="43"/>
      <c r="M187" s="48" t="str">
        <f t="shared" si="58"/>
        <v/>
      </c>
      <c r="N187" s="43"/>
      <c r="O187" s="89" t="str">
        <f t="array" ref="O187">IFERROR(INDEX('Detail inputs'!$B$3:$K$168,MATCH($B187&amp;$C187&amp;$E187&amp;$G187&amp;O$5,'Detail inputs'!$B$3:$B$168&amp;'Detail inputs'!$D$3:$D$168&amp;'Detail inputs'!$F$3:$F$168&amp;'Detail inputs'!$G$3:$G$168&amp;'Detail inputs'!$H$3:$H$168,0),MATCH(O$4,'Detail inputs'!$B$3:$K$3,0)),"")</f>
        <v/>
      </c>
      <c r="P187" s="89" t="str">
        <f t="array" ref="P187">IFERROR(INDEX('Detail inputs'!$B$3:$K$168,MATCH($B187&amp;$C187&amp;$E187&amp;$G187&amp;P$5,'Detail inputs'!$B$3:$B$168&amp;'Detail inputs'!$D$3:$D$168&amp;'Detail inputs'!$F$3:$F$168&amp;'Detail inputs'!$G$3:$G$168&amp;'Detail inputs'!$H$3:$H$168,0),MATCH(P$4,'Detail inputs'!$B$3:$K$3,0)),"")</f>
        <v/>
      </c>
      <c r="Q187" s="89" t="str">
        <f>IFERROR(IF(O187="",P187*$F187/1000,IF(P187="",O187,O187+P187*$F187/1000)),"")</f>
        <v/>
      </c>
      <c r="R187" s="43" t="str">
        <f>IFERROR(Q187/Q189,"")</f>
        <v/>
      </c>
    </row>
    <row r="188" spans="2:22" outlineLevel="1" x14ac:dyDescent="0.35">
      <c r="B188" s="3" t="str">
        <f t="shared" si="55"/>
        <v>SAPN</v>
      </c>
      <c r="C188" s="3" t="str">
        <f t="shared" si="56"/>
        <v>Residential</v>
      </c>
      <c r="D188" s="3" t="str">
        <f t="shared" si="57"/>
        <v>without CL</v>
      </c>
      <c r="E188" s="3" t="s">
        <v>23</v>
      </c>
      <c r="F188" s="41">
        <f t="array" ref="F188">IFERROR(INDEX(Usage!$B$5:$P$18,MATCH($B188,Usage!$B$5:$B$18,0),MATCH($C188&amp;$D188&amp;$E188,Usage!$B$5:$S$5&amp;Usage!$B$6:$S$6&amp;Usage!$B$7:$S$7,0)),0)</f>
        <v>4000</v>
      </c>
      <c r="G188" s="3" t="s">
        <v>87</v>
      </c>
      <c r="H188" s="89" t="str">
        <f t="array" ref="H188">IFERROR(INDEX('Detail inputs'!$B$3:$K$168,MATCH($B188&amp;$C188&amp;$E188&amp;$G188&amp;H$5,'Detail inputs'!$B$3:$B$168&amp;'Detail inputs'!$D$3:$D$168&amp;'Detail inputs'!$F$3:$F$168&amp;'Detail inputs'!$G$3:$G$168&amp;'Detail inputs'!$H$3:$H$168,0),MATCH(H$4,'Detail inputs'!$B$3:$K$3,0)),"")</f>
        <v/>
      </c>
      <c r="I188" s="89" t="str">
        <f t="array" ref="I188">IFERROR(INDEX('Detail inputs'!$B$3:$K$168,MATCH($B188&amp;$C188&amp;$E188&amp;$G188&amp;I$5,'Detail inputs'!$B$3:$B$168&amp;'Detail inputs'!$D$3:$D$168&amp;'Detail inputs'!$F$3:$F$168&amp;'Detail inputs'!$G$3:$G$168&amp;'Detail inputs'!$H$3:$H$168,0),MATCH(I$4,'Detail inputs'!$B$3:$K$3,0)),"")</f>
        <v/>
      </c>
      <c r="J188" s="89" t="str">
        <f>IFERROR(IF(H188="",I188*$F188/1000,IF(I188="",H188,H188+I188*$F188/1000)),"")</f>
        <v/>
      </c>
      <c r="K188" s="43" t="str">
        <f>IFERROR(J188/J189,"")</f>
        <v/>
      </c>
      <c r="L188" s="43"/>
      <c r="M188" s="48" t="str">
        <f t="shared" si="58"/>
        <v/>
      </c>
      <c r="N188" s="43"/>
      <c r="O188" s="89" t="str">
        <f t="array" ref="O188">IFERROR(INDEX('Detail inputs'!$B$3:$K$168,MATCH($B188&amp;$C188&amp;$E188&amp;$G188&amp;O$5,'Detail inputs'!$B$3:$B$168&amp;'Detail inputs'!$D$3:$D$168&amp;'Detail inputs'!$F$3:$F$168&amp;'Detail inputs'!$G$3:$G$168&amp;'Detail inputs'!$H$3:$H$168,0),MATCH(O$4,'Detail inputs'!$B$3:$K$3,0)),"")</f>
        <v/>
      </c>
      <c r="P188" s="89" t="str">
        <f t="array" ref="P188">IFERROR(INDEX('Detail inputs'!$B$3:$K$168,MATCH($B188&amp;$C188&amp;$E188&amp;$G188&amp;P$5,'Detail inputs'!$B$3:$B$168&amp;'Detail inputs'!$D$3:$D$168&amp;'Detail inputs'!$F$3:$F$168&amp;'Detail inputs'!$G$3:$G$168&amp;'Detail inputs'!$H$3:$H$168,0),MATCH(P$4,'Detail inputs'!$B$3:$K$3,0)),"")</f>
        <v/>
      </c>
      <c r="Q188" s="89" t="str">
        <f>IFERROR(IF(O188="",P188*$F188/1000,IF(P188="",O188,O188+P188*$F188/1000)),"")</f>
        <v/>
      </c>
      <c r="R188" s="43" t="str">
        <f>IFERROR(Q188/Q189,"")</f>
        <v/>
      </c>
    </row>
    <row r="189" spans="2:22" x14ac:dyDescent="0.35">
      <c r="B189" s="3" t="str">
        <f t="shared" si="55"/>
        <v>SAPN</v>
      </c>
      <c r="C189" s="3" t="str">
        <f t="shared" si="56"/>
        <v>Residential</v>
      </c>
      <c r="D189" s="3" t="str">
        <f t="shared" si="57"/>
        <v>without CL</v>
      </c>
      <c r="E189" s="3" t="s">
        <v>23</v>
      </c>
      <c r="F189" s="41">
        <f t="array" ref="F189">IFERROR(INDEX(Usage!$B$5:$P$18,MATCH($B189,Usage!$B$5:$B$18,0),MATCH($C189&amp;$D189&amp;$E189,Usage!$B$5:$S$5&amp;Usage!$B$6:$S$6&amp;Usage!$B$7:$S$7,0)),0)</f>
        <v>4000</v>
      </c>
      <c r="G189" s="3" t="s">
        <v>64</v>
      </c>
      <c r="H189" s="95">
        <f t="array" ref="H189">INDEX('Key inputs'!$B$16:$N$40,MATCH($B189&amp;$C189&amp;$E189,'Key inputs'!$B$16:$B$40&amp;'Key inputs'!$C$16:$C$40&amp;'Key inputs'!$D$16:$D$40,0),MATCH($G189&amp;H$4&amp;H$5,'Key inputs'!$B$17:$N$17&amp;'Key inputs'!$B$18:$N$18&amp;'Key inputs'!$B$19:$N$19,0))</f>
        <v>170</v>
      </c>
      <c r="I189" s="95">
        <f t="array" ref="I189">INDEX('Key inputs'!$B$16:$N$40,MATCH($B189&amp;$C189&amp;$E189,'Key inputs'!$B$16:$B$40&amp;'Key inputs'!$C$16:$C$40&amp;'Key inputs'!$D$16:$D$40,0),MATCH($G189&amp;I$4&amp;I$5,'Key inputs'!$B$17:$N$17&amp;'Key inputs'!$B$18:$N$18&amp;'Key inputs'!$B$19:$N$19,0))</f>
        <v>132.30000000000001</v>
      </c>
      <c r="J189" s="89">
        <f>H189+I189*$F189/1000</f>
        <v>699.2</v>
      </c>
      <c r="K189" s="43">
        <f>IFERROR(J189/J191,"")</f>
        <v>0.96817967819657147</v>
      </c>
      <c r="L189" s="43"/>
      <c r="M189" s="48">
        <f t="shared" si="58"/>
        <v>3.1490274599542456E-2</v>
      </c>
      <c r="N189" s="43"/>
      <c r="O189" s="95">
        <f t="array" ref="O189">INDEX('Key inputs'!$B$16:$N$40,MATCH($B189&amp;$C189&amp;$E189,'Key inputs'!$B$16:$B$40&amp;'Key inputs'!$C$16:$C$40&amp;'Key inputs'!$D$16:$D$40,0),MATCH($G189&amp;O$4&amp;O$5,'Key inputs'!$B$17:$N$17&amp;'Key inputs'!$B$18:$N$18&amp;'Key inputs'!$B$19:$N$19,0))</f>
        <v>180.018</v>
      </c>
      <c r="P189" s="95">
        <f t="array" ref="P189">INDEX('Key inputs'!$B$16:$N$40,MATCH($B189&amp;$C189&amp;$E189,'Key inputs'!$B$16:$B$40&amp;'Key inputs'!$C$16:$C$40&amp;'Key inputs'!$D$16:$D$40,0),MATCH($G189&amp;P$4&amp;P$5,'Key inputs'!$B$17:$N$17&amp;'Key inputs'!$B$18:$N$18&amp;'Key inputs'!$B$19:$N$19,0))</f>
        <v>135.30000000000001</v>
      </c>
      <c r="Q189" s="89">
        <f>O189+P189*$F189/1000</f>
        <v>721.21800000000007</v>
      </c>
      <c r="R189" s="43">
        <f>IFERROR(Q189/Q191,"")</f>
        <v>0.96888677526740452</v>
      </c>
      <c r="S189" s="129"/>
      <c r="T189" s="129"/>
      <c r="U189" s="129"/>
      <c r="V189" s="129"/>
    </row>
    <row r="190" spans="2:22" x14ac:dyDescent="0.35">
      <c r="B190" s="3" t="str">
        <f t="shared" si="55"/>
        <v>SAPN</v>
      </c>
      <c r="C190" s="3" t="str">
        <f t="shared" si="56"/>
        <v>Residential</v>
      </c>
      <c r="D190" s="3" t="str">
        <f t="shared" si="57"/>
        <v>without CL</v>
      </c>
      <c r="E190" s="3" t="s">
        <v>23</v>
      </c>
      <c r="F190" s="41">
        <f t="array" ref="F190">IFERROR(INDEX(Usage!$B$5:$P$18,MATCH($B190,Usage!$B$5:$B$18,0),MATCH($C190&amp;$D190&amp;$E190,Usage!$B$5:$S$5&amp;Usage!$B$6:$S$6&amp;Usage!$B$7:$S$7,0)),0)</f>
        <v>4000</v>
      </c>
      <c r="G190" s="3" t="s">
        <v>68</v>
      </c>
      <c r="H190" s="95">
        <f t="array" ref="H190">INDEX('Key inputs'!$B$16:$N$40,MATCH($B190&amp;$C190&amp;$E190,'Key inputs'!$B$16:$B$40&amp;'Key inputs'!$C$16:$C$40&amp;'Key inputs'!$D$16:$D$40,0),MATCH($G190&amp;H$4&amp;H$5,'Key inputs'!$B$17:$N$17&amp;'Key inputs'!$B$18:$N$18&amp;'Key inputs'!$B$19:$N$19,0))</f>
        <v>22.98</v>
      </c>
      <c r="I190" s="89">
        <f>IFERROR(INDEX('Detail inputs'!$B$3:$K$168,MATCH($B190&amp;$C190&amp;$E190&amp;$G190&amp;I$5,'Detail inputs'!$B$3:$B$168&amp;'Detail inputs'!$D$3:$D$168&amp;'Detail inputs'!$F$3:$F$168&amp;'Detail inputs'!$G$3:$G$168&amp;'Detail inputs'!$H$3:$H$168,0),MATCH(I$4,'Detail inputs'!$B$3:$K$3,0)),0)</f>
        <v>0</v>
      </c>
      <c r="J190" s="89">
        <f>H190+I190*$F190/1000</f>
        <v>22.98</v>
      </c>
      <c r="K190" s="43">
        <f>IFERROR(J190/J191,"")</f>
        <v>3.1820321803428503E-2</v>
      </c>
      <c r="L190" s="43"/>
      <c r="M190" s="48">
        <f t="shared" si="58"/>
        <v>7.8328981723236879E-3</v>
      </c>
      <c r="N190" s="43"/>
      <c r="O190" s="95">
        <f t="array" ref="O190">INDEX('Key inputs'!$B$16:$N$40,MATCH($B190&amp;$C190&amp;$E190,'Key inputs'!$B$16:$B$40&amp;'Key inputs'!$C$16:$C$40&amp;'Key inputs'!$D$16:$D$40,0),MATCH($G190&amp;O$4&amp;O$5,'Key inputs'!$B$17:$N$17&amp;'Key inputs'!$B$18:$N$18&amp;'Key inputs'!$B$19:$N$19,0))</f>
        <v>23.16</v>
      </c>
      <c r="P190" s="89">
        <f>IFERROR(INDEX('Detail inputs'!$B$3:$K$168,MATCH($B190&amp;$C190&amp;$E190&amp;$G190&amp;P$5,'Detail inputs'!$B$3:$B$168&amp;'Detail inputs'!$D$3:$D$168&amp;'Detail inputs'!$F$3:$F$168&amp;'Detail inputs'!$G$3:$G$168&amp;'Detail inputs'!$H$3:$H$168,0),MATCH(P$4,'Detail inputs'!$B$3:$K$3,0)),0)</f>
        <v>0</v>
      </c>
      <c r="Q190" s="89">
        <f>O190+P190*$F190/1000</f>
        <v>23.16</v>
      </c>
      <c r="R190" s="43">
        <f>IFERROR(Q190/Q191,"")</f>
        <v>3.1113224732595535E-2</v>
      </c>
    </row>
    <row r="191" spans="2:22" s="77" customFormat="1" x14ac:dyDescent="0.35">
      <c r="B191" s="77" t="str">
        <f t="shared" si="55"/>
        <v>SAPN</v>
      </c>
      <c r="C191" s="77" t="str">
        <f t="shared" si="56"/>
        <v>Residential</v>
      </c>
      <c r="D191" s="77" t="str">
        <f t="shared" si="57"/>
        <v>without CL</v>
      </c>
      <c r="E191" s="3" t="s">
        <v>23</v>
      </c>
      <c r="F191" s="41">
        <f t="array" ref="F191">IFERROR(INDEX(Usage!$B$5:$P$18,MATCH($B191,Usage!$B$5:$B$18,0),MATCH($C191&amp;$D191&amp;$E191,Usage!$B$5:$S$5&amp;Usage!$B$6:$S$6&amp;Usage!$B$7:$S$7,0)),0)</f>
        <v>4000</v>
      </c>
      <c r="G191" s="77" t="s">
        <v>62</v>
      </c>
      <c r="H191" s="95"/>
      <c r="I191" s="95"/>
      <c r="J191" s="95">
        <f>SUM(J189:J190)</f>
        <v>722.18000000000006</v>
      </c>
      <c r="K191" s="87"/>
      <c r="L191" s="88"/>
      <c r="M191" s="48">
        <f t="shared" si="58"/>
        <v>3.0737489268603424E-2</v>
      </c>
      <c r="N191" s="88"/>
      <c r="O191" s="95"/>
      <c r="P191" s="95"/>
      <c r="Q191" s="95">
        <f>SUM(Q189:Q190)</f>
        <v>744.37800000000004</v>
      </c>
      <c r="R191" s="87"/>
    </row>
    <row r="192" spans="2:22" outlineLevel="1" x14ac:dyDescent="0.35">
      <c r="B192" s="3" t="str">
        <f t="shared" si="55"/>
        <v>SAPN</v>
      </c>
      <c r="C192" s="3" t="str">
        <f t="shared" si="56"/>
        <v>Residential</v>
      </c>
      <c r="D192" s="3" t="str">
        <f t="shared" si="57"/>
        <v>without CL</v>
      </c>
      <c r="F192" s="41"/>
      <c r="G192" s="77" t="s">
        <v>42</v>
      </c>
      <c r="H192" s="95"/>
      <c r="I192" s="95"/>
      <c r="J192" s="95">
        <f>J191*GST</f>
        <v>72.218000000000004</v>
      </c>
      <c r="K192" s="87"/>
      <c r="L192" s="88"/>
      <c r="M192" s="48">
        <f t="shared" si="58"/>
        <v>3.0737489268603424E-2</v>
      </c>
      <c r="N192" s="88"/>
      <c r="O192" s="95"/>
      <c r="P192" s="95"/>
      <c r="Q192" s="95">
        <f>Q191*GST</f>
        <v>74.43780000000001</v>
      </c>
      <c r="R192" s="87"/>
    </row>
    <row r="193" spans="2:22" x14ac:dyDescent="0.35">
      <c r="B193" s="3" t="str">
        <f t="shared" si="55"/>
        <v>SAPN</v>
      </c>
      <c r="C193" s="3" t="str">
        <f t="shared" si="56"/>
        <v>Residential</v>
      </c>
      <c r="D193" s="3" t="str">
        <f t="shared" si="57"/>
        <v>without CL</v>
      </c>
      <c r="F193" s="41"/>
      <c r="G193" s="5" t="s">
        <v>90</v>
      </c>
      <c r="H193" s="94"/>
      <c r="I193" s="94"/>
      <c r="J193" s="94">
        <f>SUM(J191:J192)</f>
        <v>794.39800000000002</v>
      </c>
      <c r="K193" s="75"/>
      <c r="L193" s="27"/>
      <c r="M193" s="76">
        <f t="shared" si="58"/>
        <v>3.0737489268603424E-2</v>
      </c>
      <c r="N193" s="27"/>
      <c r="O193" s="94"/>
      <c r="P193" s="94"/>
      <c r="Q193" s="94">
        <f>SUM(Q191:Q192)</f>
        <v>818.81580000000008</v>
      </c>
      <c r="R193" s="75"/>
    </row>
    <row r="194" spans="2:22" x14ac:dyDescent="0.35">
      <c r="F194" s="41"/>
      <c r="K194" s="43"/>
      <c r="M194" s="48"/>
      <c r="R194" s="43"/>
    </row>
    <row r="195" spans="2:22" x14ac:dyDescent="0.35">
      <c r="B195" s="5" t="s">
        <v>5</v>
      </c>
      <c r="C195" s="5" t="s">
        <v>6</v>
      </c>
      <c r="D195" s="5" t="s">
        <v>151</v>
      </c>
      <c r="F195" s="41"/>
      <c r="K195" s="43"/>
      <c r="M195" s="48"/>
      <c r="R195" s="43"/>
    </row>
    <row r="196" spans="2:22" outlineLevel="1" x14ac:dyDescent="0.35">
      <c r="B196" s="3" t="str">
        <f>B195</f>
        <v>SAPN</v>
      </c>
      <c r="C196" s="3" t="str">
        <f t="shared" ref="C196:C207" si="59">C195</f>
        <v>Residential</v>
      </c>
      <c r="D196" s="3" t="str">
        <f t="shared" ref="D196:D207" si="60">D195</f>
        <v>with CL</v>
      </c>
      <c r="E196" s="3" t="s">
        <v>23</v>
      </c>
      <c r="F196" s="41">
        <f t="array" ref="F196">IFERROR(INDEX(Usage!$B$5:$P$18,MATCH($B196,Usage!$B$5:$B$18,0),MATCH($C196&amp;$D196&amp;$E196,Usage!$B$5:$S$5&amp;Usage!$B$6:$S$6&amp;Usage!$B$7:$S$7,0)),0)</f>
        <v>4200</v>
      </c>
      <c r="G196" s="3" t="s">
        <v>57</v>
      </c>
      <c r="H196" s="89" t="str">
        <f t="array" ref="H196">IFERROR(INDEX('Detail inputs'!$B$3:$K$168,MATCH($B196&amp;$C196&amp;$E196&amp;$G196&amp;H$5,'Detail inputs'!$B$3:$B$168&amp;'Detail inputs'!$D$3:$D$168&amp;'Detail inputs'!$F$3:$F$168&amp;'Detail inputs'!$G$3:$G$168&amp;'Detail inputs'!$H$3:$H$168,0),MATCH(H$4,'Detail inputs'!$B$3:$K$3,0)),"")</f>
        <v/>
      </c>
      <c r="I196" s="89" t="str">
        <f t="array" ref="I196">IFERROR(INDEX('Detail inputs'!$B$3:$K$168,MATCH($B196&amp;$C196&amp;$E196&amp;$G196&amp;I$5,'Detail inputs'!$B$3:$B$168&amp;'Detail inputs'!$D$3:$D$168&amp;'Detail inputs'!$F$3:$F$168&amp;'Detail inputs'!$G$3:$G$168&amp;'Detail inputs'!$H$3:$H$168,0),MATCH(I$4,'Detail inputs'!$B$3:$K$3,0)),"")</f>
        <v/>
      </c>
      <c r="J196" s="89" t="str">
        <f>IFERROR(IF(H196="",I196*$F196/1000,IF(I196="",H196,H196+I196*$F196/1000)),"")</f>
        <v/>
      </c>
      <c r="K196" s="43" t="str">
        <f>IFERROR(J196/J199,"")</f>
        <v/>
      </c>
      <c r="L196" s="43"/>
      <c r="M196" s="48" t="str">
        <f>IF(OR(J196=0,J196="",Q196=""),"",Q196/J196-1)</f>
        <v/>
      </c>
      <c r="N196" s="43"/>
      <c r="O196" s="89" t="str">
        <f t="array" ref="O196">IFERROR(INDEX('Detail inputs'!$B$3:$K$168,MATCH($B196&amp;$C196&amp;$E196&amp;$G196&amp;O$5,'Detail inputs'!$B$3:$B$168&amp;'Detail inputs'!$D$3:$D$168&amp;'Detail inputs'!$F$3:$F$168&amp;'Detail inputs'!$G$3:$G$168&amp;'Detail inputs'!$H$3:$H$168,0),MATCH(O$4,'Detail inputs'!$B$3:$K$3,0)),"")</f>
        <v/>
      </c>
      <c r="P196" s="89" t="str">
        <f t="array" ref="P196">IFERROR(INDEX('Detail inputs'!$B$3:$K$168,MATCH($B196&amp;$C196&amp;$E196&amp;$G196&amp;P$5,'Detail inputs'!$B$3:$B$168&amp;'Detail inputs'!$D$3:$D$168&amp;'Detail inputs'!$F$3:$F$168&amp;'Detail inputs'!$G$3:$G$168&amp;'Detail inputs'!$H$3:$H$168,0),MATCH(P$4,'Detail inputs'!$B$3:$K$3,0)),"")</f>
        <v/>
      </c>
      <c r="Q196" s="89" t="str">
        <f>IFERROR(IF(O196="",P196*$F196/1000,IF(P196="",O196,O196+P196*$F196/1000)),"")</f>
        <v/>
      </c>
      <c r="R196" s="43" t="str">
        <f>IFERROR(Q196/#REF!,"")</f>
        <v/>
      </c>
    </row>
    <row r="197" spans="2:22" outlineLevel="1" x14ac:dyDescent="0.35">
      <c r="B197" s="3" t="str">
        <f>B196</f>
        <v>SAPN</v>
      </c>
      <c r="C197" s="3" t="str">
        <f t="shared" si="59"/>
        <v>Residential</v>
      </c>
      <c r="D197" s="3" t="str">
        <f t="shared" si="60"/>
        <v>with CL</v>
      </c>
      <c r="E197" s="3" t="s">
        <v>23</v>
      </c>
      <c r="F197" s="41">
        <f t="array" ref="F197">IFERROR(INDEX(Usage!$B$5:$P$18,MATCH($B197,Usage!$B$5:$B$18,0),MATCH($C197&amp;$D197&amp;$E197,Usage!$B$5:$S$5&amp;Usage!$B$6:$S$6&amp;Usage!$B$7:$S$7,0)),0)</f>
        <v>4200</v>
      </c>
      <c r="G197" s="3" t="s">
        <v>58</v>
      </c>
      <c r="H197" s="89" t="str">
        <f t="array" ref="H197">IFERROR(INDEX('Detail inputs'!$B$3:$K$168,MATCH($B197&amp;$C197&amp;$E197&amp;$G197&amp;H$5,'Detail inputs'!$B$3:$B$168&amp;'Detail inputs'!$D$3:$D$168&amp;'Detail inputs'!$F$3:$F$168&amp;'Detail inputs'!$G$3:$G$168&amp;'Detail inputs'!$H$3:$H$168,0),MATCH(H$4,'Detail inputs'!$B$3:$K$3,0)),"")</f>
        <v/>
      </c>
      <c r="I197" s="89" t="str">
        <f t="array" ref="I197">IFERROR(INDEX('Detail inputs'!$B$3:$K$168,MATCH($B197&amp;$C197&amp;$E197&amp;$G197&amp;I$5,'Detail inputs'!$B$3:$B$168&amp;'Detail inputs'!$D$3:$D$168&amp;'Detail inputs'!$F$3:$F$168&amp;'Detail inputs'!$G$3:$G$168&amp;'Detail inputs'!$H$3:$H$168,0),MATCH(I$4,'Detail inputs'!$B$3:$K$3,0)),"")</f>
        <v/>
      </c>
      <c r="J197" s="89" t="str">
        <f>IFERROR(IF(H197="",I197*$F197/1000,IF(I197="",H197,H197+I197*$F197/1000)),"")</f>
        <v/>
      </c>
      <c r="K197" s="43" t="str">
        <f>IFERROR(J197/J199,"")</f>
        <v/>
      </c>
      <c r="L197" s="43"/>
      <c r="M197" s="48" t="str">
        <f>IF(OR(J197=0,J197="",Q197=""),"",Q197/J197-1)</f>
        <v/>
      </c>
      <c r="N197" s="43"/>
      <c r="O197" s="89" t="str">
        <f t="array" ref="O197">IFERROR(INDEX('Detail inputs'!$B$3:$K$168,MATCH($B197&amp;$C197&amp;$E197&amp;$G197&amp;O$5,'Detail inputs'!$B$3:$B$168&amp;'Detail inputs'!$D$3:$D$168&amp;'Detail inputs'!$F$3:$F$168&amp;'Detail inputs'!$G$3:$G$168&amp;'Detail inputs'!$H$3:$H$168,0),MATCH(O$4,'Detail inputs'!$B$3:$K$3,0)),"")</f>
        <v/>
      </c>
      <c r="P197" s="89" t="str">
        <f t="array" ref="P197">IFERROR(INDEX('Detail inputs'!$B$3:$K$168,MATCH($B197&amp;$C197&amp;$E197&amp;$G197&amp;P$5,'Detail inputs'!$B$3:$B$168&amp;'Detail inputs'!$D$3:$D$168&amp;'Detail inputs'!$F$3:$F$168&amp;'Detail inputs'!$G$3:$G$168&amp;'Detail inputs'!$H$3:$H$168,0),MATCH(P$4,'Detail inputs'!$B$3:$K$3,0)),"")</f>
        <v/>
      </c>
      <c r="Q197" s="89" t="str">
        <f>IFERROR(IF(O197="",P197*$F197/1000,IF(P197="",O197,O197+P197*$F197/1000)),"")</f>
        <v/>
      </c>
      <c r="R197" s="43" t="str">
        <f>IFERROR(Q197/Q199,"")</f>
        <v/>
      </c>
    </row>
    <row r="198" spans="2:22" outlineLevel="1" x14ac:dyDescent="0.35">
      <c r="B198" s="3" t="str">
        <f t="shared" ref="B198:B207" si="61">B197</f>
        <v>SAPN</v>
      </c>
      <c r="C198" s="3" t="str">
        <f t="shared" si="59"/>
        <v>Residential</v>
      </c>
      <c r="D198" s="3" t="str">
        <f t="shared" si="60"/>
        <v>with CL</v>
      </c>
      <c r="E198" s="3" t="s">
        <v>23</v>
      </c>
      <c r="F198" s="41">
        <f t="array" ref="F198">IFERROR(INDEX(Usage!$B$5:$P$18,MATCH($B198,Usage!$B$5:$B$18,0),MATCH($C198&amp;$D198&amp;$E198,Usage!$B$5:$S$5&amp;Usage!$B$6:$S$6&amp;Usage!$B$7:$S$7,0)),0)</f>
        <v>4200</v>
      </c>
      <c r="G198" s="3" t="s">
        <v>87</v>
      </c>
      <c r="H198" s="89" t="str">
        <f t="array" ref="H198">IFERROR(INDEX('Detail inputs'!$B$3:$K$168,MATCH($B198&amp;$C198&amp;$E198&amp;$G198&amp;H$5,'Detail inputs'!$B$3:$B$168&amp;'Detail inputs'!$D$3:$D$168&amp;'Detail inputs'!$F$3:$F$168&amp;'Detail inputs'!$G$3:$G$168&amp;'Detail inputs'!$H$3:$H$168,0),MATCH(H$4,'Detail inputs'!$B$3:$K$3,0)),"")</f>
        <v/>
      </c>
      <c r="I198" s="89" t="str">
        <f t="array" ref="I198">IFERROR(INDEX('Detail inputs'!$B$3:$K$168,MATCH($B198&amp;$C198&amp;$E198&amp;$G198&amp;I$5,'Detail inputs'!$B$3:$B$168&amp;'Detail inputs'!$D$3:$D$168&amp;'Detail inputs'!$F$3:$F$168&amp;'Detail inputs'!$G$3:$G$168&amp;'Detail inputs'!$H$3:$H$168,0),MATCH(I$4,'Detail inputs'!$B$3:$K$3,0)),"")</f>
        <v/>
      </c>
      <c r="J198" s="89" t="str">
        <f>IFERROR(IF(H198="",I198*$F198/1000,IF(I198="",H198,H198+I198*$F198/1000)),"")</f>
        <v/>
      </c>
      <c r="K198" s="43" t="str">
        <f>IFERROR(J198/J199,"")</f>
        <v/>
      </c>
      <c r="L198" s="43"/>
      <c r="M198" s="48" t="str">
        <f>IF(OR(J198=0,J198="",Q198=""),"",Q198/J198-1)</f>
        <v/>
      </c>
      <c r="N198" s="43"/>
      <c r="O198" s="89" t="str">
        <f t="array" ref="O198">IFERROR(INDEX('Detail inputs'!$B$3:$K$168,MATCH($B198&amp;$C198&amp;$E198&amp;$G198&amp;O$5,'Detail inputs'!$B$3:$B$168&amp;'Detail inputs'!$D$3:$D$168&amp;'Detail inputs'!$F$3:$F$168&amp;'Detail inputs'!$G$3:$G$168&amp;'Detail inputs'!$H$3:$H$168,0),MATCH(O$4,'Detail inputs'!$B$3:$K$3,0)),"")</f>
        <v/>
      </c>
      <c r="P198" s="89" t="str">
        <f t="array" ref="P198">IFERROR(INDEX('Detail inputs'!$B$3:$K$168,MATCH($B198&amp;$C198&amp;$E198&amp;$G198&amp;P$5,'Detail inputs'!$B$3:$B$168&amp;'Detail inputs'!$D$3:$D$168&amp;'Detail inputs'!$F$3:$F$168&amp;'Detail inputs'!$G$3:$G$168&amp;'Detail inputs'!$H$3:$H$168,0),MATCH(P$4,'Detail inputs'!$B$3:$K$3,0)),"")</f>
        <v/>
      </c>
      <c r="Q198" s="89" t="str">
        <f>IFERROR(IF(O198="",P198*$F198/1000,IF(P198="",O198,O198+P198*$F198/1000)),"")</f>
        <v/>
      </c>
      <c r="R198" s="43" t="str">
        <f>IFERROR(Q198/Q199,"")</f>
        <v/>
      </c>
    </row>
    <row r="199" spans="2:22" x14ac:dyDescent="0.35">
      <c r="B199" s="3" t="str">
        <f t="shared" si="61"/>
        <v>SAPN</v>
      </c>
      <c r="C199" s="3" t="str">
        <f t="shared" si="59"/>
        <v>Residential</v>
      </c>
      <c r="D199" s="3" t="str">
        <f t="shared" si="60"/>
        <v>with CL</v>
      </c>
      <c r="E199" s="3" t="s">
        <v>23</v>
      </c>
      <c r="F199" s="41">
        <f t="array" ref="F199">IFERROR(INDEX(Usage!$B$5:$P$18,MATCH($B199,Usage!$B$5:$B$18,0),MATCH($C199&amp;$D199&amp;$E199,Usage!$B$5:$S$5&amp;Usage!$B$6:$S$6&amp;Usage!$B$7:$S$7,0)),0)</f>
        <v>4200</v>
      </c>
      <c r="G199" s="3" t="s">
        <v>64</v>
      </c>
      <c r="H199" s="95">
        <f t="array" ref="H199">INDEX('Key inputs'!$B$16:$N$40,MATCH($B199&amp;$C199&amp;$E199,'Key inputs'!$B$16:$B$40&amp;'Key inputs'!$C$16:$C$40&amp;'Key inputs'!$D$16:$D$40,0),MATCH($G199&amp;H$4&amp;H$5,'Key inputs'!$B$17:$N$17&amp;'Key inputs'!$B$18:$N$18&amp;'Key inputs'!$B$19:$N$19,0))</f>
        <v>170</v>
      </c>
      <c r="I199" s="95">
        <f t="array" ref="I199">INDEX('Key inputs'!$B$16:$N$40,MATCH($B199&amp;$C199&amp;$E199,'Key inputs'!$B$16:$B$40&amp;'Key inputs'!$C$16:$C$40&amp;'Key inputs'!$D$16:$D$40,0),MATCH($G199&amp;I$4&amp;I$5,'Key inputs'!$B$17:$N$17&amp;'Key inputs'!$B$18:$N$18&amp;'Key inputs'!$B$19:$N$19,0))</f>
        <v>132.30000000000001</v>
      </c>
      <c r="J199" s="89">
        <f>H199+I199*$F199/1000</f>
        <v>725.66</v>
      </c>
      <c r="K199" s="43">
        <f>IFERROR(J199/J201,"")</f>
        <v>0.96930433853387477</v>
      </c>
      <c r="L199" s="43"/>
      <c r="M199" s="48">
        <f t="shared" ref="M199:M204" si="62">IF(OR(J199=0,J199="",Q199=""),"",Q199/J199-1)</f>
        <v>3.1168866962489439E-2</v>
      </c>
      <c r="N199" s="43"/>
      <c r="O199" s="95">
        <f t="array" ref="O199">INDEX('Key inputs'!$B$16:$N$40,MATCH($B199&amp;$C199&amp;$E199,'Key inputs'!$B$16:$B$40&amp;'Key inputs'!$C$16:$C$40&amp;'Key inputs'!$D$16:$D$40,0),MATCH($G199&amp;O$4&amp;O$5,'Key inputs'!$B$17:$N$17&amp;'Key inputs'!$B$18:$N$18&amp;'Key inputs'!$B$19:$N$19,0))</f>
        <v>180.018</v>
      </c>
      <c r="P199" s="95">
        <f t="array" ref="P199">INDEX('Key inputs'!$B$16:$N$40,MATCH($B199&amp;$C199&amp;$E199,'Key inputs'!$B$16:$B$40&amp;'Key inputs'!$C$16:$C$40&amp;'Key inputs'!$D$16:$D$40,0),MATCH($G199&amp;P$4&amp;P$5,'Key inputs'!$B$17:$N$17&amp;'Key inputs'!$B$18:$N$18&amp;'Key inputs'!$B$19:$N$19,0))</f>
        <v>135.30000000000001</v>
      </c>
      <c r="Q199" s="89">
        <f>O199+P199*$F199/1000</f>
        <v>748.27800000000002</v>
      </c>
      <c r="R199" s="43">
        <f>IFERROR(Q199/Q201,"")</f>
        <v>0.96997814471156463</v>
      </c>
      <c r="S199" s="129"/>
      <c r="T199" s="129"/>
      <c r="U199" s="129"/>
      <c r="V199" s="129"/>
    </row>
    <row r="200" spans="2:22" x14ac:dyDescent="0.35">
      <c r="B200" s="3" t="str">
        <f t="shared" si="61"/>
        <v>SAPN</v>
      </c>
      <c r="C200" s="3" t="str">
        <f t="shared" si="59"/>
        <v>Residential</v>
      </c>
      <c r="D200" s="3" t="str">
        <f t="shared" si="60"/>
        <v>with CL</v>
      </c>
      <c r="E200" s="3" t="s">
        <v>23</v>
      </c>
      <c r="F200" s="41">
        <f t="array" ref="F200">IFERROR(INDEX(Usage!$B$5:$P$18,MATCH($B200,Usage!$B$5:$B$18,0),MATCH($C200&amp;$D200&amp;$E200,Usage!$B$5:$S$5&amp;Usage!$B$6:$S$6&amp;Usage!$B$7:$S$7,0)),0)</f>
        <v>4200</v>
      </c>
      <c r="G200" s="3" t="s">
        <v>68</v>
      </c>
      <c r="H200" s="95">
        <f t="array" ref="H200">INDEX('Key inputs'!$B$16:$N$40,MATCH($B200&amp;$C200&amp;$E200,'Key inputs'!$B$16:$B$40&amp;'Key inputs'!$C$16:$C$40&amp;'Key inputs'!$D$16:$D$40,0),MATCH($G200&amp;H$4&amp;H$5,'Key inputs'!$B$17:$N$17&amp;'Key inputs'!$B$18:$N$18&amp;'Key inputs'!$B$19:$N$19,0))</f>
        <v>22.98</v>
      </c>
      <c r="I200" s="89">
        <f>IFERROR(INDEX('Detail inputs'!$B$3:$K$168,MATCH($B200&amp;$C200&amp;$E200&amp;$G200&amp;I$5,'Detail inputs'!$B$3:$B$168&amp;'Detail inputs'!$D$3:$D$168&amp;'Detail inputs'!$F$3:$F$168&amp;'Detail inputs'!$G$3:$G$168&amp;'Detail inputs'!$H$3:$H$168,0),MATCH(I$4,'Detail inputs'!$B$3:$K$3,0)),0)</f>
        <v>0</v>
      </c>
      <c r="J200" s="89">
        <f>H200+I200*$F200/1000</f>
        <v>22.98</v>
      </c>
      <c r="K200" s="43">
        <f>IFERROR(J200/J201,"")</f>
        <v>3.0695661466125242E-2</v>
      </c>
      <c r="L200" s="43"/>
      <c r="M200" s="48">
        <f t="shared" si="62"/>
        <v>7.8328981723236879E-3</v>
      </c>
      <c r="N200" s="43"/>
      <c r="O200" s="95">
        <f t="array" ref="O200">INDEX('Key inputs'!$B$16:$N$40,MATCH($B200&amp;$C200&amp;$E200,'Key inputs'!$B$16:$B$40&amp;'Key inputs'!$C$16:$C$40&amp;'Key inputs'!$D$16:$D$40,0),MATCH($G200&amp;O$4&amp;O$5,'Key inputs'!$B$17:$N$17&amp;'Key inputs'!$B$18:$N$18&amp;'Key inputs'!$B$19:$N$19,0))</f>
        <v>23.16</v>
      </c>
      <c r="P200" s="89">
        <f>IFERROR(INDEX('Detail inputs'!$B$3:$K$168,MATCH($B200&amp;$C200&amp;$E200&amp;$G200&amp;P$5,'Detail inputs'!$B$3:$B$168&amp;'Detail inputs'!$D$3:$D$168&amp;'Detail inputs'!$F$3:$F$168&amp;'Detail inputs'!$G$3:$G$168&amp;'Detail inputs'!$H$3:$H$168,0),MATCH(P$4,'Detail inputs'!$B$3:$K$3,0)),0)</f>
        <v>0</v>
      </c>
      <c r="Q200" s="89">
        <f>O200+P200*$F200/1000</f>
        <v>23.16</v>
      </c>
      <c r="R200" s="43">
        <f>IFERROR(Q200/Q201,"")</f>
        <v>3.0021855288435366E-2</v>
      </c>
    </row>
    <row r="201" spans="2:22" x14ac:dyDescent="0.35">
      <c r="B201" s="3" t="str">
        <f t="shared" si="61"/>
        <v>SAPN</v>
      </c>
      <c r="C201" s="3" t="str">
        <f t="shared" si="59"/>
        <v>Residential</v>
      </c>
      <c r="D201" s="3" t="str">
        <f t="shared" si="60"/>
        <v>with CL</v>
      </c>
      <c r="E201" s="3" t="s">
        <v>23</v>
      </c>
      <c r="F201" s="41">
        <f t="array" ref="F201">IFERROR(INDEX(Usage!$B$5:$P$18,MATCH($B201,Usage!$B$5:$B$18,0),MATCH($C201&amp;$D201&amp;$E201,Usage!$B$5:$S$5&amp;Usage!$B$6:$S$6&amp;Usage!$B$7:$S$7,0)),0)</f>
        <v>4200</v>
      </c>
      <c r="G201" s="3" t="s">
        <v>62</v>
      </c>
      <c r="J201" s="95">
        <f>SUM(J199:J200)</f>
        <v>748.64</v>
      </c>
      <c r="K201" s="87"/>
      <c r="L201" s="88"/>
      <c r="M201" s="48">
        <f t="shared" si="62"/>
        <v>3.04525539645224E-2</v>
      </c>
      <c r="N201" s="88"/>
      <c r="O201" s="95"/>
      <c r="P201" s="95"/>
      <c r="Q201" s="95">
        <f>SUM(Q199:Q200)</f>
        <v>771.43799999999999</v>
      </c>
      <c r="R201" s="43"/>
    </row>
    <row r="202" spans="2:22" outlineLevel="1" x14ac:dyDescent="0.35">
      <c r="B202" s="3" t="str">
        <f t="shared" si="61"/>
        <v>SAPN</v>
      </c>
      <c r="C202" s="3" t="str">
        <f t="shared" si="59"/>
        <v>Residential</v>
      </c>
      <c r="D202" s="3" t="str">
        <f t="shared" si="60"/>
        <v>with CL</v>
      </c>
      <c r="E202" s="3" t="s">
        <v>16</v>
      </c>
      <c r="F202" s="41">
        <f t="array" ref="F202">IFERROR(INDEX(Usage!$B$5:$P$18,MATCH($B202,Usage!$B$5:$B$18,0),MATCH($C202&amp;$D202&amp;$E202,Usage!$B$5:$S$5&amp;Usage!$B$6:$S$6&amp;Usage!$B$7:$S$7,0)),0)</f>
        <v>1800</v>
      </c>
      <c r="G202" s="3" t="s">
        <v>57</v>
      </c>
      <c r="H202" s="89" t="str">
        <f t="array" ref="H202">IFERROR(INDEX('Detail inputs'!$B$3:$K$168,MATCH($B202&amp;$C202&amp;$E202&amp;$G202&amp;H$5,'Detail inputs'!$B$3:$B$168&amp;'Detail inputs'!$D$3:$D$168&amp;'Detail inputs'!$F$3:$F$168&amp;'Detail inputs'!$G$3:$G$168&amp;'Detail inputs'!$H$3:$H$168,0),MATCH(H$4,'Detail inputs'!$B$3:$K$3,0)),"")</f>
        <v/>
      </c>
      <c r="I202" s="89" t="str">
        <f t="array" ref="I202">IFERROR(INDEX('Detail inputs'!$B$3:$K$168,MATCH($B202&amp;$C202&amp;$E202&amp;$G202&amp;I$5,'Detail inputs'!$B$3:$B$168&amp;'Detail inputs'!$D$3:$D$168&amp;'Detail inputs'!$F$3:$F$168&amp;'Detail inputs'!$G$3:$G$168&amp;'Detail inputs'!$H$3:$H$168,0),MATCH(I$4,'Detail inputs'!$B$3:$K$3,0)),"")</f>
        <v/>
      </c>
      <c r="J202" s="89" t="str">
        <f>IFERROR(IF(H202="",I202*$F202/1000,IF(I202="",H202*INDEX(Usage!$B$4:$M$18,MATCH($B202,Usage!$B$4:$B$18,0),MATCH(IF($E202="CL1","CL1 Proportion","CL2 Proportion"),Usage!$B$8:$M$8,0)),H202*INDEX(Usage!$B$4:$M$18,MATCH($B202,Usage!$B$4:$B$18,0),MATCH(IF($E202="CL1","CL1 Proportion","CL2 Proportion"),Usage!$B$8:$M$8,0))+I202*$F202/1000)),"")</f>
        <v/>
      </c>
      <c r="K202" s="43" t="str">
        <f>IFERROR(J202/J205,"")</f>
        <v/>
      </c>
      <c r="L202" s="43"/>
      <c r="M202" s="48" t="str">
        <f t="shared" si="62"/>
        <v/>
      </c>
      <c r="N202" s="43"/>
      <c r="O202" s="89" t="str">
        <f t="array" ref="O202">IFERROR(INDEX('Detail inputs'!$B$3:$K$168,MATCH($B202&amp;$C202&amp;$E202&amp;$G202&amp;O$5,'Detail inputs'!$B$3:$B$168&amp;'Detail inputs'!$D$3:$D$168&amp;'Detail inputs'!$F$3:$F$168&amp;'Detail inputs'!$G$3:$G$168&amp;'Detail inputs'!$H$3:$H$168,0),MATCH(O$4,'Detail inputs'!$B$3:$K$3,0)),"")</f>
        <v/>
      </c>
      <c r="P202" s="89" t="str">
        <f t="array" ref="P202">IFERROR(INDEX('Detail inputs'!$B$3:$K$168,MATCH($B202&amp;$C202&amp;$E202&amp;$G202&amp;P$5,'Detail inputs'!$B$3:$B$168&amp;'Detail inputs'!$D$3:$D$168&amp;'Detail inputs'!$F$3:$F$168&amp;'Detail inputs'!$G$3:$G$168&amp;'Detail inputs'!$H$3:$H$168,0),MATCH(P$4,'Detail inputs'!$B$3:$K$3,0)),"")</f>
        <v/>
      </c>
      <c r="Q202" s="89" t="str">
        <f>IFERROR(IF(O202="",P202*$F202/1000,IF(P202="",O202*INDEX(Usage!$B$4:$M$18,MATCH($B202,Usage!$B$4:$B$18,0),MATCH(IF($E202="CL1","CL1 Proportion","CL2 Proportion"),Usage!$B$8:$M$8,0)),O202*INDEX(Usage!$B$4:$M$18,MATCH($B202,Usage!$B$4:$B$18,0),MATCH(IF($E202="CL1","CL1 Proportion","CL2 Proportion"),Usage!$B$8:$M$8,0))+P202*$F202/1000)),"")</f>
        <v/>
      </c>
      <c r="R202" s="43" t="str">
        <f>IFERROR(Q202/Q205,"")</f>
        <v/>
      </c>
    </row>
    <row r="203" spans="2:22" outlineLevel="1" x14ac:dyDescent="0.35">
      <c r="B203" s="3" t="str">
        <f t="shared" si="61"/>
        <v>SAPN</v>
      </c>
      <c r="C203" s="3" t="str">
        <f t="shared" si="59"/>
        <v>Residential</v>
      </c>
      <c r="D203" s="3" t="str">
        <f t="shared" si="60"/>
        <v>with CL</v>
      </c>
      <c r="E203" s="3" t="s">
        <v>16</v>
      </c>
      <c r="F203" s="41">
        <f t="array" ref="F203">IFERROR(INDEX(Usage!$B$5:$P$18,MATCH($B203,Usage!$B$5:$B$18,0),MATCH($C203&amp;$D203&amp;$E203,Usage!$B$5:$S$5&amp;Usage!$B$6:$S$6&amp;Usage!$B$7:$S$7,0)),0)</f>
        <v>1800</v>
      </c>
      <c r="G203" s="3" t="s">
        <v>58</v>
      </c>
      <c r="H203" s="89" t="str">
        <f t="array" ref="H203">IFERROR(INDEX('Detail inputs'!$B$3:$K$168,MATCH($B203&amp;$C203&amp;$E203&amp;$G203&amp;H$5,'Detail inputs'!$B$3:$B$168&amp;'Detail inputs'!$D$3:$D$168&amp;'Detail inputs'!$F$3:$F$168&amp;'Detail inputs'!$G$3:$G$168&amp;'Detail inputs'!$H$3:$H$168,0),MATCH(H$4,'Detail inputs'!$B$3:$K$3,0)),"")</f>
        <v/>
      </c>
      <c r="I203" s="89" t="str">
        <f t="array" ref="I203">IFERROR(INDEX('Detail inputs'!$B$3:$K$168,MATCH($B203&amp;$C203&amp;$E203&amp;$G203&amp;I$5,'Detail inputs'!$B$3:$B$168&amp;'Detail inputs'!$D$3:$D$168&amp;'Detail inputs'!$F$3:$F$168&amp;'Detail inputs'!$G$3:$G$168&amp;'Detail inputs'!$H$3:$H$168,0),MATCH(I$4,'Detail inputs'!$B$3:$K$3,0)),"")</f>
        <v/>
      </c>
      <c r="J203" s="89" t="str">
        <f>IFERROR(IF(H203="",I203*$F203/1000,IF(I203="",H203*INDEX(Usage!$B$4:$M$18,MATCH($B203,Usage!$B$4:$B$18,0),MATCH(IF($E203="CL1","CL1 Proportion","CL2 Proportion"),Usage!$B$8:$M$8,0)),H203*INDEX(Usage!$B$4:$M$18,MATCH($B203,Usage!$B$4:$B$18,0),MATCH(IF($E203="CL1","CL1 Proportion","CL2 Proportion"),Usage!$B$8:$M$8,0))+I203*$F203/1000)),"")</f>
        <v/>
      </c>
      <c r="K203" s="43" t="str">
        <f>IFERROR(J203/J205,"")</f>
        <v/>
      </c>
      <c r="L203" s="43"/>
      <c r="M203" s="48" t="str">
        <f t="shared" si="62"/>
        <v/>
      </c>
      <c r="N203" s="43"/>
      <c r="O203" s="89" t="str">
        <f t="array" ref="O203">IFERROR(INDEX('Detail inputs'!$B$3:$K$168,MATCH($B203&amp;$C203&amp;$E203&amp;$G203&amp;O$5,'Detail inputs'!$B$3:$B$168&amp;'Detail inputs'!$D$3:$D$168&amp;'Detail inputs'!$F$3:$F$168&amp;'Detail inputs'!$G$3:$G$168&amp;'Detail inputs'!$H$3:$H$168,0),MATCH(O$4,'Detail inputs'!$B$3:$K$3,0)),"")</f>
        <v/>
      </c>
      <c r="P203" s="89" t="str">
        <f t="array" ref="P203">IFERROR(INDEX('Detail inputs'!$B$3:$K$168,MATCH($B203&amp;$C203&amp;$E203&amp;$G203&amp;P$5,'Detail inputs'!$B$3:$B$168&amp;'Detail inputs'!$D$3:$D$168&amp;'Detail inputs'!$F$3:$F$168&amp;'Detail inputs'!$G$3:$G$168&amp;'Detail inputs'!$H$3:$H$168,0),MATCH(P$4,'Detail inputs'!$B$3:$K$3,0)),"")</f>
        <v/>
      </c>
      <c r="Q203" s="89" t="str">
        <f>IFERROR(IF(O203="",P203*$F203/1000,IF(P203="",O203*INDEX(Usage!$B$4:$M$18,MATCH($B203,Usage!$B$4:$B$18,0),MATCH(IF($E203="CL1","CL1 Proportion","CL2 Proportion"),Usage!$B$8:$M$8,0)),O203*INDEX(Usage!$B$4:$M$18,MATCH($B203,Usage!$B$4:$B$18,0),MATCH(IF($E203="CL1","CL1 Proportion","CL2 Proportion"),Usage!$B$8:$M$8,0))+P203*$F203/1000)),"")</f>
        <v/>
      </c>
      <c r="R203" s="43" t="str">
        <f>IFERROR(Q203/Q205,"")</f>
        <v/>
      </c>
    </row>
    <row r="204" spans="2:22" outlineLevel="1" x14ac:dyDescent="0.35">
      <c r="B204" s="3" t="str">
        <f t="shared" si="61"/>
        <v>SAPN</v>
      </c>
      <c r="C204" s="3" t="str">
        <f t="shared" si="59"/>
        <v>Residential</v>
      </c>
      <c r="D204" s="3" t="str">
        <f t="shared" si="60"/>
        <v>with CL</v>
      </c>
      <c r="E204" s="3" t="s">
        <v>16</v>
      </c>
      <c r="F204" s="41">
        <f t="array" ref="F204">IFERROR(INDEX(Usage!$B$5:$P$18,MATCH($B204,Usage!$B$5:$B$18,0),MATCH($C204&amp;$D204&amp;$E204,Usage!$B$5:$S$5&amp;Usage!$B$6:$S$6&amp;Usage!$B$7:$S$7,0)),0)</f>
        <v>1800</v>
      </c>
      <c r="G204" s="3" t="s">
        <v>87</v>
      </c>
      <c r="H204" s="89" t="str">
        <f t="array" ref="H204">IFERROR(INDEX('Detail inputs'!$B$3:$K$168,MATCH($B204&amp;$C204&amp;$E204&amp;$G204&amp;H$5,'Detail inputs'!$B$3:$B$168&amp;'Detail inputs'!$D$3:$D$168&amp;'Detail inputs'!$F$3:$F$168&amp;'Detail inputs'!$G$3:$G$168&amp;'Detail inputs'!$H$3:$H$168,0),MATCH(H$4,'Detail inputs'!$B$3:$K$3,0)),"")</f>
        <v/>
      </c>
      <c r="I204" s="89" t="str">
        <f t="array" ref="I204">IFERROR(INDEX('Detail inputs'!$B$3:$K$168,MATCH($B204&amp;$C204&amp;$E204&amp;$G204&amp;I$5,'Detail inputs'!$B$3:$B$168&amp;'Detail inputs'!$D$3:$D$168&amp;'Detail inputs'!$F$3:$F$168&amp;'Detail inputs'!$G$3:$G$168&amp;'Detail inputs'!$H$3:$H$168,0),MATCH(I$4,'Detail inputs'!$B$3:$K$3,0)),"")</f>
        <v/>
      </c>
      <c r="J204" s="89" t="str">
        <f>IFERROR(IF(H204="",I204*$F204/1000,IF(I204="",H204*INDEX(Usage!$B$4:$M$18,MATCH($B204,Usage!$B$4:$B$18,0),MATCH(IF($E204="CL1","CL1 Proportion","CL2 Proportion"),Usage!$B$8:$M$8,0)),H204*INDEX(Usage!$B$4:$M$18,MATCH($B204,Usage!$B$4:$B$18,0),MATCH(IF($E204="CL1","CL1 Proportion","CL2 Proportion"),Usage!$B$8:$M$8,0))+I204*$F204/1000)),"")</f>
        <v/>
      </c>
      <c r="K204" s="43" t="str">
        <f>IFERROR(J204/J205,"")</f>
        <v/>
      </c>
      <c r="L204" s="43"/>
      <c r="M204" s="48" t="str">
        <f t="shared" si="62"/>
        <v/>
      </c>
      <c r="N204" s="43"/>
      <c r="O204" s="89" t="str">
        <f t="array" ref="O204">IFERROR(INDEX('Detail inputs'!$B$3:$K$168,MATCH($B204&amp;$C204&amp;$E204&amp;$G204&amp;O$5,'Detail inputs'!$B$3:$B$168&amp;'Detail inputs'!$D$3:$D$168&amp;'Detail inputs'!$F$3:$F$168&amp;'Detail inputs'!$G$3:$G$168&amp;'Detail inputs'!$H$3:$H$168,0),MATCH(O$4,'Detail inputs'!$B$3:$K$3,0)),"")</f>
        <v/>
      </c>
      <c r="P204" s="89" t="str">
        <f t="array" ref="P204">IFERROR(INDEX('Detail inputs'!$B$3:$K$168,MATCH($B204&amp;$C204&amp;$E204&amp;$G204&amp;P$5,'Detail inputs'!$B$3:$B$168&amp;'Detail inputs'!$D$3:$D$168&amp;'Detail inputs'!$F$3:$F$168&amp;'Detail inputs'!$G$3:$G$168&amp;'Detail inputs'!$H$3:$H$168,0),MATCH(P$4,'Detail inputs'!$B$3:$K$3,0)),"")</f>
        <v/>
      </c>
      <c r="Q204" s="89" t="str">
        <f>IFERROR(IF(O204="",P204*$F204/1000,IF(P204="",O204*INDEX(Usage!$B$4:$M$18,MATCH($B204,Usage!$B$4:$B$18,0),MATCH(IF($E204="CL1","CL1 Proportion","CL2 Proportion"),Usage!$B$8:$M$8,0)),O204*INDEX(Usage!$B$4:$M$18,MATCH($B204,Usage!$B$4:$B$18,0),MATCH(IF($E204="CL1","CL1 Proportion","CL2 Proportion"),Usage!$B$8:$M$8,0))+P204*$F204/1000)),"")</f>
        <v/>
      </c>
      <c r="R204" s="43" t="str">
        <f>IFERROR(Q204/Q205,"")</f>
        <v/>
      </c>
    </row>
    <row r="205" spans="2:22" x14ac:dyDescent="0.35">
      <c r="B205" s="3" t="str">
        <f t="shared" si="61"/>
        <v>SAPN</v>
      </c>
      <c r="C205" s="3" t="str">
        <f t="shared" si="59"/>
        <v>Residential</v>
      </c>
      <c r="D205" s="3" t="str">
        <f t="shared" si="60"/>
        <v>with CL</v>
      </c>
      <c r="E205" s="3" t="s">
        <v>16</v>
      </c>
      <c r="F205" s="41">
        <f t="array" ref="F205">IFERROR(INDEX(Usage!$B$5:$P$18,MATCH($B205,Usage!$B$5:$B$18,0),MATCH($C205&amp;$D205&amp;$E205,Usage!$B$5:$S$5&amp;Usage!$B$6:$S$6&amp;Usage!$B$7:$S$7,0)),0)</f>
        <v>1800</v>
      </c>
      <c r="G205" s="3" t="s">
        <v>64</v>
      </c>
      <c r="H205" s="95">
        <f t="array" ref="H205">INDEX('Key inputs'!$B$16:$N$40,MATCH($B205&amp;$C205&amp;$E205,'Key inputs'!$B$16:$B$40&amp;'Key inputs'!$C$16:$C$40&amp;'Key inputs'!$D$16:$D$40,0),MATCH($G205&amp;H$4&amp;H$5,'Key inputs'!$B$17:$N$17&amp;'Key inputs'!$B$18:$N$18&amp;'Key inputs'!$B$19:$N$19,0))</f>
        <v>0</v>
      </c>
      <c r="I205" s="95">
        <f t="array" ref="I205">INDEX('Key inputs'!$B$16:$N$40,MATCH($B205&amp;$C205&amp;$E205,'Key inputs'!$B$16:$B$40&amp;'Key inputs'!$C$16:$C$40&amp;'Key inputs'!$D$16:$D$40,0),MATCH($G205&amp;I$4&amp;I$5,'Key inputs'!$B$17:$N$17&amp;'Key inputs'!$B$18:$N$18&amp;'Key inputs'!$B$19:$N$19,0))</f>
        <v>71.599999999999994</v>
      </c>
      <c r="J205" s="89">
        <f>H205*INDEX(Usage!$B$4:$M$18,MATCH($B205,Usage!$B$4:$B$18,0),MATCH(IF($E205="CL1","CL1 Proportion","CL2 Proportion"),Usage!$B$8:$M$8,0))+I205*$F205/1000</f>
        <v>128.88</v>
      </c>
      <c r="K205" s="43">
        <f>IFERROR(J205/J207,"")</f>
        <v>0.84867641248518377</v>
      </c>
      <c r="L205" s="43"/>
      <c r="M205" s="48">
        <f t="shared" ref="M205:M210" si="63">IF(OR(J205=0,J205="",Q205=""),"",Q205/J205-1)</f>
        <v>-5.3072625698323939E-2</v>
      </c>
      <c r="N205" s="43"/>
      <c r="O205" s="95">
        <f t="array" ref="O205">INDEX('Key inputs'!$B$16:$N$40,MATCH($B205&amp;$C205&amp;$E205,'Key inputs'!$B$16:$B$40&amp;'Key inputs'!$C$16:$C$40&amp;'Key inputs'!$D$16:$D$40,0),MATCH($G205&amp;O$4&amp;O$5,'Key inputs'!$B$17:$N$17&amp;'Key inputs'!$B$18:$N$18&amp;'Key inputs'!$B$19:$N$19,0))</f>
        <v>0</v>
      </c>
      <c r="P205" s="95">
        <f t="array" ref="P205">INDEX('Key inputs'!$B$16:$N$40,MATCH($B205&amp;$C205&amp;$E205,'Key inputs'!$B$16:$B$40&amp;'Key inputs'!$C$16:$C$40&amp;'Key inputs'!$D$16:$D$40,0),MATCH($G205&amp;P$4&amp;P$5,'Key inputs'!$B$17:$N$17&amp;'Key inputs'!$B$18:$N$18&amp;'Key inputs'!$B$19:$N$19,0))</f>
        <v>67.8</v>
      </c>
      <c r="Q205" s="89">
        <f>O205*INDEX(Usage!$B$4:$M$18,MATCH($B205,Usage!$B$4:$B$18,0),MATCH(IF($E205="CL1","CL1 Proportion","CL2 Proportion"),Usage!$B$8:$M$8,0))+P205*$F205/1000</f>
        <v>122.04</v>
      </c>
      <c r="R205" s="43">
        <f>IFERROR(Q205/Q207,"")</f>
        <v>0.84049586776859497</v>
      </c>
      <c r="S205" s="129"/>
      <c r="T205" s="129"/>
      <c r="U205" s="129"/>
      <c r="V205" s="129"/>
    </row>
    <row r="206" spans="2:22" x14ac:dyDescent="0.35">
      <c r="B206" s="3" t="str">
        <f t="shared" si="61"/>
        <v>SAPN</v>
      </c>
      <c r="C206" s="3" t="str">
        <f t="shared" si="59"/>
        <v>Residential</v>
      </c>
      <c r="D206" s="3" t="str">
        <f t="shared" si="60"/>
        <v>with CL</v>
      </c>
      <c r="E206" s="3" t="s">
        <v>16</v>
      </c>
      <c r="F206" s="41">
        <f t="array" ref="F206">IFERROR(INDEX(Usage!$B$5:$P$18,MATCH($B206,Usage!$B$5:$B$18,0),MATCH($C206&amp;$D206&amp;$E206,Usage!$B$5:$S$5&amp;Usage!$B$6:$S$6&amp;Usage!$B$7:$S$7,0)),0)</f>
        <v>1800</v>
      </c>
      <c r="G206" s="3" t="s">
        <v>68</v>
      </c>
      <c r="H206" s="95">
        <f t="array" ref="H206">INDEX('Key inputs'!$B$16:$N$40,MATCH($B206&amp;$C206&amp;$E206,'Key inputs'!$B$16:$B$40&amp;'Key inputs'!$C$16:$C$40&amp;'Key inputs'!$D$16:$D$40,0),MATCH($G206&amp;H$4&amp;H$5,'Key inputs'!$B$17:$N$17&amp;'Key inputs'!$B$18:$N$18&amp;'Key inputs'!$B$19:$N$19,0))</f>
        <v>22.98</v>
      </c>
      <c r="I206" s="89">
        <f>IFERROR(INDEX('Detail inputs'!$B$3:$K$168,MATCH($B206&amp;$C206&amp;$E206&amp;$G206&amp;I$5,'Detail inputs'!$B$3:$B$168&amp;'Detail inputs'!$D$3:$D$168&amp;'Detail inputs'!$F$3:$F$168&amp;'Detail inputs'!$G$3:$G$168&amp;'Detail inputs'!$H$3:$H$168,0),MATCH(I$4,'Detail inputs'!$B$3:$K$3,0)),0)</f>
        <v>0</v>
      </c>
      <c r="J206" s="89">
        <f>H206*INDEX(Usage!$B$4:$M$18,MATCH($B206,Usage!$B$4:$B$18,0),MATCH(IF($E206="CL1","CL1 Proportion","CL2 Proportion"),Usage!$B$8:$M$8,0))+I206*$F206/1000</f>
        <v>22.98</v>
      </c>
      <c r="K206" s="43">
        <f>IFERROR(J206/J207,"")</f>
        <v>0.15132358751481628</v>
      </c>
      <c r="L206" s="43"/>
      <c r="M206" s="48">
        <f t="shared" si="63"/>
        <v>7.8328981723236879E-3</v>
      </c>
      <c r="N206" s="43"/>
      <c r="O206" s="95">
        <f t="array" ref="O206">INDEX('Key inputs'!$B$16:$N$40,MATCH($B206&amp;$C206&amp;$E206,'Key inputs'!$B$16:$B$40&amp;'Key inputs'!$C$16:$C$40&amp;'Key inputs'!$D$16:$D$40,0),MATCH($G206&amp;O$4&amp;O$5,'Key inputs'!$B$17:$N$17&amp;'Key inputs'!$B$18:$N$18&amp;'Key inputs'!$B$19:$N$19,0))</f>
        <v>23.16</v>
      </c>
      <c r="P206" s="89">
        <f>IFERROR(INDEX('Detail inputs'!$B$3:$K$168,MATCH($B206&amp;$C206&amp;$E206&amp;$G206&amp;P$5,'Detail inputs'!$B$3:$B$168&amp;'Detail inputs'!$D$3:$D$168&amp;'Detail inputs'!$F$3:$F$168&amp;'Detail inputs'!$G$3:$G$168&amp;'Detail inputs'!$H$3:$H$168,0),MATCH(P$4,'Detail inputs'!$B$3:$K$3,0)),0)</f>
        <v>0</v>
      </c>
      <c r="Q206" s="89">
        <f>O206*INDEX(Usage!$B$4:$M$18,MATCH($B206,Usage!$B$4:$B$18,0),MATCH(IF($E206="CL1","CL1 Proportion","CL2 Proportion"),Usage!$B$8:$M$8,0))+P206*$F206/1000</f>
        <v>23.16</v>
      </c>
      <c r="R206" s="43">
        <f>IFERROR(Q206/Q207,"")</f>
        <v>0.15950413223140494</v>
      </c>
    </row>
    <row r="207" spans="2:22" x14ac:dyDescent="0.35">
      <c r="B207" s="3" t="str">
        <f t="shared" si="61"/>
        <v>SAPN</v>
      </c>
      <c r="C207" s="3" t="str">
        <f t="shared" si="59"/>
        <v>Residential</v>
      </c>
      <c r="D207" s="3" t="str">
        <f t="shared" si="60"/>
        <v>with CL</v>
      </c>
      <c r="E207" s="3" t="s">
        <v>16</v>
      </c>
      <c r="F207" s="41">
        <f t="array" ref="F207">IFERROR(INDEX(Usage!$B$5:$P$18,MATCH($B207,Usage!$B$5:$B$18,0),MATCH($C207&amp;$D207&amp;$E207,Usage!$B$5:$S$5&amp;Usage!$B$6:$S$6&amp;Usage!$B$7:$S$7,0)),0)</f>
        <v>1800</v>
      </c>
      <c r="G207" s="3" t="s">
        <v>62</v>
      </c>
      <c r="J207" s="95">
        <f>SUM(J205:J206)</f>
        <v>151.85999999999999</v>
      </c>
      <c r="K207" s="87"/>
      <c r="L207" s="88"/>
      <c r="M207" s="48">
        <f t="shared" si="63"/>
        <v>-4.3856183326748122E-2</v>
      </c>
      <c r="N207" s="88"/>
      <c r="O207" s="95"/>
      <c r="P207" s="95"/>
      <c r="Q207" s="95">
        <f>SUM(Q205:Q206)</f>
        <v>145.20000000000002</v>
      </c>
      <c r="R207" s="43"/>
    </row>
    <row r="208" spans="2:22" s="77" customFormat="1" x14ac:dyDescent="0.35">
      <c r="B208" s="77" t="str">
        <f t="shared" ref="B208:D210" si="64">B207</f>
        <v>SAPN</v>
      </c>
      <c r="C208" s="77" t="str">
        <f t="shared" si="64"/>
        <v>Residential</v>
      </c>
      <c r="D208" s="77" t="str">
        <f t="shared" si="64"/>
        <v>with CL</v>
      </c>
      <c r="E208" s="77" t="s">
        <v>62</v>
      </c>
      <c r="F208" s="41">
        <f t="array" ref="F208">IFERROR(INDEX(Usage!$B$5:$P$18,MATCH($B208,Usage!$B$5:$B$18,0),MATCH($C208&amp;$D208&amp;$E208,Usage!$B$5:$S$5&amp;Usage!$B$6:$S$6&amp;Usage!$B$7:$S$7,0)),0)</f>
        <v>6000</v>
      </c>
      <c r="G208" s="77" t="s">
        <v>62</v>
      </c>
      <c r="H208" s="89"/>
      <c r="I208" s="89"/>
      <c r="J208" s="89">
        <f>SUM(J201,J207)</f>
        <v>900.5</v>
      </c>
      <c r="K208" s="43"/>
      <c r="L208" s="43"/>
      <c r="M208" s="48">
        <f t="shared" si="63"/>
        <v>1.7921154913936643E-2</v>
      </c>
      <c r="N208" s="43"/>
      <c r="O208" s="89"/>
      <c r="P208" s="89"/>
      <c r="Q208" s="89">
        <f>SUM(Q201,Q207)</f>
        <v>916.63800000000003</v>
      </c>
      <c r="R208" s="87"/>
    </row>
    <row r="209" spans="2:22" hidden="1" outlineLevel="1" x14ac:dyDescent="0.35">
      <c r="B209" s="3" t="str">
        <f t="shared" si="64"/>
        <v>SAPN</v>
      </c>
      <c r="C209" s="3" t="str">
        <f t="shared" si="64"/>
        <v>Residential</v>
      </c>
      <c r="D209" s="3" t="str">
        <f t="shared" si="64"/>
        <v>with CL</v>
      </c>
      <c r="F209" s="41"/>
      <c r="G209" s="77" t="s">
        <v>42</v>
      </c>
      <c r="J209" s="95">
        <f>J208*GST</f>
        <v>90.050000000000011</v>
      </c>
      <c r="K209" s="87"/>
      <c r="L209" s="88"/>
      <c r="M209" s="48">
        <f t="shared" si="63"/>
        <v>1.7921154913936643E-2</v>
      </c>
      <c r="N209" s="88"/>
      <c r="O209" s="95"/>
      <c r="P209" s="95"/>
      <c r="Q209" s="95">
        <f>Q208*GST</f>
        <v>91.663800000000009</v>
      </c>
      <c r="R209" s="87"/>
    </row>
    <row r="210" spans="2:22" collapsed="1" x14ac:dyDescent="0.35">
      <c r="B210" s="3" t="str">
        <f t="shared" si="64"/>
        <v>SAPN</v>
      </c>
      <c r="C210" s="3" t="str">
        <f t="shared" si="64"/>
        <v>Residential</v>
      </c>
      <c r="D210" s="3" t="str">
        <f t="shared" si="64"/>
        <v>with CL</v>
      </c>
      <c r="F210" s="41"/>
      <c r="G210" s="5" t="s">
        <v>90</v>
      </c>
      <c r="J210" s="94">
        <f>SUM(J208:J209)</f>
        <v>990.55</v>
      </c>
      <c r="K210" s="75"/>
      <c r="L210" s="27"/>
      <c r="M210" s="76">
        <f t="shared" si="63"/>
        <v>1.7921154913936865E-2</v>
      </c>
      <c r="N210" s="27"/>
      <c r="O210" s="94"/>
      <c r="P210" s="94"/>
      <c r="Q210" s="94">
        <f>SUM(Q208:Q209)</f>
        <v>1008.3018000000001</v>
      </c>
      <c r="R210" s="75"/>
    </row>
    <row r="211" spans="2:22" x14ac:dyDescent="0.35">
      <c r="H211" s="95"/>
      <c r="I211" s="95"/>
      <c r="K211" s="43"/>
      <c r="L211" s="43"/>
      <c r="M211" s="48"/>
      <c r="N211" s="43"/>
      <c r="O211" s="95"/>
      <c r="P211" s="95"/>
    </row>
    <row r="212" spans="2:22" x14ac:dyDescent="0.35">
      <c r="B212" s="5" t="s">
        <v>5</v>
      </c>
      <c r="C212" s="5" t="s">
        <v>15</v>
      </c>
      <c r="D212" s="5" t="s">
        <v>150</v>
      </c>
      <c r="F212" s="41"/>
      <c r="H212" s="95"/>
      <c r="K212" s="43"/>
      <c r="L212" s="43"/>
      <c r="M212" s="48"/>
      <c r="N212" s="43"/>
      <c r="O212" s="95"/>
      <c r="R212" s="43"/>
    </row>
    <row r="213" spans="2:22" hidden="1" outlineLevel="1" x14ac:dyDescent="0.35">
      <c r="B213" s="3" t="str">
        <f>B212</f>
        <v>SAPN</v>
      </c>
      <c r="C213" s="3" t="str">
        <f t="shared" ref="C213:C220" si="65">C212</f>
        <v>Small business</v>
      </c>
      <c r="D213" s="3" t="str">
        <f t="shared" ref="D213:D220" si="66">D212</f>
        <v>without CL</v>
      </c>
      <c r="E213" s="3" t="s">
        <v>23</v>
      </c>
      <c r="F213" s="41">
        <f t="array" ref="F213">IFERROR(INDEX(Usage!$B$5:$P$18,MATCH($B213,Usage!$B$5:$B$18,0),MATCH($C213&amp;$D213&amp;$E213,Usage!$B$5:$S$5&amp;Usage!$B$6:$S$6&amp;Usage!$B$7:$S$7,0)),0)</f>
        <v>20000</v>
      </c>
      <c r="G213" s="3" t="s">
        <v>57</v>
      </c>
      <c r="H213" s="89" t="str">
        <f t="array" ref="H213">IFERROR(INDEX('Detail inputs'!$B$3:$K$168,MATCH($B213&amp;$C213&amp;$E213&amp;$G213&amp;H$5,'Detail inputs'!$B$3:$B$168&amp;'Detail inputs'!$D$3:$D$168&amp;'Detail inputs'!$F$3:$F$168&amp;'Detail inputs'!$G$3:$G$168&amp;'Detail inputs'!$H$3:$H$168,0),MATCH(H$4,'Detail inputs'!$B$3:$K$3,0)),"")</f>
        <v/>
      </c>
      <c r="I213" s="89" t="str">
        <f t="array" ref="I213">IFERROR(INDEX('Detail inputs'!$B$3:$K$168,MATCH($B213&amp;$C213&amp;$E213&amp;$G213&amp;I$5,'Detail inputs'!$B$3:$B$168&amp;'Detail inputs'!$D$3:$D$168&amp;'Detail inputs'!$F$3:$F$168&amp;'Detail inputs'!$G$3:$G$168&amp;'Detail inputs'!$H$3:$H$168,0),MATCH(I$4,'Detail inputs'!$B$3:$K$3,0)),"")</f>
        <v/>
      </c>
      <c r="J213" s="89" t="str">
        <f>IFERROR(IF(H213="",I213*$F213/1000,IF(I213="",H213,H213+I213*$F213/1000)),"")</f>
        <v/>
      </c>
      <c r="K213" s="43" t="str">
        <f>IFERROR(J213/J216,"")</f>
        <v/>
      </c>
      <c r="L213" s="43"/>
      <c r="M213" s="48" t="str">
        <f t="shared" ref="M213:M220" si="67">IF(OR(J213=0,J213="",Q213=""),"",Q213/J213-1)</f>
        <v/>
      </c>
      <c r="N213" s="43"/>
      <c r="O213" s="89" t="str">
        <f t="array" ref="O213">IFERROR(INDEX('Detail inputs'!$B$3:$K$168,MATCH($B213&amp;$C213&amp;$E213&amp;$G213&amp;O$5,'Detail inputs'!$B$3:$B$168&amp;'Detail inputs'!$D$3:$D$168&amp;'Detail inputs'!$F$3:$F$168&amp;'Detail inputs'!$G$3:$G$168&amp;'Detail inputs'!$H$3:$H$168,0),MATCH(O$4,'Detail inputs'!$B$3:$K$3,0)),"")</f>
        <v/>
      </c>
      <c r="P213" s="89" t="str">
        <f t="array" ref="P213">IFERROR(INDEX('Detail inputs'!$B$3:$K$168,MATCH($B213&amp;$C213&amp;$E213&amp;$G213&amp;P$5,'Detail inputs'!$B$3:$B$168&amp;'Detail inputs'!$D$3:$D$168&amp;'Detail inputs'!$F$3:$F$168&amp;'Detail inputs'!$G$3:$G$168&amp;'Detail inputs'!$H$3:$H$168,0),MATCH(P$4,'Detail inputs'!$B$3:$K$3,0)),"")</f>
        <v/>
      </c>
      <c r="Q213" s="89" t="str">
        <f>IFERROR(IF(O213="",P213*$F213/1000,IF(P213="",O213,O213+P213*$F213/1000)),"")</f>
        <v/>
      </c>
      <c r="R213" s="43" t="str">
        <f>IFERROR(Q213/Q216,"")</f>
        <v/>
      </c>
    </row>
    <row r="214" spans="2:22" hidden="1" outlineLevel="1" x14ac:dyDescent="0.35">
      <c r="B214" s="3" t="str">
        <f t="shared" ref="B214:B220" si="68">B213</f>
        <v>SAPN</v>
      </c>
      <c r="C214" s="3" t="str">
        <f t="shared" si="65"/>
        <v>Small business</v>
      </c>
      <c r="D214" s="3" t="str">
        <f t="shared" si="66"/>
        <v>without CL</v>
      </c>
      <c r="E214" s="3" t="s">
        <v>23</v>
      </c>
      <c r="F214" s="41">
        <f t="array" ref="F214">IFERROR(INDEX(Usage!$B$5:$P$18,MATCH($B214,Usage!$B$5:$B$18,0),MATCH($C214&amp;$D214&amp;$E214,Usage!$B$5:$S$5&amp;Usage!$B$6:$S$6&amp;Usage!$B$7:$S$7,0)),0)</f>
        <v>20000</v>
      </c>
      <c r="G214" s="3" t="s">
        <v>58</v>
      </c>
      <c r="H214" s="89" t="str">
        <f t="array" ref="H214">IFERROR(INDEX('Detail inputs'!$B$3:$K$168,MATCH($B214&amp;$C214&amp;$E214&amp;$G214&amp;H$5,'Detail inputs'!$B$3:$B$168&amp;'Detail inputs'!$D$3:$D$168&amp;'Detail inputs'!$F$3:$F$168&amp;'Detail inputs'!$G$3:$G$168&amp;'Detail inputs'!$H$3:$H$168,0),MATCH(H$4,'Detail inputs'!$B$3:$K$3,0)),"")</f>
        <v/>
      </c>
      <c r="I214" s="89" t="str">
        <f t="array" ref="I214">IFERROR(INDEX('Detail inputs'!$B$3:$K$168,MATCH($B214&amp;$C214&amp;$E214&amp;$G214&amp;I$5,'Detail inputs'!$B$3:$B$168&amp;'Detail inputs'!$D$3:$D$168&amp;'Detail inputs'!$F$3:$F$168&amp;'Detail inputs'!$G$3:$G$168&amp;'Detail inputs'!$H$3:$H$168,0),MATCH(I$4,'Detail inputs'!$B$3:$K$3,0)),"")</f>
        <v/>
      </c>
      <c r="J214" s="89" t="str">
        <f>IFERROR(IF(H214="",I214*$F214/1000,IF(I214="",H214,H214+I214*$F214/1000)),"")</f>
        <v/>
      </c>
      <c r="K214" s="43" t="str">
        <f>IFERROR(J214/J216,"")</f>
        <v/>
      </c>
      <c r="L214" s="43"/>
      <c r="M214" s="48" t="str">
        <f t="shared" si="67"/>
        <v/>
      </c>
      <c r="N214" s="43"/>
      <c r="O214" s="89" t="str">
        <f t="array" ref="O214">IFERROR(INDEX('Detail inputs'!$B$3:$K$168,MATCH($B214&amp;$C214&amp;$E214&amp;$G214&amp;O$5,'Detail inputs'!$B$3:$B$168&amp;'Detail inputs'!$D$3:$D$168&amp;'Detail inputs'!$F$3:$F$168&amp;'Detail inputs'!$G$3:$G$168&amp;'Detail inputs'!$H$3:$H$168,0),MATCH(O$4,'Detail inputs'!$B$3:$K$3,0)),"")</f>
        <v/>
      </c>
      <c r="P214" s="89" t="str">
        <f t="array" ref="P214">IFERROR(INDEX('Detail inputs'!$B$3:$K$168,MATCH($B214&amp;$C214&amp;$E214&amp;$G214&amp;P$5,'Detail inputs'!$B$3:$B$168&amp;'Detail inputs'!$D$3:$D$168&amp;'Detail inputs'!$F$3:$F$168&amp;'Detail inputs'!$G$3:$G$168&amp;'Detail inputs'!$H$3:$H$168,0),MATCH(P$4,'Detail inputs'!$B$3:$K$3,0)),"")</f>
        <v/>
      </c>
      <c r="Q214" s="89" t="str">
        <f>IFERROR(IF(O214="",P214*$F214/1000,IF(P214="",O214,O214+P214*$F214/1000)),"")</f>
        <v/>
      </c>
      <c r="R214" s="43" t="str">
        <f>IFERROR(Q214/Q216,"")</f>
        <v/>
      </c>
    </row>
    <row r="215" spans="2:22" hidden="1" outlineLevel="1" x14ac:dyDescent="0.35">
      <c r="B215" s="3" t="str">
        <f t="shared" si="68"/>
        <v>SAPN</v>
      </c>
      <c r="C215" s="3" t="str">
        <f t="shared" si="65"/>
        <v>Small business</v>
      </c>
      <c r="D215" s="3" t="str">
        <f t="shared" si="66"/>
        <v>without CL</v>
      </c>
      <c r="E215" s="3" t="s">
        <v>23</v>
      </c>
      <c r="F215" s="41">
        <f t="array" ref="F215">IFERROR(INDEX(Usage!$B$5:$P$18,MATCH($B215,Usage!$B$5:$B$18,0),MATCH($C215&amp;$D215&amp;$E215,Usage!$B$5:$S$5&amp;Usage!$B$6:$S$6&amp;Usage!$B$7:$S$7,0)),0)</f>
        <v>20000</v>
      </c>
      <c r="G215" s="3" t="s">
        <v>87</v>
      </c>
      <c r="H215" s="89" t="str">
        <f t="array" ref="H215">IFERROR(INDEX('Detail inputs'!$B$3:$K$168,MATCH($B215&amp;$C215&amp;$E215&amp;$G215&amp;H$5,'Detail inputs'!$B$3:$B$168&amp;'Detail inputs'!$D$3:$D$168&amp;'Detail inputs'!$F$3:$F$168&amp;'Detail inputs'!$G$3:$G$168&amp;'Detail inputs'!$H$3:$H$168,0),MATCH(H$4,'Detail inputs'!$B$3:$K$3,0)),"")</f>
        <v/>
      </c>
      <c r="I215" s="89" t="str">
        <f t="array" ref="I215">IFERROR(INDEX('Detail inputs'!$B$3:$K$168,MATCH($B215&amp;$C215&amp;$E215&amp;$G215&amp;I$5,'Detail inputs'!$B$3:$B$168&amp;'Detail inputs'!$D$3:$D$168&amp;'Detail inputs'!$F$3:$F$168&amp;'Detail inputs'!$G$3:$G$168&amp;'Detail inputs'!$H$3:$H$168,0),MATCH(I$4,'Detail inputs'!$B$3:$K$3,0)),"")</f>
        <v/>
      </c>
      <c r="J215" s="89" t="str">
        <f>IFERROR(IF(H215="",I215*$F215/1000,IF(I215="",H215,H215+I215*$F215/1000)),"")</f>
        <v/>
      </c>
      <c r="K215" s="43" t="str">
        <f>IFERROR(J215/J216,"")</f>
        <v/>
      </c>
      <c r="L215" s="43"/>
      <c r="M215" s="48" t="str">
        <f t="shared" si="67"/>
        <v/>
      </c>
      <c r="N215" s="43"/>
      <c r="O215" s="89" t="str">
        <f t="array" ref="O215">IFERROR(INDEX('Detail inputs'!$B$3:$K$168,MATCH($B215&amp;$C215&amp;$E215&amp;$G215&amp;O$5,'Detail inputs'!$B$3:$B$168&amp;'Detail inputs'!$D$3:$D$168&amp;'Detail inputs'!$F$3:$F$168&amp;'Detail inputs'!$G$3:$G$168&amp;'Detail inputs'!$H$3:$H$168,0),MATCH(O$4,'Detail inputs'!$B$3:$K$3,0)),"")</f>
        <v/>
      </c>
      <c r="P215" s="89" t="str">
        <f t="array" ref="P215">IFERROR(INDEX('Detail inputs'!$B$3:$K$168,MATCH($B215&amp;$C215&amp;$E215&amp;$G215&amp;P$5,'Detail inputs'!$B$3:$B$168&amp;'Detail inputs'!$D$3:$D$168&amp;'Detail inputs'!$F$3:$F$168&amp;'Detail inputs'!$G$3:$G$168&amp;'Detail inputs'!$H$3:$H$168,0),MATCH(P$4,'Detail inputs'!$B$3:$K$3,0)),"")</f>
        <v/>
      </c>
      <c r="Q215" s="89" t="str">
        <f>IFERROR(IF(O215="",P215*$F215/1000,IF(P215="",O215,O215+P215*$F215/1000)),"")</f>
        <v/>
      </c>
      <c r="R215" s="43" t="str">
        <f>IFERROR(Q215/Q216,"")</f>
        <v/>
      </c>
    </row>
    <row r="216" spans="2:22" collapsed="1" x14ac:dyDescent="0.35">
      <c r="B216" s="3" t="str">
        <f t="shared" si="68"/>
        <v>SAPN</v>
      </c>
      <c r="C216" s="3" t="str">
        <f t="shared" si="65"/>
        <v>Small business</v>
      </c>
      <c r="D216" s="3" t="str">
        <f t="shared" si="66"/>
        <v>without CL</v>
      </c>
      <c r="E216" s="3" t="s">
        <v>23</v>
      </c>
      <c r="F216" s="41">
        <f t="array" ref="F216">IFERROR(INDEX(Usage!$B$5:$P$18,MATCH($B216,Usage!$B$5:$B$18,0),MATCH($C216&amp;$D216&amp;$E216,Usage!$B$5:$S$5&amp;Usage!$B$6:$S$6&amp;Usage!$B$7:$S$7,0)),0)</f>
        <v>20000</v>
      </c>
      <c r="G216" s="3" t="s">
        <v>64</v>
      </c>
      <c r="H216" s="95">
        <f t="array" ref="H216">INDEX('Key inputs'!$B$16:$N$40,MATCH($B216&amp;$C216&amp;$E216,'Key inputs'!$B$16:$B$40&amp;'Key inputs'!$C$16:$C$40&amp;'Key inputs'!$D$16:$D$40,0),MATCH($G216&amp;H$4&amp;H$5,'Key inputs'!$B$17:$N$17&amp;'Key inputs'!$B$18:$N$18&amp;'Key inputs'!$B$19:$N$19,0))</f>
        <v>185</v>
      </c>
      <c r="I216" s="95">
        <f t="array" ref="I216">INDEX('Key inputs'!$B$16:$N$40,MATCH($B216&amp;$C216&amp;$E216,'Key inputs'!$B$16:$B$40&amp;'Key inputs'!$C$16:$C$40&amp;'Key inputs'!$D$16:$D$40,0),MATCH($G216&amp;I$4&amp;I$5,'Key inputs'!$B$17:$N$17&amp;'Key inputs'!$B$18:$N$18&amp;'Key inputs'!$B$19:$N$19,0))</f>
        <v>131.4</v>
      </c>
      <c r="J216" s="89">
        <f>H216+I216*$F216/1000</f>
        <v>2813</v>
      </c>
      <c r="K216" s="43">
        <f>IFERROR(J216/J218,"")</f>
        <v>0.99189698093780632</v>
      </c>
      <c r="L216" s="43"/>
      <c r="M216" s="48">
        <f t="shared" si="67"/>
        <v>0.13863633131887654</v>
      </c>
      <c r="N216" s="43"/>
      <c r="O216" s="95">
        <f t="array" ref="O216">INDEX('Key inputs'!$B$16:$N$40,MATCH($B216&amp;$C216&amp;$E216,'Key inputs'!$B$16:$B$40&amp;'Key inputs'!$C$16:$C$40&amp;'Key inputs'!$D$16:$D$40,0),MATCH($G216&amp;O$4&amp;O$5,'Key inputs'!$B$17:$N$17&amp;'Key inputs'!$B$18:$N$18&amp;'Key inputs'!$B$19:$N$19,0))</f>
        <v>204.98400000000001</v>
      </c>
      <c r="P216" s="95">
        <f t="array" ref="P216">INDEX('Key inputs'!$B$16:$N$40,MATCH($B216&amp;$C216&amp;$E216,'Key inputs'!$B$16:$B$40&amp;'Key inputs'!$C$16:$C$40&amp;'Key inputs'!$D$16:$D$40,0),MATCH($G216&amp;P$4&amp;P$5,'Key inputs'!$B$17:$N$17&amp;'Key inputs'!$B$18:$N$18&amp;'Key inputs'!$B$19:$N$19,0))</f>
        <v>149.9</v>
      </c>
      <c r="Q216" s="89">
        <f>O216+P216*$F216/1000</f>
        <v>3202.9839999999999</v>
      </c>
      <c r="R216" s="43">
        <f>IFERROR(Q216/Q218,"")</f>
        <v>0.99282115119473902</v>
      </c>
      <c r="S216" s="129"/>
      <c r="T216" s="129"/>
      <c r="U216" s="129"/>
      <c r="V216" s="129"/>
    </row>
    <row r="217" spans="2:22" x14ac:dyDescent="0.35">
      <c r="B217" s="3" t="str">
        <f t="shared" si="68"/>
        <v>SAPN</v>
      </c>
      <c r="C217" s="3" t="str">
        <f t="shared" si="65"/>
        <v>Small business</v>
      </c>
      <c r="D217" s="3" t="str">
        <f t="shared" si="66"/>
        <v>without CL</v>
      </c>
      <c r="E217" s="3" t="s">
        <v>23</v>
      </c>
      <c r="F217" s="41">
        <f t="array" ref="F217">IFERROR(INDEX(Usage!$B$5:$P$18,MATCH($B217,Usage!$B$5:$B$18,0),MATCH($C217&amp;$D217&amp;$E217,Usage!$B$5:$S$5&amp;Usage!$B$6:$S$6&amp;Usage!$B$7:$S$7,0)),0)</f>
        <v>20000</v>
      </c>
      <c r="G217" s="3" t="s">
        <v>68</v>
      </c>
      <c r="H217" s="95">
        <f t="array" ref="H217">INDEX('Key inputs'!$B$16:$N$40,MATCH($B217&amp;$C217&amp;$E217,'Key inputs'!$B$16:$B$40&amp;'Key inputs'!$C$16:$C$40&amp;'Key inputs'!$D$16:$D$40,0),MATCH($G217&amp;H$4&amp;H$5,'Key inputs'!$B$17:$N$17&amp;'Key inputs'!$B$18:$N$18&amp;'Key inputs'!$B$19:$N$19,0))</f>
        <v>22.98</v>
      </c>
      <c r="I217" s="89">
        <f>IFERROR(INDEX('Detail inputs'!$B$3:$K$168,MATCH($B217&amp;$C217&amp;$E217&amp;$G217&amp;I$5,'Detail inputs'!$B$3:$B$168&amp;'Detail inputs'!$D$3:$D$168&amp;'Detail inputs'!$F$3:$F$168&amp;'Detail inputs'!$G$3:$G$168&amp;'Detail inputs'!$H$3:$H$168,0),MATCH(I$4,'Detail inputs'!$B$3:$K$3,0)),0)</f>
        <v>0</v>
      </c>
      <c r="J217" s="89">
        <f>H217+I217*$F217/1000</f>
        <v>22.98</v>
      </c>
      <c r="K217" s="43">
        <f>IFERROR(J217/J218,"")</f>
        <v>8.1030190621936681E-3</v>
      </c>
      <c r="L217" s="43"/>
      <c r="M217" s="48">
        <f t="shared" si="67"/>
        <v>7.8328981723236879E-3</v>
      </c>
      <c r="N217" s="43"/>
      <c r="O217" s="95">
        <f t="array" ref="O217">INDEX('Key inputs'!$B$16:$N$40,MATCH($B217&amp;$C217&amp;$E217,'Key inputs'!$B$16:$B$40&amp;'Key inputs'!$C$16:$C$40&amp;'Key inputs'!$D$16:$D$40,0),MATCH($G217&amp;O$4&amp;O$5,'Key inputs'!$B$17:$N$17&amp;'Key inputs'!$B$18:$N$18&amp;'Key inputs'!$B$19:$N$19,0))</f>
        <v>23.16</v>
      </c>
      <c r="P217" s="89">
        <f>IFERROR(INDEX('Detail inputs'!$B$3:$K$168,MATCH($B217&amp;$C217&amp;$E217&amp;$G217&amp;P$5,'Detail inputs'!$B$3:$B$168&amp;'Detail inputs'!$D$3:$D$168&amp;'Detail inputs'!$F$3:$F$168&amp;'Detail inputs'!$G$3:$G$168&amp;'Detail inputs'!$H$3:$H$168,0),MATCH(P$4,'Detail inputs'!$B$3:$K$3,0)),0)</f>
        <v>0</v>
      </c>
      <c r="Q217" s="89">
        <f>O217+P217*$F217/1000</f>
        <v>23.16</v>
      </c>
      <c r="R217" s="43">
        <f>IFERROR(Q217/Q218,"")</f>
        <v>7.1788488052610183E-3</v>
      </c>
    </row>
    <row r="218" spans="2:22" s="77" customFormat="1" x14ac:dyDescent="0.35">
      <c r="B218" s="77" t="str">
        <f t="shared" si="68"/>
        <v>SAPN</v>
      </c>
      <c r="C218" s="77" t="str">
        <f t="shared" si="65"/>
        <v>Small business</v>
      </c>
      <c r="D218" s="77" t="str">
        <f t="shared" si="66"/>
        <v>without CL</v>
      </c>
      <c r="E218" s="3" t="s">
        <v>23</v>
      </c>
      <c r="F218" s="41">
        <f t="array" ref="F218">IFERROR(INDEX(Usage!$B$5:$P$18,MATCH($B218,Usage!$B$5:$B$18,0),MATCH($C218&amp;$D218&amp;$E218,Usage!$B$5:$S$5&amp;Usage!$B$6:$S$6&amp;Usage!$B$7:$S$7,0)),0)</f>
        <v>20000</v>
      </c>
      <c r="G218" s="77" t="s">
        <v>62</v>
      </c>
      <c r="H218" s="95"/>
      <c r="I218" s="95"/>
      <c r="J218" s="95">
        <f>SUM(J216:J217)</f>
        <v>2835.98</v>
      </c>
      <c r="K218" s="87"/>
      <c r="L218" s="88"/>
      <c r="M218" s="48">
        <f t="shared" si="67"/>
        <v>0.13757642860668962</v>
      </c>
      <c r="N218" s="88"/>
      <c r="O218" s="95"/>
      <c r="P218" s="95"/>
      <c r="Q218" s="95">
        <f>SUM(Q216:Q217)</f>
        <v>3226.1439999999998</v>
      </c>
      <c r="R218" s="87"/>
    </row>
    <row r="219" spans="2:22" outlineLevel="1" x14ac:dyDescent="0.35">
      <c r="B219" s="3" t="str">
        <f t="shared" si="68"/>
        <v>SAPN</v>
      </c>
      <c r="C219" s="3" t="str">
        <f t="shared" si="65"/>
        <v>Small business</v>
      </c>
      <c r="D219" s="3" t="str">
        <f t="shared" si="66"/>
        <v>without CL</v>
      </c>
      <c r="G219" s="77" t="s">
        <v>42</v>
      </c>
      <c r="H219" s="95"/>
      <c r="I219" s="95"/>
      <c r="J219" s="95">
        <f>J218*GST</f>
        <v>283.59800000000001</v>
      </c>
      <c r="K219" s="87"/>
      <c r="L219" s="88"/>
      <c r="M219" s="48">
        <f t="shared" si="67"/>
        <v>0.13757642860668962</v>
      </c>
      <c r="N219" s="88"/>
      <c r="O219" s="95"/>
      <c r="P219" s="95"/>
      <c r="Q219" s="95">
        <f>Q218*GST</f>
        <v>322.61439999999999</v>
      </c>
    </row>
    <row r="220" spans="2:22" x14ac:dyDescent="0.35">
      <c r="B220" s="3" t="str">
        <f t="shared" si="68"/>
        <v>SAPN</v>
      </c>
      <c r="C220" s="3" t="str">
        <f t="shared" si="65"/>
        <v>Small business</v>
      </c>
      <c r="D220" s="3" t="str">
        <f t="shared" si="66"/>
        <v>without CL</v>
      </c>
      <c r="G220" s="5" t="s">
        <v>90</v>
      </c>
      <c r="H220" s="94"/>
      <c r="I220" s="94"/>
      <c r="J220" s="94">
        <f>SUM(J218:J219)</f>
        <v>3119.578</v>
      </c>
      <c r="K220" s="75"/>
      <c r="L220" s="27"/>
      <c r="M220" s="76">
        <f t="shared" si="67"/>
        <v>0.13757642860668962</v>
      </c>
      <c r="N220" s="27"/>
      <c r="O220" s="94"/>
      <c r="P220" s="94"/>
      <c r="Q220" s="94">
        <f>SUM(Q218:Q219)</f>
        <v>3548.7583999999997</v>
      </c>
    </row>
    <row r="221" spans="2:22" x14ac:dyDescent="0.35">
      <c r="K221" s="43"/>
      <c r="L221" s="43"/>
      <c r="M221" s="48"/>
      <c r="N221" s="43"/>
    </row>
    <row r="222" spans="2:22" x14ac:dyDescent="0.35">
      <c r="H222" s="95"/>
      <c r="I222" s="95"/>
      <c r="K222" s="43"/>
      <c r="L222" s="43"/>
      <c r="M222" s="48"/>
      <c r="N222" s="43"/>
      <c r="O222" s="95"/>
      <c r="P222" s="95"/>
    </row>
    <row r="223" spans="2:22" x14ac:dyDescent="0.35">
      <c r="H223" s="95"/>
      <c r="K223" s="43"/>
      <c r="L223" s="43"/>
      <c r="M223" s="48"/>
      <c r="N223" s="43"/>
      <c r="O223" s="95"/>
    </row>
    <row r="224" spans="2:22" x14ac:dyDescent="0.35">
      <c r="H224" s="95"/>
      <c r="I224" s="95"/>
      <c r="J224" s="95"/>
      <c r="K224" s="87"/>
      <c r="L224" s="88"/>
      <c r="M224" s="48"/>
      <c r="N224" s="88"/>
      <c r="O224" s="95"/>
      <c r="P224" s="95"/>
      <c r="Q224" s="95"/>
    </row>
    <row r="225" spans="8:17" x14ac:dyDescent="0.35">
      <c r="H225" s="95"/>
      <c r="I225" s="95"/>
      <c r="J225" s="95"/>
      <c r="K225" s="87"/>
      <c r="L225" s="88"/>
      <c r="M225" s="48"/>
      <c r="N225" s="88"/>
      <c r="O225" s="95"/>
      <c r="P225" s="95"/>
      <c r="Q225" s="95"/>
    </row>
    <row r="226" spans="8:17" x14ac:dyDescent="0.35">
      <c r="H226" s="94"/>
      <c r="I226" s="94"/>
      <c r="J226" s="94"/>
      <c r="K226" s="75"/>
      <c r="L226" s="27"/>
      <c r="M226" s="76"/>
      <c r="N226" s="27"/>
      <c r="O226" s="94"/>
      <c r="P226" s="94"/>
      <c r="Q226" s="94"/>
    </row>
  </sheetData>
  <sheetProtection algorithmName="SHA-256" hashValue="5lWL43jF57zeXvoqY1hYFz6Yrbm/WK4D3R5/dfsRNYU=" saltValue="y+D1nd2flwRh1XOGlZ9KCA==" spinCount="100000" sheet="1" objects="1" scenarios="1"/>
  <mergeCells count="3">
    <mergeCell ref="O3:R3"/>
    <mergeCell ref="H3:K3"/>
    <mergeCell ref="A1:B1"/>
  </mergeCells>
  <conditionalFormatting sqref="B7:R8 B17:R18 B40:R41 I13 P13 I23 I29 R22:R23 B15:L16 N28:N29 N22:N23 B38:L39 B93:R94 B104:R105 N101:R103 B130:R131 N112:R112 B141:R142 B138:L140 N138:R140 B10:E14 G14:L14 B19:E37 B101:L103 B112:L112 B143:G183 K9:L9 N9 R12:R13 G19:G23 B42:G49 K22:L23 K25:L25 R25 G31:G35 R31:R35 N14:R16 G30:L30 N30:R30 G36:L37 G24:L24 N24:R24 N36:R39 B50:R51 B9:I9 G10:G13 N12:N13 K12:L13 N25 R28:R29 K28:L29 G25:G29 B52:G92 R143:R183 B184:R185 B227:R247 B186:G226 R186:R226 B95:G100 R95:R100 B106:G111 R106:R111 B119:L119 N119:R119 N126:R129 B126:L129 R113:R118 B113:G118 B120:G125 R120:R125 B132:G137 P23 P29">
    <cfRule type="expression" dxfId="980" priority="1145">
      <formula>MOD(ROW(),2)=0</formula>
    </cfRule>
  </conditionalFormatting>
  <conditionalFormatting sqref="B147:D155 B157:D161 B163:D167 B169:D178 B7:D145 B180:D247">
    <cfRule type="expression" dxfId="979" priority="1143">
      <formula>AND(B7=B6,MOD(ROW(),2)=1)</formula>
    </cfRule>
    <cfRule type="expression" dxfId="978" priority="1144">
      <formula>AND(B7=B6,MOD(ROW(),2)=0)</formula>
    </cfRule>
  </conditionalFormatting>
  <conditionalFormatting sqref="B146:D146 B156:D156 B162:D162 B168:D168 B179:D179">
    <cfRule type="expression" dxfId="977" priority="1295">
      <formula>AND(B146=B144,MOD(ROW(),2)=1)</formula>
    </cfRule>
    <cfRule type="expression" dxfId="976" priority="1296">
      <formula>AND(B146=B144,MOD(ROW(),2)=0)</formula>
    </cfRule>
  </conditionalFormatting>
  <conditionalFormatting sqref="B146:D146">
    <cfRule type="expression" dxfId="975" priority="1141">
      <formula>AND(B146=B145,MOD(ROW(),2)=1)</formula>
    </cfRule>
    <cfRule type="expression" dxfId="974" priority="1142">
      <formula>AND(B146=B145,MOD(ROW(),2)=0)</formula>
    </cfRule>
  </conditionalFormatting>
  <conditionalFormatting sqref="B156:D156">
    <cfRule type="expression" dxfId="973" priority="1139">
      <formula>AND(B156=B155,MOD(ROW(),2)=1)</formula>
    </cfRule>
    <cfRule type="expression" dxfId="972" priority="1140">
      <formula>AND(B156=B155,MOD(ROW(),2)=0)</formula>
    </cfRule>
  </conditionalFormatting>
  <conditionalFormatting sqref="B162:D162">
    <cfRule type="expression" dxfId="971" priority="1137">
      <formula>AND(B162=B161,MOD(ROW(),2)=1)</formula>
    </cfRule>
    <cfRule type="expression" dxfId="970" priority="1138">
      <formula>AND(B162=B161,MOD(ROW(),2)=0)</formula>
    </cfRule>
  </conditionalFormatting>
  <conditionalFormatting sqref="B168:D168">
    <cfRule type="expression" dxfId="969" priority="1135">
      <formula>AND(B168=B167,MOD(ROW(),2)=1)</formula>
    </cfRule>
    <cfRule type="expression" dxfId="968" priority="1136">
      <formula>AND(B168=B167,MOD(ROW(),2)=0)</formula>
    </cfRule>
  </conditionalFormatting>
  <conditionalFormatting sqref="B179:D179">
    <cfRule type="expression" dxfId="967" priority="1133">
      <formula>AND(B179=B178,MOD(ROW(),2)=1)</formula>
    </cfRule>
    <cfRule type="expression" dxfId="966" priority="1134">
      <formula>AND(B179=B178,MOD(ROW(),2)=0)</formula>
    </cfRule>
  </conditionalFormatting>
  <conditionalFormatting sqref="H12">
    <cfRule type="expression" dxfId="965" priority="1132">
      <formula>MOD(ROW(),2)=0</formula>
    </cfRule>
  </conditionalFormatting>
  <conditionalFormatting sqref="I12">
    <cfRule type="expression" dxfId="964" priority="1131">
      <formula>MOD(ROW(),2)=0</formula>
    </cfRule>
  </conditionalFormatting>
  <conditionalFormatting sqref="O12">
    <cfRule type="expression" dxfId="963" priority="1130">
      <formula>MOD(ROW(),2)=0</formula>
    </cfRule>
  </conditionalFormatting>
  <conditionalFormatting sqref="P12">
    <cfRule type="expression" dxfId="962" priority="1129">
      <formula>MOD(ROW(),2)=0</formula>
    </cfRule>
  </conditionalFormatting>
  <conditionalFormatting sqref="H22">
    <cfRule type="expression" dxfId="961" priority="1128">
      <formula>MOD(ROW(),2)=0</formula>
    </cfRule>
  </conditionalFormatting>
  <conditionalFormatting sqref="I22">
    <cfRule type="expression" dxfId="960" priority="1127">
      <formula>MOD(ROW(),2)=0</formula>
    </cfRule>
  </conditionalFormatting>
  <conditionalFormatting sqref="H28">
    <cfRule type="expression" dxfId="959" priority="1126">
      <formula>MOD(ROW(),2)=0</formula>
    </cfRule>
  </conditionalFormatting>
  <conditionalFormatting sqref="I28">
    <cfRule type="expression" dxfId="958" priority="1125">
      <formula>MOD(ROW(),2)=0</formula>
    </cfRule>
  </conditionalFormatting>
  <conditionalFormatting sqref="O22">
    <cfRule type="expression" dxfId="957" priority="1122">
      <formula>MOD(ROW(),2)=0</formula>
    </cfRule>
  </conditionalFormatting>
  <conditionalFormatting sqref="P22">
    <cfRule type="expression" dxfId="956" priority="1121">
      <formula>MOD(ROW(),2)=0</formula>
    </cfRule>
  </conditionalFormatting>
  <conditionalFormatting sqref="O28">
    <cfRule type="expression" dxfId="955" priority="1120">
      <formula>MOD(ROW(),2)=0</formula>
    </cfRule>
  </conditionalFormatting>
  <conditionalFormatting sqref="P28">
    <cfRule type="expression" dxfId="954" priority="1119">
      <formula>MOD(ROW(),2)=0</formula>
    </cfRule>
  </conditionalFormatting>
  <conditionalFormatting sqref="H13">
    <cfRule type="expression" dxfId="953" priority="1116">
      <formula>MOD(ROW(),2)=0</formula>
    </cfRule>
  </conditionalFormatting>
  <conditionalFormatting sqref="O13">
    <cfRule type="expression" dxfId="952" priority="1115">
      <formula>MOD(ROW(),2)=0</formula>
    </cfRule>
  </conditionalFormatting>
  <conditionalFormatting sqref="O23">
    <cfRule type="expression" dxfId="951" priority="1114">
      <formula>MOD(ROW(),2)=0</formula>
    </cfRule>
  </conditionalFormatting>
  <conditionalFormatting sqref="H23">
    <cfRule type="expression" dxfId="950" priority="1113">
      <formula>MOD(ROW(),2)=0</formula>
    </cfRule>
  </conditionalFormatting>
  <conditionalFormatting sqref="H29">
    <cfRule type="expression" dxfId="949" priority="1112">
      <formula>MOD(ROW(),2)=0</formula>
    </cfRule>
  </conditionalFormatting>
  <conditionalFormatting sqref="O29">
    <cfRule type="expression" dxfId="948" priority="1111">
      <formula>MOD(ROW(),2)=0</formula>
    </cfRule>
  </conditionalFormatting>
  <conditionalFormatting sqref="J13">
    <cfRule type="expression" dxfId="947" priority="1106">
      <formula>MOD(ROW(),2)=0</formula>
    </cfRule>
  </conditionalFormatting>
  <conditionalFormatting sqref="M15">
    <cfRule type="expression" dxfId="946" priority="959">
      <formula>MOD(ROW(),2)=0</formula>
    </cfRule>
  </conditionalFormatting>
  <conditionalFormatting sqref="M16">
    <cfRule type="expression" dxfId="945" priority="958">
      <formula>MOD(ROW(),2)=0</formula>
    </cfRule>
  </conditionalFormatting>
  <conditionalFormatting sqref="Q22">
    <cfRule type="expression" dxfId="944" priority="1098">
      <formula>MOD(ROW(),2)=0</formula>
    </cfRule>
  </conditionalFormatting>
  <conditionalFormatting sqref="Q23">
    <cfRule type="expression" dxfId="943" priority="1097">
      <formula>MOD(ROW(),2)=0</formula>
    </cfRule>
  </conditionalFormatting>
  <conditionalFormatting sqref="F10:F14">
    <cfRule type="expression" dxfId="942" priority="1078">
      <formula>MOD(ROW(),2)=0</formula>
    </cfRule>
  </conditionalFormatting>
  <conditionalFormatting sqref="F19:F37">
    <cfRule type="expression" dxfId="941" priority="1077">
      <formula>MOD(ROW(),2)=0</formula>
    </cfRule>
  </conditionalFormatting>
  <conditionalFormatting sqref="M9">
    <cfRule type="expression" dxfId="940" priority="1092">
      <formula>MOD(ROW(),2)=0</formula>
    </cfRule>
  </conditionalFormatting>
  <conditionalFormatting sqref="M14">
    <cfRule type="expression" dxfId="939" priority="960">
      <formula>MOD(ROW(),2)=0</formula>
    </cfRule>
  </conditionalFormatting>
  <conditionalFormatting sqref="M101:M103">
    <cfRule type="expression" dxfId="938" priority="1072">
      <formula>MOD(ROW(),2)=0</formula>
    </cfRule>
  </conditionalFormatting>
  <conditionalFormatting sqref="M112 M119 M126:M129">
    <cfRule type="expression" dxfId="937" priority="1071">
      <formula>MOD(ROW(),2)=0</formula>
    </cfRule>
  </conditionalFormatting>
  <conditionalFormatting sqref="M138:M140">
    <cfRule type="expression" dxfId="936" priority="1070">
      <formula>MOD(ROW(),2)=0</formula>
    </cfRule>
  </conditionalFormatting>
  <conditionalFormatting sqref="J12">
    <cfRule type="expression" dxfId="935" priority="1068">
      <formula>MOD(ROW(),2)=0</formula>
    </cfRule>
  </conditionalFormatting>
  <conditionalFormatting sqref="Q12:Q13">
    <cfRule type="expression" dxfId="934" priority="1066">
      <formula>MOD(ROW(),2)=0</formula>
    </cfRule>
  </conditionalFormatting>
  <conditionalFormatting sqref="J22:J23">
    <cfRule type="expression" dxfId="933" priority="1055">
      <formula>MOD(ROW(),2)=0</formula>
    </cfRule>
  </conditionalFormatting>
  <conditionalFormatting sqref="I77">
    <cfRule type="expression" dxfId="932" priority="803">
      <formula>MOD(ROW(),2)=0</formula>
    </cfRule>
  </conditionalFormatting>
  <conditionalFormatting sqref="O77">
    <cfRule type="expression" dxfId="931" priority="802">
      <formula>MOD(ROW(),2)=0</formula>
    </cfRule>
  </conditionalFormatting>
  <conditionalFormatting sqref="J28">
    <cfRule type="expression" dxfId="930" priority="1047">
      <formula>MOD(ROW(),2)=0</formula>
    </cfRule>
  </conditionalFormatting>
  <conditionalFormatting sqref="J25">
    <cfRule type="expression" dxfId="929" priority="1043">
      <formula>MOD(ROW(),2)=0</formula>
    </cfRule>
  </conditionalFormatting>
  <conditionalFormatting sqref="B53:D53">
    <cfRule type="expression" dxfId="928" priority="1303">
      <formula>AND(B53=#REF!,MOD(ROW(),2)=1)</formula>
    </cfRule>
    <cfRule type="expression" dxfId="927" priority="1304">
      <formula>AND(B53=#REF!,MOD(ROW(),2)=0)</formula>
    </cfRule>
  </conditionalFormatting>
  <conditionalFormatting sqref="O75:P75">
    <cfRule type="expression" dxfId="926" priority="789">
      <formula>MOD(ROW(),2)=0</formula>
    </cfRule>
  </conditionalFormatting>
  <conditionalFormatting sqref="L76 N76">
    <cfRule type="expression" dxfId="925" priority="788">
      <formula>MOD(ROW(),2)=0</formula>
    </cfRule>
  </conditionalFormatting>
  <conditionalFormatting sqref="J76">
    <cfRule type="expression" dxfId="924" priority="787">
      <formula>MOD(ROW(),2)=0</formula>
    </cfRule>
  </conditionalFormatting>
  <conditionalFormatting sqref="H76:I76">
    <cfRule type="expression" dxfId="923" priority="786">
      <formula>MOD(ROW(),2)=0</formula>
    </cfRule>
  </conditionalFormatting>
  <conditionalFormatting sqref="Q76">
    <cfRule type="expression" dxfId="922" priority="785">
      <formula>MOD(ROW(),2)=0</formula>
    </cfRule>
  </conditionalFormatting>
  <conditionalFormatting sqref="O76:P76">
    <cfRule type="expression" dxfId="921" priority="784">
      <formula>MOD(ROW(),2)=0</formula>
    </cfRule>
  </conditionalFormatting>
  <conditionalFormatting sqref="Q77">
    <cfRule type="expression" dxfId="920" priority="783">
      <formula>MOD(ROW(),2)=0</formula>
    </cfRule>
  </conditionalFormatting>
  <conditionalFormatting sqref="J78">
    <cfRule type="expression" dxfId="919" priority="782">
      <formula>MOD(ROW(),2)=0</formula>
    </cfRule>
  </conditionalFormatting>
  <conditionalFormatting sqref="Q78">
    <cfRule type="expression" dxfId="918" priority="781">
      <formula>MOD(ROW(),2)=0</formula>
    </cfRule>
  </conditionalFormatting>
  <conditionalFormatting sqref="M68:M82">
    <cfRule type="expression" dxfId="917" priority="780">
      <formula>MOD(ROW(),2)=0</formula>
    </cfRule>
  </conditionalFormatting>
  <conditionalFormatting sqref="I89 H90:L92 L85 N85 R88:R89 N90:R92 H85:I85 N88:N89 K88:L89">
    <cfRule type="expression" dxfId="916" priority="779">
      <formula>MOD(ROW(),2)=0</formula>
    </cfRule>
  </conditionalFormatting>
  <conditionalFormatting sqref="H88">
    <cfRule type="expression" dxfId="915" priority="778">
      <formula>MOD(ROW(),2)=0</formula>
    </cfRule>
  </conditionalFormatting>
  <conditionalFormatting sqref="I88">
    <cfRule type="expression" dxfId="914" priority="777">
      <formula>MOD(ROW(),2)=0</formula>
    </cfRule>
  </conditionalFormatting>
  <conditionalFormatting sqref="O88">
    <cfRule type="expression" dxfId="913" priority="776">
      <formula>MOD(ROW(),2)=0</formula>
    </cfRule>
  </conditionalFormatting>
  <conditionalFormatting sqref="P88">
    <cfRule type="expression" dxfId="912" priority="775">
      <formula>MOD(ROW(),2)=0</formula>
    </cfRule>
  </conditionalFormatting>
  <conditionalFormatting sqref="H89">
    <cfRule type="expression" dxfId="911" priority="774">
      <formula>MOD(ROW(),2)=0</formula>
    </cfRule>
  </conditionalFormatting>
  <conditionalFormatting sqref="O89">
    <cfRule type="expression" dxfId="910" priority="773">
      <formula>MOD(ROW(),2)=0</formula>
    </cfRule>
  </conditionalFormatting>
  <conditionalFormatting sqref="J89">
    <cfRule type="expression" dxfId="909" priority="772">
      <formula>MOD(ROW(),2)=0</formula>
    </cfRule>
  </conditionalFormatting>
  <conditionalFormatting sqref="M85">
    <cfRule type="expression" dxfId="908" priority="771">
      <formula>MOD(ROW(),2)=0</formula>
    </cfRule>
  </conditionalFormatting>
  <conditionalFormatting sqref="J88">
    <cfRule type="expression" dxfId="907" priority="770">
      <formula>MOD(ROW(),2)=0</formula>
    </cfRule>
  </conditionalFormatting>
  <conditionalFormatting sqref="Q88:Q89">
    <cfRule type="expression" dxfId="906" priority="769">
      <formula>MOD(ROW(),2)=0</formula>
    </cfRule>
  </conditionalFormatting>
  <conditionalFormatting sqref="J85">
    <cfRule type="expression" dxfId="905" priority="768">
      <formula>MOD(ROW(),2)=0</formula>
    </cfRule>
  </conditionalFormatting>
  <conditionalFormatting sqref="R85 O85:P85">
    <cfRule type="expression" dxfId="904" priority="767">
      <formula>MOD(ROW(),2)=0</formula>
    </cfRule>
  </conditionalFormatting>
  <conditionalFormatting sqref="Q85">
    <cfRule type="expression" dxfId="903" priority="766">
      <formula>MOD(ROW(),2)=0</formula>
    </cfRule>
  </conditionalFormatting>
  <conditionalFormatting sqref="L86 N86 H86:I86">
    <cfRule type="expression" dxfId="902" priority="765">
      <formula>MOD(ROW(),2)=0</formula>
    </cfRule>
  </conditionalFormatting>
  <conditionalFormatting sqref="M86">
    <cfRule type="expression" dxfId="901" priority="764">
      <formula>MOD(ROW(),2)=0</formula>
    </cfRule>
  </conditionalFormatting>
  <conditionalFormatting sqref="J86">
    <cfRule type="expression" dxfId="900" priority="763">
      <formula>MOD(ROW(),2)=0</formula>
    </cfRule>
  </conditionalFormatting>
  <conditionalFormatting sqref="R86 O86:P86">
    <cfRule type="expression" dxfId="899" priority="762">
      <formula>MOD(ROW(),2)=0</formula>
    </cfRule>
  </conditionalFormatting>
  <conditionalFormatting sqref="J77">
    <cfRule type="expression" dxfId="898" priority="798">
      <formula>MOD(ROW(),2)=0</formula>
    </cfRule>
  </conditionalFormatting>
  <conditionalFormatting sqref="J74">
    <cfRule type="expression" dxfId="897" priority="797">
      <formula>MOD(ROW(),2)=0</formula>
    </cfRule>
  </conditionalFormatting>
  <conditionalFormatting sqref="H74:I74">
    <cfRule type="expression" dxfId="896" priority="796">
      <formula>MOD(ROW(),2)=0</formula>
    </cfRule>
  </conditionalFormatting>
  <conditionalFormatting sqref="Q74">
    <cfRule type="expression" dxfId="895" priority="795">
      <formula>MOD(ROW(),2)=0</formula>
    </cfRule>
  </conditionalFormatting>
  <conditionalFormatting sqref="O74:P74">
    <cfRule type="expression" dxfId="894" priority="794">
      <formula>MOD(ROW(),2)=0</formula>
    </cfRule>
  </conditionalFormatting>
  <conditionalFormatting sqref="Q70">
    <cfRule type="expression" dxfId="893" priority="810">
      <formula>MOD(ROW(),2)=0</formula>
    </cfRule>
  </conditionalFormatting>
  <conditionalFormatting sqref="O70:P70">
    <cfRule type="expression" dxfId="892" priority="809">
      <formula>MOD(ROW(),2)=0</formula>
    </cfRule>
  </conditionalFormatting>
  <conditionalFormatting sqref="Q71">
    <cfRule type="expression" dxfId="891" priority="808">
      <formula>MOD(ROW(),2)=0</formula>
    </cfRule>
  </conditionalFormatting>
  <conditionalFormatting sqref="J72">
    <cfRule type="expression" dxfId="890" priority="807">
      <formula>MOD(ROW(),2)=0</formula>
    </cfRule>
  </conditionalFormatting>
  <conditionalFormatting sqref="Q72">
    <cfRule type="expression" dxfId="889" priority="806">
      <formula>MOD(ROW(),2)=0</formula>
    </cfRule>
  </conditionalFormatting>
  <conditionalFormatting sqref="L75 N75">
    <cfRule type="expression" dxfId="888" priority="793">
      <formula>MOD(ROW(),2)=0</formula>
    </cfRule>
  </conditionalFormatting>
  <conditionalFormatting sqref="J75">
    <cfRule type="expression" dxfId="887" priority="792">
      <formula>MOD(ROW(),2)=0</formula>
    </cfRule>
  </conditionalFormatting>
  <conditionalFormatting sqref="H75:I75">
    <cfRule type="expression" dxfId="886" priority="791">
      <formula>MOD(ROW(),2)=0</formula>
    </cfRule>
  </conditionalFormatting>
  <conditionalFormatting sqref="Q75">
    <cfRule type="expression" dxfId="885" priority="790">
      <formula>MOD(ROW(),2)=0</formula>
    </cfRule>
  </conditionalFormatting>
  <conditionalFormatting sqref="J9">
    <cfRule type="expression" dxfId="884" priority="981">
      <formula>MOD(ROW(),2)=0</formula>
    </cfRule>
  </conditionalFormatting>
  <conditionalFormatting sqref="R9 O9:P9">
    <cfRule type="expression" dxfId="883" priority="974">
      <formula>MOD(ROW(),2)=0</formula>
    </cfRule>
  </conditionalFormatting>
  <conditionalFormatting sqref="Q9">
    <cfRule type="expression" dxfId="882" priority="973">
      <formula>MOD(ROW(),2)=0</formula>
    </cfRule>
  </conditionalFormatting>
  <conditionalFormatting sqref="K10:L10 N10 H10:I10">
    <cfRule type="expression" dxfId="881" priority="972">
      <formula>MOD(ROW(),2)=0</formula>
    </cfRule>
  </conditionalFormatting>
  <conditionalFormatting sqref="M10">
    <cfRule type="expression" dxfId="880" priority="971">
      <formula>MOD(ROW(),2)=0</formula>
    </cfRule>
  </conditionalFormatting>
  <conditionalFormatting sqref="J10">
    <cfRule type="expression" dxfId="879" priority="970">
      <formula>MOD(ROW(),2)=0</formula>
    </cfRule>
  </conditionalFormatting>
  <conditionalFormatting sqref="R10 O10:P10">
    <cfRule type="expression" dxfId="878" priority="969">
      <formula>MOD(ROW(),2)=0</formula>
    </cfRule>
  </conditionalFormatting>
  <conditionalFormatting sqref="Q10">
    <cfRule type="expression" dxfId="877" priority="968">
      <formula>MOD(ROW(),2)=0</formula>
    </cfRule>
  </conditionalFormatting>
  <conditionalFormatting sqref="K11:L11 N11 H11:I11">
    <cfRule type="expression" dxfId="876" priority="967">
      <formula>MOD(ROW(),2)=0</formula>
    </cfRule>
  </conditionalFormatting>
  <conditionalFormatting sqref="M11">
    <cfRule type="expression" dxfId="875" priority="966">
      <formula>MOD(ROW(),2)=0</formula>
    </cfRule>
  </conditionalFormatting>
  <conditionalFormatting sqref="J11">
    <cfRule type="expression" dxfId="874" priority="965">
      <formula>MOD(ROW(),2)=0</formula>
    </cfRule>
  </conditionalFormatting>
  <conditionalFormatting sqref="R11 O11:P11">
    <cfRule type="expression" dxfId="873" priority="964">
      <formula>MOD(ROW(),2)=0</formula>
    </cfRule>
  </conditionalFormatting>
  <conditionalFormatting sqref="Q11">
    <cfRule type="expression" dxfId="872" priority="963">
      <formula>MOD(ROW(),2)=0</formula>
    </cfRule>
  </conditionalFormatting>
  <conditionalFormatting sqref="M12">
    <cfRule type="expression" dxfId="871" priority="962">
      <formula>MOD(ROW(),2)=0</formula>
    </cfRule>
  </conditionalFormatting>
  <conditionalFormatting sqref="M13">
    <cfRule type="expression" dxfId="870" priority="961">
      <formula>MOD(ROW(),2)=0</formula>
    </cfRule>
  </conditionalFormatting>
  <conditionalFormatting sqref="K19:L21 N19:N21 H19:I21">
    <cfRule type="expression" dxfId="869" priority="957">
      <formula>MOD(ROW(),2)=0</formula>
    </cfRule>
  </conditionalFormatting>
  <conditionalFormatting sqref="M19:M21">
    <cfRule type="expression" dxfId="868" priority="956">
      <formula>MOD(ROW(),2)=0</formula>
    </cfRule>
  </conditionalFormatting>
  <conditionalFormatting sqref="J19:J21">
    <cfRule type="expression" dxfId="867" priority="955">
      <formula>MOD(ROW(),2)=0</formula>
    </cfRule>
  </conditionalFormatting>
  <conditionalFormatting sqref="R19:R21 O19:P21">
    <cfRule type="expression" dxfId="866" priority="954">
      <formula>MOD(ROW(),2)=0</formula>
    </cfRule>
  </conditionalFormatting>
  <conditionalFormatting sqref="Q19:Q21">
    <cfRule type="expression" dxfId="865" priority="953">
      <formula>MOD(ROW(),2)=0</formula>
    </cfRule>
  </conditionalFormatting>
  <conditionalFormatting sqref="M22:M24">
    <cfRule type="expression" dxfId="864" priority="952">
      <formula>MOD(ROW(),2)=0</formula>
    </cfRule>
  </conditionalFormatting>
  <conditionalFormatting sqref="H25:I25">
    <cfRule type="expression" dxfId="863" priority="951">
      <formula>MOD(ROW(),2)=0</formula>
    </cfRule>
  </conditionalFormatting>
  <conditionalFormatting sqref="Q25">
    <cfRule type="expression" dxfId="862" priority="950">
      <formula>MOD(ROW(),2)=0</formula>
    </cfRule>
  </conditionalFormatting>
  <conditionalFormatting sqref="O25:P25">
    <cfRule type="expression" dxfId="861" priority="949">
      <formula>MOD(ROW(),2)=0</formula>
    </cfRule>
  </conditionalFormatting>
  <conditionalFormatting sqref="K26:L26 R26 N26">
    <cfRule type="expression" dxfId="860" priority="947">
      <formula>MOD(ROW(),2)=0</formula>
    </cfRule>
  </conditionalFormatting>
  <conditionalFormatting sqref="J26">
    <cfRule type="expression" dxfId="859" priority="946">
      <formula>MOD(ROW(),2)=0</formula>
    </cfRule>
  </conditionalFormatting>
  <conditionalFormatting sqref="H26:I26">
    <cfRule type="expression" dxfId="858" priority="945">
      <formula>MOD(ROW(),2)=0</formula>
    </cfRule>
  </conditionalFormatting>
  <conditionalFormatting sqref="Q26">
    <cfRule type="expression" dxfId="857" priority="944">
      <formula>MOD(ROW(),2)=0</formula>
    </cfRule>
  </conditionalFormatting>
  <conditionalFormatting sqref="O26:P26">
    <cfRule type="expression" dxfId="856" priority="943">
      <formula>MOD(ROW(),2)=0</formula>
    </cfRule>
  </conditionalFormatting>
  <conditionalFormatting sqref="K27:L27 R27 N27">
    <cfRule type="expression" dxfId="855" priority="941">
      <formula>MOD(ROW(),2)=0</formula>
    </cfRule>
  </conditionalFormatting>
  <conditionalFormatting sqref="J27">
    <cfRule type="expression" dxfId="854" priority="940">
      <formula>MOD(ROW(),2)=0</formula>
    </cfRule>
  </conditionalFormatting>
  <conditionalFormatting sqref="H27:I27">
    <cfRule type="expression" dxfId="853" priority="939">
      <formula>MOD(ROW(),2)=0</formula>
    </cfRule>
  </conditionalFormatting>
  <conditionalFormatting sqref="Q27">
    <cfRule type="expression" dxfId="852" priority="938">
      <formula>MOD(ROW(),2)=0</formula>
    </cfRule>
  </conditionalFormatting>
  <conditionalFormatting sqref="O27:P27">
    <cfRule type="expression" dxfId="851" priority="937">
      <formula>MOD(ROW(),2)=0</formula>
    </cfRule>
  </conditionalFormatting>
  <conditionalFormatting sqref="Q28">
    <cfRule type="expression" dxfId="850" priority="935">
      <formula>MOD(ROW(),2)=0</formula>
    </cfRule>
  </conditionalFormatting>
  <conditionalFormatting sqref="J29">
    <cfRule type="expression" dxfId="849" priority="934">
      <formula>MOD(ROW(),2)=0</formula>
    </cfRule>
  </conditionalFormatting>
  <conditionalFormatting sqref="Q29">
    <cfRule type="expression" dxfId="848" priority="933">
      <formula>MOD(ROW(),2)=0</formula>
    </cfRule>
  </conditionalFormatting>
  <conditionalFormatting sqref="I35 N34:N35 K31:L31 N31 K34:L35">
    <cfRule type="expression" dxfId="847" priority="932">
      <formula>MOD(ROW(),2)=0</formula>
    </cfRule>
  </conditionalFormatting>
  <conditionalFormatting sqref="H34">
    <cfRule type="expression" dxfId="846" priority="931">
      <formula>MOD(ROW(),2)=0</formula>
    </cfRule>
  </conditionalFormatting>
  <conditionalFormatting sqref="I34">
    <cfRule type="expression" dxfId="845" priority="930">
      <formula>MOD(ROW(),2)=0</formula>
    </cfRule>
  </conditionalFormatting>
  <conditionalFormatting sqref="O34">
    <cfRule type="expression" dxfId="844" priority="929">
      <formula>MOD(ROW(),2)=0</formula>
    </cfRule>
  </conditionalFormatting>
  <conditionalFormatting sqref="P34">
    <cfRule type="expression" dxfId="843" priority="928">
      <formula>MOD(ROW(),2)=0</formula>
    </cfRule>
  </conditionalFormatting>
  <conditionalFormatting sqref="H35">
    <cfRule type="expression" dxfId="842" priority="927">
      <formula>MOD(ROW(),2)=0</formula>
    </cfRule>
  </conditionalFormatting>
  <conditionalFormatting sqref="O35">
    <cfRule type="expression" dxfId="841" priority="926">
      <formula>MOD(ROW(),2)=0</formula>
    </cfRule>
  </conditionalFormatting>
  <conditionalFormatting sqref="J34">
    <cfRule type="expression" dxfId="840" priority="924">
      <formula>MOD(ROW(),2)=0</formula>
    </cfRule>
  </conditionalFormatting>
  <conditionalFormatting sqref="J31">
    <cfRule type="expression" dxfId="839" priority="923">
      <formula>MOD(ROW(),2)=0</formula>
    </cfRule>
  </conditionalFormatting>
  <conditionalFormatting sqref="H31:I31">
    <cfRule type="expression" dxfId="838" priority="922">
      <formula>MOD(ROW(),2)=0</formula>
    </cfRule>
  </conditionalFormatting>
  <conditionalFormatting sqref="Q31">
    <cfRule type="expression" dxfId="837" priority="921">
      <formula>MOD(ROW(),2)=0</formula>
    </cfRule>
  </conditionalFormatting>
  <conditionalFormatting sqref="O31:P31">
    <cfRule type="expression" dxfId="836" priority="920">
      <formula>MOD(ROW(),2)=0</formula>
    </cfRule>
  </conditionalFormatting>
  <conditionalFormatting sqref="K32:L32 N32">
    <cfRule type="expression" dxfId="835" priority="918">
      <formula>MOD(ROW(),2)=0</formula>
    </cfRule>
  </conditionalFormatting>
  <conditionalFormatting sqref="J32">
    <cfRule type="expression" dxfId="834" priority="917">
      <formula>MOD(ROW(),2)=0</formula>
    </cfRule>
  </conditionalFormatting>
  <conditionalFormatting sqref="H32:I32">
    <cfRule type="expression" dxfId="833" priority="916">
      <formula>MOD(ROW(),2)=0</formula>
    </cfRule>
  </conditionalFormatting>
  <conditionalFormatting sqref="Q32">
    <cfRule type="expression" dxfId="832" priority="915">
      <formula>MOD(ROW(),2)=0</formula>
    </cfRule>
  </conditionalFormatting>
  <conditionalFormatting sqref="O32:P32">
    <cfRule type="expression" dxfId="831" priority="914">
      <formula>MOD(ROW(),2)=0</formula>
    </cfRule>
  </conditionalFormatting>
  <conditionalFormatting sqref="K33:L33 N33">
    <cfRule type="expression" dxfId="830" priority="912">
      <formula>MOD(ROW(),2)=0</formula>
    </cfRule>
  </conditionalFormatting>
  <conditionalFormatting sqref="J33">
    <cfRule type="expression" dxfId="829" priority="911">
      <formula>MOD(ROW(),2)=0</formula>
    </cfRule>
  </conditionalFormatting>
  <conditionalFormatting sqref="H33:I33">
    <cfRule type="expression" dxfId="828" priority="910">
      <formula>MOD(ROW(),2)=0</formula>
    </cfRule>
  </conditionalFormatting>
  <conditionalFormatting sqref="Q33">
    <cfRule type="expression" dxfId="827" priority="909">
      <formula>MOD(ROW(),2)=0</formula>
    </cfRule>
  </conditionalFormatting>
  <conditionalFormatting sqref="O33:P33">
    <cfRule type="expression" dxfId="826" priority="908">
      <formula>MOD(ROW(),2)=0</formula>
    </cfRule>
  </conditionalFormatting>
  <conditionalFormatting sqref="Q34">
    <cfRule type="expression" dxfId="825" priority="906">
      <formula>MOD(ROW(),2)=0</formula>
    </cfRule>
  </conditionalFormatting>
  <conditionalFormatting sqref="J35">
    <cfRule type="expression" dxfId="824" priority="905">
      <formula>MOD(ROW(),2)=0</formula>
    </cfRule>
  </conditionalFormatting>
  <conditionalFormatting sqref="Q35">
    <cfRule type="expression" dxfId="823" priority="904">
      <formula>MOD(ROW(),2)=0</formula>
    </cfRule>
  </conditionalFormatting>
  <conditionalFormatting sqref="M25:M39">
    <cfRule type="expression" dxfId="822" priority="903">
      <formula>MOD(ROW(),2)=0</formula>
    </cfRule>
  </conditionalFormatting>
  <conditionalFormatting sqref="I46 H47:L49 K42:L42 N42 R45:R46 N47:R49 H42:I42 N45:N46 K45:L46">
    <cfRule type="expression" dxfId="821" priority="902">
      <formula>MOD(ROW(),2)=0</formula>
    </cfRule>
  </conditionalFormatting>
  <conditionalFormatting sqref="H45">
    <cfRule type="expression" dxfId="820" priority="901">
      <formula>MOD(ROW(),2)=0</formula>
    </cfRule>
  </conditionalFormatting>
  <conditionalFormatting sqref="I45">
    <cfRule type="expression" dxfId="819" priority="900">
      <formula>MOD(ROW(),2)=0</formula>
    </cfRule>
  </conditionalFormatting>
  <conditionalFormatting sqref="O45">
    <cfRule type="expression" dxfId="818" priority="899">
      <formula>MOD(ROW(),2)=0</formula>
    </cfRule>
  </conditionalFormatting>
  <conditionalFormatting sqref="P45">
    <cfRule type="expression" dxfId="817" priority="898">
      <formula>MOD(ROW(),2)=0</formula>
    </cfRule>
  </conditionalFormatting>
  <conditionalFormatting sqref="H46">
    <cfRule type="expression" dxfId="816" priority="897">
      <formula>MOD(ROW(),2)=0</formula>
    </cfRule>
  </conditionalFormatting>
  <conditionalFormatting sqref="O46">
    <cfRule type="expression" dxfId="815" priority="896">
      <formula>MOD(ROW(),2)=0</formula>
    </cfRule>
  </conditionalFormatting>
  <conditionalFormatting sqref="J46">
    <cfRule type="expression" dxfId="814" priority="895">
      <formula>MOD(ROW(),2)=0</formula>
    </cfRule>
  </conditionalFormatting>
  <conditionalFormatting sqref="M42">
    <cfRule type="expression" dxfId="813" priority="894">
      <formula>MOD(ROW(),2)=0</formula>
    </cfRule>
  </conditionalFormatting>
  <conditionalFormatting sqref="J45">
    <cfRule type="expression" dxfId="812" priority="893">
      <formula>MOD(ROW(),2)=0</formula>
    </cfRule>
  </conditionalFormatting>
  <conditionalFormatting sqref="Q45:Q46">
    <cfRule type="expression" dxfId="811" priority="892">
      <formula>MOD(ROW(),2)=0</formula>
    </cfRule>
  </conditionalFormatting>
  <conditionalFormatting sqref="J42">
    <cfRule type="expression" dxfId="810" priority="891">
      <formula>MOD(ROW(),2)=0</formula>
    </cfRule>
  </conditionalFormatting>
  <conditionalFormatting sqref="R42 O42:P42">
    <cfRule type="expression" dxfId="809" priority="890">
      <formula>MOD(ROW(),2)=0</formula>
    </cfRule>
  </conditionalFormatting>
  <conditionalFormatting sqref="Q42">
    <cfRule type="expression" dxfId="808" priority="889">
      <formula>MOD(ROW(),2)=0</formula>
    </cfRule>
  </conditionalFormatting>
  <conditionalFormatting sqref="K43:L43 N43 H43:I43">
    <cfRule type="expression" dxfId="807" priority="888">
      <formula>MOD(ROW(),2)=0</formula>
    </cfRule>
  </conditionalFormatting>
  <conditionalFormatting sqref="M43">
    <cfRule type="expression" dxfId="806" priority="887">
      <formula>MOD(ROW(),2)=0</formula>
    </cfRule>
  </conditionalFormatting>
  <conditionalFormatting sqref="J43">
    <cfRule type="expression" dxfId="805" priority="886">
      <formula>MOD(ROW(),2)=0</formula>
    </cfRule>
  </conditionalFormatting>
  <conditionalFormatting sqref="R43 O43:P43">
    <cfRule type="expression" dxfId="804" priority="885">
      <formula>MOD(ROW(),2)=0</formula>
    </cfRule>
  </conditionalFormatting>
  <conditionalFormatting sqref="Q43">
    <cfRule type="expression" dxfId="803" priority="884">
      <formula>MOD(ROW(),2)=0</formula>
    </cfRule>
  </conditionalFormatting>
  <conditionalFormatting sqref="K44:L44 N44 H44:I44">
    <cfRule type="expression" dxfId="802" priority="883">
      <formula>MOD(ROW(),2)=0</formula>
    </cfRule>
  </conditionalFormatting>
  <conditionalFormatting sqref="M44">
    <cfRule type="expression" dxfId="801" priority="882">
      <formula>MOD(ROW(),2)=0</formula>
    </cfRule>
  </conditionalFormatting>
  <conditionalFormatting sqref="J44">
    <cfRule type="expression" dxfId="800" priority="881">
      <formula>MOD(ROW(),2)=0</formula>
    </cfRule>
  </conditionalFormatting>
  <conditionalFormatting sqref="R44 O44:P44">
    <cfRule type="expression" dxfId="799" priority="880">
      <formula>MOD(ROW(),2)=0</formula>
    </cfRule>
  </conditionalFormatting>
  <conditionalFormatting sqref="Q44">
    <cfRule type="expression" dxfId="798" priority="879">
      <formula>MOD(ROW(),2)=0</formula>
    </cfRule>
  </conditionalFormatting>
  <conditionalFormatting sqref="M45">
    <cfRule type="expression" dxfId="797" priority="878">
      <formula>MOD(ROW(),2)=0</formula>
    </cfRule>
  </conditionalFormatting>
  <conditionalFormatting sqref="M46">
    <cfRule type="expression" dxfId="796" priority="877">
      <formula>MOD(ROW(),2)=0</formula>
    </cfRule>
  </conditionalFormatting>
  <conditionalFormatting sqref="M47">
    <cfRule type="expression" dxfId="795" priority="876">
      <formula>MOD(ROW(),2)=0</formula>
    </cfRule>
  </conditionalFormatting>
  <conditionalFormatting sqref="M48">
    <cfRule type="expression" dxfId="794" priority="875">
      <formula>MOD(ROW(),2)=0</formula>
    </cfRule>
  </conditionalFormatting>
  <conditionalFormatting sqref="M49">
    <cfRule type="expression" dxfId="793" priority="874">
      <formula>MOD(ROW(),2)=0</formula>
    </cfRule>
  </conditionalFormatting>
  <conditionalFormatting sqref="B63:D63 B187:D187 B197:D197">
    <cfRule type="expression" dxfId="792" priority="1311">
      <formula>AND(B63=#REF!,MOD(ROW(),2)=1)</formula>
    </cfRule>
    <cfRule type="expression" dxfId="791" priority="1312">
      <formula>AND(B63=#REF!,MOD(ROW(),2)=0)</formula>
    </cfRule>
  </conditionalFormatting>
  <conditionalFormatting sqref="H60:R61 H83:R84 I56 I66 I72 R65:R66 N71:N72 N65:N66 H57:L59 K52:L52 N52 R55:R56 K65:L66 L68 R68 R74:R78 N57:R59 H73:L73 N73:R73 H79:L82 H67:L67 N67:R67 N79:R82 H52:I52 N55:N56 K55:L56 N68 R71:R72 K71:L72">
    <cfRule type="expression" dxfId="790" priority="873">
      <formula>MOD(ROW(),2)=0</formula>
    </cfRule>
  </conditionalFormatting>
  <conditionalFormatting sqref="H55">
    <cfRule type="expression" dxfId="789" priority="872">
      <formula>MOD(ROW(),2)=0</formula>
    </cfRule>
  </conditionalFormatting>
  <conditionalFormatting sqref="I55">
    <cfRule type="expression" dxfId="788" priority="871">
      <formula>MOD(ROW(),2)=0</formula>
    </cfRule>
  </conditionalFormatting>
  <conditionalFormatting sqref="O55">
    <cfRule type="expression" dxfId="787" priority="870">
      <formula>MOD(ROW(),2)=0</formula>
    </cfRule>
  </conditionalFormatting>
  <conditionalFormatting sqref="P55">
    <cfRule type="expression" dxfId="786" priority="869">
      <formula>MOD(ROW(),2)=0</formula>
    </cfRule>
  </conditionalFormatting>
  <conditionalFormatting sqref="H65">
    <cfRule type="expression" dxfId="785" priority="868">
      <formula>MOD(ROW(),2)=0</formula>
    </cfRule>
  </conditionalFormatting>
  <conditionalFormatting sqref="I65">
    <cfRule type="expression" dxfId="784" priority="867">
      <formula>MOD(ROW(),2)=0</formula>
    </cfRule>
  </conditionalFormatting>
  <conditionalFormatting sqref="H71">
    <cfRule type="expression" dxfId="783" priority="866">
      <formula>MOD(ROW(),2)=0</formula>
    </cfRule>
  </conditionalFormatting>
  <conditionalFormatting sqref="I71">
    <cfRule type="expression" dxfId="782" priority="865">
      <formula>MOD(ROW(),2)=0</formula>
    </cfRule>
  </conditionalFormatting>
  <conditionalFormatting sqref="O65">
    <cfRule type="expression" dxfId="781" priority="864">
      <formula>MOD(ROW(),2)=0</formula>
    </cfRule>
  </conditionalFormatting>
  <conditionalFormatting sqref="P65">
    <cfRule type="expression" dxfId="780" priority="863">
      <formula>MOD(ROW(),2)=0</formula>
    </cfRule>
  </conditionalFormatting>
  <conditionalFormatting sqref="O71">
    <cfRule type="expression" dxfId="779" priority="862">
      <formula>MOD(ROW(),2)=0</formula>
    </cfRule>
  </conditionalFormatting>
  <conditionalFormatting sqref="P71">
    <cfRule type="expression" dxfId="778" priority="861">
      <formula>MOD(ROW(),2)=0</formula>
    </cfRule>
  </conditionalFormatting>
  <conditionalFormatting sqref="H56">
    <cfRule type="expression" dxfId="777" priority="860">
      <formula>MOD(ROW(),2)=0</formula>
    </cfRule>
  </conditionalFormatting>
  <conditionalFormatting sqref="O56">
    <cfRule type="expression" dxfId="776" priority="859">
      <formula>MOD(ROW(),2)=0</formula>
    </cfRule>
  </conditionalFormatting>
  <conditionalFormatting sqref="O66">
    <cfRule type="expression" dxfId="775" priority="858">
      <formula>MOD(ROW(),2)=0</formula>
    </cfRule>
  </conditionalFormatting>
  <conditionalFormatting sqref="H66">
    <cfRule type="expression" dxfId="774" priority="857">
      <formula>MOD(ROW(),2)=0</formula>
    </cfRule>
  </conditionalFormatting>
  <conditionalFormatting sqref="H72">
    <cfRule type="expression" dxfId="773" priority="856">
      <formula>MOD(ROW(),2)=0</formula>
    </cfRule>
  </conditionalFormatting>
  <conditionalFormatting sqref="O72">
    <cfRule type="expression" dxfId="772" priority="855">
      <formula>MOD(ROW(),2)=0</formula>
    </cfRule>
  </conditionalFormatting>
  <conditionalFormatting sqref="J56">
    <cfRule type="expression" dxfId="771" priority="854">
      <formula>MOD(ROW(),2)=0</formula>
    </cfRule>
  </conditionalFormatting>
  <conditionalFormatting sqref="Q65">
    <cfRule type="expression" dxfId="770" priority="853">
      <formula>MOD(ROW(),2)=0</formula>
    </cfRule>
  </conditionalFormatting>
  <conditionalFormatting sqref="Q66">
    <cfRule type="expression" dxfId="769" priority="852">
      <formula>MOD(ROW(),2)=0</formula>
    </cfRule>
  </conditionalFormatting>
  <conditionalFormatting sqref="M52">
    <cfRule type="expression" dxfId="768" priority="851">
      <formula>MOD(ROW(),2)=0</formula>
    </cfRule>
  </conditionalFormatting>
  <conditionalFormatting sqref="J55">
    <cfRule type="expression" dxfId="767" priority="850">
      <formula>MOD(ROW(),2)=0</formula>
    </cfRule>
  </conditionalFormatting>
  <conditionalFormatting sqref="Q55:Q56">
    <cfRule type="expression" dxfId="766" priority="849">
      <formula>MOD(ROW(),2)=0</formula>
    </cfRule>
  </conditionalFormatting>
  <conditionalFormatting sqref="J65:J66">
    <cfRule type="expression" dxfId="765" priority="848">
      <formula>MOD(ROW(),2)=0</formula>
    </cfRule>
  </conditionalFormatting>
  <conditionalFormatting sqref="J71">
    <cfRule type="expression" dxfId="764" priority="847">
      <formula>MOD(ROW(),2)=0</formula>
    </cfRule>
  </conditionalFormatting>
  <conditionalFormatting sqref="J68">
    <cfRule type="expression" dxfId="763" priority="846">
      <formula>MOD(ROW(),2)=0</formula>
    </cfRule>
  </conditionalFormatting>
  <conditionalFormatting sqref="J52">
    <cfRule type="expression" dxfId="762" priority="845">
      <formula>MOD(ROW(),2)=0</formula>
    </cfRule>
  </conditionalFormatting>
  <conditionalFormatting sqref="R52 O52:P52">
    <cfRule type="expression" dxfId="761" priority="844">
      <formula>MOD(ROW(),2)=0</formula>
    </cfRule>
  </conditionalFormatting>
  <conditionalFormatting sqref="Q52">
    <cfRule type="expression" dxfId="760" priority="843">
      <formula>MOD(ROW(),2)=0</formula>
    </cfRule>
  </conditionalFormatting>
  <conditionalFormatting sqref="K53:L53 N53 H53:I53">
    <cfRule type="expression" dxfId="759" priority="842">
      <formula>MOD(ROW(),2)=0</formula>
    </cfRule>
  </conditionalFormatting>
  <conditionalFormatting sqref="M53">
    <cfRule type="expression" dxfId="758" priority="841">
      <formula>MOD(ROW(),2)=0</formula>
    </cfRule>
  </conditionalFormatting>
  <conditionalFormatting sqref="J53">
    <cfRule type="expression" dxfId="757" priority="840">
      <formula>MOD(ROW(),2)=0</formula>
    </cfRule>
  </conditionalFormatting>
  <conditionalFormatting sqref="R53 O53:P53">
    <cfRule type="expression" dxfId="756" priority="839">
      <formula>MOD(ROW(),2)=0</formula>
    </cfRule>
  </conditionalFormatting>
  <conditionalFormatting sqref="Q53">
    <cfRule type="expression" dxfId="755" priority="838">
      <formula>MOD(ROW(),2)=0</formula>
    </cfRule>
  </conditionalFormatting>
  <conditionalFormatting sqref="K54:L54 N54 H54:I54">
    <cfRule type="expression" dxfId="754" priority="837">
      <formula>MOD(ROW(),2)=0</formula>
    </cfRule>
  </conditionalFormatting>
  <conditionalFormatting sqref="M54">
    <cfRule type="expression" dxfId="753" priority="836">
      <formula>MOD(ROW(),2)=0</formula>
    </cfRule>
  </conditionalFormatting>
  <conditionalFormatting sqref="J54">
    <cfRule type="expression" dxfId="752" priority="835">
      <formula>MOD(ROW(),2)=0</formula>
    </cfRule>
  </conditionalFormatting>
  <conditionalFormatting sqref="R54 O54:P54">
    <cfRule type="expression" dxfId="751" priority="834">
      <formula>MOD(ROW(),2)=0</formula>
    </cfRule>
  </conditionalFormatting>
  <conditionalFormatting sqref="Q54">
    <cfRule type="expression" dxfId="750" priority="833">
      <formula>MOD(ROW(),2)=0</formula>
    </cfRule>
  </conditionalFormatting>
  <conditionalFormatting sqref="M55">
    <cfRule type="expression" dxfId="749" priority="832">
      <formula>MOD(ROW(),2)=0</formula>
    </cfRule>
  </conditionalFormatting>
  <conditionalFormatting sqref="M56">
    <cfRule type="expression" dxfId="748" priority="831">
      <formula>MOD(ROW(),2)=0</formula>
    </cfRule>
  </conditionalFormatting>
  <conditionalFormatting sqref="M57">
    <cfRule type="expression" dxfId="747" priority="830">
      <formula>MOD(ROW(),2)=0</formula>
    </cfRule>
  </conditionalFormatting>
  <conditionalFormatting sqref="M58">
    <cfRule type="expression" dxfId="746" priority="829">
      <formula>MOD(ROW(),2)=0</formula>
    </cfRule>
  </conditionalFormatting>
  <conditionalFormatting sqref="M59">
    <cfRule type="expression" dxfId="745" priority="828">
      <formula>MOD(ROW(),2)=0</formula>
    </cfRule>
  </conditionalFormatting>
  <conditionalFormatting sqref="L62:L64 N62:N64 H62:I64">
    <cfRule type="expression" dxfId="744" priority="827">
      <formula>MOD(ROW(),2)=0</formula>
    </cfRule>
  </conditionalFormatting>
  <conditionalFormatting sqref="M62:M64">
    <cfRule type="expression" dxfId="743" priority="826">
      <formula>MOD(ROW(),2)=0</formula>
    </cfRule>
  </conditionalFormatting>
  <conditionalFormatting sqref="J62:J64">
    <cfRule type="expression" dxfId="742" priority="825">
      <formula>MOD(ROW(),2)=0</formula>
    </cfRule>
  </conditionalFormatting>
  <conditionalFormatting sqref="R62:R64 O62:P64">
    <cfRule type="expression" dxfId="741" priority="824">
      <formula>MOD(ROW(),2)=0</formula>
    </cfRule>
  </conditionalFormatting>
  <conditionalFormatting sqref="Q62:Q64">
    <cfRule type="expression" dxfId="740" priority="823">
      <formula>MOD(ROW(),2)=0</formula>
    </cfRule>
  </conditionalFormatting>
  <conditionalFormatting sqref="M65:M67">
    <cfRule type="expression" dxfId="739" priority="822">
      <formula>MOD(ROW(),2)=0</formula>
    </cfRule>
  </conditionalFormatting>
  <conditionalFormatting sqref="H68:I68">
    <cfRule type="expression" dxfId="738" priority="821">
      <formula>MOD(ROW(),2)=0</formula>
    </cfRule>
  </conditionalFormatting>
  <conditionalFormatting sqref="Q68">
    <cfRule type="expression" dxfId="737" priority="820">
      <formula>MOD(ROW(),2)=0</formula>
    </cfRule>
  </conditionalFormatting>
  <conditionalFormatting sqref="O68:P68">
    <cfRule type="expression" dxfId="736" priority="819">
      <formula>MOD(ROW(),2)=0</formula>
    </cfRule>
  </conditionalFormatting>
  <conditionalFormatting sqref="L69 R69 N69">
    <cfRule type="expression" dxfId="735" priority="818">
      <formula>MOD(ROW(),2)=0</formula>
    </cfRule>
  </conditionalFormatting>
  <conditionalFormatting sqref="J69">
    <cfRule type="expression" dxfId="734" priority="817">
      <formula>MOD(ROW(),2)=0</formula>
    </cfRule>
  </conditionalFormatting>
  <conditionalFormatting sqref="H69:I69">
    <cfRule type="expression" dxfId="733" priority="816">
      <formula>MOD(ROW(),2)=0</formula>
    </cfRule>
  </conditionalFormatting>
  <conditionalFormatting sqref="Q69">
    <cfRule type="expression" dxfId="732" priority="815">
      <formula>MOD(ROW(),2)=0</formula>
    </cfRule>
  </conditionalFormatting>
  <conditionalFormatting sqref="O69:P69">
    <cfRule type="expression" dxfId="731" priority="814">
      <formula>MOD(ROW(),2)=0</formula>
    </cfRule>
  </conditionalFormatting>
  <conditionalFormatting sqref="L70 R70 N70">
    <cfRule type="expression" dxfId="730" priority="813">
      <formula>MOD(ROW(),2)=0</formula>
    </cfRule>
  </conditionalFormatting>
  <conditionalFormatting sqref="J70">
    <cfRule type="expression" dxfId="729" priority="812">
      <formula>MOD(ROW(),2)=0</formula>
    </cfRule>
  </conditionalFormatting>
  <conditionalFormatting sqref="H70:I70">
    <cfRule type="expression" dxfId="728" priority="811">
      <formula>MOD(ROW(),2)=0</formula>
    </cfRule>
  </conditionalFormatting>
  <conditionalFormatting sqref="I78 N77:N78 L74 N74 K77:L78">
    <cfRule type="expression" dxfId="727" priority="805">
      <formula>MOD(ROW(),2)=0</formula>
    </cfRule>
  </conditionalFormatting>
  <conditionalFormatting sqref="H77">
    <cfRule type="expression" dxfId="726" priority="804">
      <formula>MOD(ROW(),2)=0</formula>
    </cfRule>
  </conditionalFormatting>
  <conditionalFormatting sqref="P77">
    <cfRule type="expression" dxfId="725" priority="801">
      <formula>MOD(ROW(),2)=0</formula>
    </cfRule>
  </conditionalFormatting>
  <conditionalFormatting sqref="H78">
    <cfRule type="expression" dxfId="724" priority="800">
      <formula>MOD(ROW(),2)=0</formula>
    </cfRule>
  </conditionalFormatting>
  <conditionalFormatting sqref="O78">
    <cfRule type="expression" dxfId="723" priority="799">
      <formula>MOD(ROW(),2)=0</formula>
    </cfRule>
  </conditionalFormatting>
  <conditionalFormatting sqref="Q86">
    <cfRule type="expression" dxfId="722" priority="761">
      <formula>MOD(ROW(),2)=0</formula>
    </cfRule>
  </conditionalFormatting>
  <conditionalFormatting sqref="L87 N87 H87:I87">
    <cfRule type="expression" dxfId="721" priority="760">
      <formula>MOD(ROW(),2)=0</formula>
    </cfRule>
  </conditionalFormatting>
  <conditionalFormatting sqref="M87">
    <cfRule type="expression" dxfId="720" priority="759">
      <formula>MOD(ROW(),2)=0</formula>
    </cfRule>
  </conditionalFormatting>
  <conditionalFormatting sqref="J87">
    <cfRule type="expression" dxfId="719" priority="758">
      <formula>MOD(ROW(),2)=0</formula>
    </cfRule>
  </conditionalFormatting>
  <conditionalFormatting sqref="R87 O87:P87">
    <cfRule type="expression" dxfId="718" priority="757">
      <formula>MOD(ROW(),2)=0</formula>
    </cfRule>
  </conditionalFormatting>
  <conditionalFormatting sqref="Q87">
    <cfRule type="expression" dxfId="717" priority="756">
      <formula>MOD(ROW(),2)=0</formula>
    </cfRule>
  </conditionalFormatting>
  <conditionalFormatting sqref="M88">
    <cfRule type="expression" dxfId="716" priority="755">
      <formula>MOD(ROW(),2)=0</formula>
    </cfRule>
  </conditionalFormatting>
  <conditionalFormatting sqref="M89">
    <cfRule type="expression" dxfId="715" priority="754">
      <formula>MOD(ROW(),2)=0</formula>
    </cfRule>
  </conditionalFormatting>
  <conditionalFormatting sqref="M90">
    <cfRule type="expression" dxfId="714" priority="753">
      <formula>MOD(ROW(),2)=0</formula>
    </cfRule>
  </conditionalFormatting>
  <conditionalFormatting sqref="M91">
    <cfRule type="expression" dxfId="713" priority="752">
      <formula>MOD(ROW(),2)=0</formula>
    </cfRule>
  </conditionalFormatting>
  <conditionalFormatting sqref="M92">
    <cfRule type="expression" dxfId="712" priority="751">
      <formula>MOD(ROW(),2)=0</formula>
    </cfRule>
  </conditionalFormatting>
  <conditionalFormatting sqref="H151:Q152 H174:Q175 I147 I157 I163 N162:N163 N156:N157 H148:L150 K143:L143 N143 K156:L157 L159 N148:Q150 H164:L164 N164:Q164 H170:L173 H158:L158 N158:Q158 N170:Q173 H143:I143 N146:N147 K146:L147 N159 K162:L163">
    <cfRule type="expression" dxfId="711" priority="750">
      <formula>MOD(ROW(),2)=0</formula>
    </cfRule>
  </conditionalFormatting>
  <conditionalFormatting sqref="H146">
    <cfRule type="expression" dxfId="710" priority="749">
      <formula>MOD(ROW(),2)=0</formula>
    </cfRule>
  </conditionalFormatting>
  <conditionalFormatting sqref="I146">
    <cfRule type="expression" dxfId="709" priority="748">
      <formula>MOD(ROW(),2)=0</formula>
    </cfRule>
  </conditionalFormatting>
  <conditionalFormatting sqref="O146">
    <cfRule type="expression" dxfId="708" priority="747">
      <formula>MOD(ROW(),2)=0</formula>
    </cfRule>
  </conditionalFormatting>
  <conditionalFormatting sqref="P146">
    <cfRule type="expression" dxfId="707" priority="746">
      <formula>MOD(ROW(),2)=0</formula>
    </cfRule>
  </conditionalFormatting>
  <conditionalFormatting sqref="H156">
    <cfRule type="expression" dxfId="706" priority="745">
      <formula>MOD(ROW(),2)=0</formula>
    </cfRule>
  </conditionalFormatting>
  <conditionalFormatting sqref="I156">
    <cfRule type="expression" dxfId="705" priority="744">
      <formula>MOD(ROW(),2)=0</formula>
    </cfRule>
  </conditionalFormatting>
  <conditionalFormatting sqref="H162">
    <cfRule type="expression" dxfId="704" priority="743">
      <formula>MOD(ROW(),2)=0</formula>
    </cfRule>
  </conditionalFormatting>
  <conditionalFormatting sqref="I162">
    <cfRule type="expression" dxfId="703" priority="742">
      <formula>MOD(ROW(),2)=0</formula>
    </cfRule>
  </conditionalFormatting>
  <conditionalFormatting sqref="O156">
    <cfRule type="expression" dxfId="702" priority="741">
      <formula>MOD(ROW(),2)=0</formula>
    </cfRule>
  </conditionalFormatting>
  <conditionalFormatting sqref="P156">
    <cfRule type="expression" dxfId="701" priority="740">
      <formula>MOD(ROW(),2)=0</formula>
    </cfRule>
  </conditionalFormatting>
  <conditionalFormatting sqref="O162">
    <cfRule type="expression" dxfId="700" priority="739">
      <formula>MOD(ROW(),2)=0</formula>
    </cfRule>
  </conditionalFormatting>
  <conditionalFormatting sqref="P162">
    <cfRule type="expression" dxfId="699" priority="738">
      <formula>MOD(ROW(),2)=0</formula>
    </cfRule>
  </conditionalFormatting>
  <conditionalFormatting sqref="H147">
    <cfRule type="expression" dxfId="698" priority="737">
      <formula>MOD(ROW(),2)=0</formula>
    </cfRule>
  </conditionalFormatting>
  <conditionalFormatting sqref="O147">
    <cfRule type="expression" dxfId="697" priority="736">
      <formula>MOD(ROW(),2)=0</formula>
    </cfRule>
  </conditionalFormatting>
  <conditionalFormatting sqref="O157">
    <cfRule type="expression" dxfId="696" priority="735">
      <formula>MOD(ROW(),2)=0</formula>
    </cfRule>
  </conditionalFormatting>
  <conditionalFormatting sqref="H157">
    <cfRule type="expression" dxfId="695" priority="734">
      <formula>MOD(ROW(),2)=0</formula>
    </cfRule>
  </conditionalFormatting>
  <conditionalFormatting sqref="H163">
    <cfRule type="expression" dxfId="694" priority="733">
      <formula>MOD(ROW(),2)=0</formula>
    </cfRule>
  </conditionalFormatting>
  <conditionalFormatting sqref="O163">
    <cfRule type="expression" dxfId="693" priority="732">
      <formula>MOD(ROW(),2)=0</formula>
    </cfRule>
  </conditionalFormatting>
  <conditionalFormatting sqref="J147">
    <cfRule type="expression" dxfId="692" priority="731">
      <formula>MOD(ROW(),2)=0</formula>
    </cfRule>
  </conditionalFormatting>
  <conditionalFormatting sqref="Q156">
    <cfRule type="expression" dxfId="691" priority="730">
      <formula>MOD(ROW(),2)=0</formula>
    </cfRule>
  </conditionalFormatting>
  <conditionalFormatting sqref="Q157">
    <cfRule type="expression" dxfId="690" priority="729">
      <formula>MOD(ROW(),2)=0</formula>
    </cfRule>
  </conditionalFormatting>
  <conditionalFormatting sqref="M143">
    <cfRule type="expression" dxfId="689" priority="728">
      <formula>MOD(ROW(),2)=0</formula>
    </cfRule>
  </conditionalFormatting>
  <conditionalFormatting sqref="J146">
    <cfRule type="expression" dxfId="688" priority="727">
      <formula>MOD(ROW(),2)=0</formula>
    </cfRule>
  </conditionalFormatting>
  <conditionalFormatting sqref="Q146:Q147">
    <cfRule type="expression" dxfId="687" priority="726">
      <formula>MOD(ROW(),2)=0</formula>
    </cfRule>
  </conditionalFormatting>
  <conditionalFormatting sqref="J156:J157">
    <cfRule type="expression" dxfId="686" priority="725">
      <formula>MOD(ROW(),2)=0</formula>
    </cfRule>
  </conditionalFormatting>
  <conditionalFormatting sqref="J162">
    <cfRule type="expression" dxfId="685" priority="724">
      <formula>MOD(ROW(),2)=0</formula>
    </cfRule>
  </conditionalFormatting>
  <conditionalFormatting sqref="J159">
    <cfRule type="expression" dxfId="684" priority="723">
      <formula>MOD(ROW(),2)=0</formula>
    </cfRule>
  </conditionalFormatting>
  <conditionalFormatting sqref="J143">
    <cfRule type="expression" dxfId="683" priority="722">
      <formula>MOD(ROW(),2)=0</formula>
    </cfRule>
  </conditionalFormatting>
  <conditionalFormatting sqref="O143:P143">
    <cfRule type="expression" dxfId="682" priority="721">
      <formula>MOD(ROW(),2)=0</formula>
    </cfRule>
  </conditionalFormatting>
  <conditionalFormatting sqref="Q143">
    <cfRule type="expression" dxfId="681" priority="720">
      <formula>MOD(ROW(),2)=0</formula>
    </cfRule>
  </conditionalFormatting>
  <conditionalFormatting sqref="K144:L144 N144 H144:I144">
    <cfRule type="expression" dxfId="680" priority="719">
      <formula>MOD(ROW(),2)=0</formula>
    </cfRule>
  </conditionalFormatting>
  <conditionalFormatting sqref="M144">
    <cfRule type="expression" dxfId="679" priority="718">
      <formula>MOD(ROW(),2)=0</formula>
    </cfRule>
  </conditionalFormatting>
  <conditionalFormatting sqref="J144">
    <cfRule type="expression" dxfId="678" priority="717">
      <formula>MOD(ROW(),2)=0</formula>
    </cfRule>
  </conditionalFormatting>
  <conditionalFormatting sqref="O144:P144">
    <cfRule type="expression" dxfId="677" priority="716">
      <formula>MOD(ROW(),2)=0</formula>
    </cfRule>
  </conditionalFormatting>
  <conditionalFormatting sqref="Q144">
    <cfRule type="expression" dxfId="676" priority="715">
      <formula>MOD(ROW(),2)=0</formula>
    </cfRule>
  </conditionalFormatting>
  <conditionalFormatting sqref="K145:L145 N145 H145:I145">
    <cfRule type="expression" dxfId="675" priority="714">
      <formula>MOD(ROW(),2)=0</formula>
    </cfRule>
  </conditionalFormatting>
  <conditionalFormatting sqref="M145">
    <cfRule type="expression" dxfId="674" priority="713">
      <formula>MOD(ROW(),2)=0</formula>
    </cfRule>
  </conditionalFormatting>
  <conditionalFormatting sqref="J145">
    <cfRule type="expression" dxfId="673" priority="712">
      <formula>MOD(ROW(),2)=0</formula>
    </cfRule>
  </conditionalFormatting>
  <conditionalFormatting sqref="O145:P145">
    <cfRule type="expression" dxfId="672" priority="711">
      <formula>MOD(ROW(),2)=0</formula>
    </cfRule>
  </conditionalFormatting>
  <conditionalFormatting sqref="Q145">
    <cfRule type="expression" dxfId="671" priority="710">
      <formula>MOD(ROW(),2)=0</formula>
    </cfRule>
  </conditionalFormatting>
  <conditionalFormatting sqref="M146">
    <cfRule type="expression" dxfId="670" priority="709">
      <formula>MOD(ROW(),2)=0</formula>
    </cfRule>
  </conditionalFormatting>
  <conditionalFormatting sqref="M147">
    <cfRule type="expression" dxfId="669" priority="708">
      <formula>MOD(ROW(),2)=0</formula>
    </cfRule>
  </conditionalFormatting>
  <conditionalFormatting sqref="M148">
    <cfRule type="expression" dxfId="668" priority="707">
      <formula>MOD(ROW(),2)=0</formula>
    </cfRule>
  </conditionalFormatting>
  <conditionalFormatting sqref="M149">
    <cfRule type="expression" dxfId="667" priority="706">
      <formula>MOD(ROW(),2)=0</formula>
    </cfRule>
  </conditionalFormatting>
  <conditionalFormatting sqref="M150">
    <cfRule type="expression" dxfId="666" priority="705">
      <formula>MOD(ROW(),2)=0</formula>
    </cfRule>
  </conditionalFormatting>
  <conditionalFormatting sqref="L153:L155 N153:N155 H153:I155">
    <cfRule type="expression" dxfId="665" priority="704">
      <formula>MOD(ROW(),2)=0</formula>
    </cfRule>
  </conditionalFormatting>
  <conditionalFormatting sqref="M153:M155">
    <cfRule type="expression" dxfId="664" priority="703">
      <formula>MOD(ROW(),2)=0</formula>
    </cfRule>
  </conditionalFormatting>
  <conditionalFormatting sqref="J153:J155">
    <cfRule type="expression" dxfId="663" priority="702">
      <formula>MOD(ROW(),2)=0</formula>
    </cfRule>
  </conditionalFormatting>
  <conditionalFormatting sqref="O153:P155">
    <cfRule type="expression" dxfId="662" priority="701">
      <formula>MOD(ROW(),2)=0</formula>
    </cfRule>
  </conditionalFormatting>
  <conditionalFormatting sqref="Q153:Q155">
    <cfRule type="expression" dxfId="661" priority="700">
      <formula>MOD(ROW(),2)=0</formula>
    </cfRule>
  </conditionalFormatting>
  <conditionalFormatting sqref="M156:M158">
    <cfRule type="expression" dxfId="660" priority="699">
      <formula>MOD(ROW(),2)=0</formula>
    </cfRule>
  </conditionalFormatting>
  <conditionalFormatting sqref="H159:I159">
    <cfRule type="expression" dxfId="659" priority="698">
      <formula>MOD(ROW(),2)=0</formula>
    </cfRule>
  </conditionalFormatting>
  <conditionalFormatting sqref="Q159">
    <cfRule type="expression" dxfId="658" priority="697">
      <formula>MOD(ROW(),2)=0</formula>
    </cfRule>
  </conditionalFormatting>
  <conditionalFormatting sqref="O159:P159">
    <cfRule type="expression" dxfId="657" priority="696">
      <formula>MOD(ROW(),2)=0</formula>
    </cfRule>
  </conditionalFormatting>
  <conditionalFormatting sqref="L160 N160">
    <cfRule type="expression" dxfId="656" priority="695">
      <formula>MOD(ROW(),2)=0</formula>
    </cfRule>
  </conditionalFormatting>
  <conditionalFormatting sqref="J160">
    <cfRule type="expression" dxfId="655" priority="694">
      <formula>MOD(ROW(),2)=0</formula>
    </cfRule>
  </conditionalFormatting>
  <conditionalFormatting sqref="H160:I160">
    <cfRule type="expression" dxfId="654" priority="693">
      <formula>MOD(ROW(),2)=0</formula>
    </cfRule>
  </conditionalFormatting>
  <conditionalFormatting sqref="Q160">
    <cfRule type="expression" dxfId="653" priority="692">
      <formula>MOD(ROW(),2)=0</formula>
    </cfRule>
  </conditionalFormatting>
  <conditionalFormatting sqref="O160:P160">
    <cfRule type="expression" dxfId="652" priority="691">
      <formula>MOD(ROW(),2)=0</formula>
    </cfRule>
  </conditionalFormatting>
  <conditionalFormatting sqref="L161 N161">
    <cfRule type="expression" dxfId="651" priority="690">
      <formula>MOD(ROW(),2)=0</formula>
    </cfRule>
  </conditionalFormatting>
  <conditionalFormatting sqref="J161">
    <cfRule type="expression" dxfId="650" priority="689">
      <formula>MOD(ROW(),2)=0</formula>
    </cfRule>
  </conditionalFormatting>
  <conditionalFormatting sqref="H161:I161">
    <cfRule type="expression" dxfId="649" priority="688">
      <formula>MOD(ROW(),2)=0</formula>
    </cfRule>
  </conditionalFormatting>
  <conditionalFormatting sqref="Q161">
    <cfRule type="expression" dxfId="648" priority="687">
      <formula>MOD(ROW(),2)=0</formula>
    </cfRule>
  </conditionalFormatting>
  <conditionalFormatting sqref="O161:P161">
    <cfRule type="expression" dxfId="647" priority="686">
      <formula>MOD(ROW(),2)=0</formula>
    </cfRule>
  </conditionalFormatting>
  <conditionalFormatting sqref="Q162">
    <cfRule type="expression" dxfId="646" priority="685">
      <formula>MOD(ROW(),2)=0</formula>
    </cfRule>
  </conditionalFormatting>
  <conditionalFormatting sqref="J163">
    <cfRule type="expression" dxfId="645" priority="684">
      <formula>MOD(ROW(),2)=0</formula>
    </cfRule>
  </conditionalFormatting>
  <conditionalFormatting sqref="Q163">
    <cfRule type="expression" dxfId="644" priority="683">
      <formula>MOD(ROW(),2)=0</formula>
    </cfRule>
  </conditionalFormatting>
  <conditionalFormatting sqref="I169 N168:N169 L165 N165 K168:L169">
    <cfRule type="expression" dxfId="643" priority="682">
      <formula>MOD(ROW(),2)=0</formula>
    </cfRule>
  </conditionalFormatting>
  <conditionalFormatting sqref="H168">
    <cfRule type="expression" dxfId="642" priority="681">
      <formula>MOD(ROW(),2)=0</formula>
    </cfRule>
  </conditionalFormatting>
  <conditionalFormatting sqref="I168">
    <cfRule type="expression" dxfId="641" priority="680">
      <formula>MOD(ROW(),2)=0</formula>
    </cfRule>
  </conditionalFormatting>
  <conditionalFormatting sqref="O168">
    <cfRule type="expression" dxfId="640" priority="679">
      <formula>MOD(ROW(),2)=0</formula>
    </cfRule>
  </conditionalFormatting>
  <conditionalFormatting sqref="P168">
    <cfRule type="expression" dxfId="639" priority="678">
      <formula>MOD(ROW(),2)=0</formula>
    </cfRule>
  </conditionalFormatting>
  <conditionalFormatting sqref="H169">
    <cfRule type="expression" dxfId="638" priority="677">
      <formula>MOD(ROW(),2)=0</formula>
    </cfRule>
  </conditionalFormatting>
  <conditionalFormatting sqref="O169">
    <cfRule type="expression" dxfId="637" priority="676">
      <formula>MOD(ROW(),2)=0</formula>
    </cfRule>
  </conditionalFormatting>
  <conditionalFormatting sqref="J168">
    <cfRule type="expression" dxfId="636" priority="675">
      <formula>MOD(ROW(),2)=0</formula>
    </cfRule>
  </conditionalFormatting>
  <conditionalFormatting sqref="J165">
    <cfRule type="expression" dxfId="635" priority="674">
      <formula>MOD(ROW(),2)=0</formula>
    </cfRule>
  </conditionalFormatting>
  <conditionalFormatting sqref="H165:I165">
    <cfRule type="expression" dxfId="634" priority="673">
      <formula>MOD(ROW(),2)=0</formula>
    </cfRule>
  </conditionalFormatting>
  <conditionalFormatting sqref="Q165">
    <cfRule type="expression" dxfId="633" priority="672">
      <formula>MOD(ROW(),2)=0</formula>
    </cfRule>
  </conditionalFormatting>
  <conditionalFormatting sqref="O165:P165">
    <cfRule type="expression" dxfId="632" priority="671">
      <formula>MOD(ROW(),2)=0</formula>
    </cfRule>
  </conditionalFormatting>
  <conditionalFormatting sqref="L166 N166">
    <cfRule type="expression" dxfId="631" priority="670">
      <formula>MOD(ROW(),2)=0</formula>
    </cfRule>
  </conditionalFormatting>
  <conditionalFormatting sqref="J166">
    <cfRule type="expression" dxfId="630" priority="669">
      <formula>MOD(ROW(),2)=0</formula>
    </cfRule>
  </conditionalFormatting>
  <conditionalFormatting sqref="H166:I166">
    <cfRule type="expression" dxfId="629" priority="668">
      <formula>MOD(ROW(),2)=0</formula>
    </cfRule>
  </conditionalFormatting>
  <conditionalFormatting sqref="Q166">
    <cfRule type="expression" dxfId="628" priority="667">
      <formula>MOD(ROW(),2)=0</formula>
    </cfRule>
  </conditionalFormatting>
  <conditionalFormatting sqref="O166:P166">
    <cfRule type="expression" dxfId="627" priority="666">
      <formula>MOD(ROW(),2)=0</formula>
    </cfRule>
  </conditionalFormatting>
  <conditionalFormatting sqref="L167 N167">
    <cfRule type="expression" dxfId="626" priority="665">
      <formula>MOD(ROW(),2)=0</formula>
    </cfRule>
  </conditionalFormatting>
  <conditionalFormatting sqref="J167">
    <cfRule type="expression" dxfId="625" priority="664">
      <formula>MOD(ROW(),2)=0</formula>
    </cfRule>
  </conditionalFormatting>
  <conditionalFormatting sqref="H167:I167">
    <cfRule type="expression" dxfId="624" priority="663">
      <formula>MOD(ROW(),2)=0</formula>
    </cfRule>
  </conditionalFormatting>
  <conditionalFormatting sqref="Q167">
    <cfRule type="expression" dxfId="623" priority="662">
      <formula>MOD(ROW(),2)=0</formula>
    </cfRule>
  </conditionalFormatting>
  <conditionalFormatting sqref="O167:P167">
    <cfRule type="expression" dxfId="622" priority="661">
      <formula>MOD(ROW(),2)=0</formula>
    </cfRule>
  </conditionalFormatting>
  <conditionalFormatting sqref="Q168">
    <cfRule type="expression" dxfId="621" priority="660">
      <formula>MOD(ROW(),2)=0</formula>
    </cfRule>
  </conditionalFormatting>
  <conditionalFormatting sqref="J169">
    <cfRule type="expression" dxfId="620" priority="659">
      <formula>MOD(ROW(),2)=0</formula>
    </cfRule>
  </conditionalFormatting>
  <conditionalFormatting sqref="Q169">
    <cfRule type="expression" dxfId="619" priority="658">
      <formula>MOD(ROW(),2)=0</formula>
    </cfRule>
  </conditionalFormatting>
  <conditionalFormatting sqref="M159:M173">
    <cfRule type="expression" dxfId="618" priority="657">
      <formula>MOD(ROW(),2)=0</formula>
    </cfRule>
  </conditionalFormatting>
  <conditionalFormatting sqref="I180 H181:L183 L176 N176 N181:Q183 H176:I176 N179:N180 K179:L180">
    <cfRule type="expression" dxfId="617" priority="656">
      <formula>MOD(ROW(),2)=0</formula>
    </cfRule>
  </conditionalFormatting>
  <conditionalFormatting sqref="H179">
    <cfRule type="expression" dxfId="616" priority="655">
      <formula>MOD(ROW(),2)=0</formula>
    </cfRule>
  </conditionalFormatting>
  <conditionalFormatting sqref="I179">
    <cfRule type="expression" dxfId="615" priority="654">
      <formula>MOD(ROW(),2)=0</formula>
    </cfRule>
  </conditionalFormatting>
  <conditionalFormatting sqref="O179">
    <cfRule type="expression" dxfId="614" priority="653">
      <formula>MOD(ROW(),2)=0</formula>
    </cfRule>
  </conditionalFormatting>
  <conditionalFormatting sqref="P179">
    <cfRule type="expression" dxfId="613" priority="652">
      <formula>MOD(ROW(),2)=0</formula>
    </cfRule>
  </conditionalFormatting>
  <conditionalFormatting sqref="H180">
    <cfRule type="expression" dxfId="612" priority="651">
      <formula>MOD(ROW(),2)=0</formula>
    </cfRule>
  </conditionalFormatting>
  <conditionalFormatting sqref="O180">
    <cfRule type="expression" dxfId="611" priority="650">
      <formula>MOD(ROW(),2)=0</formula>
    </cfRule>
  </conditionalFormatting>
  <conditionalFormatting sqref="J180">
    <cfRule type="expression" dxfId="610" priority="649">
      <formula>MOD(ROW(),2)=0</formula>
    </cfRule>
  </conditionalFormatting>
  <conditionalFormatting sqref="M176">
    <cfRule type="expression" dxfId="609" priority="648">
      <formula>MOD(ROW(),2)=0</formula>
    </cfRule>
  </conditionalFormatting>
  <conditionalFormatting sqref="J179">
    <cfRule type="expression" dxfId="608" priority="647">
      <formula>MOD(ROW(),2)=0</formula>
    </cfRule>
  </conditionalFormatting>
  <conditionalFormatting sqref="Q179:Q180">
    <cfRule type="expression" dxfId="607" priority="646">
      <formula>MOD(ROW(),2)=0</formula>
    </cfRule>
  </conditionalFormatting>
  <conditionalFormatting sqref="J176">
    <cfRule type="expression" dxfId="606" priority="645">
      <formula>MOD(ROW(),2)=0</formula>
    </cfRule>
  </conditionalFormatting>
  <conditionalFormatting sqref="O176:P176">
    <cfRule type="expression" dxfId="605" priority="644">
      <formula>MOD(ROW(),2)=0</formula>
    </cfRule>
  </conditionalFormatting>
  <conditionalFormatting sqref="Q176">
    <cfRule type="expression" dxfId="604" priority="643">
      <formula>MOD(ROW(),2)=0</formula>
    </cfRule>
  </conditionalFormatting>
  <conditionalFormatting sqref="L177 N177 H177:I177">
    <cfRule type="expression" dxfId="603" priority="642">
      <formula>MOD(ROW(),2)=0</formula>
    </cfRule>
  </conditionalFormatting>
  <conditionalFormatting sqref="M177">
    <cfRule type="expression" dxfId="602" priority="641">
      <formula>MOD(ROW(),2)=0</formula>
    </cfRule>
  </conditionalFormatting>
  <conditionalFormatting sqref="J177">
    <cfRule type="expression" dxfId="601" priority="640">
      <formula>MOD(ROW(),2)=0</formula>
    </cfRule>
  </conditionalFormatting>
  <conditionalFormatting sqref="O177:P177">
    <cfRule type="expression" dxfId="600" priority="639">
      <formula>MOD(ROW(),2)=0</formula>
    </cfRule>
  </conditionalFormatting>
  <conditionalFormatting sqref="Q177">
    <cfRule type="expression" dxfId="599" priority="638">
      <formula>MOD(ROW(),2)=0</formula>
    </cfRule>
  </conditionalFormatting>
  <conditionalFormatting sqref="L178 N178 H178:I178">
    <cfRule type="expression" dxfId="598" priority="637">
      <formula>MOD(ROW(),2)=0</formula>
    </cfRule>
  </conditionalFormatting>
  <conditionalFormatting sqref="M178">
    <cfRule type="expression" dxfId="597" priority="636">
      <formula>MOD(ROW(),2)=0</formula>
    </cfRule>
  </conditionalFormatting>
  <conditionalFormatting sqref="J178">
    <cfRule type="expression" dxfId="596" priority="635">
      <formula>MOD(ROW(),2)=0</formula>
    </cfRule>
  </conditionalFormatting>
  <conditionalFormatting sqref="O178:P178">
    <cfRule type="expression" dxfId="595" priority="634">
      <formula>MOD(ROW(),2)=0</formula>
    </cfRule>
  </conditionalFormatting>
  <conditionalFormatting sqref="Q178">
    <cfRule type="expression" dxfId="594" priority="633">
      <formula>MOD(ROW(),2)=0</formula>
    </cfRule>
  </conditionalFormatting>
  <conditionalFormatting sqref="M179">
    <cfRule type="expression" dxfId="593" priority="632">
      <formula>MOD(ROW(),2)=0</formula>
    </cfRule>
  </conditionalFormatting>
  <conditionalFormatting sqref="M180">
    <cfRule type="expression" dxfId="592" priority="631">
      <formula>MOD(ROW(),2)=0</formula>
    </cfRule>
  </conditionalFormatting>
  <conditionalFormatting sqref="M181">
    <cfRule type="expression" dxfId="591" priority="630">
      <formula>MOD(ROW(),2)=0</formula>
    </cfRule>
  </conditionalFormatting>
  <conditionalFormatting sqref="M182">
    <cfRule type="expression" dxfId="590" priority="629">
      <formula>MOD(ROW(),2)=0</formula>
    </cfRule>
  </conditionalFormatting>
  <conditionalFormatting sqref="M183">
    <cfRule type="expression" dxfId="589" priority="628">
      <formula>MOD(ROW(),2)=0</formula>
    </cfRule>
  </conditionalFormatting>
  <conditionalFormatting sqref="H194:Q195 I190 H191:L193 L186 N186 N191:Q193 H207:I207 H201:I201 H186:I186 N189:N190 K189:L190">
    <cfRule type="expression" dxfId="588" priority="627">
      <formula>MOD(ROW(),2)=0</formula>
    </cfRule>
  </conditionalFormatting>
  <conditionalFormatting sqref="H189">
    <cfRule type="expression" dxfId="587" priority="626">
      <formula>MOD(ROW(),2)=0</formula>
    </cfRule>
  </conditionalFormatting>
  <conditionalFormatting sqref="I189">
    <cfRule type="expression" dxfId="586" priority="625">
      <formula>MOD(ROW(),2)=0</formula>
    </cfRule>
  </conditionalFormatting>
  <conditionalFormatting sqref="O189">
    <cfRule type="expression" dxfId="585" priority="624">
      <formula>MOD(ROW(),2)=0</formula>
    </cfRule>
  </conditionalFormatting>
  <conditionalFormatting sqref="P189">
    <cfRule type="expression" dxfId="584" priority="623">
      <formula>MOD(ROW(),2)=0</formula>
    </cfRule>
  </conditionalFormatting>
  <conditionalFormatting sqref="L188 N188 H188:I188">
    <cfRule type="expression" dxfId="583" priority="591">
      <formula>MOD(ROW(),2)=0</formula>
    </cfRule>
  </conditionalFormatting>
  <conditionalFormatting sqref="M188">
    <cfRule type="expression" dxfId="582" priority="590">
      <formula>MOD(ROW(),2)=0</formula>
    </cfRule>
  </conditionalFormatting>
  <conditionalFormatting sqref="Q188">
    <cfRule type="expression" dxfId="581" priority="587">
      <formula>MOD(ROW(),2)=0</formula>
    </cfRule>
  </conditionalFormatting>
  <conditionalFormatting sqref="M189">
    <cfRule type="expression" dxfId="580" priority="586">
      <formula>MOD(ROW(),2)=0</formula>
    </cfRule>
  </conditionalFormatting>
  <conditionalFormatting sqref="H190">
    <cfRule type="expression" dxfId="579" priority="614">
      <formula>MOD(ROW(),2)=0</formula>
    </cfRule>
  </conditionalFormatting>
  <conditionalFormatting sqref="O190">
    <cfRule type="expression" dxfId="578" priority="613">
      <formula>MOD(ROW(),2)=0</formula>
    </cfRule>
  </conditionalFormatting>
  <conditionalFormatting sqref="J190">
    <cfRule type="expression" dxfId="577" priority="608">
      <formula>MOD(ROW(),2)=0</formula>
    </cfRule>
  </conditionalFormatting>
  <conditionalFormatting sqref="M186">
    <cfRule type="expression" dxfId="576" priority="605">
      <formula>MOD(ROW(),2)=0</formula>
    </cfRule>
  </conditionalFormatting>
  <conditionalFormatting sqref="J189">
    <cfRule type="expression" dxfId="575" priority="604">
      <formula>MOD(ROW(),2)=0</formula>
    </cfRule>
  </conditionalFormatting>
  <conditionalFormatting sqref="Q189:Q190">
    <cfRule type="expression" dxfId="574" priority="603">
      <formula>MOD(ROW(),2)=0</formula>
    </cfRule>
  </conditionalFormatting>
  <conditionalFormatting sqref="H211">
    <cfRule type="expression" dxfId="573" priority="558">
      <formula>MOD(ROW(),2)=0</formula>
    </cfRule>
  </conditionalFormatting>
  <conditionalFormatting sqref="J186">
    <cfRule type="expression" dxfId="572" priority="599">
      <formula>MOD(ROW(),2)=0</formula>
    </cfRule>
  </conditionalFormatting>
  <conditionalFormatting sqref="O186:P186">
    <cfRule type="expression" dxfId="571" priority="598">
      <formula>MOD(ROW(),2)=0</formula>
    </cfRule>
  </conditionalFormatting>
  <conditionalFormatting sqref="Q186">
    <cfRule type="expression" dxfId="570" priority="597">
      <formula>MOD(ROW(),2)=0</formula>
    </cfRule>
  </conditionalFormatting>
  <conditionalFormatting sqref="L187 N187 H187:I187">
    <cfRule type="expression" dxfId="569" priority="596">
      <formula>MOD(ROW(),2)=0</formula>
    </cfRule>
  </conditionalFormatting>
  <conditionalFormatting sqref="M187">
    <cfRule type="expression" dxfId="568" priority="595">
      <formula>MOD(ROW(),2)=0</formula>
    </cfRule>
  </conditionalFormatting>
  <conditionalFormatting sqref="J187">
    <cfRule type="expression" dxfId="567" priority="594">
      <formula>MOD(ROW(),2)=0</formula>
    </cfRule>
  </conditionalFormatting>
  <conditionalFormatting sqref="O187:P187">
    <cfRule type="expression" dxfId="566" priority="593">
      <formula>MOD(ROW(),2)=0</formula>
    </cfRule>
  </conditionalFormatting>
  <conditionalFormatting sqref="Q187">
    <cfRule type="expression" dxfId="565" priority="592">
      <formula>MOD(ROW(),2)=0</formula>
    </cfRule>
  </conditionalFormatting>
  <conditionalFormatting sqref="J188">
    <cfRule type="expression" dxfId="564" priority="589">
      <formula>MOD(ROW(),2)=0</formula>
    </cfRule>
  </conditionalFormatting>
  <conditionalFormatting sqref="O188:P188">
    <cfRule type="expression" dxfId="563" priority="588">
      <formula>MOD(ROW(),2)=0</formula>
    </cfRule>
  </conditionalFormatting>
  <conditionalFormatting sqref="M190">
    <cfRule type="expression" dxfId="562" priority="585">
      <formula>MOD(ROW(),2)=0</formula>
    </cfRule>
  </conditionalFormatting>
  <conditionalFormatting sqref="M191">
    <cfRule type="expression" dxfId="561" priority="584">
      <formula>MOD(ROW(),2)=0</formula>
    </cfRule>
  </conditionalFormatting>
  <conditionalFormatting sqref="M192">
    <cfRule type="expression" dxfId="560" priority="583">
      <formula>MOD(ROW(),2)=0</formula>
    </cfRule>
  </conditionalFormatting>
  <conditionalFormatting sqref="M193">
    <cfRule type="expression" dxfId="559" priority="582">
      <formula>MOD(ROW(),2)=0</formula>
    </cfRule>
  </conditionalFormatting>
  <conditionalFormatting sqref="I212 P212 N211:N212 K208:L208 N208 K211:L212">
    <cfRule type="expression" dxfId="558" priority="559">
      <formula>MOD(ROW(),2)=0</formula>
    </cfRule>
  </conditionalFormatting>
  <conditionalFormatting sqref="I211">
    <cfRule type="expression" dxfId="557" priority="557">
      <formula>MOD(ROW(),2)=0</formula>
    </cfRule>
  </conditionalFormatting>
  <conditionalFormatting sqref="O211">
    <cfRule type="expression" dxfId="556" priority="556">
      <formula>MOD(ROW(),2)=0</formula>
    </cfRule>
  </conditionalFormatting>
  <conditionalFormatting sqref="P211">
    <cfRule type="expression" dxfId="555" priority="555">
      <formula>MOD(ROW(),2)=0</formula>
    </cfRule>
  </conditionalFormatting>
  <conditionalFormatting sqref="H212">
    <cfRule type="expression" dxfId="554" priority="554">
      <formula>MOD(ROW(),2)=0</formula>
    </cfRule>
  </conditionalFormatting>
  <conditionalFormatting sqref="O212">
    <cfRule type="expression" dxfId="553" priority="553">
      <formula>MOD(ROW(),2)=0</formula>
    </cfRule>
  </conditionalFormatting>
  <conditionalFormatting sqref="J211">
    <cfRule type="expression" dxfId="552" priority="552">
      <formula>MOD(ROW(),2)=0</formula>
    </cfRule>
  </conditionalFormatting>
  <conditionalFormatting sqref="J208">
    <cfRule type="expression" dxfId="551" priority="551">
      <formula>MOD(ROW(),2)=0</formula>
    </cfRule>
  </conditionalFormatting>
  <conditionalFormatting sqref="H208:I208">
    <cfRule type="expression" dxfId="550" priority="550">
      <formula>MOD(ROW(),2)=0</formula>
    </cfRule>
  </conditionalFormatting>
  <conditionalFormatting sqref="O208:P208">
    <cfRule type="expression" dxfId="549" priority="548">
      <formula>MOD(ROW(),2)=0</formula>
    </cfRule>
  </conditionalFormatting>
  <conditionalFormatting sqref="H209:I209">
    <cfRule type="expression" dxfId="548" priority="545">
      <formula>MOD(ROW(),2)=0</formula>
    </cfRule>
  </conditionalFormatting>
  <conditionalFormatting sqref="H210:I210">
    <cfRule type="expression" dxfId="547" priority="540">
      <formula>MOD(ROW(),2)=0</formula>
    </cfRule>
  </conditionalFormatting>
  <conditionalFormatting sqref="J212">
    <cfRule type="expression" dxfId="546" priority="536">
      <formula>MOD(ROW(),2)=0</formula>
    </cfRule>
  </conditionalFormatting>
  <conditionalFormatting sqref="Q212">
    <cfRule type="expression" dxfId="545" priority="535">
      <formula>MOD(ROW(),2)=0</formula>
    </cfRule>
  </conditionalFormatting>
  <conditionalFormatting sqref="Q211">
    <cfRule type="expression" dxfId="544" priority="537">
      <formula>MOD(ROW(),2)=0</formula>
    </cfRule>
  </conditionalFormatting>
  <conditionalFormatting sqref="M211:M212">
    <cfRule type="expression" dxfId="543" priority="534">
      <formula>MOD(ROW(),2)=0</formula>
    </cfRule>
  </conditionalFormatting>
  <conditionalFormatting sqref="I223 P223 H224:L226 N224:Q226 N222:N223 K222:L223">
    <cfRule type="expression" dxfId="542" priority="533">
      <formula>MOD(ROW(),2)=0</formula>
    </cfRule>
  </conditionalFormatting>
  <conditionalFormatting sqref="H222">
    <cfRule type="expression" dxfId="541" priority="532">
      <formula>MOD(ROW(),2)=0</formula>
    </cfRule>
  </conditionalFormatting>
  <conditionalFormatting sqref="I222">
    <cfRule type="expression" dxfId="540" priority="531">
      <formula>MOD(ROW(),2)=0</formula>
    </cfRule>
  </conditionalFormatting>
  <conditionalFormatting sqref="O222">
    <cfRule type="expression" dxfId="539" priority="530">
      <formula>MOD(ROW(),2)=0</formula>
    </cfRule>
  </conditionalFormatting>
  <conditionalFormatting sqref="P222">
    <cfRule type="expression" dxfId="538" priority="529">
      <formula>MOD(ROW(),2)=0</formula>
    </cfRule>
  </conditionalFormatting>
  <conditionalFormatting sqref="H223">
    <cfRule type="expression" dxfId="537" priority="528">
      <formula>MOD(ROW(),2)=0</formula>
    </cfRule>
  </conditionalFormatting>
  <conditionalFormatting sqref="O223">
    <cfRule type="expression" dxfId="536" priority="527">
      <formula>MOD(ROW(),2)=0</formula>
    </cfRule>
  </conditionalFormatting>
  <conditionalFormatting sqref="J223">
    <cfRule type="expression" dxfId="535" priority="526">
      <formula>MOD(ROW(),2)=0</formula>
    </cfRule>
  </conditionalFormatting>
  <conditionalFormatting sqref="P110">
    <cfRule type="expression" dxfId="534" priority="453">
      <formula>MOD(ROW(),2)=0</formula>
    </cfRule>
  </conditionalFormatting>
  <conditionalFormatting sqref="J222">
    <cfRule type="expression" dxfId="533" priority="524">
      <formula>MOD(ROW(),2)=0</formula>
    </cfRule>
  </conditionalFormatting>
  <conditionalFormatting sqref="Q222:Q223">
    <cfRule type="expression" dxfId="532" priority="523">
      <formula>MOD(ROW(),2)=0</formula>
    </cfRule>
  </conditionalFormatting>
  <conditionalFormatting sqref="J111">
    <cfRule type="expression" dxfId="531" priority="450">
      <formula>MOD(ROW(),2)=0</formula>
    </cfRule>
  </conditionalFormatting>
  <conditionalFormatting sqref="J110">
    <cfRule type="expression" dxfId="530" priority="449">
      <formula>MOD(ROW(),2)=0</formula>
    </cfRule>
  </conditionalFormatting>
  <conditionalFormatting sqref="Q110:Q111">
    <cfRule type="expression" dxfId="529" priority="448">
      <formula>MOD(ROW(),2)=0</formula>
    </cfRule>
  </conditionalFormatting>
  <conditionalFormatting sqref="M110">
    <cfRule type="expression" dxfId="528" priority="447">
      <formula>MOD(ROW(),2)=0</formula>
    </cfRule>
  </conditionalFormatting>
  <conditionalFormatting sqref="M111">
    <cfRule type="expression" dxfId="527" priority="446">
      <formula>MOD(ROW(),2)=0</formula>
    </cfRule>
  </conditionalFormatting>
  <conditionalFormatting sqref="L109 N109 H109:I109">
    <cfRule type="expression" dxfId="526" priority="445">
      <formula>MOD(ROW(),2)=0</formula>
    </cfRule>
  </conditionalFormatting>
  <conditionalFormatting sqref="M109">
    <cfRule type="expression" dxfId="525" priority="444">
      <formula>MOD(ROW(),2)=0</formula>
    </cfRule>
  </conditionalFormatting>
  <conditionalFormatting sqref="J109">
    <cfRule type="expression" dxfId="524" priority="443">
      <formula>MOD(ROW(),2)=0</formula>
    </cfRule>
  </conditionalFormatting>
  <conditionalFormatting sqref="K221:L221 N221 H221:I221">
    <cfRule type="expression" dxfId="523" priority="514">
      <formula>MOD(ROW(),2)=0</formula>
    </cfRule>
  </conditionalFormatting>
  <conditionalFormatting sqref="M221">
    <cfRule type="expression" dxfId="522" priority="513">
      <formula>MOD(ROW(),2)=0</formula>
    </cfRule>
  </conditionalFormatting>
  <conditionalFormatting sqref="J221">
    <cfRule type="expression" dxfId="521" priority="512">
      <formula>MOD(ROW(),2)=0</formula>
    </cfRule>
  </conditionalFormatting>
  <conditionalFormatting sqref="O221:P221">
    <cfRule type="expression" dxfId="520" priority="511">
      <formula>MOD(ROW(),2)=0</formula>
    </cfRule>
  </conditionalFormatting>
  <conditionalFormatting sqref="Q221">
    <cfRule type="expression" dxfId="519" priority="510">
      <formula>MOD(ROW(),2)=0</formula>
    </cfRule>
  </conditionalFormatting>
  <conditionalFormatting sqref="M222">
    <cfRule type="expression" dxfId="518" priority="509">
      <formula>MOD(ROW(),2)=0</formula>
    </cfRule>
  </conditionalFormatting>
  <conditionalFormatting sqref="M223">
    <cfRule type="expression" dxfId="517" priority="508">
      <formula>MOD(ROW(),2)=0</formula>
    </cfRule>
  </conditionalFormatting>
  <conditionalFormatting sqref="M224">
    <cfRule type="expression" dxfId="516" priority="507">
      <formula>MOD(ROW(),2)=0</formula>
    </cfRule>
  </conditionalFormatting>
  <conditionalFormatting sqref="M225">
    <cfRule type="expression" dxfId="515" priority="506">
      <formula>MOD(ROW(),2)=0</formula>
    </cfRule>
  </conditionalFormatting>
  <conditionalFormatting sqref="M226">
    <cfRule type="expression" dxfId="514" priority="505">
      <formula>MOD(ROW(),2)=0</formula>
    </cfRule>
  </conditionalFormatting>
  <conditionalFormatting sqref="K95:L95 N95 H95:I95">
    <cfRule type="expression" dxfId="513" priority="504">
      <formula>MOD(ROW(),2)=0</formula>
    </cfRule>
  </conditionalFormatting>
  <conditionalFormatting sqref="M95">
    <cfRule type="expression" dxfId="512" priority="503">
      <formula>MOD(ROW(),2)=0</formula>
    </cfRule>
  </conditionalFormatting>
  <conditionalFormatting sqref="J95">
    <cfRule type="expression" dxfId="511" priority="502">
      <formula>MOD(ROW(),2)=0</formula>
    </cfRule>
  </conditionalFormatting>
  <conditionalFormatting sqref="O95:P95">
    <cfRule type="expression" dxfId="510" priority="501">
      <formula>MOD(ROW(),2)=0</formula>
    </cfRule>
  </conditionalFormatting>
  <conditionalFormatting sqref="Q95">
    <cfRule type="expression" dxfId="509" priority="500">
      <formula>MOD(ROW(),2)=0</formula>
    </cfRule>
  </conditionalFormatting>
  <conditionalFormatting sqref="K96:L96 N96 H96:I96">
    <cfRule type="expression" dxfId="508" priority="499">
      <formula>MOD(ROW(),2)=0</formula>
    </cfRule>
  </conditionalFormatting>
  <conditionalFormatting sqref="M96">
    <cfRule type="expression" dxfId="507" priority="498">
      <formula>MOD(ROW(),2)=0</formula>
    </cfRule>
  </conditionalFormatting>
  <conditionalFormatting sqref="J96">
    <cfRule type="expression" dxfId="506" priority="497">
      <formula>MOD(ROW(),2)=0</formula>
    </cfRule>
  </conditionalFormatting>
  <conditionalFormatting sqref="O96:P96">
    <cfRule type="expression" dxfId="505" priority="496">
      <formula>MOD(ROW(),2)=0</formula>
    </cfRule>
  </conditionalFormatting>
  <conditionalFormatting sqref="Q96">
    <cfRule type="expression" dxfId="504" priority="495">
      <formula>MOD(ROW(),2)=0</formula>
    </cfRule>
  </conditionalFormatting>
  <conditionalFormatting sqref="K97:L97 N97 H97:I97">
    <cfRule type="expression" dxfId="503" priority="494">
      <formula>MOD(ROW(),2)=0</formula>
    </cfRule>
  </conditionalFormatting>
  <conditionalFormatting sqref="M97">
    <cfRule type="expression" dxfId="502" priority="493">
      <formula>MOD(ROW(),2)=0</formula>
    </cfRule>
  </conditionalFormatting>
  <conditionalFormatting sqref="J97">
    <cfRule type="expression" dxfId="501" priority="492">
      <formula>MOD(ROW(),2)=0</formula>
    </cfRule>
  </conditionalFormatting>
  <conditionalFormatting sqref="O97:P97">
    <cfRule type="expression" dxfId="500" priority="491">
      <formula>MOD(ROW(),2)=0</formula>
    </cfRule>
  </conditionalFormatting>
  <conditionalFormatting sqref="Q97">
    <cfRule type="expression" dxfId="499" priority="490">
      <formula>MOD(ROW(),2)=0</formula>
    </cfRule>
  </conditionalFormatting>
  <conditionalFormatting sqref="I100 N99:N100 K99:L100">
    <cfRule type="expression" dxfId="498" priority="489">
      <formula>MOD(ROW(),2)=0</formula>
    </cfRule>
  </conditionalFormatting>
  <conditionalFormatting sqref="H99">
    <cfRule type="expression" dxfId="497" priority="488">
      <formula>MOD(ROW(),2)=0</formula>
    </cfRule>
  </conditionalFormatting>
  <conditionalFormatting sqref="I99">
    <cfRule type="expression" dxfId="496" priority="487">
      <formula>MOD(ROW(),2)=0</formula>
    </cfRule>
  </conditionalFormatting>
  <conditionalFormatting sqref="O99">
    <cfRule type="expression" dxfId="495" priority="486">
      <formula>MOD(ROW(),2)=0</formula>
    </cfRule>
  </conditionalFormatting>
  <conditionalFormatting sqref="P99">
    <cfRule type="expression" dxfId="494" priority="485">
      <formula>MOD(ROW(),2)=0</formula>
    </cfRule>
  </conditionalFormatting>
  <conditionalFormatting sqref="H100">
    <cfRule type="expression" dxfId="493" priority="484">
      <formula>MOD(ROW(),2)=0</formula>
    </cfRule>
  </conditionalFormatting>
  <conditionalFormatting sqref="O100">
    <cfRule type="expression" dxfId="492" priority="483">
      <formula>MOD(ROW(),2)=0</formula>
    </cfRule>
  </conditionalFormatting>
  <conditionalFormatting sqref="J100">
    <cfRule type="expression" dxfId="491" priority="482">
      <formula>MOD(ROW(),2)=0</formula>
    </cfRule>
  </conditionalFormatting>
  <conditionalFormatting sqref="J99">
    <cfRule type="expression" dxfId="490" priority="481">
      <formula>MOD(ROW(),2)=0</formula>
    </cfRule>
  </conditionalFormatting>
  <conditionalFormatting sqref="Q99:Q100">
    <cfRule type="expression" dxfId="489" priority="480">
      <formula>MOD(ROW(),2)=0</formula>
    </cfRule>
  </conditionalFormatting>
  <conditionalFormatting sqref="M99">
    <cfRule type="expression" dxfId="488" priority="479">
      <formula>MOD(ROW(),2)=0</formula>
    </cfRule>
  </conditionalFormatting>
  <conditionalFormatting sqref="M100">
    <cfRule type="expression" dxfId="487" priority="478">
      <formula>MOD(ROW(),2)=0</formula>
    </cfRule>
  </conditionalFormatting>
  <conditionalFormatting sqref="K98:L98 N98 H98:I98">
    <cfRule type="expression" dxfId="486" priority="477">
      <formula>MOD(ROW(),2)=0</formula>
    </cfRule>
  </conditionalFormatting>
  <conditionalFormatting sqref="M98">
    <cfRule type="expression" dxfId="485" priority="476">
      <formula>MOD(ROW(),2)=0</formula>
    </cfRule>
  </conditionalFormatting>
  <conditionalFormatting sqref="J98">
    <cfRule type="expression" dxfId="484" priority="475">
      <formula>MOD(ROW(),2)=0</formula>
    </cfRule>
  </conditionalFormatting>
  <conditionalFormatting sqref="O98:P98">
    <cfRule type="expression" dxfId="483" priority="474">
      <formula>MOD(ROW(),2)=0</formula>
    </cfRule>
  </conditionalFormatting>
  <conditionalFormatting sqref="Q98">
    <cfRule type="expression" dxfId="482" priority="473">
      <formula>MOD(ROW(),2)=0</formula>
    </cfRule>
  </conditionalFormatting>
  <conditionalFormatting sqref="L106 N106 H106:I106">
    <cfRule type="expression" dxfId="481" priority="472">
      <formula>MOD(ROW(),2)=0</formula>
    </cfRule>
  </conditionalFormatting>
  <conditionalFormatting sqref="M106">
    <cfRule type="expression" dxfId="480" priority="471">
      <formula>MOD(ROW(),2)=0</formula>
    </cfRule>
  </conditionalFormatting>
  <conditionalFormatting sqref="J106">
    <cfRule type="expression" dxfId="479" priority="470">
      <formula>MOD(ROW(),2)=0</formula>
    </cfRule>
  </conditionalFormatting>
  <conditionalFormatting sqref="O106:P106">
    <cfRule type="expression" dxfId="478" priority="469">
      <formula>MOD(ROW(),2)=0</formula>
    </cfRule>
  </conditionalFormatting>
  <conditionalFormatting sqref="Q106">
    <cfRule type="expression" dxfId="477" priority="468">
      <formula>MOD(ROW(),2)=0</formula>
    </cfRule>
  </conditionalFormatting>
  <conditionalFormatting sqref="L107 N107 H107:I107">
    <cfRule type="expression" dxfId="476" priority="467">
      <formula>MOD(ROW(),2)=0</formula>
    </cfRule>
  </conditionalFormatting>
  <conditionalFormatting sqref="M107">
    <cfRule type="expression" dxfId="475" priority="466">
      <formula>MOD(ROW(),2)=0</formula>
    </cfRule>
  </conditionalFormatting>
  <conditionalFormatting sqref="J107">
    <cfRule type="expression" dxfId="474" priority="465">
      <formula>MOD(ROW(),2)=0</formula>
    </cfRule>
  </conditionalFormatting>
  <conditionalFormatting sqref="O107:P107">
    <cfRule type="expression" dxfId="473" priority="464">
      <formula>MOD(ROW(),2)=0</formula>
    </cfRule>
  </conditionalFormatting>
  <conditionalFormatting sqref="Q107">
    <cfRule type="expression" dxfId="472" priority="463">
      <formula>MOD(ROW(),2)=0</formula>
    </cfRule>
  </conditionalFormatting>
  <conditionalFormatting sqref="L108 N108 H108:I108">
    <cfRule type="expression" dxfId="471" priority="462">
      <formula>MOD(ROW(),2)=0</formula>
    </cfRule>
  </conditionalFormatting>
  <conditionalFormatting sqref="M108">
    <cfRule type="expression" dxfId="470" priority="461">
      <formula>MOD(ROW(),2)=0</formula>
    </cfRule>
  </conditionalFormatting>
  <conditionalFormatting sqref="J108">
    <cfRule type="expression" dxfId="469" priority="460">
      <formula>MOD(ROW(),2)=0</formula>
    </cfRule>
  </conditionalFormatting>
  <conditionalFormatting sqref="O108:P108">
    <cfRule type="expression" dxfId="468" priority="459">
      <formula>MOD(ROW(),2)=0</formula>
    </cfRule>
  </conditionalFormatting>
  <conditionalFormatting sqref="Q108">
    <cfRule type="expression" dxfId="467" priority="458">
      <formula>MOD(ROW(),2)=0</formula>
    </cfRule>
  </conditionalFormatting>
  <conditionalFormatting sqref="I111 N110:N111 K110:L111">
    <cfRule type="expression" dxfId="466" priority="457">
      <formula>MOD(ROW(),2)=0</formula>
    </cfRule>
  </conditionalFormatting>
  <conditionalFormatting sqref="H110">
    <cfRule type="expression" dxfId="465" priority="456">
      <formula>MOD(ROW(),2)=0</formula>
    </cfRule>
  </conditionalFormatting>
  <conditionalFormatting sqref="I110">
    <cfRule type="expression" dxfId="464" priority="455">
      <formula>MOD(ROW(),2)=0</formula>
    </cfRule>
  </conditionalFormatting>
  <conditionalFormatting sqref="O110">
    <cfRule type="expression" dxfId="463" priority="454">
      <formula>MOD(ROW(),2)=0</formula>
    </cfRule>
  </conditionalFormatting>
  <conditionalFormatting sqref="H111">
    <cfRule type="expression" dxfId="462" priority="452">
      <formula>MOD(ROW(),2)=0</formula>
    </cfRule>
  </conditionalFormatting>
  <conditionalFormatting sqref="O111">
    <cfRule type="expression" dxfId="461" priority="451">
      <formula>MOD(ROW(),2)=0</formula>
    </cfRule>
  </conditionalFormatting>
  <conditionalFormatting sqref="O109:P109">
    <cfRule type="expression" dxfId="460" priority="442">
      <formula>MOD(ROW(),2)=0</formula>
    </cfRule>
  </conditionalFormatting>
  <conditionalFormatting sqref="Q109">
    <cfRule type="expression" dxfId="459" priority="441">
      <formula>MOD(ROW(),2)=0</formula>
    </cfRule>
  </conditionalFormatting>
  <conditionalFormatting sqref="M113:M116">
    <cfRule type="expression" dxfId="458" priority="435">
      <formula>MOD(ROW(),2)=0</formula>
    </cfRule>
  </conditionalFormatting>
  <conditionalFormatting sqref="L113:L116 N113:N116">
    <cfRule type="expression" dxfId="457" priority="440">
      <formula>MOD(ROW(),2)=0</formula>
    </cfRule>
  </conditionalFormatting>
  <conditionalFormatting sqref="J113:J116">
    <cfRule type="expression" dxfId="456" priority="439">
      <formula>MOD(ROW(),2)=0</formula>
    </cfRule>
  </conditionalFormatting>
  <conditionalFormatting sqref="H113:I116">
    <cfRule type="expression" dxfId="455" priority="438">
      <formula>MOD(ROW(),2)=0</formula>
    </cfRule>
  </conditionalFormatting>
  <conditionalFormatting sqref="Q113:Q116">
    <cfRule type="expression" dxfId="454" priority="437">
      <formula>MOD(ROW(),2)=0</formula>
    </cfRule>
  </conditionalFormatting>
  <conditionalFormatting sqref="O113:P116">
    <cfRule type="expression" dxfId="453" priority="436">
      <formula>MOD(ROW(),2)=0</formula>
    </cfRule>
  </conditionalFormatting>
  <conditionalFormatting sqref="M120:M123">
    <cfRule type="expression" dxfId="452" priority="429">
      <formula>MOD(ROW(),2)=0</formula>
    </cfRule>
  </conditionalFormatting>
  <conditionalFormatting sqref="L120:L123 N120:N123">
    <cfRule type="expression" dxfId="451" priority="434">
      <formula>MOD(ROW(),2)=0</formula>
    </cfRule>
  </conditionalFormatting>
  <conditionalFormatting sqref="J120:J123">
    <cfRule type="expression" dxfId="450" priority="433">
      <formula>MOD(ROW(),2)=0</formula>
    </cfRule>
  </conditionalFormatting>
  <conditionalFormatting sqref="H120:I123">
    <cfRule type="expression" dxfId="449" priority="432">
      <formula>MOD(ROW(),2)=0</formula>
    </cfRule>
  </conditionalFormatting>
  <conditionalFormatting sqref="Q120:Q123">
    <cfRule type="expression" dxfId="448" priority="431">
      <formula>MOD(ROW(),2)=0</formula>
    </cfRule>
  </conditionalFormatting>
  <conditionalFormatting sqref="O120:P123">
    <cfRule type="expression" dxfId="447" priority="430">
      <formula>MOD(ROW(),2)=0</formula>
    </cfRule>
  </conditionalFormatting>
  <conditionalFormatting sqref="I117">
    <cfRule type="expression" dxfId="446" priority="426">
      <formula>MOD(ROW(),2)=0</formula>
    </cfRule>
  </conditionalFormatting>
  <conditionalFormatting sqref="O117">
    <cfRule type="expression" dxfId="445" priority="425">
      <formula>MOD(ROW(),2)=0</formula>
    </cfRule>
  </conditionalFormatting>
  <conditionalFormatting sqref="Q117">
    <cfRule type="expression" dxfId="444" priority="422">
      <formula>MOD(ROW(),2)=0</formula>
    </cfRule>
  </conditionalFormatting>
  <conditionalFormatting sqref="M117">
    <cfRule type="expression" dxfId="443" priority="421">
      <formula>MOD(ROW(),2)=0</formula>
    </cfRule>
  </conditionalFormatting>
  <conditionalFormatting sqref="N117 K117:L117">
    <cfRule type="expression" dxfId="442" priority="428">
      <formula>MOD(ROW(),2)=0</formula>
    </cfRule>
  </conditionalFormatting>
  <conditionalFormatting sqref="H117">
    <cfRule type="expression" dxfId="441" priority="427">
      <formula>MOD(ROW(),2)=0</formula>
    </cfRule>
  </conditionalFormatting>
  <conditionalFormatting sqref="P117">
    <cfRule type="expression" dxfId="440" priority="424">
      <formula>MOD(ROW(),2)=0</formula>
    </cfRule>
  </conditionalFormatting>
  <conditionalFormatting sqref="J117">
    <cfRule type="expression" dxfId="439" priority="423">
      <formula>MOD(ROW(),2)=0</formula>
    </cfRule>
  </conditionalFormatting>
  <conditionalFormatting sqref="I124">
    <cfRule type="expression" dxfId="438" priority="418">
      <formula>MOD(ROW(),2)=0</formula>
    </cfRule>
  </conditionalFormatting>
  <conditionalFormatting sqref="O124">
    <cfRule type="expression" dxfId="437" priority="417">
      <formula>MOD(ROW(),2)=0</formula>
    </cfRule>
  </conditionalFormatting>
  <conditionalFormatting sqref="Q124">
    <cfRule type="expression" dxfId="436" priority="414">
      <formula>MOD(ROW(),2)=0</formula>
    </cfRule>
  </conditionalFormatting>
  <conditionalFormatting sqref="M124">
    <cfRule type="expression" dxfId="435" priority="413">
      <formula>MOD(ROW(),2)=0</formula>
    </cfRule>
  </conditionalFormatting>
  <conditionalFormatting sqref="N124 K124:L124">
    <cfRule type="expression" dxfId="434" priority="420">
      <formula>MOD(ROW(),2)=0</formula>
    </cfRule>
  </conditionalFormatting>
  <conditionalFormatting sqref="H124">
    <cfRule type="expression" dxfId="433" priority="419">
      <formula>MOD(ROW(),2)=0</formula>
    </cfRule>
  </conditionalFormatting>
  <conditionalFormatting sqref="P124">
    <cfRule type="expression" dxfId="432" priority="416">
      <formula>MOD(ROW(),2)=0</formula>
    </cfRule>
  </conditionalFormatting>
  <conditionalFormatting sqref="J124">
    <cfRule type="expression" dxfId="431" priority="415">
      <formula>MOD(ROW(),2)=0</formula>
    </cfRule>
  </conditionalFormatting>
  <conditionalFormatting sqref="J118">
    <cfRule type="expression" dxfId="430" priority="409">
      <formula>MOD(ROW(),2)=0</formula>
    </cfRule>
  </conditionalFormatting>
  <conditionalFormatting sqref="Q118">
    <cfRule type="expression" dxfId="429" priority="408">
      <formula>MOD(ROW(),2)=0</formula>
    </cfRule>
  </conditionalFormatting>
  <conditionalFormatting sqref="M118">
    <cfRule type="expression" dxfId="428" priority="407">
      <formula>MOD(ROW(),2)=0</formula>
    </cfRule>
  </conditionalFormatting>
  <conditionalFormatting sqref="I118 N118 K118:L118">
    <cfRule type="expression" dxfId="427" priority="412">
      <formula>MOD(ROW(),2)=0</formula>
    </cfRule>
  </conditionalFormatting>
  <conditionalFormatting sqref="H118">
    <cfRule type="expression" dxfId="426" priority="411">
      <formula>MOD(ROW(),2)=0</formula>
    </cfRule>
  </conditionalFormatting>
  <conditionalFormatting sqref="O118">
    <cfRule type="expression" dxfId="425" priority="410">
      <formula>MOD(ROW(),2)=0</formula>
    </cfRule>
  </conditionalFormatting>
  <conditionalFormatting sqref="J125">
    <cfRule type="expression" dxfId="424" priority="403">
      <formula>MOD(ROW(),2)=0</formula>
    </cfRule>
  </conditionalFormatting>
  <conditionalFormatting sqref="Q125">
    <cfRule type="expression" dxfId="423" priority="402">
      <formula>MOD(ROW(),2)=0</formula>
    </cfRule>
  </conditionalFormatting>
  <conditionalFormatting sqref="M125">
    <cfRule type="expression" dxfId="422" priority="401">
      <formula>MOD(ROW(),2)=0</formula>
    </cfRule>
  </conditionalFormatting>
  <conditionalFormatting sqref="I125 N125 K125:L125">
    <cfRule type="expression" dxfId="421" priority="406">
      <formula>MOD(ROW(),2)=0</formula>
    </cfRule>
  </conditionalFormatting>
  <conditionalFormatting sqref="H125">
    <cfRule type="expression" dxfId="420" priority="405">
      <formula>MOD(ROW(),2)=0</formula>
    </cfRule>
  </conditionalFormatting>
  <conditionalFormatting sqref="O125">
    <cfRule type="expression" dxfId="419" priority="404">
      <formula>MOD(ROW(),2)=0</formula>
    </cfRule>
  </conditionalFormatting>
  <conditionalFormatting sqref="R132:R137">
    <cfRule type="expression" dxfId="418" priority="400">
      <formula>MOD(ROW(),2)=0</formula>
    </cfRule>
  </conditionalFormatting>
  <conditionalFormatting sqref="L132 N132 H132:I132">
    <cfRule type="expression" dxfId="417" priority="399">
      <formula>MOD(ROW(),2)=0</formula>
    </cfRule>
  </conditionalFormatting>
  <conditionalFormatting sqref="M132">
    <cfRule type="expression" dxfId="416" priority="398">
      <formula>MOD(ROW(),2)=0</formula>
    </cfRule>
  </conditionalFormatting>
  <conditionalFormatting sqref="J132">
    <cfRule type="expression" dxfId="415" priority="397">
      <formula>MOD(ROW(),2)=0</formula>
    </cfRule>
  </conditionalFormatting>
  <conditionalFormatting sqref="O132:P132">
    <cfRule type="expression" dxfId="414" priority="396">
      <formula>MOD(ROW(),2)=0</formula>
    </cfRule>
  </conditionalFormatting>
  <conditionalFormatting sqref="Q132">
    <cfRule type="expression" dxfId="413" priority="395">
      <formula>MOD(ROW(),2)=0</formula>
    </cfRule>
  </conditionalFormatting>
  <conditionalFormatting sqref="L133 N133 H133:I133">
    <cfRule type="expression" dxfId="412" priority="394">
      <formula>MOD(ROW(),2)=0</formula>
    </cfRule>
  </conditionalFormatting>
  <conditionalFormatting sqref="M133">
    <cfRule type="expression" dxfId="411" priority="393">
      <formula>MOD(ROW(),2)=0</formula>
    </cfRule>
  </conditionalFormatting>
  <conditionalFormatting sqref="J133">
    <cfRule type="expression" dxfId="410" priority="392">
      <formula>MOD(ROW(),2)=0</formula>
    </cfRule>
  </conditionalFormatting>
  <conditionalFormatting sqref="O133:P133">
    <cfRule type="expression" dxfId="409" priority="391">
      <formula>MOD(ROW(),2)=0</formula>
    </cfRule>
  </conditionalFormatting>
  <conditionalFormatting sqref="Q133">
    <cfRule type="expression" dxfId="408" priority="390">
      <formula>MOD(ROW(),2)=0</formula>
    </cfRule>
  </conditionalFormatting>
  <conditionalFormatting sqref="L134 N134 H134:I134">
    <cfRule type="expression" dxfId="407" priority="389">
      <formula>MOD(ROW(),2)=0</formula>
    </cfRule>
  </conditionalFormatting>
  <conditionalFormatting sqref="M134">
    <cfRule type="expression" dxfId="406" priority="388">
      <formula>MOD(ROW(),2)=0</formula>
    </cfRule>
  </conditionalFormatting>
  <conditionalFormatting sqref="J134">
    <cfRule type="expression" dxfId="405" priority="387">
      <formula>MOD(ROW(),2)=0</formula>
    </cfRule>
  </conditionalFormatting>
  <conditionalFormatting sqref="O134:P134">
    <cfRule type="expression" dxfId="404" priority="386">
      <formula>MOD(ROW(),2)=0</formula>
    </cfRule>
  </conditionalFormatting>
  <conditionalFormatting sqref="Q134">
    <cfRule type="expression" dxfId="403" priority="385">
      <formula>MOD(ROW(),2)=0</formula>
    </cfRule>
  </conditionalFormatting>
  <conditionalFormatting sqref="I137 N136:N137 K136:L137">
    <cfRule type="expression" dxfId="402" priority="384">
      <formula>MOD(ROW(),2)=0</formula>
    </cfRule>
  </conditionalFormatting>
  <conditionalFormatting sqref="H136">
    <cfRule type="expression" dxfId="401" priority="383">
      <formula>MOD(ROW(),2)=0</formula>
    </cfRule>
  </conditionalFormatting>
  <conditionalFormatting sqref="I136">
    <cfRule type="expression" dxfId="400" priority="382">
      <formula>MOD(ROW(),2)=0</formula>
    </cfRule>
  </conditionalFormatting>
  <conditionalFormatting sqref="O136">
    <cfRule type="expression" dxfId="399" priority="381">
      <formula>MOD(ROW(),2)=0</formula>
    </cfRule>
  </conditionalFormatting>
  <conditionalFormatting sqref="P136">
    <cfRule type="expression" dxfId="398" priority="380">
      <formula>MOD(ROW(),2)=0</formula>
    </cfRule>
  </conditionalFormatting>
  <conditionalFormatting sqref="H137">
    <cfRule type="expression" dxfId="397" priority="379">
      <formula>MOD(ROW(),2)=0</formula>
    </cfRule>
  </conditionalFormatting>
  <conditionalFormatting sqref="O137">
    <cfRule type="expression" dxfId="396" priority="378">
      <formula>MOD(ROW(),2)=0</formula>
    </cfRule>
  </conditionalFormatting>
  <conditionalFormatting sqref="J137">
    <cfRule type="expression" dxfId="395" priority="377">
      <formula>MOD(ROW(),2)=0</formula>
    </cfRule>
  </conditionalFormatting>
  <conditionalFormatting sqref="J136">
    <cfRule type="expression" dxfId="394" priority="376">
      <formula>MOD(ROW(),2)=0</formula>
    </cfRule>
  </conditionalFormatting>
  <conditionalFormatting sqref="Q136:Q137">
    <cfRule type="expression" dxfId="393" priority="375">
      <formula>MOD(ROW(),2)=0</formula>
    </cfRule>
  </conditionalFormatting>
  <conditionalFormatting sqref="M136">
    <cfRule type="expression" dxfId="392" priority="374">
      <formula>MOD(ROW(),2)=0</formula>
    </cfRule>
  </conditionalFormatting>
  <conditionalFormatting sqref="M137">
    <cfRule type="expression" dxfId="391" priority="373">
      <formula>MOD(ROW(),2)=0</formula>
    </cfRule>
  </conditionalFormatting>
  <conditionalFormatting sqref="L135 N135 H135:I135">
    <cfRule type="expression" dxfId="390" priority="372">
      <formula>MOD(ROW(),2)=0</formula>
    </cfRule>
  </conditionalFormatting>
  <conditionalFormatting sqref="M135">
    <cfRule type="expression" dxfId="389" priority="371">
      <formula>MOD(ROW(),2)=0</formula>
    </cfRule>
  </conditionalFormatting>
  <conditionalFormatting sqref="J135">
    <cfRule type="expression" dxfId="388" priority="370">
      <formula>MOD(ROW(),2)=0</formula>
    </cfRule>
  </conditionalFormatting>
  <conditionalFormatting sqref="O135:P135">
    <cfRule type="expression" dxfId="387" priority="369">
      <formula>MOD(ROW(),2)=0</formula>
    </cfRule>
  </conditionalFormatting>
  <conditionalFormatting sqref="Q135">
    <cfRule type="expression" dxfId="386" priority="368">
      <formula>MOD(ROW(),2)=0</formula>
    </cfRule>
  </conditionalFormatting>
  <conditionalFormatting sqref="I217 H218:L220 L213 N213 N218:Q220 H213:I213 N216:N217 K216:L217">
    <cfRule type="expression" dxfId="385" priority="367">
      <formula>MOD(ROW(),2)=0</formula>
    </cfRule>
  </conditionalFormatting>
  <conditionalFormatting sqref="H216">
    <cfRule type="expression" dxfId="384" priority="366">
      <formula>MOD(ROW(),2)=0</formula>
    </cfRule>
  </conditionalFormatting>
  <conditionalFormatting sqref="I216">
    <cfRule type="expression" dxfId="383" priority="365">
      <formula>MOD(ROW(),2)=0</formula>
    </cfRule>
  </conditionalFormatting>
  <conditionalFormatting sqref="O216">
    <cfRule type="expression" dxfId="382" priority="364">
      <formula>MOD(ROW(),2)=0</formula>
    </cfRule>
  </conditionalFormatting>
  <conditionalFormatting sqref="P216">
    <cfRule type="expression" dxfId="381" priority="363">
      <formula>MOD(ROW(),2)=0</formula>
    </cfRule>
  </conditionalFormatting>
  <conditionalFormatting sqref="H217">
    <cfRule type="expression" dxfId="380" priority="362">
      <formula>MOD(ROW(),2)=0</formula>
    </cfRule>
  </conditionalFormatting>
  <conditionalFormatting sqref="O217">
    <cfRule type="expression" dxfId="379" priority="361">
      <formula>MOD(ROW(),2)=0</formula>
    </cfRule>
  </conditionalFormatting>
  <conditionalFormatting sqref="J217">
    <cfRule type="expression" dxfId="378" priority="360">
      <formula>MOD(ROW(),2)=0</formula>
    </cfRule>
  </conditionalFormatting>
  <conditionalFormatting sqref="M213">
    <cfRule type="expression" dxfId="377" priority="359">
      <formula>MOD(ROW(),2)=0</formula>
    </cfRule>
  </conditionalFormatting>
  <conditionalFormatting sqref="J216">
    <cfRule type="expression" dxfId="376" priority="358">
      <formula>MOD(ROW(),2)=0</formula>
    </cfRule>
  </conditionalFormatting>
  <conditionalFormatting sqref="Q216:Q217">
    <cfRule type="expression" dxfId="375" priority="357">
      <formula>MOD(ROW(),2)=0</formula>
    </cfRule>
  </conditionalFormatting>
  <conditionalFormatting sqref="J213">
    <cfRule type="expression" dxfId="374" priority="356">
      <formula>MOD(ROW(),2)=0</formula>
    </cfRule>
  </conditionalFormatting>
  <conditionalFormatting sqref="O213:P213">
    <cfRule type="expression" dxfId="373" priority="355">
      <formula>MOD(ROW(),2)=0</formula>
    </cfRule>
  </conditionalFormatting>
  <conditionalFormatting sqref="Q213">
    <cfRule type="expression" dxfId="372" priority="354">
      <formula>MOD(ROW(),2)=0</formula>
    </cfRule>
  </conditionalFormatting>
  <conditionalFormatting sqref="L214 N214 H214:I214">
    <cfRule type="expression" dxfId="371" priority="353">
      <formula>MOD(ROW(),2)=0</formula>
    </cfRule>
  </conditionalFormatting>
  <conditionalFormatting sqref="M214">
    <cfRule type="expression" dxfId="370" priority="352">
      <formula>MOD(ROW(),2)=0</formula>
    </cfRule>
  </conditionalFormatting>
  <conditionalFormatting sqref="J214">
    <cfRule type="expression" dxfId="369" priority="351">
      <formula>MOD(ROW(),2)=0</formula>
    </cfRule>
  </conditionalFormatting>
  <conditionalFormatting sqref="O214:P214">
    <cfRule type="expression" dxfId="368" priority="350">
      <formula>MOD(ROW(),2)=0</formula>
    </cfRule>
  </conditionalFormatting>
  <conditionalFormatting sqref="Q214">
    <cfRule type="expression" dxfId="367" priority="349">
      <formula>MOD(ROW(),2)=0</formula>
    </cfRule>
  </conditionalFormatting>
  <conditionalFormatting sqref="L215 N215 H215:I215">
    <cfRule type="expression" dxfId="366" priority="348">
      <formula>MOD(ROW(),2)=0</formula>
    </cfRule>
  </conditionalFormatting>
  <conditionalFormatting sqref="M215">
    <cfRule type="expression" dxfId="365" priority="347">
      <formula>MOD(ROW(),2)=0</formula>
    </cfRule>
  </conditionalFormatting>
  <conditionalFormatting sqref="J215">
    <cfRule type="expression" dxfId="364" priority="346">
      <formula>MOD(ROW(),2)=0</formula>
    </cfRule>
  </conditionalFormatting>
  <conditionalFormatting sqref="O215:P215">
    <cfRule type="expression" dxfId="363" priority="345">
      <formula>MOD(ROW(),2)=0</formula>
    </cfRule>
  </conditionalFormatting>
  <conditionalFormatting sqref="Q215">
    <cfRule type="expression" dxfId="362" priority="344">
      <formula>MOD(ROW(),2)=0</formula>
    </cfRule>
  </conditionalFormatting>
  <conditionalFormatting sqref="M216">
    <cfRule type="expression" dxfId="361" priority="343">
      <formula>MOD(ROW(),2)=0</formula>
    </cfRule>
  </conditionalFormatting>
  <conditionalFormatting sqref="M217">
    <cfRule type="expression" dxfId="360" priority="342">
      <formula>MOD(ROW(),2)=0</formula>
    </cfRule>
  </conditionalFormatting>
  <conditionalFormatting sqref="M218">
    <cfRule type="expression" dxfId="359" priority="341">
      <formula>MOD(ROW(),2)=0</formula>
    </cfRule>
  </conditionalFormatting>
  <conditionalFormatting sqref="M219">
    <cfRule type="expression" dxfId="358" priority="340">
      <formula>MOD(ROW(),2)=0</formula>
    </cfRule>
  </conditionalFormatting>
  <conditionalFormatting sqref="M220">
    <cfRule type="expression" dxfId="357" priority="339">
      <formula>MOD(ROW(),2)=0</formula>
    </cfRule>
  </conditionalFormatting>
  <conditionalFormatting sqref="I206 N205:N206 K205:L206">
    <cfRule type="expression" dxfId="356" priority="338">
      <formula>MOD(ROW(),2)=0</formula>
    </cfRule>
  </conditionalFormatting>
  <conditionalFormatting sqref="H205">
    <cfRule type="expression" dxfId="355" priority="337">
      <formula>MOD(ROW(),2)=0</formula>
    </cfRule>
  </conditionalFormatting>
  <conditionalFormatting sqref="I205">
    <cfRule type="expression" dxfId="354" priority="336">
      <formula>MOD(ROW(),2)=0</formula>
    </cfRule>
  </conditionalFormatting>
  <conditionalFormatting sqref="O205">
    <cfRule type="expression" dxfId="353" priority="335">
      <formula>MOD(ROW(),2)=0</formula>
    </cfRule>
  </conditionalFormatting>
  <conditionalFormatting sqref="P205">
    <cfRule type="expression" dxfId="352" priority="334">
      <formula>MOD(ROW(),2)=0</formula>
    </cfRule>
  </conditionalFormatting>
  <conditionalFormatting sqref="H206">
    <cfRule type="expression" dxfId="351" priority="333">
      <formula>MOD(ROW(),2)=0</formula>
    </cfRule>
  </conditionalFormatting>
  <conditionalFormatting sqref="O206">
    <cfRule type="expression" dxfId="350" priority="332">
      <formula>MOD(ROW(),2)=0</formula>
    </cfRule>
  </conditionalFormatting>
  <conditionalFormatting sqref="J205">
    <cfRule type="expression" dxfId="349" priority="331">
      <formula>MOD(ROW(),2)=0</formula>
    </cfRule>
  </conditionalFormatting>
  <conditionalFormatting sqref="Q205">
    <cfRule type="expression" dxfId="348" priority="330">
      <formula>MOD(ROW(),2)=0</formula>
    </cfRule>
  </conditionalFormatting>
  <conditionalFormatting sqref="J206">
    <cfRule type="expression" dxfId="347" priority="329">
      <formula>MOD(ROW(),2)=0</formula>
    </cfRule>
  </conditionalFormatting>
  <conditionalFormatting sqref="Q206">
    <cfRule type="expression" dxfId="346" priority="328">
      <formula>MOD(ROW(),2)=0</formula>
    </cfRule>
  </conditionalFormatting>
  <conditionalFormatting sqref="M205:M206">
    <cfRule type="expression" dxfId="345" priority="327">
      <formula>MOD(ROW(),2)=0</formula>
    </cfRule>
  </conditionalFormatting>
  <conditionalFormatting sqref="I200 N199:N200 K199:L200">
    <cfRule type="expression" dxfId="344" priority="326">
      <formula>MOD(ROW(),2)=0</formula>
    </cfRule>
  </conditionalFormatting>
  <conditionalFormatting sqref="H199">
    <cfRule type="expression" dxfId="343" priority="325">
      <formula>MOD(ROW(),2)=0</formula>
    </cfRule>
  </conditionalFormatting>
  <conditionalFormatting sqref="I199">
    <cfRule type="expression" dxfId="342" priority="324">
      <formula>MOD(ROW(),2)=0</formula>
    </cfRule>
  </conditionalFormatting>
  <conditionalFormatting sqref="O199">
    <cfRule type="expression" dxfId="341" priority="323">
      <formula>MOD(ROW(),2)=0</formula>
    </cfRule>
  </conditionalFormatting>
  <conditionalFormatting sqref="P199">
    <cfRule type="expression" dxfId="340" priority="322">
      <formula>MOD(ROW(),2)=0</formula>
    </cfRule>
  </conditionalFormatting>
  <conditionalFormatting sqref="O200">
    <cfRule type="expression" dxfId="339" priority="321">
      <formula>MOD(ROW(),2)=0</formula>
    </cfRule>
  </conditionalFormatting>
  <conditionalFormatting sqref="H200">
    <cfRule type="expression" dxfId="338" priority="320">
      <formula>MOD(ROW(),2)=0</formula>
    </cfRule>
  </conditionalFormatting>
  <conditionalFormatting sqref="Q199">
    <cfRule type="expression" dxfId="337" priority="319">
      <formula>MOD(ROW(),2)=0</formula>
    </cfRule>
  </conditionalFormatting>
  <conditionalFormatting sqref="Q200">
    <cfRule type="expression" dxfId="336" priority="318">
      <formula>MOD(ROW(),2)=0</formula>
    </cfRule>
  </conditionalFormatting>
  <conditionalFormatting sqref="J199:J200">
    <cfRule type="expression" dxfId="335" priority="317">
      <formula>MOD(ROW(),2)=0</formula>
    </cfRule>
  </conditionalFormatting>
  <conditionalFormatting sqref="M199:M200">
    <cfRule type="expression" dxfId="334" priority="316">
      <formula>MOD(ROW(),2)=0</formula>
    </cfRule>
  </conditionalFormatting>
  <conditionalFormatting sqref="L196:L198 N196:N198 H196:I198">
    <cfRule type="expression" dxfId="333" priority="315">
      <formula>MOD(ROW(),2)=0</formula>
    </cfRule>
  </conditionalFormatting>
  <conditionalFormatting sqref="M196:M198">
    <cfRule type="expression" dxfId="332" priority="314">
      <formula>MOD(ROW(),2)=0</formula>
    </cfRule>
  </conditionalFormatting>
  <conditionalFormatting sqref="J196:J198">
    <cfRule type="expression" dxfId="331" priority="313">
      <formula>MOD(ROW(),2)=0</formula>
    </cfRule>
  </conditionalFormatting>
  <conditionalFormatting sqref="O196:P198">
    <cfRule type="expression" dxfId="330" priority="312">
      <formula>MOD(ROW(),2)=0</formula>
    </cfRule>
  </conditionalFormatting>
  <conditionalFormatting sqref="Q196:Q198">
    <cfRule type="expression" dxfId="329" priority="311">
      <formula>MOD(ROW(),2)=0</formula>
    </cfRule>
  </conditionalFormatting>
  <conditionalFormatting sqref="J201:L201 N201:Q201">
    <cfRule type="expression" dxfId="328" priority="310">
      <formula>MOD(ROW(),2)=0</formula>
    </cfRule>
  </conditionalFormatting>
  <conditionalFormatting sqref="M201">
    <cfRule type="expression" dxfId="327" priority="309">
      <formula>MOD(ROW(),2)=0</formula>
    </cfRule>
  </conditionalFormatting>
  <conditionalFormatting sqref="L202:L204 N202:N204">
    <cfRule type="expression" dxfId="326" priority="308">
      <formula>MOD(ROW(),2)=0</formula>
    </cfRule>
  </conditionalFormatting>
  <conditionalFormatting sqref="J202:J204">
    <cfRule type="expression" dxfId="325" priority="307">
      <formula>MOD(ROW(),2)=0</formula>
    </cfRule>
  </conditionalFormatting>
  <conditionalFormatting sqref="H202:I204">
    <cfRule type="expression" dxfId="324" priority="306">
      <formula>MOD(ROW(),2)=0</formula>
    </cfRule>
  </conditionalFormatting>
  <conditionalFormatting sqref="Q202:Q204">
    <cfRule type="expression" dxfId="323" priority="305">
      <formula>MOD(ROW(),2)=0</formula>
    </cfRule>
  </conditionalFormatting>
  <conditionalFormatting sqref="O202:P204">
    <cfRule type="expression" dxfId="322" priority="304">
      <formula>MOD(ROW(),2)=0</formula>
    </cfRule>
  </conditionalFormatting>
  <conditionalFormatting sqref="M202:M204">
    <cfRule type="expression" dxfId="321" priority="303">
      <formula>MOD(ROW(),2)=0</formula>
    </cfRule>
  </conditionalFormatting>
  <conditionalFormatting sqref="J207:L207 N207:Q207">
    <cfRule type="expression" dxfId="320" priority="302">
      <formula>MOD(ROW(),2)=0</formula>
    </cfRule>
  </conditionalFormatting>
  <conditionalFormatting sqref="M207">
    <cfRule type="expression" dxfId="319" priority="301">
      <formula>MOD(ROW(),2)=0</formula>
    </cfRule>
  </conditionalFormatting>
  <conditionalFormatting sqref="Q208">
    <cfRule type="expression" dxfId="318" priority="300">
      <formula>MOD(ROW(),2)=0</formula>
    </cfRule>
  </conditionalFormatting>
  <conditionalFormatting sqref="M208">
    <cfRule type="expression" dxfId="317" priority="299">
      <formula>MOD(ROW(),2)=0</formula>
    </cfRule>
  </conditionalFormatting>
  <conditionalFormatting sqref="J209:L210 N209:Q210">
    <cfRule type="expression" dxfId="316" priority="298">
      <formula>MOD(ROW(),2)=0</formula>
    </cfRule>
  </conditionalFormatting>
  <conditionalFormatting sqref="M209">
    <cfRule type="expression" dxfId="315" priority="297">
      <formula>MOD(ROW(),2)=0</formula>
    </cfRule>
  </conditionalFormatting>
  <conditionalFormatting sqref="M210">
    <cfRule type="expression" dxfId="314" priority="296">
      <formula>MOD(ROW(),2)=0</formula>
    </cfRule>
  </conditionalFormatting>
  <conditionalFormatting sqref="K62">
    <cfRule type="expression" dxfId="313" priority="295">
      <formula>MOD(ROW(),2)=0</formula>
    </cfRule>
  </conditionalFormatting>
  <conditionalFormatting sqref="K63">
    <cfRule type="expression" dxfId="312" priority="294">
      <formula>MOD(ROW(),2)=0</formula>
    </cfRule>
  </conditionalFormatting>
  <conditionalFormatting sqref="K64">
    <cfRule type="expression" dxfId="311" priority="293">
      <formula>MOD(ROW(),2)=0</formula>
    </cfRule>
  </conditionalFormatting>
  <conditionalFormatting sqref="K68">
    <cfRule type="expression" dxfId="310" priority="292">
      <formula>MOD(ROW(),2)=0</formula>
    </cfRule>
  </conditionalFormatting>
  <conditionalFormatting sqref="K69">
    <cfRule type="expression" dxfId="309" priority="291">
      <formula>MOD(ROW(),2)=0</formula>
    </cfRule>
  </conditionalFormatting>
  <conditionalFormatting sqref="K70">
    <cfRule type="expression" dxfId="308" priority="290">
      <formula>MOD(ROW(),2)=0</formula>
    </cfRule>
  </conditionalFormatting>
  <conditionalFormatting sqref="K74">
    <cfRule type="expression" dxfId="307" priority="289">
      <formula>MOD(ROW(),2)=0</formula>
    </cfRule>
  </conditionalFormatting>
  <conditionalFormatting sqref="K75">
    <cfRule type="expression" dxfId="306" priority="288">
      <formula>MOD(ROW(),2)=0</formula>
    </cfRule>
  </conditionalFormatting>
  <conditionalFormatting sqref="K76">
    <cfRule type="expression" dxfId="305" priority="287">
      <formula>MOD(ROW(),2)=0</formula>
    </cfRule>
  </conditionalFormatting>
  <conditionalFormatting sqref="K85">
    <cfRule type="expression" dxfId="304" priority="286">
      <formula>MOD(ROW(),2)=0</formula>
    </cfRule>
  </conditionalFormatting>
  <conditionalFormatting sqref="K86">
    <cfRule type="expression" dxfId="303" priority="285">
      <formula>MOD(ROW(),2)=0</formula>
    </cfRule>
  </conditionalFormatting>
  <conditionalFormatting sqref="K87">
    <cfRule type="expression" dxfId="302" priority="284">
      <formula>MOD(ROW(),2)=0</formula>
    </cfRule>
  </conditionalFormatting>
  <conditionalFormatting sqref="K106">
    <cfRule type="expression" dxfId="301" priority="283">
      <formula>MOD(ROW(),2)=0</formula>
    </cfRule>
  </conditionalFormatting>
  <conditionalFormatting sqref="K107">
    <cfRule type="expression" dxfId="300" priority="282">
      <formula>MOD(ROW(),2)=0</formula>
    </cfRule>
  </conditionalFormatting>
  <conditionalFormatting sqref="K108">
    <cfRule type="expression" dxfId="299" priority="281">
      <formula>MOD(ROW(),2)=0</formula>
    </cfRule>
  </conditionalFormatting>
  <conditionalFormatting sqref="K109">
    <cfRule type="expression" dxfId="298" priority="280">
      <formula>MOD(ROW(),2)=0</formula>
    </cfRule>
  </conditionalFormatting>
  <conditionalFormatting sqref="K113">
    <cfRule type="expression" dxfId="297" priority="279">
      <formula>MOD(ROW(),2)=0</formula>
    </cfRule>
  </conditionalFormatting>
  <conditionalFormatting sqref="K114">
    <cfRule type="expression" dxfId="296" priority="278">
      <formula>MOD(ROW(),2)=0</formula>
    </cfRule>
  </conditionalFormatting>
  <conditionalFormatting sqref="K115">
    <cfRule type="expression" dxfId="295" priority="277">
      <formula>MOD(ROW(),2)=0</formula>
    </cfRule>
  </conditionalFormatting>
  <conditionalFormatting sqref="K116">
    <cfRule type="expression" dxfId="294" priority="276">
      <formula>MOD(ROW(),2)=0</formula>
    </cfRule>
  </conditionalFormatting>
  <conditionalFormatting sqref="K120">
    <cfRule type="expression" dxfId="293" priority="275">
      <formula>MOD(ROW(),2)=0</formula>
    </cfRule>
  </conditionalFormatting>
  <conditionalFormatting sqref="K121">
    <cfRule type="expression" dxfId="292" priority="274">
      <formula>MOD(ROW(),2)=0</formula>
    </cfRule>
  </conditionalFormatting>
  <conditionalFormatting sqref="K122">
    <cfRule type="expression" dxfId="291" priority="273">
      <formula>MOD(ROW(),2)=0</formula>
    </cfRule>
  </conditionalFormatting>
  <conditionalFormatting sqref="K123">
    <cfRule type="expression" dxfId="290" priority="272">
      <formula>MOD(ROW(),2)=0</formula>
    </cfRule>
  </conditionalFormatting>
  <conditionalFormatting sqref="K132">
    <cfRule type="expression" dxfId="289" priority="271">
      <formula>MOD(ROW(),2)=0</formula>
    </cfRule>
  </conditionalFormatting>
  <conditionalFormatting sqref="K133">
    <cfRule type="expression" dxfId="288" priority="270">
      <formula>MOD(ROW(),2)=0</formula>
    </cfRule>
  </conditionalFormatting>
  <conditionalFormatting sqref="K134">
    <cfRule type="expression" dxfId="287" priority="269">
      <formula>MOD(ROW(),2)=0</formula>
    </cfRule>
  </conditionalFormatting>
  <conditionalFormatting sqref="K135">
    <cfRule type="expression" dxfId="286" priority="268">
      <formula>MOD(ROW(),2)=0</formula>
    </cfRule>
  </conditionalFormatting>
  <conditionalFormatting sqref="K153">
    <cfRule type="expression" dxfId="285" priority="267">
      <formula>MOD(ROW(),2)=0</formula>
    </cfRule>
  </conditionalFormatting>
  <conditionalFormatting sqref="K154">
    <cfRule type="expression" dxfId="284" priority="266">
      <formula>MOD(ROW(),2)=0</formula>
    </cfRule>
  </conditionalFormatting>
  <conditionalFormatting sqref="K155">
    <cfRule type="expression" dxfId="283" priority="265">
      <formula>MOD(ROW(),2)=0</formula>
    </cfRule>
  </conditionalFormatting>
  <conditionalFormatting sqref="K159">
    <cfRule type="expression" dxfId="282" priority="264">
      <formula>MOD(ROW(),2)=0</formula>
    </cfRule>
  </conditionalFormatting>
  <conditionalFormatting sqref="K160">
    <cfRule type="expression" dxfId="281" priority="263">
      <formula>MOD(ROW(),2)=0</formula>
    </cfRule>
  </conditionalFormatting>
  <conditionalFormatting sqref="K161">
    <cfRule type="expression" dxfId="280" priority="262">
      <formula>MOD(ROW(),2)=0</formula>
    </cfRule>
  </conditionalFormatting>
  <conditionalFormatting sqref="K165">
    <cfRule type="expression" dxfId="279" priority="261">
      <formula>MOD(ROW(),2)=0</formula>
    </cfRule>
  </conditionalFormatting>
  <conditionalFormatting sqref="K166">
    <cfRule type="expression" dxfId="278" priority="260">
      <formula>MOD(ROW(),2)=0</formula>
    </cfRule>
  </conditionalFormatting>
  <conditionalFormatting sqref="K167">
    <cfRule type="expression" dxfId="277" priority="259">
      <formula>MOD(ROW(),2)=0</formula>
    </cfRule>
  </conditionalFormatting>
  <conditionalFormatting sqref="K176">
    <cfRule type="expression" dxfId="276" priority="258">
      <formula>MOD(ROW(),2)=0</formula>
    </cfRule>
  </conditionalFormatting>
  <conditionalFormatting sqref="K177">
    <cfRule type="expression" dxfId="275" priority="257">
      <formula>MOD(ROW(),2)=0</formula>
    </cfRule>
  </conditionalFormatting>
  <conditionalFormatting sqref="K178">
    <cfRule type="expression" dxfId="274" priority="256">
      <formula>MOD(ROW(),2)=0</formula>
    </cfRule>
  </conditionalFormatting>
  <conditionalFormatting sqref="K186">
    <cfRule type="expression" dxfId="273" priority="255">
      <formula>MOD(ROW(),2)=0</formula>
    </cfRule>
  </conditionalFormatting>
  <conditionalFormatting sqref="K187">
    <cfRule type="expression" dxfId="272" priority="254">
      <formula>MOD(ROW(),2)=0</formula>
    </cfRule>
  </conditionalFormatting>
  <conditionalFormatting sqref="K188">
    <cfRule type="expression" dxfId="271" priority="253">
      <formula>MOD(ROW(),2)=0</formula>
    </cfRule>
  </conditionalFormatting>
  <conditionalFormatting sqref="K196">
    <cfRule type="expression" dxfId="270" priority="252">
      <formula>MOD(ROW(),2)=0</formula>
    </cfRule>
  </conditionalFormatting>
  <conditionalFormatting sqref="K197">
    <cfRule type="expression" dxfId="269" priority="251">
      <formula>MOD(ROW(),2)=0</formula>
    </cfRule>
  </conditionalFormatting>
  <conditionalFormatting sqref="K198">
    <cfRule type="expression" dxfId="268" priority="250">
      <formula>MOD(ROW(),2)=0</formula>
    </cfRule>
  </conditionalFormatting>
  <conditionalFormatting sqref="K202">
    <cfRule type="expression" dxfId="267" priority="249">
      <formula>MOD(ROW(),2)=0</formula>
    </cfRule>
  </conditionalFormatting>
  <conditionalFormatting sqref="K203">
    <cfRule type="expression" dxfId="266" priority="248">
      <formula>MOD(ROW(),2)=0</formula>
    </cfRule>
  </conditionalFormatting>
  <conditionalFormatting sqref="K204">
    <cfRule type="expression" dxfId="265" priority="247">
      <formula>MOD(ROW(),2)=0</formula>
    </cfRule>
  </conditionalFormatting>
  <conditionalFormatting sqref="K213">
    <cfRule type="expression" dxfId="264" priority="246">
      <formula>MOD(ROW(),2)=0</formula>
    </cfRule>
  </conditionalFormatting>
  <conditionalFormatting sqref="K214">
    <cfRule type="expression" dxfId="263" priority="245">
      <formula>MOD(ROW(),2)=0</formula>
    </cfRule>
  </conditionalFormatting>
  <conditionalFormatting sqref="K215">
    <cfRule type="expression" dxfId="262" priority="244">
      <formula>MOD(ROW(),2)=0</formula>
    </cfRule>
  </conditionalFormatting>
  <conditionalFormatting sqref="S7:T15">
    <cfRule type="cellIs" dxfId="261" priority="242" operator="equal">
      <formula>FALSE</formula>
    </cfRule>
    <cfRule type="cellIs" dxfId="260" priority="243" operator="equal">
      <formula>TRUE</formula>
    </cfRule>
  </conditionalFormatting>
  <conditionalFormatting sqref="U7">
    <cfRule type="cellIs" dxfId="259" priority="236" operator="equal">
      <formula>FALSE</formula>
    </cfRule>
    <cfRule type="cellIs" dxfId="258" priority="237" operator="equal">
      <formula>TRUE</formula>
    </cfRule>
  </conditionalFormatting>
  <conditionalFormatting sqref="V7">
    <cfRule type="cellIs" dxfId="257" priority="234" operator="equal">
      <formula>FALSE</formula>
    </cfRule>
    <cfRule type="cellIs" dxfId="256" priority="235" operator="equal">
      <formula>TRUE</formula>
    </cfRule>
  </conditionalFormatting>
  <conditionalFormatting sqref="U12">
    <cfRule type="cellIs" dxfId="255" priority="164" operator="equal">
      <formula>FALSE</formula>
    </cfRule>
    <cfRule type="cellIs" dxfId="254" priority="165" operator="equal">
      <formula>TRUE</formula>
    </cfRule>
  </conditionalFormatting>
  <conditionalFormatting sqref="V12">
    <cfRule type="cellIs" dxfId="253" priority="162" operator="equal">
      <formula>FALSE</formula>
    </cfRule>
    <cfRule type="cellIs" dxfId="252" priority="163" operator="equal">
      <formula>TRUE</formula>
    </cfRule>
  </conditionalFormatting>
  <conditionalFormatting sqref="S22:T22">
    <cfRule type="cellIs" dxfId="251" priority="160" operator="equal">
      <formula>FALSE</formula>
    </cfRule>
    <cfRule type="cellIs" dxfId="250" priority="161" operator="equal">
      <formula>TRUE</formula>
    </cfRule>
  </conditionalFormatting>
  <conditionalFormatting sqref="U22">
    <cfRule type="cellIs" dxfId="249" priority="158" operator="equal">
      <formula>FALSE</formula>
    </cfRule>
    <cfRule type="cellIs" dxfId="248" priority="159" operator="equal">
      <formula>TRUE</formula>
    </cfRule>
  </conditionalFormatting>
  <conditionalFormatting sqref="V22">
    <cfRule type="cellIs" dxfId="247" priority="156" operator="equal">
      <formula>FALSE</formula>
    </cfRule>
    <cfRule type="cellIs" dxfId="246" priority="157" operator="equal">
      <formula>TRUE</formula>
    </cfRule>
  </conditionalFormatting>
  <conditionalFormatting sqref="S28:T28">
    <cfRule type="cellIs" dxfId="245" priority="154" operator="equal">
      <formula>FALSE</formula>
    </cfRule>
    <cfRule type="cellIs" dxfId="244" priority="155" operator="equal">
      <formula>TRUE</formula>
    </cfRule>
  </conditionalFormatting>
  <conditionalFormatting sqref="U28">
    <cfRule type="cellIs" dxfId="243" priority="152" operator="equal">
      <formula>FALSE</formula>
    </cfRule>
    <cfRule type="cellIs" dxfId="242" priority="153" operator="equal">
      <formula>TRUE</formula>
    </cfRule>
  </conditionalFormatting>
  <conditionalFormatting sqref="V28">
    <cfRule type="cellIs" dxfId="241" priority="150" operator="equal">
      <formula>FALSE</formula>
    </cfRule>
    <cfRule type="cellIs" dxfId="240" priority="151" operator="equal">
      <formula>TRUE</formula>
    </cfRule>
  </conditionalFormatting>
  <conditionalFormatting sqref="S34:T34">
    <cfRule type="cellIs" dxfId="239" priority="148" operator="equal">
      <formula>FALSE</formula>
    </cfRule>
    <cfRule type="cellIs" dxfId="238" priority="149" operator="equal">
      <formula>TRUE</formula>
    </cfRule>
  </conditionalFormatting>
  <conditionalFormatting sqref="U34">
    <cfRule type="cellIs" dxfId="237" priority="146" operator="equal">
      <formula>FALSE</formula>
    </cfRule>
    <cfRule type="cellIs" dxfId="236" priority="147" operator="equal">
      <formula>TRUE</formula>
    </cfRule>
  </conditionalFormatting>
  <conditionalFormatting sqref="V34">
    <cfRule type="cellIs" dxfId="235" priority="144" operator="equal">
      <formula>FALSE</formula>
    </cfRule>
    <cfRule type="cellIs" dxfId="234" priority="145" operator="equal">
      <formula>TRUE</formula>
    </cfRule>
  </conditionalFormatting>
  <conditionalFormatting sqref="S45:T45">
    <cfRule type="cellIs" dxfId="233" priority="142" operator="equal">
      <formula>FALSE</formula>
    </cfRule>
    <cfRule type="cellIs" dxfId="232" priority="143" operator="equal">
      <formula>TRUE</formula>
    </cfRule>
  </conditionalFormatting>
  <conditionalFormatting sqref="U45">
    <cfRule type="cellIs" dxfId="231" priority="140" operator="equal">
      <formula>FALSE</formula>
    </cfRule>
    <cfRule type="cellIs" dxfId="230" priority="141" operator="equal">
      <formula>TRUE</formula>
    </cfRule>
  </conditionalFormatting>
  <conditionalFormatting sqref="V45">
    <cfRule type="cellIs" dxfId="229" priority="138" operator="equal">
      <formula>FALSE</formula>
    </cfRule>
    <cfRule type="cellIs" dxfId="228" priority="139" operator="equal">
      <formula>TRUE</formula>
    </cfRule>
  </conditionalFormatting>
  <conditionalFormatting sqref="S55:T55">
    <cfRule type="cellIs" dxfId="227" priority="136" operator="equal">
      <formula>FALSE</formula>
    </cfRule>
    <cfRule type="cellIs" dxfId="226" priority="137" operator="equal">
      <formula>TRUE</formula>
    </cfRule>
  </conditionalFormatting>
  <conditionalFormatting sqref="U55">
    <cfRule type="cellIs" dxfId="225" priority="134" operator="equal">
      <formula>FALSE</formula>
    </cfRule>
    <cfRule type="cellIs" dxfId="224" priority="135" operator="equal">
      <formula>TRUE</formula>
    </cfRule>
  </conditionalFormatting>
  <conditionalFormatting sqref="V55">
    <cfRule type="cellIs" dxfId="223" priority="132" operator="equal">
      <formula>FALSE</formula>
    </cfRule>
    <cfRule type="cellIs" dxfId="222" priority="133" operator="equal">
      <formula>TRUE</formula>
    </cfRule>
  </conditionalFormatting>
  <conditionalFormatting sqref="S65:T65">
    <cfRule type="cellIs" dxfId="221" priority="130" operator="equal">
      <formula>FALSE</formula>
    </cfRule>
    <cfRule type="cellIs" dxfId="220" priority="131" operator="equal">
      <formula>TRUE</formula>
    </cfRule>
  </conditionalFormatting>
  <conditionalFormatting sqref="U65">
    <cfRule type="cellIs" dxfId="219" priority="128" operator="equal">
      <formula>FALSE</formula>
    </cfRule>
    <cfRule type="cellIs" dxfId="218" priority="129" operator="equal">
      <formula>TRUE</formula>
    </cfRule>
  </conditionalFormatting>
  <conditionalFormatting sqref="V65">
    <cfRule type="cellIs" dxfId="217" priority="126" operator="equal">
      <formula>FALSE</formula>
    </cfRule>
    <cfRule type="cellIs" dxfId="216" priority="127" operator="equal">
      <formula>TRUE</formula>
    </cfRule>
  </conditionalFormatting>
  <conditionalFormatting sqref="S71:T71">
    <cfRule type="cellIs" dxfId="215" priority="124" operator="equal">
      <formula>FALSE</formula>
    </cfRule>
    <cfRule type="cellIs" dxfId="214" priority="125" operator="equal">
      <formula>TRUE</formula>
    </cfRule>
  </conditionalFormatting>
  <conditionalFormatting sqref="U71">
    <cfRule type="cellIs" dxfId="213" priority="122" operator="equal">
      <formula>FALSE</formula>
    </cfRule>
    <cfRule type="cellIs" dxfId="212" priority="123" operator="equal">
      <formula>TRUE</formula>
    </cfRule>
  </conditionalFormatting>
  <conditionalFormatting sqref="V71">
    <cfRule type="cellIs" dxfId="211" priority="120" operator="equal">
      <formula>FALSE</formula>
    </cfRule>
    <cfRule type="cellIs" dxfId="210" priority="121" operator="equal">
      <formula>TRUE</formula>
    </cfRule>
  </conditionalFormatting>
  <conditionalFormatting sqref="S77:T77">
    <cfRule type="cellIs" dxfId="209" priority="118" operator="equal">
      <formula>FALSE</formula>
    </cfRule>
    <cfRule type="cellIs" dxfId="208" priority="119" operator="equal">
      <formula>TRUE</formula>
    </cfRule>
  </conditionalFormatting>
  <conditionalFormatting sqref="U77">
    <cfRule type="cellIs" dxfId="207" priority="116" operator="equal">
      <formula>FALSE</formula>
    </cfRule>
    <cfRule type="cellIs" dxfId="206" priority="117" operator="equal">
      <formula>TRUE</formula>
    </cfRule>
  </conditionalFormatting>
  <conditionalFormatting sqref="V77">
    <cfRule type="cellIs" dxfId="205" priority="114" operator="equal">
      <formula>FALSE</formula>
    </cfRule>
    <cfRule type="cellIs" dxfId="204" priority="115" operator="equal">
      <formula>TRUE</formula>
    </cfRule>
  </conditionalFormatting>
  <conditionalFormatting sqref="S88:T88">
    <cfRule type="cellIs" dxfId="203" priority="112" operator="equal">
      <formula>FALSE</formula>
    </cfRule>
    <cfRule type="cellIs" dxfId="202" priority="113" operator="equal">
      <formula>TRUE</formula>
    </cfRule>
  </conditionalFormatting>
  <conditionalFormatting sqref="U88">
    <cfRule type="cellIs" dxfId="201" priority="110" operator="equal">
      <formula>FALSE</formula>
    </cfRule>
    <cfRule type="cellIs" dxfId="200" priority="111" operator="equal">
      <formula>TRUE</formula>
    </cfRule>
  </conditionalFormatting>
  <conditionalFormatting sqref="V88">
    <cfRule type="cellIs" dxfId="199" priority="108" operator="equal">
      <formula>FALSE</formula>
    </cfRule>
    <cfRule type="cellIs" dxfId="198" priority="109" operator="equal">
      <formula>TRUE</formula>
    </cfRule>
  </conditionalFormatting>
  <conditionalFormatting sqref="S99:T99">
    <cfRule type="cellIs" dxfId="197" priority="106" operator="equal">
      <formula>FALSE</formula>
    </cfRule>
    <cfRule type="cellIs" dxfId="196" priority="107" operator="equal">
      <formula>TRUE</formula>
    </cfRule>
  </conditionalFormatting>
  <conditionalFormatting sqref="U99">
    <cfRule type="cellIs" dxfId="195" priority="104" operator="equal">
      <formula>FALSE</formula>
    </cfRule>
    <cfRule type="cellIs" dxfId="194" priority="105" operator="equal">
      <formula>TRUE</formula>
    </cfRule>
  </conditionalFormatting>
  <conditionalFormatting sqref="V99">
    <cfRule type="cellIs" dxfId="193" priority="100" operator="equal">
      <formula>FALSE</formula>
    </cfRule>
    <cfRule type="cellIs" dxfId="192" priority="101" operator="equal">
      <formula>TRUE</formula>
    </cfRule>
  </conditionalFormatting>
  <conditionalFormatting sqref="S110:T110">
    <cfRule type="cellIs" dxfId="191" priority="98" operator="equal">
      <formula>FALSE</formula>
    </cfRule>
    <cfRule type="cellIs" dxfId="190" priority="99" operator="equal">
      <formula>TRUE</formula>
    </cfRule>
  </conditionalFormatting>
  <conditionalFormatting sqref="U110">
    <cfRule type="cellIs" dxfId="189" priority="96" operator="equal">
      <formula>FALSE</formula>
    </cfRule>
    <cfRule type="cellIs" dxfId="188" priority="97" operator="equal">
      <formula>TRUE</formula>
    </cfRule>
  </conditionalFormatting>
  <conditionalFormatting sqref="V110">
    <cfRule type="cellIs" dxfId="187" priority="94" operator="equal">
      <formula>FALSE</formula>
    </cfRule>
    <cfRule type="cellIs" dxfId="186" priority="95" operator="equal">
      <formula>TRUE</formula>
    </cfRule>
  </conditionalFormatting>
  <conditionalFormatting sqref="S117:T117">
    <cfRule type="cellIs" dxfId="185" priority="92" operator="equal">
      <formula>FALSE</formula>
    </cfRule>
    <cfRule type="cellIs" dxfId="184" priority="93" operator="equal">
      <formula>TRUE</formula>
    </cfRule>
  </conditionalFormatting>
  <conditionalFormatting sqref="U117">
    <cfRule type="cellIs" dxfId="183" priority="90" operator="equal">
      <formula>FALSE</formula>
    </cfRule>
    <cfRule type="cellIs" dxfId="182" priority="91" operator="equal">
      <formula>TRUE</formula>
    </cfRule>
  </conditionalFormatting>
  <conditionalFormatting sqref="V117">
    <cfRule type="cellIs" dxfId="181" priority="88" operator="equal">
      <formula>FALSE</formula>
    </cfRule>
    <cfRule type="cellIs" dxfId="180" priority="89" operator="equal">
      <formula>TRUE</formula>
    </cfRule>
  </conditionalFormatting>
  <conditionalFormatting sqref="S124:T124">
    <cfRule type="cellIs" dxfId="179" priority="86" operator="equal">
      <formula>FALSE</formula>
    </cfRule>
    <cfRule type="cellIs" dxfId="178" priority="87" operator="equal">
      <formula>TRUE</formula>
    </cfRule>
  </conditionalFormatting>
  <conditionalFormatting sqref="U124">
    <cfRule type="cellIs" dxfId="177" priority="84" operator="equal">
      <formula>FALSE</formula>
    </cfRule>
    <cfRule type="cellIs" dxfId="176" priority="85" operator="equal">
      <formula>TRUE</formula>
    </cfRule>
  </conditionalFormatting>
  <conditionalFormatting sqref="V124">
    <cfRule type="cellIs" dxfId="175" priority="82" operator="equal">
      <formula>FALSE</formula>
    </cfRule>
    <cfRule type="cellIs" dxfId="174" priority="83" operator="equal">
      <formula>TRUE</formula>
    </cfRule>
  </conditionalFormatting>
  <conditionalFormatting sqref="S136:T136">
    <cfRule type="cellIs" dxfId="173" priority="80" operator="equal">
      <formula>FALSE</formula>
    </cfRule>
    <cfRule type="cellIs" dxfId="172" priority="81" operator="equal">
      <formula>TRUE</formula>
    </cfRule>
  </conditionalFormatting>
  <conditionalFormatting sqref="U136">
    <cfRule type="cellIs" dxfId="171" priority="78" operator="equal">
      <formula>FALSE</formula>
    </cfRule>
    <cfRule type="cellIs" dxfId="170" priority="79" operator="equal">
      <formula>TRUE</formula>
    </cfRule>
  </conditionalFormatting>
  <conditionalFormatting sqref="V136">
    <cfRule type="cellIs" dxfId="169" priority="76" operator="equal">
      <formula>FALSE</formula>
    </cfRule>
    <cfRule type="cellIs" dxfId="168" priority="77" operator="equal">
      <formula>TRUE</formula>
    </cfRule>
  </conditionalFormatting>
  <conditionalFormatting sqref="S146:T146">
    <cfRule type="cellIs" dxfId="167" priority="74" operator="equal">
      <formula>FALSE</formula>
    </cfRule>
    <cfRule type="cellIs" dxfId="166" priority="75" operator="equal">
      <formula>TRUE</formula>
    </cfRule>
  </conditionalFormatting>
  <conditionalFormatting sqref="U146">
    <cfRule type="cellIs" dxfId="165" priority="72" operator="equal">
      <formula>FALSE</formula>
    </cfRule>
    <cfRule type="cellIs" dxfId="164" priority="73" operator="equal">
      <formula>TRUE</formula>
    </cfRule>
  </conditionalFormatting>
  <conditionalFormatting sqref="V146">
    <cfRule type="cellIs" dxfId="163" priority="70" operator="equal">
      <formula>FALSE</formula>
    </cfRule>
    <cfRule type="cellIs" dxfId="162" priority="71" operator="equal">
      <formula>TRUE</formula>
    </cfRule>
  </conditionalFormatting>
  <conditionalFormatting sqref="S156:T156">
    <cfRule type="cellIs" dxfId="161" priority="68" operator="equal">
      <formula>FALSE</formula>
    </cfRule>
    <cfRule type="cellIs" dxfId="160" priority="69" operator="equal">
      <formula>TRUE</formula>
    </cfRule>
  </conditionalFormatting>
  <conditionalFormatting sqref="U156">
    <cfRule type="cellIs" dxfId="159" priority="66" operator="equal">
      <formula>FALSE</formula>
    </cfRule>
    <cfRule type="cellIs" dxfId="158" priority="67" operator="equal">
      <formula>TRUE</formula>
    </cfRule>
  </conditionalFormatting>
  <conditionalFormatting sqref="V156">
    <cfRule type="cellIs" dxfId="157" priority="64" operator="equal">
      <formula>FALSE</formula>
    </cfRule>
    <cfRule type="cellIs" dxfId="156" priority="65" operator="equal">
      <formula>TRUE</formula>
    </cfRule>
  </conditionalFormatting>
  <conditionalFormatting sqref="S162:T162">
    <cfRule type="cellIs" dxfId="155" priority="62" operator="equal">
      <formula>FALSE</formula>
    </cfRule>
    <cfRule type="cellIs" dxfId="154" priority="63" operator="equal">
      <formula>TRUE</formula>
    </cfRule>
  </conditionalFormatting>
  <conditionalFormatting sqref="U162">
    <cfRule type="cellIs" dxfId="153" priority="60" operator="equal">
      <formula>FALSE</formula>
    </cfRule>
    <cfRule type="cellIs" dxfId="152" priority="61" operator="equal">
      <formula>TRUE</formula>
    </cfRule>
  </conditionalFormatting>
  <conditionalFormatting sqref="V162">
    <cfRule type="cellIs" dxfId="151" priority="58" operator="equal">
      <formula>FALSE</formula>
    </cfRule>
    <cfRule type="cellIs" dxfId="150" priority="59" operator="equal">
      <formula>TRUE</formula>
    </cfRule>
  </conditionalFormatting>
  <conditionalFormatting sqref="S168:T168">
    <cfRule type="cellIs" dxfId="149" priority="56" operator="equal">
      <formula>FALSE</formula>
    </cfRule>
    <cfRule type="cellIs" dxfId="148" priority="57" operator="equal">
      <formula>TRUE</formula>
    </cfRule>
  </conditionalFormatting>
  <conditionalFormatting sqref="U168">
    <cfRule type="cellIs" dxfId="147" priority="54" operator="equal">
      <formula>FALSE</formula>
    </cfRule>
    <cfRule type="cellIs" dxfId="146" priority="55" operator="equal">
      <formula>TRUE</formula>
    </cfRule>
  </conditionalFormatting>
  <conditionalFormatting sqref="V168">
    <cfRule type="cellIs" dxfId="145" priority="52" operator="equal">
      <formula>FALSE</formula>
    </cfRule>
    <cfRule type="cellIs" dxfId="144" priority="53" operator="equal">
      <formula>TRUE</formula>
    </cfRule>
  </conditionalFormatting>
  <conditionalFormatting sqref="S179:T179">
    <cfRule type="cellIs" dxfId="143" priority="50" operator="equal">
      <formula>FALSE</formula>
    </cfRule>
    <cfRule type="cellIs" dxfId="142" priority="51" operator="equal">
      <formula>TRUE</formula>
    </cfRule>
  </conditionalFormatting>
  <conditionalFormatting sqref="U179">
    <cfRule type="cellIs" dxfId="141" priority="48" operator="equal">
      <formula>FALSE</formula>
    </cfRule>
    <cfRule type="cellIs" dxfId="140" priority="49" operator="equal">
      <formula>TRUE</formula>
    </cfRule>
  </conditionalFormatting>
  <conditionalFormatting sqref="V179">
    <cfRule type="cellIs" dxfId="139" priority="46" operator="equal">
      <formula>FALSE</formula>
    </cfRule>
    <cfRule type="cellIs" dxfId="138" priority="47" operator="equal">
      <formula>TRUE</formula>
    </cfRule>
  </conditionalFormatting>
  <conditionalFormatting sqref="S189:T189">
    <cfRule type="cellIs" dxfId="137" priority="44" operator="equal">
      <formula>FALSE</formula>
    </cfRule>
    <cfRule type="cellIs" dxfId="136" priority="45" operator="equal">
      <formula>TRUE</formula>
    </cfRule>
  </conditionalFormatting>
  <conditionalFormatting sqref="U189">
    <cfRule type="cellIs" dxfId="135" priority="42" operator="equal">
      <formula>FALSE</formula>
    </cfRule>
    <cfRule type="cellIs" dxfId="134" priority="43" operator="equal">
      <formula>TRUE</formula>
    </cfRule>
  </conditionalFormatting>
  <conditionalFormatting sqref="V189">
    <cfRule type="cellIs" dxfId="133" priority="40" operator="equal">
      <formula>FALSE</formula>
    </cfRule>
    <cfRule type="cellIs" dxfId="132" priority="41" operator="equal">
      <formula>TRUE</formula>
    </cfRule>
  </conditionalFormatting>
  <conditionalFormatting sqref="S199:T199">
    <cfRule type="cellIs" dxfId="131" priority="38" operator="equal">
      <formula>FALSE</formula>
    </cfRule>
    <cfRule type="cellIs" dxfId="130" priority="39" operator="equal">
      <formula>TRUE</formula>
    </cfRule>
  </conditionalFormatting>
  <conditionalFormatting sqref="U199">
    <cfRule type="cellIs" dxfId="129" priority="36" operator="equal">
      <formula>FALSE</formula>
    </cfRule>
    <cfRule type="cellIs" dxfId="128" priority="37" operator="equal">
      <formula>TRUE</formula>
    </cfRule>
  </conditionalFormatting>
  <conditionalFormatting sqref="V199">
    <cfRule type="cellIs" dxfId="127" priority="34" operator="equal">
      <formula>FALSE</formula>
    </cfRule>
    <cfRule type="cellIs" dxfId="126" priority="35" operator="equal">
      <formula>TRUE</formula>
    </cfRule>
  </conditionalFormatting>
  <conditionalFormatting sqref="S205:T205">
    <cfRule type="cellIs" dxfId="125" priority="32" operator="equal">
      <formula>FALSE</formula>
    </cfRule>
    <cfRule type="cellIs" dxfId="124" priority="33" operator="equal">
      <formula>TRUE</formula>
    </cfRule>
  </conditionalFormatting>
  <conditionalFormatting sqref="U205">
    <cfRule type="cellIs" dxfId="123" priority="30" operator="equal">
      <formula>FALSE</formula>
    </cfRule>
    <cfRule type="cellIs" dxfId="122" priority="31" operator="equal">
      <formula>TRUE</formula>
    </cfRule>
  </conditionalFormatting>
  <conditionalFormatting sqref="V205">
    <cfRule type="cellIs" dxfId="121" priority="28" operator="equal">
      <formula>FALSE</formula>
    </cfRule>
    <cfRule type="cellIs" dxfId="120" priority="29" operator="equal">
      <formula>TRUE</formula>
    </cfRule>
  </conditionalFormatting>
  <conditionalFormatting sqref="S216:T216">
    <cfRule type="cellIs" dxfId="119" priority="26" operator="equal">
      <formula>FALSE</formula>
    </cfRule>
    <cfRule type="cellIs" dxfId="118" priority="27" operator="equal">
      <formula>TRUE</formula>
    </cfRule>
  </conditionalFormatting>
  <conditionalFormatting sqref="U216">
    <cfRule type="cellIs" dxfId="117" priority="24" operator="equal">
      <formula>FALSE</formula>
    </cfRule>
    <cfRule type="cellIs" dxfId="116" priority="25" operator="equal">
      <formula>TRUE</formula>
    </cfRule>
  </conditionalFormatting>
  <conditionalFormatting sqref="V216">
    <cfRule type="cellIs" dxfId="115" priority="22" operator="equal">
      <formula>FALSE</formula>
    </cfRule>
    <cfRule type="cellIs" dxfId="114" priority="23" operator="equal">
      <formula>TRUE</formula>
    </cfRule>
  </conditionalFormatting>
  <conditionalFormatting sqref="P35">
    <cfRule type="expression" dxfId="113" priority="21">
      <formula>MOD(ROW(),2)=0</formula>
    </cfRule>
  </conditionalFormatting>
  <conditionalFormatting sqref="P46">
    <cfRule type="expression" dxfId="112" priority="20">
      <formula>MOD(ROW(),2)=0</formula>
    </cfRule>
  </conditionalFormatting>
  <conditionalFormatting sqref="P56">
    <cfRule type="expression" dxfId="111" priority="19">
      <formula>MOD(ROW(),2)=0</formula>
    </cfRule>
  </conditionalFormatting>
  <conditionalFormatting sqref="P66">
    <cfRule type="expression" dxfId="110" priority="18">
      <formula>MOD(ROW(),2)=0</formula>
    </cfRule>
  </conditionalFormatting>
  <conditionalFormatting sqref="P72">
    <cfRule type="expression" dxfId="109" priority="17">
      <formula>MOD(ROW(),2)=0</formula>
    </cfRule>
  </conditionalFormatting>
  <conditionalFormatting sqref="P78">
    <cfRule type="expression" dxfId="108" priority="16">
      <formula>MOD(ROW(),2)=0</formula>
    </cfRule>
  </conditionalFormatting>
  <conditionalFormatting sqref="P89">
    <cfRule type="expression" dxfId="107" priority="15">
      <formula>MOD(ROW(),2)=0</formula>
    </cfRule>
  </conditionalFormatting>
  <conditionalFormatting sqref="P100">
    <cfRule type="expression" dxfId="106" priority="14">
      <formula>MOD(ROW(),2)=0</formula>
    </cfRule>
  </conditionalFormatting>
  <conditionalFormatting sqref="P111">
    <cfRule type="expression" dxfId="105" priority="13">
      <formula>MOD(ROW(),2)=0</formula>
    </cfRule>
  </conditionalFormatting>
  <conditionalFormatting sqref="P118">
    <cfRule type="expression" dxfId="104" priority="12">
      <formula>MOD(ROW(),2)=0</formula>
    </cfRule>
  </conditionalFormatting>
  <conditionalFormatting sqref="P125">
    <cfRule type="expression" dxfId="103" priority="11">
      <formula>MOD(ROW(),2)=0</formula>
    </cfRule>
  </conditionalFormatting>
  <conditionalFormatting sqref="P137">
    <cfRule type="expression" dxfId="102" priority="10">
      <formula>MOD(ROW(),2)=0</formula>
    </cfRule>
  </conditionalFormatting>
  <conditionalFormatting sqref="P147">
    <cfRule type="expression" dxfId="101" priority="9">
      <formula>MOD(ROW(),2)=0</formula>
    </cfRule>
  </conditionalFormatting>
  <conditionalFormatting sqref="P157">
    <cfRule type="expression" dxfId="100" priority="8">
      <formula>MOD(ROW(),2)=0</formula>
    </cfRule>
  </conditionalFormatting>
  <conditionalFormatting sqref="P163">
    <cfRule type="expression" dxfId="99" priority="7">
      <formula>MOD(ROW(),2)=0</formula>
    </cfRule>
  </conditionalFormatting>
  <conditionalFormatting sqref="P169">
    <cfRule type="expression" dxfId="98" priority="6">
      <formula>MOD(ROW(),2)=0</formula>
    </cfRule>
  </conditionalFormatting>
  <conditionalFormatting sqref="P180">
    <cfRule type="expression" dxfId="97" priority="5">
      <formula>MOD(ROW(),2)=0</formula>
    </cfRule>
  </conditionalFormatting>
  <conditionalFormatting sqref="P190">
    <cfRule type="expression" dxfId="96" priority="4">
      <formula>MOD(ROW(),2)=0</formula>
    </cfRule>
  </conditionalFormatting>
  <conditionalFormatting sqref="P200">
    <cfRule type="expression" dxfId="95" priority="3">
      <formula>MOD(ROW(),2)=0</formula>
    </cfRule>
  </conditionalFormatting>
  <conditionalFormatting sqref="P206">
    <cfRule type="expression" dxfId="94" priority="2">
      <formula>MOD(ROW(),2)=0</formula>
    </cfRule>
  </conditionalFormatting>
  <conditionalFormatting sqref="P217">
    <cfRule type="expression" dxfId="93" priority="1">
      <formula>MOD(ROW(),2)=0</formula>
    </cfRule>
  </conditionalFormatting>
  <hyperlinks>
    <hyperlink ref="A1" location="Index!A1" display="&lt;&lt;Back to Index"/>
  </hyperlinks>
  <pageMargins left="0.7" right="0.7" top="0.75" bottom="0.75" header="0.3" footer="0.3"/>
  <pageSetup paperSize="9" orientation="portrait" r:id="rId1"/>
  <ignoredErrors>
    <ignoredError sqref="R211:R212 R15:R16 R14 R40:R41 R50:R51 R93:R94 R140 R130:R131 R141:R142 R174:R175 R184:R185 R194:R195 R17:R18 R38:R39 R37 R104:R105 R128:R129 R127 R172:R173 R171 R208 R170 R207 R126 R124 R123 R119 R117 R36 R34 R33 R30 R28 R22:R24 R31 R32 R101 R112 R120 R121 R122 R183 R181 R191 R219:R220 R218 R214 R215 R216 R12 R13 R99 R110 R106 R107 R108 R109 R102:R103 R138 R139 R182 R179 R189 R199 R197:R198 R201 G10 G53 G64 G168 G164 F209:G210 G208 G206 G205 F128:H129 G127:H127 G125 G124 G119:H119 G118 G117 F81:G82 G79:G80 G78 G77 G76 G73 G72 G71 F38:H39 G37:H37 G35 G34 G33 G30:H30 G29 G28 F194:G195 G189 F184:H185 F177:G177 F174:G175 G154 F151:G152 G146 F141:H142 F140:H140 F130:H131 F104:H105 G100 F93:H94 F89:G89 F83:G84 F60:G61 F50:H51 F44:G44 F40:H41 F15:H16 G14:H14 G21 F17:H18 F217:G217 F211:G212 G27 G22 G19 G20 F49:G49 F45:G45 F42:G42 F43:G43 G52 G70 G65 G62 G63 F92:G92 F90:G90 F85:G85 F86:G86 F87:G87 F102:H103 G101:H101 G95 G96 G97 G110 G106 G107 G108 F132:G132 F133:G133 F134:G134 F135 F149:G150 G148 G143 G144 G160 G156 G153 F172:G173 G171 G165 G166 F183:G183 F179:G179 F176:G176 F192:G193 G191 G186 G187 G188 G204 G199 G196 F219:G219 F218:G218 F213:G213 F214:G214 F215:G215 F216:G216 G13 G12 G36:H36 F48:G48 F59:G59 G55 G54 G57 F58:G58 F91:G91 G99 G126:H126 F136:G136 F139:H139 G163 G162 F182:G182 G207 F88:G88 R205 R25 R29 R35 R95 R96 R97 R98 R100 R111 R113 R114 R115 R116 R118 R125 R143 R144 R169 R176 R177 R180 R186 R187 R188 R190 R196 R200 R202 R203 R204 R206 R213 R217 R209:R210 G11 N23 N22 I139 I126 I36 I101 I102:I103 I17:I18 I14 I15:J16 I40:I41 I50:I51 I93:I94 I104:I105 I130:I131 I140 I141:I142 I184:I185 I30 I37 I38:J39 I119 I127 I128:I129 J40:J41 J14 J17:J18 N25 K25 N29 N36:P36 K38:L39 K15:L16 N14:P14 N40:Q41 N17:Q18 N37:P37 K37:L37 K29:L29 K30:L30 K28:L28 K40:M41 K14:L14 K17:M18 K22:L24 L25 L12 N12 N13 L13 N24:P24 N28 K36:L36 N30:P30 G24:H24 G23 I24 G25 G26 G31 G32 F47:G47 F46:G46 G56 G67 G66 G68 G69 G74 G75 G112:H112 G111 I112 G113 G114 G115 G120 G121 G122 F138:H138 F137:G137 I138 G147 G158 G157 G159 G170 G169 F181:G181 F180:G180 G190 G198 G197 G201 G200 G202 G203 R166 R165 R154 R153 R168 R162 R163 R164 R149 R147 R159 R156:R158 R148 R150 R160 R151:R152 R146 R145 R155 R161 R167 H12:I12 N15:Q16 N38:Q39 R192:R193 N139:Q139 N140:Q140 N128:Q129 N102:P103 L139 L138 L126 Q102:Q103 Q104:Q105 L112 L101 K50:M51 L93:M94 L104:M105 L130:M131 L141:M142 L184:M185 L119 L127 N127:Q127 N104:P105 N184:Q185 N141:Q142 N130:Q131 N93:Q94 N50:Q51 L140 L128:L129 N126:Q126 N119:Q119 L102:L103 N101:Q101 N112:Q112 N138:Q138 J139 J138 J126 J112 J101 J50:J51 J93:J94 J104:J105 J130:J131 J141:J142 J184:J185 J119 J127 J128:J129 J140 J102:J103 J48:Q49 J110:J111 M102:M103 J143 M140 J136:J137 M128:M129 M127 J124:J125 M119 J189:J195 J96 J52:Q52 M101 J117:J118 M112 M126 M139 M138 J55:J61 J53 L53:Q53 J54 L54:Q54 J65:J67 J62:J64 L62:Q64 J71:J73 J68:J70 L68:Q70 J77:J84 J74:J76 L74:Q76 J88:J92 J85:J87 L85:Q87 J95 L95:Q95 J99:J100 J97 L97:Q97 J98 L98:Q98 J106:J109 L106:Q109 J113:J116 L113:Q116 J120:J123 L120:Q123 J132:J135 L132:Q135 J146:J152 J144 L144:Q144 J145 L145:Q145 J156:J158 J153:J155 L153:Q155 J162:J164 J159:J161 L159:Q161 J168:J175 J165:J167 L165:Q167 J179:J183 J176:J178 L176:Q178 J186:J188 L186:Q188 J199:J201 J196:J198 L196:Q198 J205:J212 J202:J204 L202:Q204 J216:J219 J213:J215 L213:Q215 L110:Q110 L143:Q143 L136:Q136 L124:Q124 L189:Q189 L96:Q96 L117:Q117 L55:Q55 L65:Q65 L71:Q71 L77:Q77 L88:Q88 L99:Q99 L146:Q146 L156:Q156 L162:Q162 L168:Q168 L179:Q179 L199:Q199 L205:Q205 L216:Q216 K216:K219 K205:K212 K199:K201 K179:K183 K168:K175 K162:K164 K156:K158 K146:K152 K99:K100 K88:K92 K77:K84 K71:K73 K65:K67 K55:K61 K117:K118 K96 K189:K195 K124:K125 K136:K137 K143 K110:K111 K102:K103 K128:K129 K140 K127 K119 K184:K185 K141:K142 K130:K131 K104:K105 K93:K94 K101 K112 K126 K138 K139 K54 K113:K116 K95 K106:K109 K132:K135 K144:K145 K186:K188 K120:K123 K196:K198 K97:K98 K62:K64 K68:K70 K74:K76 K85:K87 K153:K155 K159:K161 K165:K167 K176:K178 K202:K204 K213:K215 L57:Q61 L56:O56 Q56 L67:Q67 L66:O66 Q66 L73:Q73 L72:O72 Q72 L79:Q84 L78:O78 Q78 L90:Q92 L89:O89 Q89 L100:O100 Q100 L111:O111 Q111 L118:O118 Q118 L125:O125 Q125 L137:O137 Q137 L148:Q152 L147:O147 Q147 L158:Q158 L157:O157 Q157 L164:Q164 L163:O163 Q163 L170:Q175 L169:O169 Q169 L181:Q183 L180:O180 Q180 L191:Q195 L190:O190 Q190 L201:Q201 L200:O200 Q200 L207:Q212 L206:O206 Q206 L218:Q219 L217:O217 Q217"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18"/>
  <sheetViews>
    <sheetView workbookViewId="0">
      <pane ySplit="6" topLeftCell="A7" activePane="bottomLeft" state="frozen"/>
      <selection activeCell="S10" sqref="S10"/>
      <selection pane="bottomLeft" sqref="A1:B1"/>
    </sheetView>
  </sheetViews>
  <sheetFormatPr defaultColWidth="8.81640625" defaultRowHeight="14.5" outlineLevelRow="1" x14ac:dyDescent="0.35"/>
  <cols>
    <col min="1" max="1" width="1.81640625" style="3" customWidth="1"/>
    <col min="2" max="3" width="15.81640625" style="3" customWidth="1"/>
    <col min="4" max="4" width="18.1796875" style="3" customWidth="1"/>
    <col min="5" max="5" width="10.81640625" style="3" customWidth="1"/>
    <col min="6" max="6" width="10.81640625" style="21" customWidth="1"/>
    <col min="7" max="7" width="10.81640625" style="3" customWidth="1"/>
    <col min="8" max="10" width="10.81640625" style="89" customWidth="1"/>
    <col min="11" max="11" width="10.81640625" style="21" customWidth="1"/>
    <col min="12" max="12" width="0.81640625" style="21" customWidth="1"/>
    <col min="13" max="13" width="10.81640625" style="21" customWidth="1"/>
    <col min="14" max="14" width="0.81640625" style="21" customWidth="1"/>
    <col min="15" max="17" width="10.81640625" style="89" customWidth="1"/>
    <col min="18" max="18" width="10.81640625" style="21" customWidth="1"/>
    <col min="19" max="19" width="8.81640625" style="129"/>
    <col min="20" max="20" width="8.81640625" style="130"/>
    <col min="21" max="16384" width="8.81640625" style="3"/>
  </cols>
  <sheetData>
    <row r="1" spans="1:22" ht="10.4" customHeight="1" x14ac:dyDescent="0.35">
      <c r="A1" s="274" t="s">
        <v>22</v>
      </c>
      <c r="B1" s="300"/>
    </row>
    <row r="2" spans="1:22" s="14" customFormat="1" ht="22.5" customHeight="1" x14ac:dyDescent="0.35">
      <c r="A2" s="15" t="s">
        <v>91</v>
      </c>
      <c r="F2" s="22"/>
      <c r="H2" s="90"/>
      <c r="I2" s="90"/>
      <c r="J2" s="90"/>
      <c r="K2" s="22"/>
      <c r="L2" s="22"/>
      <c r="M2" s="22"/>
      <c r="N2" s="22"/>
      <c r="O2" s="90"/>
      <c r="P2" s="90"/>
      <c r="Q2" s="90"/>
      <c r="R2" s="22"/>
      <c r="S2" s="131"/>
      <c r="T2" s="132"/>
    </row>
    <row r="3" spans="1:22" s="31" customFormat="1" ht="17.899999999999999" customHeight="1" x14ac:dyDescent="0.35">
      <c r="B3" s="32"/>
      <c r="C3" s="32"/>
      <c r="D3" s="32"/>
      <c r="E3" s="32"/>
      <c r="F3" s="54"/>
      <c r="G3" s="32"/>
      <c r="H3" s="308" t="str">
        <f>PY</f>
        <v>2020-21</v>
      </c>
      <c r="I3" s="308"/>
      <c r="J3" s="308"/>
      <c r="K3" s="308"/>
      <c r="L3" s="42"/>
      <c r="M3" s="47" t="str">
        <f>FY</f>
        <v>2021-22</v>
      </c>
      <c r="N3" s="42"/>
      <c r="O3" s="308" t="str">
        <f>FY</f>
        <v>2021-22</v>
      </c>
      <c r="P3" s="308"/>
      <c r="Q3" s="308"/>
      <c r="R3" s="308"/>
      <c r="S3" s="133"/>
      <c r="T3" s="134"/>
    </row>
    <row r="4" spans="1:22" s="31" customFormat="1" ht="3" customHeight="1" x14ac:dyDescent="0.35">
      <c r="B4" s="32"/>
      <c r="C4" s="32"/>
      <c r="D4" s="32"/>
      <c r="E4" s="32"/>
      <c r="F4" s="46" t="str">
        <f t="shared" ref="F4:K4" si="0">$H$3</f>
        <v>2020-21</v>
      </c>
      <c r="G4" s="32"/>
      <c r="H4" s="91" t="str">
        <f>$H$3</f>
        <v>2020-21</v>
      </c>
      <c r="I4" s="91" t="str">
        <f t="shared" si="0"/>
        <v>2020-21</v>
      </c>
      <c r="J4" s="91" t="str">
        <f t="shared" si="0"/>
        <v>2020-21</v>
      </c>
      <c r="K4" s="46" t="str">
        <f t="shared" si="0"/>
        <v>2020-21</v>
      </c>
      <c r="L4" s="46"/>
      <c r="M4" s="46" t="str">
        <f>FY</f>
        <v>2021-22</v>
      </c>
      <c r="N4" s="46"/>
      <c r="O4" s="91" t="str">
        <f>$O$3</f>
        <v>2021-22</v>
      </c>
      <c r="P4" s="91" t="str">
        <f>$O$3</f>
        <v>2021-22</v>
      </c>
      <c r="Q4" s="91" t="str">
        <f>$O$3</f>
        <v>2021-22</v>
      </c>
      <c r="R4" s="46" t="str">
        <f>$O$3</f>
        <v>2021-22</v>
      </c>
      <c r="S4" s="133"/>
      <c r="T4" s="134"/>
    </row>
    <row r="5" spans="1:22" s="5" customFormat="1" ht="17.899999999999999" customHeight="1" x14ac:dyDescent="0.35">
      <c r="B5" s="25" t="s">
        <v>1</v>
      </c>
      <c r="C5" s="25" t="s">
        <v>12</v>
      </c>
      <c r="D5" s="25" t="s">
        <v>26</v>
      </c>
      <c r="E5" s="25" t="s">
        <v>13</v>
      </c>
      <c r="F5" s="12" t="s">
        <v>28</v>
      </c>
      <c r="G5" s="25" t="s">
        <v>36</v>
      </c>
      <c r="H5" s="92" t="s">
        <v>50</v>
      </c>
      <c r="I5" s="92" t="s">
        <v>51</v>
      </c>
      <c r="J5" s="92" t="s">
        <v>25</v>
      </c>
      <c r="K5" s="12" t="s">
        <v>27</v>
      </c>
      <c r="L5" s="12"/>
      <c r="M5" s="12" t="s">
        <v>24</v>
      </c>
      <c r="N5" s="12"/>
      <c r="O5" s="92" t="s">
        <v>50</v>
      </c>
      <c r="P5" s="92" t="s">
        <v>51</v>
      </c>
      <c r="Q5" s="92" t="s">
        <v>25</v>
      </c>
      <c r="R5" s="12" t="s">
        <v>27</v>
      </c>
      <c r="S5" s="253" t="s">
        <v>160</v>
      </c>
      <c r="T5" s="254">
        <v>2</v>
      </c>
    </row>
    <row r="6" spans="1:22" s="33" customFormat="1" ht="17.899999999999999" customHeight="1" x14ac:dyDescent="0.3">
      <c r="B6" s="34"/>
      <c r="C6" s="34"/>
      <c r="D6" s="34"/>
      <c r="E6" s="34"/>
      <c r="F6" s="35" t="s">
        <v>60</v>
      </c>
      <c r="G6" s="34"/>
      <c r="H6" s="93" t="s">
        <v>77</v>
      </c>
      <c r="I6" s="93" t="s">
        <v>48</v>
      </c>
      <c r="J6" s="93" t="s">
        <v>49</v>
      </c>
      <c r="K6" s="35" t="s">
        <v>31</v>
      </c>
      <c r="L6" s="35"/>
      <c r="M6" s="35" t="s">
        <v>31</v>
      </c>
      <c r="N6" s="35"/>
      <c r="O6" s="93" t="s">
        <v>77</v>
      </c>
      <c r="P6" s="93" t="s">
        <v>48</v>
      </c>
      <c r="Q6" s="93" t="s">
        <v>49</v>
      </c>
      <c r="R6" s="35" t="s">
        <v>31</v>
      </c>
      <c r="S6" s="135" t="s">
        <v>102</v>
      </c>
      <c r="T6" s="135" t="s">
        <v>102</v>
      </c>
    </row>
    <row r="7" spans="1:22" x14ac:dyDescent="0.35">
      <c r="F7" s="41"/>
      <c r="K7" s="43"/>
      <c r="L7" s="43"/>
      <c r="M7" s="48"/>
      <c r="N7" s="43"/>
      <c r="R7" s="43"/>
      <c r="S7" s="129" t="b">
        <f>IF(COUNTIF(S8:S224,"FALSE")&gt;0,FALSE,TRUE)</f>
        <v>1</v>
      </c>
      <c r="T7" s="129" t="b">
        <f>IF(COUNTIF(T8:T224,"FALSE")&gt;0,FALSE,TRUE)</f>
        <v>1</v>
      </c>
    </row>
    <row r="8" spans="1:22" x14ac:dyDescent="0.35">
      <c r="B8" s="5" t="s">
        <v>2</v>
      </c>
      <c r="C8" s="5" t="s">
        <v>6</v>
      </c>
      <c r="D8" s="5" t="s">
        <v>150</v>
      </c>
      <c r="F8" s="41"/>
      <c r="K8" s="43"/>
      <c r="L8" s="43"/>
      <c r="M8" s="48"/>
      <c r="N8" s="43"/>
      <c r="R8" s="43"/>
    </row>
    <row r="9" spans="1:22" outlineLevel="1" x14ac:dyDescent="0.35">
      <c r="B9" s="3" t="str">
        <f>B8</f>
        <v>Ausgrid</v>
      </c>
      <c r="C9" s="3" t="str">
        <f t="shared" ref="C9:C17" si="1">C8</f>
        <v>Residential</v>
      </c>
      <c r="D9" s="3" t="str">
        <f t="shared" ref="D9:D17" si="2">D8</f>
        <v>without CL</v>
      </c>
      <c r="E9" s="3" t="s">
        <v>23</v>
      </c>
      <c r="F9" s="41">
        <f t="array" ref="F9">IFERROR(INDEX(Usage!$B$5:$P$18,MATCH($B9,Usage!$B$5:$B$18,0),MATCH($C9&amp;$D9&amp;$E9&amp;"Total",Usage!$B$5:$S$5&amp;Usage!$B$6:$S$6&amp;Usage!$B$7:$S$7&amp;Usage!$B$13:$S$13,0)),0)</f>
        <v>3900</v>
      </c>
      <c r="G9" s="3" t="s">
        <v>79</v>
      </c>
      <c r="I9" s="89">
        <f t="array" ref="I9">IFERROR(INDEX('Detail inputs'!$B$3:$K$168,MATCH($B9&amp;$C9&amp;$E9&amp;$G9&amp;I$5,'Detail inputs'!$B$3:$B$168&amp;'Detail inputs'!$D$3:$D$168&amp;'Detail inputs'!$F$3:$F$168&amp;'Detail inputs'!$G$3:$G$168&amp;'Detail inputs'!$H$3:$H$168,0),MATCH(I$4,'Detail inputs'!$B$3:$K$3,0)),0)</f>
        <v>100.92</v>
      </c>
      <c r="J9" s="89">
        <f>H9+I9*$F9/1000</f>
        <v>393.58800000000002</v>
      </c>
      <c r="K9" s="43">
        <f>IFERROR(J9/J15,"")</f>
        <v>0.90869800108049703</v>
      </c>
      <c r="L9" s="43"/>
      <c r="M9" s="48">
        <f t="shared" ref="M9:M15" si="3">IF(OR(J9=0,Q9=""),"",Q9/J9-1)</f>
        <v>-0.19857312722948872</v>
      </c>
      <c r="N9" s="43"/>
      <c r="P9" s="89">
        <f t="array" ref="P9">IFERROR(INDEX('Detail inputs'!$B$3:$K$168,MATCH($B9&amp;$C9&amp;$E9&amp;$G9&amp;P$5,'Detail inputs'!$B$3:$B$168&amp;'Detail inputs'!$D$3:$D$168&amp;'Detail inputs'!$F$3:$F$168&amp;'Detail inputs'!$G$3:$G$168&amp;'Detail inputs'!$H$3:$H$168,0),MATCH(P$4,'Detail inputs'!$B$3:$K$3,0)),0)</f>
        <v>80.88</v>
      </c>
      <c r="Q9" s="89">
        <f>O9+P9*$F9/1000</f>
        <v>315.43200000000002</v>
      </c>
      <c r="R9" s="43">
        <f>IFERROR(Q9/Q15,"")</f>
        <v>0.91971798953832162</v>
      </c>
    </row>
    <row r="10" spans="1:22" outlineLevel="1" x14ac:dyDescent="0.35">
      <c r="B10" s="3" t="str">
        <f t="shared" ref="B10:B17" si="4">B9</f>
        <v>Ausgrid</v>
      </c>
      <c r="C10" s="3" t="str">
        <f t="shared" si="1"/>
        <v>Residential</v>
      </c>
      <c r="D10" s="3" t="str">
        <f t="shared" si="2"/>
        <v>without CL</v>
      </c>
      <c r="E10" s="3" t="s">
        <v>23</v>
      </c>
      <c r="F10" s="41">
        <f t="array" ref="F10">IFERROR(INDEX(Usage!$B$5:$P$18,MATCH($B10,Usage!$B$5:$B$18,0),MATCH($C10&amp;$D10&amp;$E10&amp;"Total",Usage!$B$5:$S$5&amp;Usage!$B$6:$S$6&amp;Usage!$B$7:$S$7&amp;Usage!$B$13:$S$13,0)),0)</f>
        <v>3900</v>
      </c>
      <c r="G10" s="3" t="s">
        <v>80</v>
      </c>
      <c r="I10" s="89">
        <f t="array" ref="I10">IFERROR(INDEX('Detail inputs'!$B$3:$K$168,MATCH($B10&amp;$G10&amp;I$5,'Detail inputs'!$B$3:$B$168&amp;'Detail inputs'!$G$3:$G$168&amp;'Detail inputs'!$H$3:$H$168,0),MATCH(I$4,'Detail inputs'!$B$3:$K$3,0)),0)</f>
        <v>1.53</v>
      </c>
      <c r="J10" s="89">
        <f t="shared" ref="J10:J15" si="5">H10+I10*$F10/1000</f>
        <v>5.9669999999999996</v>
      </c>
      <c r="K10" s="43">
        <f>IFERROR(J10/J15,"")</f>
        <v>1.3776337115072932E-2</v>
      </c>
      <c r="L10" s="43"/>
      <c r="M10" s="48">
        <f t="shared" si="3"/>
        <v>-0.81699346405228757</v>
      </c>
      <c r="N10" s="43"/>
      <c r="P10" s="89">
        <f t="array" ref="P10">IFERROR(INDEX('Detail inputs'!$B$3:$K$168,MATCH($B10&amp;$G10&amp;P$5,'Detail inputs'!$B$3:$B$168&amp;'Detail inputs'!$G$3:$G$168&amp;'Detail inputs'!$H$3:$H$168,0),MATCH(P$4,'Detail inputs'!$B$3:$K$3,0)),0)</f>
        <v>0.28000000000000003</v>
      </c>
      <c r="Q10" s="89">
        <f t="shared" ref="Q10:Q15" si="6">O10+P10*$F10/1000</f>
        <v>1.0920000000000001</v>
      </c>
      <c r="R10" s="43">
        <f>IFERROR(Q10/Q15,"")</f>
        <v>3.1839890834659997E-3</v>
      </c>
    </row>
    <row r="11" spans="1:22" outlineLevel="1" x14ac:dyDescent="0.35">
      <c r="B11" s="3" t="str">
        <f t="shared" si="4"/>
        <v>Ausgrid</v>
      </c>
      <c r="C11" s="3" t="str">
        <f t="shared" si="1"/>
        <v>Residential</v>
      </c>
      <c r="D11" s="3" t="str">
        <f t="shared" si="2"/>
        <v>without CL</v>
      </c>
      <c r="E11" s="3" t="s">
        <v>23</v>
      </c>
      <c r="F11" s="41">
        <f t="array" ref="F11">IFERROR(INDEX(Usage!$B$5:$P$18,MATCH($B11,Usage!$B$5:$B$18,0),MATCH($C11&amp;$D11&amp;$E11&amp;"Total",Usage!$B$5:$S$5&amp;Usage!$B$6:$S$6&amp;Usage!$B$7:$S$7&amp;Usage!$B$13:$S$13,0)),0)</f>
        <v>3900</v>
      </c>
      <c r="G11" s="3" t="s">
        <v>88</v>
      </c>
      <c r="I11" s="89">
        <f t="array" ref="I11">IFERROR(INDEX('Detail inputs'!$B$3:$K$168,MATCH($B11&amp;$G11&amp;I$5,'Detail inputs'!$B$3:$B$168&amp;'Detail inputs'!$G$3:$G$168&amp;'Detail inputs'!$H$3:$H$168,0),MATCH(I$4,'Detail inputs'!$B$3:$K$3,0)),0)</f>
        <v>0.71</v>
      </c>
      <c r="J11" s="89">
        <f t="shared" si="5"/>
        <v>2.7690000000000001</v>
      </c>
      <c r="K11" s="43">
        <f>IFERROR(J11/J15,"")</f>
        <v>6.3929407527462635E-3</v>
      </c>
      <c r="L11" s="43"/>
      <c r="M11" s="48">
        <f t="shared" si="3"/>
        <v>-0.3098591549295775</v>
      </c>
      <c r="N11" s="43"/>
      <c r="P11" s="89">
        <f t="array" ref="P11">IFERROR(INDEX('Detail inputs'!$B$3:$K$168,MATCH($B11&amp;$G11&amp;P$5,'Detail inputs'!$B$3:$B$168&amp;'Detail inputs'!$G$3:$G$168&amp;'Detail inputs'!$H$3:$H$168,0),MATCH(P$4,'Detail inputs'!$B$3:$K$3,0)),0)</f>
        <v>0.49</v>
      </c>
      <c r="Q11" s="89">
        <f t="shared" si="6"/>
        <v>1.911</v>
      </c>
      <c r="R11" s="43">
        <f>IFERROR(Q11/Q15,"")</f>
        <v>5.5719808960654994E-3</v>
      </c>
    </row>
    <row r="12" spans="1:22" outlineLevel="1" x14ac:dyDescent="0.35">
      <c r="B12" s="3" t="str">
        <f t="shared" si="4"/>
        <v>Ausgrid</v>
      </c>
      <c r="C12" s="3" t="str">
        <f t="shared" si="1"/>
        <v>Residential</v>
      </c>
      <c r="D12" s="3" t="str">
        <f t="shared" si="2"/>
        <v>without CL</v>
      </c>
      <c r="E12" s="3" t="s">
        <v>23</v>
      </c>
      <c r="F12" s="41">
        <f t="array" ref="F12">IFERROR(INDEX(Usage!$B$5:$P$18,MATCH($B12,Usage!$B$5:$B$18,0),MATCH($C12&amp;$D12&amp;$E12&amp;"Total",Usage!$B$5:$S$5&amp;Usage!$B$6:$S$6&amp;Usage!$B$7:$S$7&amp;Usage!$B$13:$S$13,0)),0)</f>
        <v>3900</v>
      </c>
      <c r="G12" s="3" t="s">
        <v>81</v>
      </c>
      <c r="I12" s="89">
        <f t="array" ref="I12">IFERROR(INDEX('Detail inputs'!$B$3:$K$168,MATCH($B12&amp;$G12&amp;I$5,'Detail inputs'!$B$3:$B$168&amp;'Detail inputs'!$G$3:$G$168&amp;'Detail inputs'!$H$3:$H$168,0),MATCH(I$4,'Detail inputs'!$B$3:$K$3,0)),0)</f>
        <v>0.36</v>
      </c>
      <c r="J12" s="89">
        <f t="shared" si="5"/>
        <v>1.4039999999999999</v>
      </c>
      <c r="K12" s="43">
        <f>IFERROR(J12/J15,"")</f>
        <v>3.2414910858995136E-3</v>
      </c>
      <c r="L12" s="43"/>
      <c r="M12" s="48">
        <f t="shared" si="3"/>
        <v>-1</v>
      </c>
      <c r="N12" s="43"/>
      <c r="P12" s="89">
        <f t="array" ref="P12">IFERROR(INDEX('Detail inputs'!$B$3:$K$168,MATCH($B12&amp;$G12&amp;P$5,'Detail inputs'!$B$3:$B$168&amp;'Detail inputs'!$G$3:$G$168&amp;'Detail inputs'!$H$3:$H$168,0),MATCH(P$4,'Detail inputs'!$B$3:$K$3,0)),0)</f>
        <v>0</v>
      </c>
      <c r="Q12" s="89">
        <f t="shared" si="6"/>
        <v>0</v>
      </c>
      <c r="R12" s="43">
        <f>IFERROR(Q12/Q15,"")</f>
        <v>0</v>
      </c>
    </row>
    <row r="13" spans="1:22" outlineLevel="1" x14ac:dyDescent="0.35">
      <c r="B13" s="3" t="str">
        <f t="shared" si="4"/>
        <v>Ausgrid</v>
      </c>
      <c r="C13" s="3" t="str">
        <f t="shared" si="1"/>
        <v>Residential</v>
      </c>
      <c r="D13" s="3" t="str">
        <f t="shared" si="2"/>
        <v>without CL</v>
      </c>
      <c r="E13" s="3" t="s">
        <v>23</v>
      </c>
      <c r="F13" s="41">
        <f t="array" ref="F13">IFERROR(INDEX(Usage!$B$5:$P$18,MATCH($B13,Usage!$B$5:$B$18,0),MATCH($C13&amp;$D13&amp;$E13&amp;"Total",Usage!$B$5:$S$5&amp;Usage!$B$6:$S$6&amp;Usage!$B$7:$S$7&amp;Usage!$B$13:$S$13,0)),0)</f>
        <v>3900</v>
      </c>
      <c r="G13" s="3" t="s">
        <v>161</v>
      </c>
      <c r="I13" s="89">
        <f t="array" ref="I13">IFERROR(INDEX('Detail inputs'!$B$3:$K$168,MATCH($B13&amp;$G13&amp;I$5,'Detail inputs'!$B$3:$B$168&amp;'Detail inputs'!$G$3:$G$168&amp;'Detail inputs'!$H$3:$H$168,0),MATCH(I$4,'Detail inputs'!$B$3:$K$3,0)),0)</f>
        <v>2.25</v>
      </c>
      <c r="J13" s="89">
        <f t="shared" si="5"/>
        <v>8.7750000000000004</v>
      </c>
      <c r="K13" s="43">
        <f>IFERROR(J13/J15,"")</f>
        <v>2.0259319286871962E-2</v>
      </c>
      <c r="L13" s="43"/>
      <c r="M13" s="48">
        <f t="shared" si="3"/>
        <v>-0.13777777777777778</v>
      </c>
      <c r="N13" s="43"/>
      <c r="P13" s="89">
        <f t="array" ref="P13">IFERROR(INDEX('Detail inputs'!$B$3:$K$168,MATCH($B13&amp;$G13&amp;P$5,'Detail inputs'!$B$3:$B$168&amp;'Detail inputs'!$G$3:$G$168&amp;'Detail inputs'!$H$3:$H$168,0),MATCH(P$4,'Detail inputs'!$B$3:$K$3,0)),0)</f>
        <v>1.94</v>
      </c>
      <c r="Q13" s="89">
        <f t="shared" si="6"/>
        <v>7.5659999999999998</v>
      </c>
      <c r="R13" s="43">
        <f>IFERROR(Q13/Q15,"")</f>
        <v>2.2060495792585854E-2</v>
      </c>
    </row>
    <row r="14" spans="1:22" outlineLevel="1" x14ac:dyDescent="0.35">
      <c r="B14" s="3" t="str">
        <f t="shared" si="4"/>
        <v>Ausgrid</v>
      </c>
      <c r="C14" s="3" t="str">
        <f t="shared" si="1"/>
        <v>Residential</v>
      </c>
      <c r="D14" s="3" t="str">
        <f t="shared" si="2"/>
        <v>without CL</v>
      </c>
      <c r="E14" s="3" t="s">
        <v>23</v>
      </c>
      <c r="F14" s="41">
        <f t="array" ref="F14">IFERROR(INDEX(Usage!$B$5:$P$18,MATCH($B14,Usage!$B$5:$B$18,0),MATCH($C14&amp;$D14&amp;$E14&amp;"Total",Usage!$B$5:$S$5&amp;Usage!$B$6:$S$6&amp;Usage!$B$7:$S$7&amp;Usage!$B$13:$S$13,0)),0)</f>
        <v>3900</v>
      </c>
      <c r="G14" s="3" t="s">
        <v>82</v>
      </c>
      <c r="I14" s="89">
        <f t="array" ref="I14">ROUND(IFERROR(INDEX('Detail inputs'!$B$3:$K$168,MATCH($B14&amp;$C14&amp;$E14&amp;$G14&amp;I$5,'Detail inputs'!$B$3:$B$168&amp;'Detail inputs'!$D$3:$D$168&amp;'Detail inputs'!$F$3:$F$168&amp;'Detail inputs'!$G$3:$G$168&amp;'Detail inputs'!$H$3:$H$168,0),MATCH(I$4,'Detail inputs'!$B$3:$K$3,0)),0)*SUM(I9:I13),2)</f>
        <v>5.29</v>
      </c>
      <c r="J14" s="89">
        <f t="shared" si="5"/>
        <v>20.631</v>
      </c>
      <c r="K14" s="43">
        <f>IFERROR(J14/J15,"")</f>
        <v>4.7631910678912301E-2</v>
      </c>
      <c r="L14" s="43"/>
      <c r="M14" s="48">
        <f t="shared" si="3"/>
        <v>-0.17769376181474483</v>
      </c>
      <c r="N14" s="43"/>
      <c r="P14" s="89">
        <f t="array" ref="P14">ROUND(IFERROR(INDEX('Detail inputs'!$B$3:$K$168,MATCH($B14&amp;$C14&amp;$E14&amp;$G14&amp;P$5,'Detail inputs'!$B$3:$B$168&amp;'Detail inputs'!$D$3:$D$168&amp;'Detail inputs'!$F$3:$F$168&amp;'Detail inputs'!$G$3:$G$168&amp;'Detail inputs'!$H$3:$H$168,0),MATCH(P$4,'Detail inputs'!$B$3:$K$3,0)),0)*SUM(P9:P13),2)</f>
        <v>4.3499999999999996</v>
      </c>
      <c r="Q14" s="89">
        <f t="shared" si="6"/>
        <v>16.965</v>
      </c>
      <c r="R14" s="43">
        <f>IFERROR(Q14/Q15,"")</f>
        <v>4.9465544689561061E-2</v>
      </c>
    </row>
    <row r="15" spans="1:22" s="77" customFormat="1" x14ac:dyDescent="0.35">
      <c r="B15" s="3" t="str">
        <f t="shared" si="4"/>
        <v>Ausgrid</v>
      </c>
      <c r="C15" s="3" t="str">
        <f t="shared" si="1"/>
        <v>Residential</v>
      </c>
      <c r="D15" s="3" t="str">
        <f t="shared" si="2"/>
        <v>without CL</v>
      </c>
      <c r="E15" s="3" t="s">
        <v>23</v>
      </c>
      <c r="F15" s="41">
        <f t="array" ref="F15">IFERROR(INDEX(Usage!$B$5:$P$18,MATCH($B15,Usage!$B$5:$B$18,0),MATCH($C15&amp;$D15&amp;$E15&amp;"Total",Usage!$B$5:$S$5&amp;Usage!$B$6:$S$6&amp;Usage!$B$7:$S$7&amp;Usage!$B$13:$S$13,0)),0)</f>
        <v>3900</v>
      </c>
      <c r="G15" s="77" t="s">
        <v>62</v>
      </c>
      <c r="H15" s="95"/>
      <c r="I15" s="95">
        <f t="array" ref="I15">INDEX('Key inputs'!$B$16:$N$40,MATCH($B15&amp;$C15&amp;$E15,'Key inputs'!$B$16:$B$40&amp;'Key inputs'!$C$16:$C$40&amp;'Key inputs'!$D$16:$D$40,0),MATCH($A$2&amp;I$4,'Key inputs'!$B$17:$N$17&amp;'Key inputs'!$B$18:$N$18,0))</f>
        <v>111.06</v>
      </c>
      <c r="J15" s="89">
        <f t="shared" si="5"/>
        <v>433.13400000000001</v>
      </c>
      <c r="K15" s="87"/>
      <c r="L15" s="88"/>
      <c r="M15" s="79">
        <f t="shared" si="3"/>
        <v>-0.20817576084999101</v>
      </c>
      <c r="N15" s="88"/>
      <c r="O15" s="95"/>
      <c r="P15" s="95">
        <f t="array" ref="P15">INDEX('Key inputs'!$B$16:$N$40,MATCH($B15&amp;$C15&amp;$E15,'Key inputs'!$B$16:$B$40&amp;'Key inputs'!$C$16:$C$40&amp;'Key inputs'!$D$16:$D$40,0),MATCH($A$2&amp;P$4,'Key inputs'!$B$17:$N$17&amp;'Key inputs'!$B$18:$N$18,0))</f>
        <v>87.94</v>
      </c>
      <c r="Q15" s="89">
        <f t="shared" si="6"/>
        <v>342.96600000000001</v>
      </c>
      <c r="R15" s="87"/>
      <c r="S15" s="129" t="b">
        <f>ROUND(I15,$T$5)=ROUND(SUM(I9:I14),$T$5)</f>
        <v>1</v>
      </c>
      <c r="T15" s="129" t="b">
        <f>ROUND(P15,$T$5)=ROUND(SUM(P9:P14),$T$5)</f>
        <v>1</v>
      </c>
      <c r="U15" s="128"/>
      <c r="V15" s="128"/>
    </row>
    <row r="16" spans="1:22" outlineLevel="1" x14ac:dyDescent="0.35">
      <c r="B16" s="3" t="str">
        <f t="shared" si="4"/>
        <v>Ausgrid</v>
      </c>
      <c r="C16" s="3" t="str">
        <f t="shared" si="1"/>
        <v>Residential</v>
      </c>
      <c r="D16" s="3" t="str">
        <f t="shared" si="2"/>
        <v>without CL</v>
      </c>
      <c r="F16" s="41"/>
      <c r="G16" s="77" t="s">
        <v>42</v>
      </c>
      <c r="H16" s="95"/>
      <c r="I16" s="95"/>
      <c r="J16" s="95">
        <f>J15*GST</f>
        <v>43.313400000000001</v>
      </c>
      <c r="K16" s="87"/>
      <c r="L16" s="88"/>
      <c r="M16" s="79"/>
      <c r="N16" s="88"/>
      <c r="O16" s="95"/>
      <c r="P16" s="95"/>
      <c r="Q16" s="95">
        <f>Q15*GST</f>
        <v>34.296600000000005</v>
      </c>
      <c r="R16" s="75"/>
    </row>
    <row r="17" spans="2:22" x14ac:dyDescent="0.35">
      <c r="B17" s="3" t="str">
        <f t="shared" si="4"/>
        <v>Ausgrid</v>
      </c>
      <c r="C17" s="3" t="str">
        <f t="shared" si="1"/>
        <v>Residential</v>
      </c>
      <c r="D17" s="3" t="str">
        <f t="shared" si="2"/>
        <v>without CL</v>
      </c>
      <c r="F17" s="41"/>
      <c r="G17" s="5" t="s">
        <v>90</v>
      </c>
      <c r="H17" s="94"/>
      <c r="I17" s="94"/>
      <c r="J17" s="94">
        <f>SUM(J15:J16)</f>
        <v>476.44740000000002</v>
      </c>
      <c r="K17" s="75"/>
      <c r="L17" s="27"/>
      <c r="M17" s="76">
        <f>IF(OR(J17=0,Q17=""),"",Q17/J17-1)</f>
        <v>-0.20817576084999101</v>
      </c>
      <c r="N17" s="27"/>
      <c r="O17" s="94"/>
      <c r="P17" s="94"/>
      <c r="Q17" s="94">
        <f>SUM(Q15:Q16)</f>
        <v>377.26260000000002</v>
      </c>
      <c r="R17" s="75"/>
    </row>
    <row r="18" spans="2:22" x14ac:dyDescent="0.35">
      <c r="F18" s="41"/>
      <c r="K18" s="43"/>
      <c r="M18" s="48"/>
      <c r="R18" s="43"/>
    </row>
    <row r="19" spans="2:22" x14ac:dyDescent="0.35">
      <c r="B19" s="5" t="s">
        <v>2</v>
      </c>
      <c r="C19" s="5" t="s">
        <v>6</v>
      </c>
      <c r="D19" s="5" t="s">
        <v>151</v>
      </c>
      <c r="F19" s="41"/>
      <c r="K19" s="43"/>
      <c r="M19" s="48"/>
      <c r="R19" s="43"/>
    </row>
    <row r="20" spans="2:22" outlineLevel="1" x14ac:dyDescent="0.35">
      <c r="B20" s="3" t="str">
        <f>B19</f>
        <v>Ausgrid</v>
      </c>
      <c r="C20" s="3" t="str">
        <f t="shared" ref="C20:C37" si="7">C19</f>
        <v>Residential</v>
      </c>
      <c r="D20" s="3" t="str">
        <f t="shared" ref="D20:D37" si="8">D19</f>
        <v>with CL</v>
      </c>
      <c r="E20" s="3" t="s">
        <v>23</v>
      </c>
      <c r="F20" s="41">
        <f t="array" ref="F20">IFERROR(INDEX(Usage!$B$5:$P$18,MATCH($B20,Usage!$B$5:$B$18,0),MATCH($C20&amp;$D20&amp;$E20&amp;"Total",Usage!$B$5:$S$5&amp;Usage!$B$6:$S$6&amp;Usage!$B$7:$S$7&amp;Usage!$B$13:$S$13,0)),0)</f>
        <v>4800</v>
      </c>
      <c r="G20" s="3" t="s">
        <v>62</v>
      </c>
      <c r="I20" s="95">
        <f t="array" ref="I20">INDEX('Key inputs'!$B$16:$N$40,MATCH($B20&amp;$C20&amp;$E20,'Key inputs'!$B$16:$B$40&amp;'Key inputs'!$C$16:$C$40&amp;'Key inputs'!$D$16:$D$40,0),MATCH($A$2&amp;I$4,'Key inputs'!$B$17:$N$17&amp;'Key inputs'!$B$18:$N$18,0))</f>
        <v>111.06</v>
      </c>
      <c r="J20" s="89">
        <f>IF(AND(H20="",I20=""),"",H20+I20*$F20/1000)</f>
        <v>533.08799999999997</v>
      </c>
      <c r="K20" s="43"/>
      <c r="M20" s="48">
        <f>IF(OR(J20=0,Q20=""),"",Q20/J20-1)</f>
        <v>-0.2081757608499909</v>
      </c>
      <c r="P20" s="95">
        <f t="array" ref="P20">INDEX('Key inputs'!$B$16:$N$40,MATCH($B20&amp;$C20&amp;$E20,'Key inputs'!$B$16:$B$40&amp;'Key inputs'!$C$16:$C$40&amp;'Key inputs'!$D$16:$D$40,0),MATCH($A$2&amp;P$4,'Key inputs'!$B$17:$N$17&amp;'Key inputs'!$B$18:$N$18,0))</f>
        <v>87.94</v>
      </c>
      <c r="Q20" s="89">
        <f>IF(AND(O20="",P20=""),"",O20+P20*$F20/1000)</f>
        <v>422.11200000000002</v>
      </c>
      <c r="R20" s="43"/>
    </row>
    <row r="21" spans="2:22" outlineLevel="1" x14ac:dyDescent="0.35">
      <c r="B21" s="3" t="str">
        <f t="shared" ref="B21:B37" si="9">B20</f>
        <v>Ausgrid</v>
      </c>
      <c r="C21" s="3" t="str">
        <f t="shared" si="7"/>
        <v>Residential</v>
      </c>
      <c r="D21" s="3" t="str">
        <f t="shared" si="8"/>
        <v>with CL</v>
      </c>
      <c r="E21" s="3" t="s">
        <v>16</v>
      </c>
      <c r="F21" s="41">
        <f t="array" ref="F21">IFERROR(INDEX(Usage!$B$5:$P$18,MATCH($B21,Usage!$B$5:$B$18,0),MATCH($C21&amp;$D21&amp;$E21,Usage!$B$5:$S$5&amp;Usage!$B$6:$S$6&amp;Usage!$B$7:$S$7,0)),0)</f>
        <v>1340</v>
      </c>
      <c r="G21" s="3" t="s">
        <v>79</v>
      </c>
      <c r="I21" s="89">
        <f t="array" ref="I21">IFERROR(INDEX('Detail inputs'!$B$3:$K$168,MATCH($B21&amp;$C21&amp;$E21&amp;$G21&amp;I$5,'Detail inputs'!$B$3:$B$168&amp;'Detail inputs'!$D$3:$D$168&amp;'Detail inputs'!$F$3:$F$168&amp;'Detail inputs'!$G$3:$G$168&amp;'Detail inputs'!$H$3:$H$168,0),MATCH(I$4,'Detail inputs'!$B$3:$K$3,0)),0)</f>
        <v>65.44</v>
      </c>
      <c r="J21" s="89">
        <f>IF(AND(H21="",I21=""),"",H21+I21*$F21/1000)</f>
        <v>87.689599999999984</v>
      </c>
      <c r="K21" s="43">
        <f>IFERROR(J21/J27,"")</f>
        <v>0.88408538232910017</v>
      </c>
      <c r="L21" s="43"/>
      <c r="M21" s="48">
        <f t="shared" ref="M21:M35" si="10">IF(OR(J21=0,Q21=""),"",Q21/J21-1)</f>
        <v>-0.16595354523227379</v>
      </c>
      <c r="N21" s="43"/>
      <c r="P21" s="89">
        <f t="array" ref="P21">IFERROR(INDEX('Detail inputs'!$B$3:$K$168,MATCH($B21&amp;$C21&amp;$E21&amp;$G21&amp;P$5,'Detail inputs'!$B$3:$B$168&amp;'Detail inputs'!$D$3:$D$168&amp;'Detail inputs'!$F$3:$F$168&amp;'Detail inputs'!$G$3:$G$168&amp;'Detail inputs'!$H$3:$H$168,0),MATCH(P$4,'Detail inputs'!$B$3:$K$3,0)),0)</f>
        <v>54.58</v>
      </c>
      <c r="Q21" s="89">
        <f>IF(AND(O21="",P21=""),"",O21+P21*$F21/1000)</f>
        <v>73.137199999999993</v>
      </c>
      <c r="R21" s="43">
        <f>IFERROR(Q21/Q27,"")</f>
        <v>0.90304434149569812</v>
      </c>
    </row>
    <row r="22" spans="2:22" outlineLevel="1" x14ac:dyDescent="0.35">
      <c r="B22" s="3" t="str">
        <f t="shared" si="9"/>
        <v>Ausgrid</v>
      </c>
      <c r="C22" s="3" t="str">
        <f t="shared" si="7"/>
        <v>Residential</v>
      </c>
      <c r="D22" s="3" t="str">
        <f t="shared" si="8"/>
        <v>with CL</v>
      </c>
      <c r="E22" s="3" t="s">
        <v>16</v>
      </c>
      <c r="F22" s="41">
        <f t="array" ref="F22">IFERROR(INDEX(Usage!$B$5:$P$18,MATCH($B22,Usage!$B$5:$B$18,0),MATCH($C22&amp;$D22&amp;$E22,Usage!$B$5:$S$5&amp;Usage!$B$6:$S$6&amp;Usage!$B$7:$S$7,0)),0)</f>
        <v>1340</v>
      </c>
      <c r="G22" s="3" t="s">
        <v>80</v>
      </c>
      <c r="I22" s="89">
        <f t="array" ref="I22">IFERROR(INDEX('Detail inputs'!$B$3:$K$168,MATCH($B22&amp;$G22&amp;I$5,'Detail inputs'!$B$3:$B$168&amp;'Detail inputs'!$G$3:$G$168&amp;'Detail inputs'!$H$3:$H$168,0),MATCH(I$4,'Detail inputs'!$B$3:$K$3,0)),0)</f>
        <v>1.53</v>
      </c>
      <c r="J22" s="89">
        <f t="shared" ref="J22:J27" si="11">IF(AND(H22="",I22=""),"",H22+I22*$F22/1000)</f>
        <v>2.0501999999999998</v>
      </c>
      <c r="K22" s="43">
        <f>IFERROR(J22/J27,"")</f>
        <v>2.0670089165090517E-2</v>
      </c>
      <c r="L22" s="43"/>
      <c r="M22" s="48">
        <f t="shared" si="10"/>
        <v>-0.81699346405228757</v>
      </c>
      <c r="N22" s="43"/>
      <c r="P22" s="89">
        <f t="array" ref="P22">IFERROR(INDEX('Detail inputs'!$B$3:$K$168,MATCH($B22&amp;$G22&amp;P$5,'Detail inputs'!$B$3:$B$168&amp;'Detail inputs'!$G$3:$G$168&amp;'Detail inputs'!$H$3:$H$168,0),MATCH(P$4,'Detail inputs'!$B$3:$K$3,0)),0)</f>
        <v>0.28000000000000003</v>
      </c>
      <c r="Q22" s="89">
        <f t="shared" ref="Q22:Q27" si="12">IF(AND(O22="",P22=""),"",O22+P22*$F22/1000)</f>
        <v>0.37520000000000003</v>
      </c>
      <c r="R22" s="43">
        <f>IFERROR(Q22/Q27,"")</f>
        <v>4.6326935804103251E-3</v>
      </c>
    </row>
    <row r="23" spans="2:22" outlineLevel="1" x14ac:dyDescent="0.35">
      <c r="B23" s="3" t="str">
        <f t="shared" si="9"/>
        <v>Ausgrid</v>
      </c>
      <c r="C23" s="3" t="str">
        <f t="shared" si="7"/>
        <v>Residential</v>
      </c>
      <c r="D23" s="3" t="str">
        <f t="shared" si="8"/>
        <v>with CL</v>
      </c>
      <c r="E23" s="3" t="s">
        <v>16</v>
      </c>
      <c r="F23" s="41">
        <f t="array" ref="F23">IFERROR(INDEX(Usage!$B$5:$P$18,MATCH($B23,Usage!$B$5:$B$18,0),MATCH($C23&amp;$D23&amp;$E23,Usage!$B$5:$S$5&amp;Usage!$B$6:$S$6&amp;Usage!$B$7:$S$7,0)),0)</f>
        <v>1340</v>
      </c>
      <c r="G23" s="3" t="s">
        <v>88</v>
      </c>
      <c r="I23" s="89">
        <f t="array" ref="I23">IFERROR(INDEX('Detail inputs'!$B$3:$K$168,MATCH($B23&amp;$G23&amp;I$5,'Detail inputs'!$B$3:$B$168&amp;'Detail inputs'!$G$3:$G$168&amp;'Detail inputs'!$H$3:$H$168,0),MATCH(I$4,'Detail inputs'!$B$3:$K$3,0)),0)</f>
        <v>0.71</v>
      </c>
      <c r="J23" s="89">
        <f t="shared" si="11"/>
        <v>0.95140000000000002</v>
      </c>
      <c r="K23" s="43">
        <f>IFERROR(J23/J27,"")</f>
        <v>9.5920021615779529E-3</v>
      </c>
      <c r="L23" s="43"/>
      <c r="M23" s="48">
        <f t="shared" si="10"/>
        <v>-0.30985915492957739</v>
      </c>
      <c r="N23" s="43"/>
      <c r="P23" s="89">
        <f t="array" ref="P23">IFERROR(INDEX('Detail inputs'!$B$3:$K$168,MATCH($B23&amp;$G23&amp;P$5,'Detail inputs'!$B$3:$B$168&amp;'Detail inputs'!$G$3:$G$168&amp;'Detail inputs'!$H$3:$H$168,0),MATCH(P$4,'Detail inputs'!$B$3:$K$3,0)),0)</f>
        <v>0.49</v>
      </c>
      <c r="Q23" s="89">
        <f t="shared" si="12"/>
        <v>0.65660000000000007</v>
      </c>
      <c r="R23" s="43">
        <f>IFERROR(Q23/Q27,"")</f>
        <v>8.1072137657180691E-3</v>
      </c>
    </row>
    <row r="24" spans="2:22" outlineLevel="1" x14ac:dyDescent="0.35">
      <c r="B24" s="3" t="str">
        <f t="shared" si="9"/>
        <v>Ausgrid</v>
      </c>
      <c r="C24" s="3" t="str">
        <f t="shared" si="7"/>
        <v>Residential</v>
      </c>
      <c r="D24" s="3" t="str">
        <f t="shared" si="8"/>
        <v>with CL</v>
      </c>
      <c r="E24" s="3" t="s">
        <v>16</v>
      </c>
      <c r="F24" s="41">
        <f t="array" ref="F24">IFERROR(INDEX(Usage!$B$5:$P$18,MATCH($B24,Usage!$B$5:$B$18,0),MATCH($C24&amp;$D24&amp;$E24,Usage!$B$5:$S$5&amp;Usage!$B$6:$S$6&amp;Usage!$B$7:$S$7,0)),0)</f>
        <v>1340</v>
      </c>
      <c r="G24" s="3" t="s">
        <v>81</v>
      </c>
      <c r="I24" s="89">
        <f t="array" ref="I24">IFERROR(INDEX('Detail inputs'!$B$3:$K$168,MATCH($B24&amp;$G24&amp;I$5,'Detail inputs'!$B$3:$B$168&amp;'Detail inputs'!$G$3:$G$168&amp;'Detail inputs'!$H$3:$H$168,0),MATCH(I$4,'Detail inputs'!$B$3:$K$3,0)),0)</f>
        <v>0.36</v>
      </c>
      <c r="J24" s="89">
        <f t="shared" si="11"/>
        <v>0.4824</v>
      </c>
      <c r="K24" s="43">
        <f>IFERROR(J24/J27,"")</f>
        <v>4.8635503917860042E-3</v>
      </c>
      <c r="L24" s="43"/>
      <c r="M24" s="48">
        <f t="shared" si="10"/>
        <v>-1</v>
      </c>
      <c r="N24" s="43"/>
      <c r="P24" s="89">
        <f t="array" ref="P24">IFERROR(INDEX('Detail inputs'!$B$3:$K$168,MATCH($B24&amp;$G24&amp;P$5,'Detail inputs'!$B$3:$B$168&amp;'Detail inputs'!$G$3:$G$168&amp;'Detail inputs'!$H$3:$H$168,0),MATCH(P$4,'Detail inputs'!$B$3:$K$3,0)),0)</f>
        <v>0</v>
      </c>
      <c r="Q24" s="89">
        <f t="shared" si="12"/>
        <v>0</v>
      </c>
      <c r="R24" s="43">
        <f>IFERROR(Q24/Q27,"")</f>
        <v>0</v>
      </c>
    </row>
    <row r="25" spans="2:22" outlineLevel="1" x14ac:dyDescent="0.35">
      <c r="B25" s="3" t="str">
        <f t="shared" si="9"/>
        <v>Ausgrid</v>
      </c>
      <c r="C25" s="3" t="str">
        <f t="shared" si="7"/>
        <v>Residential</v>
      </c>
      <c r="D25" s="3" t="str">
        <f t="shared" si="8"/>
        <v>with CL</v>
      </c>
      <c r="E25" s="3" t="s">
        <v>16</v>
      </c>
      <c r="F25" s="41">
        <f t="array" ref="F25">IFERROR(INDEX(Usage!$B$5:$P$18,MATCH($B25,Usage!$B$5:$B$18,0),MATCH($C25&amp;$D25&amp;$E25,Usage!$B$5:$S$5&amp;Usage!$B$6:$S$6&amp;Usage!$B$7:$S$7,0)),0)</f>
        <v>1340</v>
      </c>
      <c r="G25" s="3" t="s">
        <v>161</v>
      </c>
      <c r="I25" s="89">
        <f t="array" ref="I25">IFERROR(INDEX('Detail inputs'!$B$3:$K$168,MATCH($B25&amp;$G25&amp;I$5,'Detail inputs'!$B$3:$B$168&amp;'Detail inputs'!$G$3:$G$168&amp;'Detail inputs'!$H$3:$H$168,0),MATCH(I$4,'Detail inputs'!$B$3:$K$3,0)),0)</f>
        <v>2.25</v>
      </c>
      <c r="J25" s="89">
        <f t="shared" si="11"/>
        <v>3.0150000000000001</v>
      </c>
      <c r="K25" s="43">
        <f>IFERROR(J25/J27,"")</f>
        <v>3.0397189948662529E-2</v>
      </c>
      <c r="L25" s="43"/>
      <c r="M25" s="48">
        <f t="shared" si="10"/>
        <v>-0.13777777777777789</v>
      </c>
      <c r="N25" s="43"/>
      <c r="P25" s="89">
        <f t="array" ref="P25">IFERROR(INDEX('Detail inputs'!$B$3:$K$168,MATCH($B25&amp;$G25&amp;P$5,'Detail inputs'!$B$3:$B$168&amp;'Detail inputs'!$G$3:$G$168&amp;'Detail inputs'!$H$3:$H$168,0),MATCH(P$4,'Detail inputs'!$B$3:$K$3,0)),0)</f>
        <v>1.94</v>
      </c>
      <c r="Q25" s="89">
        <f t="shared" si="12"/>
        <v>2.5995999999999997</v>
      </c>
      <c r="R25" s="43">
        <f>IFERROR(Q25/Q27,"")</f>
        <v>3.2097948378557242E-2</v>
      </c>
    </row>
    <row r="26" spans="2:22" outlineLevel="1" x14ac:dyDescent="0.35">
      <c r="B26" s="3" t="str">
        <f t="shared" si="9"/>
        <v>Ausgrid</v>
      </c>
      <c r="C26" s="3" t="str">
        <f t="shared" si="7"/>
        <v>Residential</v>
      </c>
      <c r="D26" s="3" t="str">
        <f t="shared" si="8"/>
        <v>with CL</v>
      </c>
      <c r="E26" s="3" t="s">
        <v>16</v>
      </c>
      <c r="F26" s="41">
        <f t="array" ref="F26">IFERROR(INDEX(Usage!$B$5:$P$18,MATCH($B26,Usage!$B$5:$B$18,0),MATCH($C26&amp;$D26&amp;$E26,Usage!$B$5:$S$5&amp;Usage!$B$6:$S$6&amp;Usage!$B$7:$S$7,0)),0)</f>
        <v>1340</v>
      </c>
      <c r="G26" s="3" t="s">
        <v>82</v>
      </c>
      <c r="I26" s="89">
        <f t="array" ref="I26">ROUND(IFERROR(INDEX('Detail inputs'!$B$3:$K$168,MATCH($B26&amp;$C26&amp;$E26&amp;$G26&amp;I$5,'Detail inputs'!$B$3:$B$168&amp;'Detail inputs'!$D$3:$D$168&amp;'Detail inputs'!$F$3:$F$168&amp;'Detail inputs'!$G$3:$G$168&amp;'Detail inputs'!$H$3:$H$168,0),MATCH(I$4,'Detail inputs'!$B$3:$K$3,0)),0)*SUM(I21:I25),2)</f>
        <v>3.73</v>
      </c>
      <c r="J26" s="89">
        <f t="shared" si="11"/>
        <v>4.9981999999999998</v>
      </c>
      <c r="K26" s="43">
        <f>IFERROR(J26/J27,"")</f>
        <v>5.0391786003782767E-2</v>
      </c>
      <c r="L26" s="43"/>
      <c r="M26" s="48">
        <f t="shared" si="10"/>
        <v>-0.15549597855227881</v>
      </c>
      <c r="N26" s="43"/>
      <c r="P26" s="89">
        <f t="array" ref="P26">ROUND(IFERROR(INDEX('Detail inputs'!$B$3:$K$168,MATCH($B26&amp;$C26&amp;$E26&amp;$G26&amp;P$5,'Detail inputs'!$B$3:$B$168&amp;'Detail inputs'!$D$3:$D$168&amp;'Detail inputs'!$F$3:$F$168&amp;'Detail inputs'!$G$3:$G$168&amp;'Detail inputs'!$H$3:$H$168,0),MATCH(P$4,'Detail inputs'!$B$3:$K$3,0)),0)*SUM(P21:P25),2)</f>
        <v>3.15</v>
      </c>
      <c r="Q26" s="89">
        <f t="shared" si="12"/>
        <v>4.2210000000000001</v>
      </c>
      <c r="R26" s="43">
        <f>IFERROR(Q26/Q27,"")</f>
        <v>5.2117802779616154E-2</v>
      </c>
    </row>
    <row r="27" spans="2:22" outlineLevel="1" x14ac:dyDescent="0.35">
      <c r="B27" s="3" t="str">
        <f t="shared" si="9"/>
        <v>Ausgrid</v>
      </c>
      <c r="C27" s="3" t="str">
        <f t="shared" si="7"/>
        <v>Residential</v>
      </c>
      <c r="D27" s="3" t="str">
        <f t="shared" si="8"/>
        <v>with CL</v>
      </c>
      <c r="E27" s="3" t="s">
        <v>16</v>
      </c>
      <c r="F27" s="41">
        <f t="array" ref="F27">IFERROR(INDEX(Usage!$B$5:$P$18,MATCH($B27,Usage!$B$5:$B$18,0),MATCH($C27&amp;$D27&amp;$E27,Usage!$B$5:$S$5&amp;Usage!$B$6:$S$6&amp;Usage!$B$7:$S$7,0)),0)</f>
        <v>1340</v>
      </c>
      <c r="G27" s="3" t="s">
        <v>62</v>
      </c>
      <c r="H27" s="95"/>
      <c r="I27" s="95">
        <f t="array" ref="I27">INDEX('Key inputs'!$B$16:$N$40,MATCH($B27&amp;$C27&amp;$E27,'Key inputs'!$B$16:$B$40&amp;'Key inputs'!$C$16:$C$40&amp;'Key inputs'!$D$16:$D$40,0),MATCH($A$2&amp;I$4,'Key inputs'!$B$17:$N$17&amp;'Key inputs'!$B$18:$N$18,0))</f>
        <v>74.02</v>
      </c>
      <c r="J27" s="89">
        <f t="shared" si="11"/>
        <v>99.186799999999991</v>
      </c>
      <c r="K27" s="87"/>
      <c r="L27" s="88"/>
      <c r="M27" s="79">
        <f t="shared" si="10"/>
        <v>-0.1834639286679276</v>
      </c>
      <c r="N27" s="88"/>
      <c r="O27" s="95"/>
      <c r="P27" s="95">
        <f t="array" ref="P27">INDEX('Key inputs'!$B$16:$N$40,MATCH($B27&amp;$C27&amp;$E27,'Key inputs'!$B$16:$B$40&amp;'Key inputs'!$C$16:$C$40&amp;'Key inputs'!$D$16:$D$40,0),MATCH($A$2&amp;P$4,'Key inputs'!$B$17:$N$17&amp;'Key inputs'!$B$18:$N$18,0))</f>
        <v>60.44</v>
      </c>
      <c r="Q27" s="89">
        <f t="shared" si="12"/>
        <v>80.989599999999996</v>
      </c>
      <c r="R27" s="87"/>
      <c r="S27" s="129" t="b">
        <f>ROUND(I27,$T$5)=ROUND(SUM(I21:I26),$T$5)</f>
        <v>1</v>
      </c>
      <c r="T27" s="129" t="b">
        <f>ROUND(P27,$T$5)=ROUND(SUM(P21:P26),$T$5)</f>
        <v>1</v>
      </c>
      <c r="U27" s="128"/>
      <c r="V27" s="128"/>
    </row>
    <row r="28" spans="2:22" outlineLevel="1" x14ac:dyDescent="0.35">
      <c r="B28" s="3" t="str">
        <f t="shared" si="9"/>
        <v>Ausgrid</v>
      </c>
      <c r="C28" s="3" t="str">
        <f t="shared" si="7"/>
        <v>Residential</v>
      </c>
      <c r="D28" s="3" t="str">
        <f t="shared" si="8"/>
        <v>with CL</v>
      </c>
      <c r="E28" s="3" t="s">
        <v>17</v>
      </c>
      <c r="F28" s="41">
        <f t="array" ref="F28">IFERROR(INDEX(Usage!$B$5:$P$18,MATCH($B28,Usage!$B$5:$B$18,0),MATCH($C28&amp;$D28&amp;$E28,Usage!$B$5:$S$5&amp;Usage!$B$6:$S$6&amp;Usage!$B$7:$S$7,0)),0)</f>
        <v>660</v>
      </c>
      <c r="G28" s="3" t="s">
        <v>79</v>
      </c>
      <c r="H28" s="95"/>
      <c r="I28" s="95">
        <f t="array" ref="I28">IFERROR(INDEX('Detail inputs'!$B$3:$K$168,MATCH($B28&amp;$C28&amp;$E28&amp;$G28&amp;I$5,'Detail inputs'!$B$3:$B$168&amp;'Detail inputs'!$D$3:$D$168&amp;'Detail inputs'!$F$3:$F$168&amp;'Detail inputs'!$G$3:$G$168&amp;'Detail inputs'!$H$3:$H$168,0),MATCH(I$4,'Detail inputs'!$B$3:$K$3,0)),0)</f>
        <v>63.63</v>
      </c>
      <c r="J28" s="95">
        <f>IF(AND(H28="",I28=""),"",H28+I28*$F28/1000)</f>
        <v>41.995800000000003</v>
      </c>
      <c r="K28" s="87">
        <f>IFERROR(J28/J34,"")</f>
        <v>0.8824018860074887</v>
      </c>
      <c r="L28" s="87"/>
      <c r="M28" s="79">
        <f t="shared" si="10"/>
        <v>-0.18654722615118657</v>
      </c>
      <c r="N28" s="87"/>
      <c r="O28" s="95"/>
      <c r="P28" s="95">
        <f t="array" ref="P28">IFERROR(INDEX('Detail inputs'!$B$3:$K$168,MATCH($B28&amp;$C28&amp;$E28&amp;$G28&amp;P$5,'Detail inputs'!$B$3:$B$168&amp;'Detail inputs'!$D$3:$D$168&amp;'Detail inputs'!$F$3:$F$168&amp;'Detail inputs'!$G$3:$G$168&amp;'Detail inputs'!$H$3:$H$168,0),MATCH(P$4,'Detail inputs'!$B$3:$K$3,0)),0)</f>
        <v>51.76</v>
      </c>
      <c r="Q28" s="95">
        <f>IF(AND(O28="",P28=""),"",O28+P28*$F28/1000)</f>
        <v>34.1616</v>
      </c>
      <c r="R28" s="87">
        <f>IFERROR(Q28/Q34,"")</f>
        <v>0.90064381416391159</v>
      </c>
    </row>
    <row r="29" spans="2:22" outlineLevel="1" x14ac:dyDescent="0.35">
      <c r="B29" s="3" t="str">
        <f t="shared" si="9"/>
        <v>Ausgrid</v>
      </c>
      <c r="C29" s="3" t="str">
        <f t="shared" si="7"/>
        <v>Residential</v>
      </c>
      <c r="D29" s="3" t="str">
        <f t="shared" si="8"/>
        <v>with CL</v>
      </c>
      <c r="E29" s="3" t="s">
        <v>17</v>
      </c>
      <c r="F29" s="41">
        <f t="array" ref="F29">IFERROR(INDEX(Usage!$B$5:$P$18,MATCH($B29,Usage!$B$5:$B$18,0),MATCH($C29&amp;$D29&amp;$E29,Usage!$B$5:$S$5&amp;Usage!$B$6:$S$6&amp;Usage!$B$7:$S$7,0)),0)</f>
        <v>660</v>
      </c>
      <c r="G29" s="3" t="s">
        <v>80</v>
      </c>
      <c r="H29" s="95"/>
      <c r="I29" s="95">
        <f t="array" ref="I29">IFERROR(INDEX('Detail inputs'!$B$3:$K$168,MATCH($B29&amp;$G29&amp;I$5,'Detail inputs'!$B$3:$B$168&amp;'Detail inputs'!$G$3:$G$168&amp;'Detail inputs'!$H$3:$H$168,0),MATCH(I$4,'Detail inputs'!$B$3:$K$3,0)),0)</f>
        <v>1.53</v>
      </c>
      <c r="J29" s="95">
        <f t="shared" ref="J29:J34" si="13">IF(AND(H29="",I29=""),"",H29+I29*$F29/1000)</f>
        <v>1.0098</v>
      </c>
      <c r="K29" s="87">
        <f>IFERROR(J29/J34,"")</f>
        <v>2.1217584246290392E-2</v>
      </c>
      <c r="L29" s="87"/>
      <c r="M29" s="79">
        <f t="shared" si="10"/>
        <v>-0.81699346405228757</v>
      </c>
      <c r="N29" s="87"/>
      <c r="O29" s="95"/>
      <c r="P29" s="95">
        <f t="array" ref="P29">IFERROR(INDEX('Detail inputs'!$B$3:$K$168,MATCH($B29&amp;$G29&amp;P$5,'Detail inputs'!$B$3:$B$168&amp;'Detail inputs'!$G$3:$G$168&amp;'Detail inputs'!$H$3:$H$168,0),MATCH(P$4,'Detail inputs'!$B$3:$K$3,0)),0)</f>
        <v>0.28000000000000003</v>
      </c>
      <c r="Q29" s="95">
        <f t="shared" ref="Q29:Q34" si="14">IF(AND(O29="",P29=""),"",O29+P29*$F29/1000)</f>
        <v>0.18480000000000002</v>
      </c>
      <c r="R29" s="87">
        <f>IFERROR(Q29/Q34,"")</f>
        <v>4.8721071863581005E-3</v>
      </c>
    </row>
    <row r="30" spans="2:22" outlineLevel="1" x14ac:dyDescent="0.35">
      <c r="B30" s="3" t="str">
        <f t="shared" si="9"/>
        <v>Ausgrid</v>
      </c>
      <c r="C30" s="3" t="str">
        <f t="shared" si="7"/>
        <v>Residential</v>
      </c>
      <c r="D30" s="3" t="str">
        <f t="shared" si="8"/>
        <v>with CL</v>
      </c>
      <c r="E30" s="3" t="s">
        <v>17</v>
      </c>
      <c r="F30" s="41">
        <f t="array" ref="F30">IFERROR(INDEX(Usage!$B$5:$P$18,MATCH($B30,Usage!$B$5:$B$18,0),MATCH($C30&amp;$D30&amp;$E30,Usage!$B$5:$S$5&amp;Usage!$B$6:$S$6&amp;Usage!$B$7:$S$7,0)),0)</f>
        <v>660</v>
      </c>
      <c r="G30" s="3" t="s">
        <v>88</v>
      </c>
      <c r="H30" s="95"/>
      <c r="I30" s="95">
        <f t="array" ref="I30">IFERROR(INDEX('Detail inputs'!$B$3:$K$168,MATCH($B30&amp;$G30&amp;I$5,'Detail inputs'!$B$3:$B$168&amp;'Detail inputs'!$G$3:$G$168&amp;'Detail inputs'!$H$3:$H$168,0),MATCH(I$4,'Detail inputs'!$B$3:$K$3,0)),0)</f>
        <v>0.71</v>
      </c>
      <c r="J30" s="95">
        <f t="shared" si="13"/>
        <v>0.46859999999999996</v>
      </c>
      <c r="K30" s="87">
        <f>IFERROR(J30/J34,"")</f>
        <v>9.8460685064484816E-3</v>
      </c>
      <c r="L30" s="87"/>
      <c r="M30" s="79">
        <f t="shared" si="10"/>
        <v>-0.3098591549295775</v>
      </c>
      <c r="N30" s="87"/>
      <c r="O30" s="95"/>
      <c r="P30" s="95">
        <f t="array" ref="P30">IFERROR(INDEX('Detail inputs'!$B$3:$K$168,MATCH($B30&amp;$G30&amp;P$5,'Detail inputs'!$B$3:$B$168&amp;'Detail inputs'!$G$3:$G$168&amp;'Detail inputs'!$H$3:$H$168,0),MATCH(P$4,'Detail inputs'!$B$3:$K$3,0)),0)</f>
        <v>0.49</v>
      </c>
      <c r="Q30" s="95">
        <f t="shared" si="14"/>
        <v>0.32339999999999997</v>
      </c>
      <c r="R30" s="87">
        <f>IFERROR(Q30/Q34,"")</f>
        <v>8.5261875761266735E-3</v>
      </c>
    </row>
    <row r="31" spans="2:22" outlineLevel="1" x14ac:dyDescent="0.35">
      <c r="B31" s="3" t="str">
        <f t="shared" si="9"/>
        <v>Ausgrid</v>
      </c>
      <c r="C31" s="3" t="str">
        <f t="shared" si="7"/>
        <v>Residential</v>
      </c>
      <c r="D31" s="3" t="str">
        <f t="shared" si="8"/>
        <v>with CL</v>
      </c>
      <c r="E31" s="3" t="s">
        <v>17</v>
      </c>
      <c r="F31" s="41">
        <f t="array" ref="F31">IFERROR(INDEX(Usage!$B$5:$P$18,MATCH($B31,Usage!$B$5:$B$18,0),MATCH($C31&amp;$D31&amp;$E31,Usage!$B$5:$S$5&amp;Usage!$B$6:$S$6&amp;Usage!$B$7:$S$7,0)),0)</f>
        <v>660</v>
      </c>
      <c r="G31" s="3" t="s">
        <v>81</v>
      </c>
      <c r="H31" s="95"/>
      <c r="I31" s="95">
        <f t="array" ref="I31">IFERROR(INDEX('Detail inputs'!$B$3:$K$168,MATCH($B31&amp;$G31&amp;I$5,'Detail inputs'!$B$3:$B$168&amp;'Detail inputs'!$G$3:$G$168&amp;'Detail inputs'!$H$3:$H$168,0),MATCH(I$4,'Detail inputs'!$B$3:$K$3,0)),0)</f>
        <v>0.36</v>
      </c>
      <c r="J31" s="95">
        <f t="shared" si="13"/>
        <v>0.23760000000000001</v>
      </c>
      <c r="K31" s="87">
        <f>IFERROR(J31/J34,"")</f>
        <v>4.9923727638330334E-3</v>
      </c>
      <c r="L31" s="87"/>
      <c r="M31" s="79">
        <f t="shared" si="10"/>
        <v>-1</v>
      </c>
      <c r="N31" s="87"/>
      <c r="O31" s="95"/>
      <c r="P31" s="95">
        <f t="array" ref="P31">IFERROR(INDEX('Detail inputs'!$B$3:$K$168,MATCH($B31&amp;$G31&amp;P$5,'Detail inputs'!$B$3:$B$168&amp;'Detail inputs'!$G$3:$G$168&amp;'Detail inputs'!$H$3:$H$168,0),MATCH(P$4,'Detail inputs'!$B$3:$K$3,0)),0)</f>
        <v>0</v>
      </c>
      <c r="Q31" s="95">
        <f t="shared" si="14"/>
        <v>0</v>
      </c>
      <c r="R31" s="87">
        <f>IFERROR(Q31/Q34,"")</f>
        <v>0</v>
      </c>
    </row>
    <row r="32" spans="2:22" outlineLevel="1" x14ac:dyDescent="0.35">
      <c r="B32" s="3" t="str">
        <f t="shared" si="9"/>
        <v>Ausgrid</v>
      </c>
      <c r="C32" s="3" t="str">
        <f t="shared" si="7"/>
        <v>Residential</v>
      </c>
      <c r="D32" s="3" t="str">
        <f t="shared" si="8"/>
        <v>with CL</v>
      </c>
      <c r="E32" s="3" t="s">
        <v>17</v>
      </c>
      <c r="F32" s="41">
        <f t="array" ref="F32">IFERROR(INDEX(Usage!$B$5:$P$18,MATCH($B32,Usage!$B$5:$B$18,0),MATCH($C32&amp;$D32&amp;$E32,Usage!$B$5:$S$5&amp;Usage!$B$6:$S$6&amp;Usage!$B$7:$S$7,0)),0)</f>
        <v>660</v>
      </c>
      <c r="G32" s="3" t="s">
        <v>161</v>
      </c>
      <c r="H32" s="95"/>
      <c r="I32" s="95">
        <f t="array" ref="I32">IFERROR(INDEX('Detail inputs'!$B$3:$K$168,MATCH($B32&amp;$G32&amp;I$5,'Detail inputs'!$B$3:$B$168&amp;'Detail inputs'!$G$3:$G$168&amp;'Detail inputs'!$H$3:$H$168,0),MATCH(I$4,'Detail inputs'!$B$3:$K$3,0)),0)</f>
        <v>2.25</v>
      </c>
      <c r="J32" s="95">
        <f t="shared" si="13"/>
        <v>1.4850000000000001</v>
      </c>
      <c r="K32" s="87">
        <f>IFERROR(J32/J34,"")</f>
        <v>3.1202329773956459E-2</v>
      </c>
      <c r="L32" s="87"/>
      <c r="M32" s="79">
        <f t="shared" si="10"/>
        <v>-0.137777777777778</v>
      </c>
      <c r="N32" s="87"/>
      <c r="O32" s="95"/>
      <c r="P32" s="95">
        <f t="array" ref="P32">IFERROR(INDEX('Detail inputs'!$B$3:$K$168,MATCH($B32&amp;$G32&amp;P$5,'Detail inputs'!$B$3:$B$168&amp;'Detail inputs'!$G$3:$G$168&amp;'Detail inputs'!$H$3:$H$168,0),MATCH(P$4,'Detail inputs'!$B$3:$K$3,0)),0)</f>
        <v>1.94</v>
      </c>
      <c r="Q32" s="95">
        <f t="shared" si="14"/>
        <v>1.2803999999999998</v>
      </c>
      <c r="R32" s="87">
        <f>IFERROR(Q32/Q34,"")</f>
        <v>3.3756742648338257E-2</v>
      </c>
    </row>
    <row r="33" spans="2:22" outlineLevel="1" x14ac:dyDescent="0.35">
      <c r="B33" s="3" t="str">
        <f t="shared" si="9"/>
        <v>Ausgrid</v>
      </c>
      <c r="C33" s="3" t="str">
        <f t="shared" si="7"/>
        <v>Residential</v>
      </c>
      <c r="D33" s="3" t="str">
        <f t="shared" si="8"/>
        <v>with CL</v>
      </c>
      <c r="E33" s="3" t="s">
        <v>17</v>
      </c>
      <c r="F33" s="41">
        <f t="array" ref="F33">IFERROR(INDEX(Usage!$B$5:$P$18,MATCH($B33,Usage!$B$5:$B$18,0),MATCH($C33&amp;$D33&amp;$E33,Usage!$B$5:$S$5&amp;Usage!$B$6:$S$6&amp;Usage!$B$7:$S$7,0)),0)</f>
        <v>660</v>
      </c>
      <c r="G33" s="3" t="s">
        <v>82</v>
      </c>
      <c r="H33" s="95"/>
      <c r="I33" s="89">
        <f t="array" ref="I33">ROUND(IFERROR(INDEX('Detail inputs'!$B$3:$K$168,MATCH($B33&amp;$C33&amp;$E33&amp;$G33&amp;I$5,'Detail inputs'!$B$3:$B$168&amp;'Detail inputs'!$D$3:$D$168&amp;'Detail inputs'!$F$3:$F$168&amp;'Detail inputs'!$G$3:$G$168&amp;'Detail inputs'!$H$3:$H$168,0),MATCH(I$4,'Detail inputs'!$B$3:$K$3,0)),0)*SUM(I28:I32),2)</f>
        <v>3.63</v>
      </c>
      <c r="J33" s="95">
        <f t="shared" si="13"/>
        <v>2.3957999999999999</v>
      </c>
      <c r="K33" s="87">
        <f>IFERROR(J33/J34,"")</f>
        <v>5.0339758701983081E-2</v>
      </c>
      <c r="L33" s="87"/>
      <c r="M33" s="79">
        <f t="shared" si="10"/>
        <v>-0.17355371900826444</v>
      </c>
      <c r="N33" s="87"/>
      <c r="O33" s="95"/>
      <c r="P33" s="89">
        <f t="array" ref="P33">ROUND(IFERROR(INDEX('Detail inputs'!$B$3:$K$168,MATCH($B33&amp;$C33&amp;$E33&amp;$G33&amp;P$5,'Detail inputs'!$B$3:$B$168&amp;'Detail inputs'!$D$3:$D$168&amp;'Detail inputs'!$F$3:$F$168&amp;'Detail inputs'!$G$3:$G$168&amp;'Detail inputs'!$H$3:$H$168,0),MATCH(P$4,'Detail inputs'!$B$3:$K$3,0)),0)*SUM(P28:P32),2)</f>
        <v>3</v>
      </c>
      <c r="Q33" s="95">
        <f t="shared" si="14"/>
        <v>1.98</v>
      </c>
      <c r="R33" s="87">
        <f>IFERROR(Q33/Q34,"")</f>
        <v>5.2201148425265353E-2</v>
      </c>
    </row>
    <row r="34" spans="2:22" outlineLevel="1" x14ac:dyDescent="0.35">
      <c r="B34" s="3" t="str">
        <f t="shared" si="9"/>
        <v>Ausgrid</v>
      </c>
      <c r="C34" s="3" t="str">
        <f t="shared" si="7"/>
        <v>Residential</v>
      </c>
      <c r="D34" s="3" t="str">
        <f t="shared" si="8"/>
        <v>with CL</v>
      </c>
      <c r="E34" s="3" t="s">
        <v>17</v>
      </c>
      <c r="F34" s="41">
        <f t="array" ref="F34">IFERROR(INDEX(Usage!$B$5:$P$18,MATCH($B34,Usage!$B$5:$B$18,0),MATCH($C34&amp;$D34&amp;$E34,Usage!$B$5:$S$5&amp;Usage!$B$6:$S$6&amp;Usage!$B$7:$S$7,0)),0)</f>
        <v>660</v>
      </c>
      <c r="G34" s="3" t="s">
        <v>62</v>
      </c>
      <c r="H34" s="95"/>
      <c r="I34" s="95">
        <f t="array" ref="I34">INDEX('Key inputs'!$B$16:$N$40,MATCH($B34&amp;$C34&amp;$E34,'Key inputs'!$B$16:$B$40&amp;'Key inputs'!$C$16:$C$40&amp;'Key inputs'!$D$16:$D$40,0),MATCH($A$2&amp;I$4,'Key inputs'!$B$17:$N$17&amp;'Key inputs'!$B$18:$N$18,0))</f>
        <v>72.11</v>
      </c>
      <c r="J34" s="89">
        <f t="shared" si="13"/>
        <v>47.592599999999997</v>
      </c>
      <c r="K34" s="87"/>
      <c r="L34" s="88"/>
      <c r="M34" s="79">
        <f t="shared" si="10"/>
        <v>-0.20302315906254331</v>
      </c>
      <c r="N34" s="88"/>
      <c r="O34" s="95"/>
      <c r="P34" s="95">
        <f t="array" ref="P34">INDEX('Key inputs'!$B$16:$N$40,MATCH($B34&amp;$C34&amp;$E34,'Key inputs'!$B$16:$B$40&amp;'Key inputs'!$C$16:$C$40&amp;'Key inputs'!$D$16:$D$40,0),MATCH($A$2&amp;P$4,'Key inputs'!$B$17:$N$17&amp;'Key inputs'!$B$18:$N$18,0))</f>
        <v>57.47</v>
      </c>
      <c r="Q34" s="89">
        <f t="shared" si="14"/>
        <v>37.930199999999999</v>
      </c>
      <c r="R34" s="87"/>
      <c r="S34" s="129" t="b">
        <f>ROUND(I34,$T$5)=ROUND(SUM(I28:I33),$T$5)</f>
        <v>1</v>
      </c>
      <c r="T34" s="129" t="b">
        <f>ROUND(P34,$T$5)=ROUND(SUM(P28:P33),$T$5)</f>
        <v>1</v>
      </c>
      <c r="U34" s="128"/>
      <c r="V34" s="128"/>
    </row>
    <row r="35" spans="2:22" s="77" customFormat="1" x14ac:dyDescent="0.35">
      <c r="B35" s="3" t="str">
        <f t="shared" si="9"/>
        <v>Ausgrid</v>
      </c>
      <c r="C35" s="3" t="str">
        <f t="shared" si="7"/>
        <v>Residential</v>
      </c>
      <c r="D35" s="3" t="str">
        <f t="shared" si="8"/>
        <v>with CL</v>
      </c>
      <c r="E35" s="77" t="s">
        <v>62</v>
      </c>
      <c r="F35" s="41">
        <f t="array" ref="F35">IFERROR(INDEX(Usage!$B$5:$P$18,MATCH($B35,Usage!$B$5:$B$18,0),MATCH($C35&amp;$D35&amp;$E35,Usage!$B$5:$S$5&amp;Usage!$B$6:$S$6&amp;Usage!$B$7:$S$7,0)),0)</f>
        <v>6800</v>
      </c>
      <c r="G35" s="77" t="s">
        <v>62</v>
      </c>
      <c r="H35" s="95"/>
      <c r="I35" s="95">
        <f>I20+I27+I34</f>
        <v>257.19</v>
      </c>
      <c r="J35" s="95">
        <f>J20+J27+J34</f>
        <v>679.86739999999986</v>
      </c>
      <c r="K35" s="87"/>
      <c r="L35" s="88"/>
      <c r="M35" s="79">
        <f t="shared" si="10"/>
        <v>-0.20420982091507833</v>
      </c>
      <c r="N35" s="88"/>
      <c r="O35" s="95"/>
      <c r="P35" s="95">
        <f>P20+P27+P34</f>
        <v>205.85</v>
      </c>
      <c r="Q35" s="95">
        <f>Q20+Q27+Q34</f>
        <v>541.03179999999998</v>
      </c>
      <c r="R35" s="87"/>
      <c r="S35" s="129"/>
      <c r="T35" s="130"/>
    </row>
    <row r="36" spans="2:22" outlineLevel="1" x14ac:dyDescent="0.35">
      <c r="B36" s="3" t="str">
        <f t="shared" si="9"/>
        <v>Ausgrid</v>
      </c>
      <c r="C36" s="3" t="str">
        <f t="shared" si="7"/>
        <v>Residential</v>
      </c>
      <c r="D36" s="3" t="str">
        <f t="shared" si="8"/>
        <v>with CL</v>
      </c>
      <c r="F36" s="41"/>
      <c r="G36" s="77" t="s">
        <v>42</v>
      </c>
      <c r="H36" s="95"/>
      <c r="I36" s="95"/>
      <c r="J36" s="95">
        <f>J35*GST</f>
        <v>67.986739999999983</v>
      </c>
      <c r="K36" s="87"/>
      <c r="L36" s="88"/>
      <c r="M36" s="79"/>
      <c r="N36" s="88"/>
      <c r="O36" s="95"/>
      <c r="P36" s="95"/>
      <c r="Q36" s="95">
        <f>Q35*GST</f>
        <v>54.103180000000002</v>
      </c>
      <c r="R36" s="75"/>
    </row>
    <row r="37" spans="2:22" x14ac:dyDescent="0.35">
      <c r="B37" s="3" t="str">
        <f t="shared" si="9"/>
        <v>Ausgrid</v>
      </c>
      <c r="C37" s="3" t="str">
        <f t="shared" si="7"/>
        <v>Residential</v>
      </c>
      <c r="D37" s="3" t="str">
        <f t="shared" si="8"/>
        <v>with CL</v>
      </c>
      <c r="F37" s="41"/>
      <c r="G37" s="5" t="s">
        <v>90</v>
      </c>
      <c r="H37" s="94"/>
      <c r="I37" s="94"/>
      <c r="J37" s="94">
        <f>SUM(J35:J36)</f>
        <v>747.8541399999998</v>
      </c>
      <c r="K37" s="75"/>
      <c r="L37" s="27"/>
      <c r="M37" s="76">
        <f>IF(OR(J37=0,Q37=""),"",Q37/J37-1)</f>
        <v>-0.20420982091507833</v>
      </c>
      <c r="N37" s="27"/>
      <c r="O37" s="94"/>
      <c r="P37" s="94"/>
      <c r="Q37" s="94">
        <f>SUM(Q35:Q36)</f>
        <v>595.13497999999993</v>
      </c>
      <c r="R37" s="75"/>
    </row>
    <row r="38" spans="2:22" x14ac:dyDescent="0.35">
      <c r="F38" s="41"/>
      <c r="K38" s="43"/>
      <c r="M38" s="48"/>
      <c r="R38" s="43"/>
    </row>
    <row r="39" spans="2:22" x14ac:dyDescent="0.35">
      <c r="B39" s="5" t="s">
        <v>2</v>
      </c>
      <c r="C39" s="5" t="s">
        <v>15</v>
      </c>
      <c r="D39" s="5" t="s">
        <v>150</v>
      </c>
      <c r="F39" s="41"/>
      <c r="K39" s="43"/>
      <c r="M39" s="48"/>
      <c r="R39" s="43"/>
    </row>
    <row r="40" spans="2:22" outlineLevel="1" x14ac:dyDescent="0.35">
      <c r="B40" s="3" t="str">
        <f>B39</f>
        <v>Ausgrid</v>
      </c>
      <c r="C40" s="3" t="str">
        <f t="shared" ref="C40:C48" si="15">C39</f>
        <v>Small business</v>
      </c>
      <c r="D40" s="3" t="str">
        <f t="shared" ref="D40:D48" si="16">D39</f>
        <v>without CL</v>
      </c>
      <c r="E40" s="3" t="s">
        <v>23</v>
      </c>
      <c r="F40" s="41">
        <f t="array" ref="F40">IFERROR(INDEX(Usage!$B$5:$P$18,MATCH($B40,Usage!$B$5:$B$18,0),MATCH($C40&amp;$D40&amp;$E40,Usage!$B$5:$S$5&amp;Usage!$B$6:$S$6&amp;Usage!$B$7:$S$7,0)),0)</f>
        <v>20000</v>
      </c>
      <c r="G40" s="3" t="s">
        <v>79</v>
      </c>
      <c r="I40" s="89">
        <f t="array" ref="I40">IFERROR(INDEX('Detail inputs'!$B$3:$K$168,MATCH($B40&amp;$C40&amp;$E40&amp;$G40&amp;I$5,'Detail inputs'!$B$3:$B$168&amp;'Detail inputs'!$D$3:$D$168&amp;'Detail inputs'!$F$3:$F$168&amp;'Detail inputs'!$G$3:$G$168&amp;'Detail inputs'!$H$3:$H$168,0),MATCH(I$4,'Detail inputs'!$B$3:$K$3,0)),0)</f>
        <v>100.92</v>
      </c>
      <c r="J40" s="89">
        <f>IF(AND(H40="",I40=""),"",H40+I40*$F40/1000)</f>
        <v>2018.4</v>
      </c>
      <c r="K40" s="43">
        <f>IFERROR(J40/J46,"")</f>
        <v>0.90869800108049714</v>
      </c>
      <c r="L40" s="43"/>
      <c r="M40" s="48">
        <f t="shared" ref="M40:M46" si="17">IF(OR(J40=0,Q40=""),"",Q40/J40-1)</f>
        <v>-0.19857312722948883</v>
      </c>
      <c r="N40" s="43"/>
      <c r="P40" s="89">
        <f t="array" ref="P40">IFERROR(INDEX('Detail inputs'!$B$3:$K$168,MATCH($B40&amp;$C40&amp;$E40&amp;$G40&amp;P$5,'Detail inputs'!$B$3:$B$168&amp;'Detail inputs'!$D$3:$D$168&amp;'Detail inputs'!$F$3:$F$168&amp;'Detail inputs'!$G$3:$G$168&amp;'Detail inputs'!$H$3:$H$168,0),MATCH(P$4,'Detail inputs'!$B$3:$K$3,0)),0)</f>
        <v>80.88</v>
      </c>
      <c r="Q40" s="89">
        <f>IF(AND(O40="",P40=""),"",O40+P40*$F40/1000)</f>
        <v>1617.6</v>
      </c>
      <c r="R40" s="43">
        <f>IFERROR(Q40/Q46,"")</f>
        <v>0.91971798953832151</v>
      </c>
    </row>
    <row r="41" spans="2:22" outlineLevel="1" x14ac:dyDescent="0.35">
      <c r="B41" s="3" t="str">
        <f t="shared" ref="B41:B48" si="18">B40</f>
        <v>Ausgrid</v>
      </c>
      <c r="C41" s="3" t="str">
        <f t="shared" si="15"/>
        <v>Small business</v>
      </c>
      <c r="D41" s="3" t="str">
        <f t="shared" si="16"/>
        <v>without CL</v>
      </c>
      <c r="E41" s="3" t="s">
        <v>23</v>
      </c>
      <c r="F41" s="41">
        <f t="array" ref="F41">IFERROR(INDEX(Usage!$B$5:$P$18,MATCH($B41,Usage!$B$5:$B$18,0),MATCH($C41&amp;$D41&amp;$E41,Usage!$B$5:$S$5&amp;Usage!$B$6:$S$6&amp;Usage!$B$7:$S$7,0)),0)</f>
        <v>20000</v>
      </c>
      <c r="G41" s="3" t="s">
        <v>80</v>
      </c>
      <c r="I41" s="89">
        <f t="array" ref="I41">IFERROR(INDEX('Detail inputs'!$B$3:$K$168,MATCH($B41&amp;$G41&amp;I$5,'Detail inputs'!$B$3:$B$168&amp;'Detail inputs'!$G$3:$G$168&amp;'Detail inputs'!$H$3:$H$168,0),MATCH(I$4,'Detail inputs'!$B$3:$K$3,0)),0)</f>
        <v>1.53</v>
      </c>
      <c r="J41" s="89">
        <f t="shared" ref="J41:J46" si="19">IF(AND(H41="",I41=""),"",H41+I41*$F41/1000)</f>
        <v>30.6</v>
      </c>
      <c r="K41" s="43">
        <f>IFERROR(J41/J46,"")</f>
        <v>1.3776337115072935E-2</v>
      </c>
      <c r="L41" s="43"/>
      <c r="M41" s="48">
        <f t="shared" si="17"/>
        <v>-0.81699346405228757</v>
      </c>
      <c r="N41" s="43"/>
      <c r="P41" s="89">
        <f t="array" ref="P41">IFERROR(INDEX('Detail inputs'!$B$3:$K$168,MATCH($B41&amp;$G41&amp;P$5,'Detail inputs'!$B$3:$B$168&amp;'Detail inputs'!$G$3:$G$168&amp;'Detail inputs'!$H$3:$H$168,0),MATCH(P$4,'Detail inputs'!$B$3:$K$3,0)),0)</f>
        <v>0.28000000000000003</v>
      </c>
      <c r="Q41" s="89">
        <f t="shared" ref="Q41:Q46" si="20">IF(AND(O41="",P41=""),"",O41+P41*$F41/1000)</f>
        <v>5.6000000000000005</v>
      </c>
      <c r="R41" s="43">
        <f>IFERROR(Q41/Q46,"")</f>
        <v>3.1839890834660001E-3</v>
      </c>
    </row>
    <row r="42" spans="2:22" outlineLevel="1" x14ac:dyDescent="0.35">
      <c r="B42" s="3" t="str">
        <f t="shared" si="18"/>
        <v>Ausgrid</v>
      </c>
      <c r="C42" s="3" t="str">
        <f t="shared" si="15"/>
        <v>Small business</v>
      </c>
      <c r="D42" s="3" t="str">
        <f t="shared" si="16"/>
        <v>without CL</v>
      </c>
      <c r="E42" s="3" t="s">
        <v>23</v>
      </c>
      <c r="F42" s="41">
        <f t="array" ref="F42">IFERROR(INDEX(Usage!$B$5:$P$18,MATCH($B42,Usage!$B$5:$B$18,0),MATCH($C42&amp;$D42&amp;$E42,Usage!$B$5:$S$5&amp;Usage!$B$6:$S$6&amp;Usage!$B$7:$S$7,0)),0)</f>
        <v>20000</v>
      </c>
      <c r="G42" s="3" t="s">
        <v>88</v>
      </c>
      <c r="I42" s="89">
        <f t="array" ref="I42">IFERROR(INDEX('Detail inputs'!$B$3:$K$168,MATCH($B42&amp;$G42&amp;I$5,'Detail inputs'!$B$3:$B$168&amp;'Detail inputs'!$G$3:$G$168&amp;'Detail inputs'!$H$3:$H$168,0),MATCH(I$4,'Detail inputs'!$B$3:$K$3,0)),0)</f>
        <v>0.71</v>
      </c>
      <c r="J42" s="89">
        <f t="shared" si="19"/>
        <v>14.2</v>
      </c>
      <c r="K42" s="43">
        <f>IFERROR(J42/J46,"")</f>
        <v>6.3929407527462635E-3</v>
      </c>
      <c r="L42" s="43"/>
      <c r="M42" s="48">
        <f t="shared" si="17"/>
        <v>-0.30985915492957739</v>
      </c>
      <c r="N42" s="43"/>
      <c r="P42" s="89">
        <f t="array" ref="P42">IFERROR(INDEX('Detail inputs'!$B$3:$K$168,MATCH($B42&amp;$G42&amp;P$5,'Detail inputs'!$B$3:$B$168&amp;'Detail inputs'!$G$3:$G$168&amp;'Detail inputs'!$H$3:$H$168,0),MATCH(P$4,'Detail inputs'!$B$3:$K$3,0)),0)</f>
        <v>0.49</v>
      </c>
      <c r="Q42" s="89">
        <f t="shared" si="20"/>
        <v>9.8000000000000007</v>
      </c>
      <c r="R42" s="43">
        <f>IFERROR(Q42/Q46,"")</f>
        <v>5.5719808960654994E-3</v>
      </c>
    </row>
    <row r="43" spans="2:22" outlineLevel="1" x14ac:dyDescent="0.35">
      <c r="B43" s="3" t="str">
        <f t="shared" si="18"/>
        <v>Ausgrid</v>
      </c>
      <c r="C43" s="3" t="str">
        <f t="shared" si="15"/>
        <v>Small business</v>
      </c>
      <c r="D43" s="3" t="str">
        <f t="shared" si="16"/>
        <v>without CL</v>
      </c>
      <c r="E43" s="3" t="s">
        <v>23</v>
      </c>
      <c r="F43" s="41">
        <f t="array" ref="F43">IFERROR(INDEX(Usage!$B$5:$P$18,MATCH($B43,Usage!$B$5:$B$18,0),MATCH($C43&amp;$D43&amp;$E43,Usage!$B$5:$S$5&amp;Usage!$B$6:$S$6&amp;Usage!$B$7:$S$7,0)),0)</f>
        <v>20000</v>
      </c>
      <c r="G43" s="3" t="s">
        <v>81</v>
      </c>
      <c r="I43" s="89">
        <f t="array" ref="I43">IFERROR(INDEX('Detail inputs'!$B$3:$K$168,MATCH($B43&amp;$G43&amp;I$5,'Detail inputs'!$B$3:$B$168&amp;'Detail inputs'!$G$3:$G$168&amp;'Detail inputs'!$H$3:$H$168,0),MATCH(I$4,'Detail inputs'!$B$3:$K$3,0)),0)</f>
        <v>0.36</v>
      </c>
      <c r="J43" s="89">
        <f t="shared" si="19"/>
        <v>7.2</v>
      </c>
      <c r="K43" s="43">
        <f>IFERROR(J43/J46,"")</f>
        <v>3.2414910858995141E-3</v>
      </c>
      <c r="L43" s="43"/>
      <c r="M43" s="48">
        <f t="shared" si="17"/>
        <v>-1</v>
      </c>
      <c r="N43" s="43"/>
      <c r="P43" s="89">
        <f t="array" ref="P43">IFERROR(INDEX('Detail inputs'!$B$3:$K$168,MATCH($B43&amp;$G43&amp;P$5,'Detail inputs'!$B$3:$B$168&amp;'Detail inputs'!$G$3:$G$168&amp;'Detail inputs'!$H$3:$H$168,0),MATCH(P$4,'Detail inputs'!$B$3:$K$3,0)),0)</f>
        <v>0</v>
      </c>
      <c r="Q43" s="89">
        <f t="shared" si="20"/>
        <v>0</v>
      </c>
      <c r="R43" s="43">
        <f>IFERROR(Q43/Q46,"")</f>
        <v>0</v>
      </c>
    </row>
    <row r="44" spans="2:22" outlineLevel="1" x14ac:dyDescent="0.35">
      <c r="B44" s="3" t="str">
        <f t="shared" si="18"/>
        <v>Ausgrid</v>
      </c>
      <c r="C44" s="3" t="str">
        <f t="shared" si="15"/>
        <v>Small business</v>
      </c>
      <c r="D44" s="3" t="str">
        <f t="shared" si="16"/>
        <v>without CL</v>
      </c>
      <c r="E44" s="3" t="s">
        <v>23</v>
      </c>
      <c r="F44" s="41">
        <f t="array" ref="F44">IFERROR(INDEX(Usage!$B$5:$P$18,MATCH($B44,Usage!$B$5:$B$18,0),MATCH($C44&amp;$D44&amp;$E44,Usage!$B$5:$S$5&amp;Usage!$B$6:$S$6&amp;Usage!$B$7:$S$7,0)),0)</f>
        <v>20000</v>
      </c>
      <c r="G44" s="3" t="s">
        <v>161</v>
      </c>
      <c r="I44" s="89">
        <f t="array" ref="I44">IFERROR(INDEX('Detail inputs'!$B$3:$K$168,MATCH($B44&amp;$G44&amp;I$5,'Detail inputs'!$B$3:$B$168&amp;'Detail inputs'!$G$3:$G$168&amp;'Detail inputs'!$H$3:$H$168,0),MATCH(I$4,'Detail inputs'!$B$3:$K$3,0)),0)</f>
        <v>2.25</v>
      </c>
      <c r="J44" s="89">
        <f t="shared" si="19"/>
        <v>45</v>
      </c>
      <c r="K44" s="43">
        <f>IFERROR(J44/J46,"")</f>
        <v>2.0259319286871962E-2</v>
      </c>
      <c r="L44" s="43"/>
      <c r="M44" s="48">
        <f t="shared" si="17"/>
        <v>-0.13777777777777789</v>
      </c>
      <c r="N44" s="43"/>
      <c r="P44" s="89">
        <f t="array" ref="P44">IFERROR(INDEX('Detail inputs'!$B$3:$K$168,MATCH($B44&amp;$G44&amp;P$5,'Detail inputs'!$B$3:$B$168&amp;'Detail inputs'!$G$3:$G$168&amp;'Detail inputs'!$H$3:$H$168,0),MATCH(P$4,'Detail inputs'!$B$3:$K$3,0)),0)</f>
        <v>1.94</v>
      </c>
      <c r="Q44" s="89">
        <f t="shared" si="20"/>
        <v>38.799999999999997</v>
      </c>
      <c r="R44" s="43">
        <f>IFERROR(Q44/Q46,"")</f>
        <v>2.2060495792585854E-2</v>
      </c>
    </row>
    <row r="45" spans="2:22" outlineLevel="1" x14ac:dyDescent="0.35">
      <c r="B45" s="3" t="str">
        <f t="shared" si="18"/>
        <v>Ausgrid</v>
      </c>
      <c r="C45" s="3" t="str">
        <f t="shared" si="15"/>
        <v>Small business</v>
      </c>
      <c r="D45" s="3" t="str">
        <f t="shared" si="16"/>
        <v>without CL</v>
      </c>
      <c r="E45" s="3" t="s">
        <v>23</v>
      </c>
      <c r="F45" s="41">
        <f t="array" ref="F45">IFERROR(INDEX(Usage!$B$5:$P$18,MATCH($B45,Usage!$B$5:$B$18,0),MATCH($C45&amp;$D45&amp;$E45,Usage!$B$5:$S$5&amp;Usage!$B$6:$S$6&amp;Usage!$B$7:$S$7,0)),0)</f>
        <v>20000</v>
      </c>
      <c r="G45" s="3" t="s">
        <v>82</v>
      </c>
      <c r="I45" s="89">
        <f t="array" ref="I45">ROUND(IFERROR(INDEX('Detail inputs'!$B$3:$K$168,MATCH($B45&amp;$C45&amp;$E45&amp;$G45&amp;I$5,'Detail inputs'!$B$3:$B$168&amp;'Detail inputs'!$D$3:$D$168&amp;'Detail inputs'!$F$3:$F$168&amp;'Detail inputs'!$G$3:$G$168&amp;'Detail inputs'!$H$3:$H$168,0),MATCH(I$4,'Detail inputs'!$B$3:$K$3,0)),0)*SUM(I40:I44),2)</f>
        <v>5.29</v>
      </c>
      <c r="J45" s="89">
        <f t="shared" si="19"/>
        <v>105.8</v>
      </c>
      <c r="K45" s="43">
        <f>IFERROR(J45/J46,"")</f>
        <v>4.7631910678912301E-2</v>
      </c>
      <c r="L45" s="43"/>
      <c r="M45" s="48">
        <f t="shared" si="17"/>
        <v>-0.17769376181474483</v>
      </c>
      <c r="N45" s="43"/>
      <c r="P45" s="89">
        <f t="array" ref="P45">ROUND(IFERROR(INDEX('Detail inputs'!$B$3:$K$168,MATCH($B45&amp;$C45&amp;$E45&amp;$G45&amp;P$5,'Detail inputs'!$B$3:$B$168&amp;'Detail inputs'!$D$3:$D$168&amp;'Detail inputs'!$F$3:$F$168&amp;'Detail inputs'!$G$3:$G$168&amp;'Detail inputs'!$H$3:$H$168,0),MATCH(P$4,'Detail inputs'!$B$3:$K$3,0)),0)*SUM(P40:P44),2)</f>
        <v>4.3499999999999996</v>
      </c>
      <c r="Q45" s="89">
        <f t="shared" si="20"/>
        <v>87</v>
      </c>
      <c r="R45" s="43">
        <f>IFERROR(Q45/Q46,"")</f>
        <v>4.9465544689561068E-2</v>
      </c>
    </row>
    <row r="46" spans="2:22" s="77" customFormat="1" x14ac:dyDescent="0.35">
      <c r="B46" s="3" t="str">
        <f t="shared" si="18"/>
        <v>Ausgrid</v>
      </c>
      <c r="C46" s="3" t="str">
        <f t="shared" si="15"/>
        <v>Small business</v>
      </c>
      <c r="D46" s="3" t="str">
        <f t="shared" si="16"/>
        <v>without CL</v>
      </c>
      <c r="E46" s="3" t="s">
        <v>23</v>
      </c>
      <c r="F46" s="41">
        <f t="array" ref="F46">IFERROR(INDEX(Usage!$B$5:$P$18,MATCH($B46,Usage!$B$5:$B$18,0),MATCH($C46&amp;$D46&amp;$E46,Usage!$B$5:$S$5&amp;Usage!$B$6:$S$6&amp;Usage!$B$7:$S$7,0)),0)</f>
        <v>20000</v>
      </c>
      <c r="G46" s="77" t="s">
        <v>62</v>
      </c>
      <c r="H46" s="95"/>
      <c r="I46" s="95">
        <f t="array" ref="I46">INDEX('Key inputs'!$B$16:$N$40,MATCH($B46&amp;$C46&amp;$E46,'Key inputs'!$B$16:$B$40&amp;'Key inputs'!$C$16:$C$40&amp;'Key inputs'!$D$16:$D$40,0),MATCH($A$2&amp;I$4,'Key inputs'!$B$17:$N$17&amp;'Key inputs'!$B$18:$N$18,0))</f>
        <v>111.06</v>
      </c>
      <c r="J46" s="89">
        <f t="shared" si="19"/>
        <v>2221.1999999999998</v>
      </c>
      <c r="K46" s="87"/>
      <c r="L46" s="88"/>
      <c r="M46" s="79">
        <f t="shared" si="17"/>
        <v>-0.2081757608499909</v>
      </c>
      <c r="N46" s="88"/>
      <c r="O46" s="95"/>
      <c r="P46" s="95">
        <f t="array" ref="P46">INDEX('Key inputs'!$B$16:$N$40,MATCH($B46&amp;$C46&amp;$E46,'Key inputs'!$B$16:$B$40&amp;'Key inputs'!$C$16:$C$40&amp;'Key inputs'!$D$16:$D$40,0),MATCH($A$2&amp;P$4,'Key inputs'!$B$17:$N$17&amp;'Key inputs'!$B$18:$N$18,0))</f>
        <v>87.94</v>
      </c>
      <c r="Q46" s="89">
        <f t="shared" si="20"/>
        <v>1758.8</v>
      </c>
      <c r="R46" s="87"/>
      <c r="S46" s="129" t="b">
        <f>ROUND(I46,$T$5)=ROUND(SUM(I40:I45),$T$5)</f>
        <v>1</v>
      </c>
      <c r="T46" s="129" t="b">
        <f>ROUND(P46,$T$5)=ROUND(SUM(P40:P45),$T$5)</f>
        <v>1</v>
      </c>
      <c r="U46" s="128"/>
      <c r="V46" s="128"/>
    </row>
    <row r="47" spans="2:22" outlineLevel="1" x14ac:dyDescent="0.35">
      <c r="B47" s="3" t="str">
        <f t="shared" si="18"/>
        <v>Ausgrid</v>
      </c>
      <c r="C47" s="3" t="str">
        <f t="shared" si="15"/>
        <v>Small business</v>
      </c>
      <c r="D47" s="3" t="str">
        <f t="shared" si="16"/>
        <v>without CL</v>
      </c>
      <c r="F47" s="41"/>
      <c r="G47" s="77" t="s">
        <v>42</v>
      </c>
      <c r="H47" s="95"/>
      <c r="I47" s="95"/>
      <c r="J47" s="95">
        <f>J46*GST</f>
        <v>222.12</v>
      </c>
      <c r="K47" s="87"/>
      <c r="L47" s="88"/>
      <c r="M47" s="79"/>
      <c r="N47" s="88"/>
      <c r="O47" s="95"/>
      <c r="P47" s="95"/>
      <c r="Q47" s="95">
        <f>Q46*GST</f>
        <v>175.88</v>
      </c>
      <c r="R47" s="43"/>
    </row>
    <row r="48" spans="2:22" x14ac:dyDescent="0.35">
      <c r="B48" s="3" t="str">
        <f t="shared" si="18"/>
        <v>Ausgrid</v>
      </c>
      <c r="C48" s="3" t="str">
        <f t="shared" si="15"/>
        <v>Small business</v>
      </c>
      <c r="D48" s="3" t="str">
        <f t="shared" si="16"/>
        <v>without CL</v>
      </c>
      <c r="F48" s="41"/>
      <c r="G48" s="5" t="s">
        <v>90</v>
      </c>
      <c r="H48" s="94"/>
      <c r="I48" s="94"/>
      <c r="J48" s="94">
        <f>SUM(J46:J47)</f>
        <v>2443.3199999999997</v>
      </c>
      <c r="K48" s="75"/>
      <c r="L48" s="27"/>
      <c r="M48" s="76">
        <f>IF(OR(J48=0,Q48=""),"",Q48/J48-1)</f>
        <v>-0.20817576084999101</v>
      </c>
      <c r="N48" s="27"/>
      <c r="O48" s="94"/>
      <c r="P48" s="94"/>
      <c r="Q48" s="94">
        <f>SUM(Q46:Q47)</f>
        <v>1934.6799999999998</v>
      </c>
      <c r="R48" s="43"/>
    </row>
    <row r="49" spans="2:22" x14ac:dyDescent="0.35">
      <c r="F49" s="41"/>
      <c r="K49" s="43"/>
      <c r="M49" s="48"/>
      <c r="R49" s="43"/>
    </row>
    <row r="50" spans="2:22" x14ac:dyDescent="0.35">
      <c r="B50" s="5" t="s">
        <v>4</v>
      </c>
      <c r="C50" s="5" t="s">
        <v>6</v>
      </c>
      <c r="D50" s="5" t="s">
        <v>150</v>
      </c>
      <c r="F50" s="41"/>
      <c r="K50" s="43"/>
      <c r="M50" s="48"/>
      <c r="R50" s="43"/>
    </row>
    <row r="51" spans="2:22" outlineLevel="1" x14ac:dyDescent="0.35">
      <c r="B51" s="3" t="str">
        <f>B50</f>
        <v>Endeavour</v>
      </c>
      <c r="C51" s="3" t="str">
        <f t="shared" ref="C51:C59" si="21">C50</f>
        <v>Residential</v>
      </c>
      <c r="D51" s="3" t="str">
        <f t="shared" ref="D51:D59" si="22">D50</f>
        <v>without CL</v>
      </c>
      <c r="E51" s="3" t="s">
        <v>23</v>
      </c>
      <c r="F51" s="41">
        <f t="array" ref="F51">IFERROR(INDEX(Usage!$B$5:$P$18,MATCH($B51,Usage!$B$5:$B$18,0),MATCH($C51&amp;$D51&amp;$E51&amp;"Total",Usage!$B$5:$S$5&amp;Usage!$B$6:$S$6&amp;Usage!$B$7:$S$7&amp;Usage!$B$13:$S$13,0)),0)</f>
        <v>4900</v>
      </c>
      <c r="G51" s="3" t="s">
        <v>79</v>
      </c>
      <c r="I51" s="89">
        <f t="array" ref="I51">IFERROR(INDEX('Detail inputs'!$B$3:$K$168,MATCH($B51&amp;$C51&amp;$E51&amp;$G51&amp;I$5,'Detail inputs'!$B$3:$B$168&amp;'Detail inputs'!$D$3:$D$168&amp;'Detail inputs'!$F$3:$F$168&amp;'Detail inputs'!$G$3:$G$168&amp;'Detail inputs'!$H$3:$H$168,0),MATCH(I$4,'Detail inputs'!$B$3:$K$3,0)),0)</f>
        <v>101.07</v>
      </c>
      <c r="J51" s="89">
        <f>IF(AND(H51="",I51=""),"",H51+I51*$F51/1000)</f>
        <v>495.24299999999994</v>
      </c>
      <c r="K51" s="43">
        <f>IFERROR(J51/J57,"")</f>
        <v>0.90024049167186226</v>
      </c>
      <c r="L51" s="43"/>
      <c r="M51" s="48">
        <f t="shared" ref="M51:M57" si="23">IF(OR(J51=0,Q51=""),"",Q51/J51-1)</f>
        <v>-0.2016424260413574</v>
      </c>
      <c r="N51" s="43"/>
      <c r="P51" s="89">
        <f t="array" ref="P51">IFERROR(INDEX('Detail inputs'!$B$3:$K$168,MATCH($B51&amp;$C51&amp;$E51&amp;$G51&amp;P$5,'Detail inputs'!$B$3:$B$168&amp;'Detail inputs'!$D$3:$D$168&amp;'Detail inputs'!$F$3:$F$168&amp;'Detail inputs'!$G$3:$G$168&amp;'Detail inputs'!$H$3:$H$168,0),MATCH(P$4,'Detail inputs'!$B$3:$K$3,0)),0)</f>
        <v>80.69</v>
      </c>
      <c r="Q51" s="89">
        <f>IF(AND(O51="",P51=""),"",O51+P51*$F51/1000)</f>
        <v>395.38099999999997</v>
      </c>
      <c r="R51" s="43">
        <f>IFERROR(Q51/Q57,"")</f>
        <v>0.91412711000339852</v>
      </c>
    </row>
    <row r="52" spans="2:22" outlineLevel="1" x14ac:dyDescent="0.35">
      <c r="B52" s="3" t="str">
        <f t="shared" ref="B52:B59" si="24">B51</f>
        <v>Endeavour</v>
      </c>
      <c r="C52" s="3" t="str">
        <f t="shared" si="21"/>
        <v>Residential</v>
      </c>
      <c r="D52" s="3" t="str">
        <f t="shared" si="22"/>
        <v>without CL</v>
      </c>
      <c r="E52" s="3" t="s">
        <v>23</v>
      </c>
      <c r="F52" s="41">
        <f t="array" ref="F52">IFERROR(INDEX(Usage!$B$5:$P$18,MATCH($B52,Usage!$B$5:$B$18,0),MATCH($C52&amp;$D52&amp;$E52&amp;"Total",Usage!$B$5:$S$5&amp;Usage!$B$6:$S$6&amp;Usage!$B$7:$S$7&amp;Usage!$B$13:$S$13,0)),0)</f>
        <v>4900</v>
      </c>
      <c r="G52" s="3" t="s">
        <v>80</v>
      </c>
      <c r="I52" s="89">
        <f t="array" ref="I52">IFERROR(INDEX('Detail inputs'!$B$3:$K$168,MATCH($B52&amp;$G52&amp;I$5,'Detail inputs'!$B$3:$B$168&amp;'Detail inputs'!$G$3:$G$168&amp;'Detail inputs'!$H$3:$H$168,0),MATCH(I$4,'Detail inputs'!$B$3:$K$3,0)),0)</f>
        <v>1.53</v>
      </c>
      <c r="J52" s="89">
        <f t="shared" ref="J52:J57" si="25">IF(AND(H52="",I52=""),"",H52+I52*$F52/1000)</f>
        <v>7.4969999999999999</v>
      </c>
      <c r="K52" s="43">
        <f>IFERROR(J52/J57,"")</f>
        <v>1.3627861405540214E-2</v>
      </c>
      <c r="L52" s="43"/>
      <c r="M52" s="48">
        <f t="shared" si="23"/>
        <v>-0.81699346405228757</v>
      </c>
      <c r="N52" s="43"/>
      <c r="P52" s="89">
        <f t="array" ref="P52">IFERROR(INDEX('Detail inputs'!$B$3:$K$168,MATCH($B52&amp;$G52&amp;P$5,'Detail inputs'!$B$3:$B$168&amp;'Detail inputs'!$G$3:$G$168&amp;'Detail inputs'!$H$3:$H$168,0),MATCH(P$4,'Detail inputs'!$B$3:$K$3,0)),0)</f>
        <v>0.28000000000000003</v>
      </c>
      <c r="Q52" s="89">
        <f t="shared" ref="Q52:Q57" si="26">IF(AND(O52="",P52=""),"",O52+P52*$F52/1000)</f>
        <v>1.3720000000000003</v>
      </c>
      <c r="R52" s="43">
        <f>IFERROR(Q52/Q57,"")</f>
        <v>3.1720856463124509E-3</v>
      </c>
    </row>
    <row r="53" spans="2:22" outlineLevel="1" x14ac:dyDescent="0.35">
      <c r="B53" s="3" t="str">
        <f t="shared" si="24"/>
        <v>Endeavour</v>
      </c>
      <c r="C53" s="3" t="str">
        <f t="shared" si="21"/>
        <v>Residential</v>
      </c>
      <c r="D53" s="3" t="str">
        <f t="shared" si="22"/>
        <v>without CL</v>
      </c>
      <c r="E53" s="3" t="s">
        <v>23</v>
      </c>
      <c r="F53" s="41">
        <f t="array" ref="F53">IFERROR(INDEX(Usage!$B$5:$P$18,MATCH($B53,Usage!$B$5:$B$18,0),MATCH($C53&amp;$D53&amp;$E53&amp;"Total",Usage!$B$5:$S$5&amp;Usage!$B$6:$S$6&amp;Usage!$B$7:$S$7&amp;Usage!$B$13:$S$13,0)),0)</f>
        <v>4900</v>
      </c>
      <c r="G53" s="3" t="s">
        <v>88</v>
      </c>
      <c r="I53" s="89">
        <f t="array" ref="I53">IFERROR(INDEX('Detail inputs'!$B$3:$K$168,MATCH($B53&amp;$G53&amp;I$5,'Detail inputs'!$B$3:$B$168&amp;'Detail inputs'!$G$3:$G$168&amp;'Detail inputs'!$H$3:$H$168,0),MATCH(I$4,'Detail inputs'!$B$3:$K$3,0)),0)</f>
        <v>0.71</v>
      </c>
      <c r="J53" s="89">
        <f t="shared" si="25"/>
        <v>3.4790000000000001</v>
      </c>
      <c r="K53" s="43">
        <f>IFERROR(J53/J57,"")</f>
        <v>6.3240402600872889E-3</v>
      </c>
      <c r="L53" s="43"/>
      <c r="M53" s="48">
        <f t="shared" si="23"/>
        <v>-0.3098591549295775</v>
      </c>
      <c r="N53" s="43"/>
      <c r="P53" s="89">
        <f t="array" ref="P53">IFERROR(INDEX('Detail inputs'!$B$3:$K$168,MATCH($B53&amp;$G53&amp;P$5,'Detail inputs'!$B$3:$B$168&amp;'Detail inputs'!$G$3:$G$168&amp;'Detail inputs'!$H$3:$H$168,0),MATCH(P$4,'Detail inputs'!$B$3:$K$3,0)),0)</f>
        <v>0.49</v>
      </c>
      <c r="Q53" s="89">
        <f t="shared" si="26"/>
        <v>2.4009999999999998</v>
      </c>
      <c r="R53" s="43">
        <f>IFERROR(Q53/Q57,"")</f>
        <v>5.5511498810467876E-3</v>
      </c>
    </row>
    <row r="54" spans="2:22" outlineLevel="1" x14ac:dyDescent="0.35">
      <c r="B54" s="3" t="str">
        <f t="shared" si="24"/>
        <v>Endeavour</v>
      </c>
      <c r="C54" s="3" t="str">
        <f t="shared" si="21"/>
        <v>Residential</v>
      </c>
      <c r="D54" s="3" t="str">
        <f t="shared" si="22"/>
        <v>without CL</v>
      </c>
      <c r="E54" s="3" t="s">
        <v>23</v>
      </c>
      <c r="F54" s="41">
        <f t="array" ref="F54">IFERROR(INDEX(Usage!$B$5:$P$18,MATCH($B54,Usage!$B$5:$B$18,0),MATCH($C54&amp;$D54&amp;$E54&amp;"Total",Usage!$B$5:$S$5&amp;Usage!$B$6:$S$6&amp;Usage!$B$7:$S$7&amp;Usage!$B$13:$S$13,0)),0)</f>
        <v>4900</v>
      </c>
      <c r="G54" s="3" t="s">
        <v>81</v>
      </c>
      <c r="I54" s="89">
        <f t="array" ref="I54">IFERROR(INDEX('Detail inputs'!$B$3:$K$168,MATCH($B54&amp;$G54&amp;I$5,'Detail inputs'!$B$3:$B$168&amp;'Detail inputs'!$G$3:$G$168&amp;'Detail inputs'!$H$3:$H$168,0),MATCH(I$4,'Detail inputs'!$B$3:$K$3,0)),0)</f>
        <v>0.36</v>
      </c>
      <c r="J54" s="89">
        <f t="shared" si="25"/>
        <v>1.764</v>
      </c>
      <c r="K54" s="43">
        <f>IFERROR(J54/J57,"")</f>
        <v>3.2065556248329916E-3</v>
      </c>
      <c r="L54" s="43"/>
      <c r="M54" s="48">
        <f t="shared" si="23"/>
        <v>-1</v>
      </c>
      <c r="N54" s="43"/>
      <c r="P54" s="89">
        <f t="array" ref="P54">IFERROR(INDEX('Detail inputs'!$B$3:$K$168,MATCH($B54&amp;$G54&amp;P$5,'Detail inputs'!$B$3:$B$168&amp;'Detail inputs'!$G$3:$G$168&amp;'Detail inputs'!$H$3:$H$168,0),MATCH(P$4,'Detail inputs'!$B$3:$K$3,0)),0)</f>
        <v>0</v>
      </c>
      <c r="Q54" s="89">
        <f t="shared" si="26"/>
        <v>0</v>
      </c>
      <c r="R54" s="43">
        <f>IFERROR(Q54/Q57,"")</f>
        <v>0</v>
      </c>
    </row>
    <row r="55" spans="2:22" outlineLevel="1" x14ac:dyDescent="0.35">
      <c r="B55" s="3" t="str">
        <f t="shared" si="24"/>
        <v>Endeavour</v>
      </c>
      <c r="C55" s="3" t="str">
        <f t="shared" si="21"/>
        <v>Residential</v>
      </c>
      <c r="D55" s="3" t="str">
        <f t="shared" si="22"/>
        <v>without CL</v>
      </c>
      <c r="E55" s="3" t="s">
        <v>23</v>
      </c>
      <c r="F55" s="41">
        <f t="array" ref="F55">IFERROR(INDEX(Usage!$B$5:$P$18,MATCH($B55,Usage!$B$5:$B$18,0),MATCH($C55&amp;$D55&amp;$E55&amp;"Total",Usage!$B$5:$S$5&amp;Usage!$B$6:$S$6&amp;Usage!$B$7:$S$7&amp;Usage!$B$13:$S$13,0)),0)</f>
        <v>4900</v>
      </c>
      <c r="G55" s="3" t="s">
        <v>161</v>
      </c>
      <c r="I55" s="89">
        <f t="array" ref="I55">IFERROR(INDEX('Detail inputs'!$B$3:$K$168,MATCH($B55&amp;$G55&amp;I$5,'Detail inputs'!$B$3:$B$168&amp;'Detail inputs'!$G$3:$G$168&amp;'Detail inputs'!$H$3:$H$168,0),MATCH(I$4,'Detail inputs'!$B$3:$K$3,0)),0)</f>
        <v>2.0499999999999998</v>
      </c>
      <c r="J55" s="89">
        <f t="shared" si="25"/>
        <v>10.045</v>
      </c>
      <c r="K55" s="43">
        <f>IFERROR(J55/J57,"")</f>
        <v>1.8259552863632313E-2</v>
      </c>
      <c r="L55" s="43"/>
      <c r="M55" s="48">
        <f t="shared" si="23"/>
        <v>-0.11707317073170731</v>
      </c>
      <c r="N55" s="43"/>
      <c r="P55" s="89">
        <f t="array" ref="P55">IFERROR(INDEX('Detail inputs'!$B$3:$K$168,MATCH($B55&amp;$G55&amp;P$5,'Detail inputs'!$B$3:$B$168&amp;'Detail inputs'!$G$3:$G$168&amp;'Detail inputs'!$H$3:$H$168,0),MATCH(P$4,'Detail inputs'!$B$3:$K$3,0)),0)</f>
        <v>1.81</v>
      </c>
      <c r="Q55" s="89">
        <f t="shared" si="26"/>
        <v>8.8689999999999998</v>
      </c>
      <c r="R55" s="43">
        <f>IFERROR(Q55/Q57,"")</f>
        <v>2.050526792794834E-2</v>
      </c>
    </row>
    <row r="56" spans="2:22" outlineLevel="1" x14ac:dyDescent="0.35">
      <c r="B56" s="3" t="str">
        <f t="shared" si="24"/>
        <v>Endeavour</v>
      </c>
      <c r="C56" s="3" t="str">
        <f t="shared" si="21"/>
        <v>Residential</v>
      </c>
      <c r="D56" s="3" t="str">
        <f t="shared" si="22"/>
        <v>without CL</v>
      </c>
      <c r="E56" s="3" t="s">
        <v>23</v>
      </c>
      <c r="F56" s="41">
        <f t="array" ref="F56">IFERROR(INDEX(Usage!$B$5:$P$18,MATCH($B56,Usage!$B$5:$B$18,0),MATCH($C56&amp;$D56&amp;$E56&amp;"Total",Usage!$B$5:$S$5&amp;Usage!$B$6:$S$6&amp;Usage!$B$7:$S$7&amp;Usage!$B$13:$S$13,0)),0)</f>
        <v>4900</v>
      </c>
      <c r="G56" s="3" t="s">
        <v>82</v>
      </c>
      <c r="I56" s="89">
        <f t="array" ref="I56">ROUND(IFERROR(INDEX('Detail inputs'!$B$3:$K$168,MATCH($B56&amp;$C56&amp;$E56&amp;$G56&amp;I$5,'Detail inputs'!$B$3:$B$168&amp;'Detail inputs'!$D$3:$D$168&amp;'Detail inputs'!$F$3:$F$168&amp;'Detail inputs'!$G$3:$G$168&amp;'Detail inputs'!$H$3:$H$168,0),MATCH(I$4,'Detail inputs'!$B$3:$K$3,0)),0)*SUM(I51:I55),2)</f>
        <v>6.55</v>
      </c>
      <c r="J56" s="89">
        <f t="shared" si="25"/>
        <v>32.094999999999999</v>
      </c>
      <c r="K56" s="43">
        <f>IFERROR(J56/J57,"")</f>
        <v>5.8341498174044708E-2</v>
      </c>
      <c r="L56" s="43"/>
      <c r="M56" s="48">
        <f t="shared" si="23"/>
        <v>-0.23664122137404575</v>
      </c>
      <c r="N56" s="43"/>
      <c r="P56" s="89">
        <f t="array" ref="P56">ROUND(IFERROR(INDEX('Detail inputs'!$B$3:$K$168,MATCH($B56&amp;$C56&amp;$E56&amp;$G56&amp;P$5,'Detail inputs'!$B$3:$B$168&amp;'Detail inputs'!$D$3:$D$168&amp;'Detail inputs'!$F$3:$F$168&amp;'Detail inputs'!$G$3:$G$168&amp;'Detail inputs'!$H$3:$H$168,0),MATCH(P$4,'Detail inputs'!$B$3:$K$3,0)),0)*SUM(P51:P55),2)</f>
        <v>5</v>
      </c>
      <c r="Q56" s="89">
        <f t="shared" si="26"/>
        <v>24.5</v>
      </c>
      <c r="R56" s="43">
        <f>IFERROR(Q56/Q57,"")</f>
        <v>5.6644386541293758E-2</v>
      </c>
    </row>
    <row r="57" spans="2:22" s="77" customFormat="1" x14ac:dyDescent="0.35">
      <c r="B57" s="3" t="str">
        <f t="shared" si="24"/>
        <v>Endeavour</v>
      </c>
      <c r="C57" s="3" t="str">
        <f t="shared" si="21"/>
        <v>Residential</v>
      </c>
      <c r="D57" s="3" t="str">
        <f t="shared" si="22"/>
        <v>without CL</v>
      </c>
      <c r="E57" s="3" t="s">
        <v>23</v>
      </c>
      <c r="F57" s="41">
        <f t="array" ref="F57">IFERROR(INDEX(Usage!$B$5:$P$18,MATCH($B57,Usage!$B$5:$B$18,0),MATCH($C57&amp;$D57&amp;$E57&amp;"Total",Usage!$B$5:$S$5&amp;Usage!$B$6:$S$6&amp;Usage!$B$7:$S$7&amp;Usage!$B$13:$S$13,0)),0)</f>
        <v>4900</v>
      </c>
      <c r="G57" s="77" t="s">
        <v>62</v>
      </c>
      <c r="H57" s="95"/>
      <c r="I57" s="95">
        <f t="array" ref="I57">INDEX('Key inputs'!$B$16:$N$40,MATCH($B57&amp;$C57&amp;$E57,'Key inputs'!$B$16:$B$40&amp;'Key inputs'!$C$16:$C$40&amp;'Key inputs'!$D$16:$D$40,0),MATCH($A$2&amp;I$4,'Key inputs'!$B$17:$N$17&amp;'Key inputs'!$B$18:$N$18,0))</f>
        <v>112.27</v>
      </c>
      <c r="J57" s="89">
        <f t="shared" si="25"/>
        <v>550.12300000000005</v>
      </c>
      <c r="K57" s="87"/>
      <c r="L57" s="88"/>
      <c r="M57" s="79">
        <f t="shared" si="23"/>
        <v>-0.2137703749888662</v>
      </c>
      <c r="N57" s="88"/>
      <c r="O57" s="95"/>
      <c r="P57" s="95">
        <f t="array" ref="P57">INDEX('Key inputs'!$B$16:$N$40,MATCH($B57&amp;$C57&amp;$E57,'Key inputs'!$B$16:$B$40&amp;'Key inputs'!$C$16:$C$40&amp;'Key inputs'!$D$16:$D$40,0),MATCH($A$2&amp;P$4,'Key inputs'!$B$17:$N$17&amp;'Key inputs'!$B$18:$N$18,0))</f>
        <v>88.27</v>
      </c>
      <c r="Q57" s="89">
        <f t="shared" si="26"/>
        <v>432.52300000000002</v>
      </c>
      <c r="R57" s="87"/>
      <c r="S57" s="129" t="b">
        <f>ROUND(I57,$T$5)=ROUND(SUM(I51:I56),$T$5)</f>
        <v>1</v>
      </c>
      <c r="T57" s="129" t="b">
        <f>ROUND(P57,$T$5)=ROUND(SUM(P51:P56),$T$5)</f>
        <v>1</v>
      </c>
      <c r="U57" s="128"/>
      <c r="V57" s="128"/>
    </row>
    <row r="58" spans="2:22" outlineLevel="1" x14ac:dyDescent="0.35">
      <c r="B58" s="3" t="str">
        <f t="shared" si="24"/>
        <v>Endeavour</v>
      </c>
      <c r="C58" s="3" t="str">
        <f t="shared" si="21"/>
        <v>Residential</v>
      </c>
      <c r="D58" s="3" t="str">
        <f t="shared" si="22"/>
        <v>without CL</v>
      </c>
      <c r="F58" s="41"/>
      <c r="G58" s="77" t="s">
        <v>42</v>
      </c>
      <c r="H58" s="95"/>
      <c r="I58" s="95"/>
      <c r="J58" s="95">
        <f>J57*GST</f>
        <v>55.01230000000001</v>
      </c>
      <c r="K58" s="87"/>
      <c r="L58" s="88"/>
      <c r="M58" s="79"/>
      <c r="N58" s="88"/>
      <c r="O58" s="95"/>
      <c r="P58" s="95"/>
      <c r="Q58" s="95">
        <f>Q57*GST</f>
        <v>43.252300000000005</v>
      </c>
      <c r="R58" s="75"/>
    </row>
    <row r="59" spans="2:22" x14ac:dyDescent="0.35">
      <c r="B59" s="3" t="str">
        <f t="shared" si="24"/>
        <v>Endeavour</v>
      </c>
      <c r="C59" s="3" t="str">
        <f t="shared" si="21"/>
        <v>Residential</v>
      </c>
      <c r="D59" s="3" t="str">
        <f t="shared" si="22"/>
        <v>without CL</v>
      </c>
      <c r="F59" s="41"/>
      <c r="G59" s="5" t="s">
        <v>90</v>
      </c>
      <c r="H59" s="94"/>
      <c r="I59" s="94"/>
      <c r="J59" s="94">
        <f>SUM(J57:J58)</f>
        <v>605.13530000000003</v>
      </c>
      <c r="K59" s="75"/>
      <c r="L59" s="27"/>
      <c r="M59" s="76">
        <f>IF(OR(J59=0,Q59=""),"",Q59/J59-1)</f>
        <v>-0.21377037498886609</v>
      </c>
      <c r="N59" s="27"/>
      <c r="O59" s="94"/>
      <c r="P59" s="94"/>
      <c r="Q59" s="94">
        <f>SUM(Q57:Q58)</f>
        <v>475.77530000000002</v>
      </c>
      <c r="R59" s="75"/>
    </row>
    <row r="60" spans="2:22" x14ac:dyDescent="0.35">
      <c r="F60" s="41"/>
      <c r="K60" s="43"/>
      <c r="M60" s="48"/>
      <c r="R60" s="43"/>
    </row>
    <row r="61" spans="2:22" x14ac:dyDescent="0.35">
      <c r="B61" s="5" t="s">
        <v>4</v>
      </c>
      <c r="C61" s="5" t="s">
        <v>6</v>
      </c>
      <c r="D61" s="5" t="s">
        <v>151</v>
      </c>
      <c r="F61" s="41"/>
      <c r="K61" s="43"/>
      <c r="M61" s="48"/>
      <c r="R61" s="43"/>
    </row>
    <row r="62" spans="2:22" outlineLevel="1" x14ac:dyDescent="0.35">
      <c r="B62" s="3" t="str">
        <f>B61</f>
        <v>Endeavour</v>
      </c>
      <c r="C62" s="3" t="str">
        <f t="shared" ref="C62:C79" si="27">C61</f>
        <v>Residential</v>
      </c>
      <c r="D62" s="3" t="str">
        <f t="shared" ref="D62:D79" si="28">D61</f>
        <v>with CL</v>
      </c>
      <c r="E62" s="3" t="s">
        <v>23</v>
      </c>
      <c r="F62" s="41">
        <f t="array" ref="F62">IFERROR(INDEX(Usage!$B$5:$P$18,MATCH($B62,Usage!$B$5:$B$18,0),MATCH($C62&amp;$D62&amp;$E62&amp;"Total",Usage!$B$5:$S$5&amp;Usage!$B$6:$S$6&amp;Usage!$B$7:$S$7&amp;Usage!$B$13:$S$13,0)),0)</f>
        <v>5200</v>
      </c>
      <c r="G62" s="3" t="s">
        <v>62</v>
      </c>
      <c r="I62" s="95">
        <f t="array" ref="I62">INDEX('Key inputs'!$B$16:$N$40,MATCH($B62&amp;$C62&amp;$E62,'Key inputs'!$B$16:$B$40&amp;'Key inputs'!$C$16:$C$40&amp;'Key inputs'!$D$16:$D$40,0),MATCH($A$2&amp;I$4,'Key inputs'!$B$17:$N$17&amp;'Key inputs'!$B$18:$N$18,0))</f>
        <v>112.27</v>
      </c>
      <c r="J62" s="89">
        <f>IF(AND(H62="",I62=""),"",H62+I62*$F62/1000)</f>
        <v>583.80399999999997</v>
      </c>
      <c r="K62" s="43"/>
      <c r="M62" s="48">
        <f>IF(OR(J62=0,Q62=""),"",Q62/J62-1)</f>
        <v>-0.21377037498886609</v>
      </c>
      <c r="P62" s="95">
        <f t="array" ref="P62">INDEX('Key inputs'!$B$16:$N$40,MATCH($B62&amp;$C62&amp;$E62,'Key inputs'!$B$16:$B$40&amp;'Key inputs'!$C$16:$C$40&amp;'Key inputs'!$D$16:$D$40,0),MATCH($A$2&amp;P$4,'Key inputs'!$B$17:$N$17&amp;'Key inputs'!$B$18:$N$18,0))</f>
        <v>88.27</v>
      </c>
      <c r="Q62" s="89">
        <f>IF(AND(O62="",P62=""),"",O62+P62*$F62/1000)</f>
        <v>459.00400000000002</v>
      </c>
      <c r="R62" s="43"/>
    </row>
    <row r="63" spans="2:22" outlineLevel="1" x14ac:dyDescent="0.35">
      <c r="B63" s="3" t="str">
        <f t="shared" ref="B63:B79" si="29">B62</f>
        <v>Endeavour</v>
      </c>
      <c r="C63" s="3" t="str">
        <f t="shared" si="27"/>
        <v>Residential</v>
      </c>
      <c r="D63" s="3" t="str">
        <f t="shared" si="28"/>
        <v>with CL</v>
      </c>
      <c r="E63" s="3" t="s">
        <v>16</v>
      </c>
      <c r="F63" s="41">
        <f t="array" ref="F63">IFERROR(INDEX(Usage!$B$5:$P$18,MATCH($B63,Usage!$B$5:$B$18,0),MATCH($C63&amp;$D63&amp;$E63,Usage!$B$5:$S$5&amp;Usage!$B$6:$S$6&amp;Usage!$B$7:$S$7,0)),0)</f>
        <v>1474</v>
      </c>
      <c r="G63" s="3" t="s">
        <v>79</v>
      </c>
      <c r="I63" s="89">
        <f t="array" ref="I63">IFERROR(INDEX('Detail inputs'!$B$3:$K$168,MATCH($B63&amp;$C63&amp;$E63&amp;$G63&amp;I$5,'Detail inputs'!$B$3:$B$168&amp;'Detail inputs'!$D$3:$D$168&amp;'Detail inputs'!$F$3:$F$168&amp;'Detail inputs'!$G$3:$G$168&amp;'Detail inputs'!$H$3:$H$168,0),MATCH(I$4,'Detail inputs'!$B$3:$K$3,0)),0)</f>
        <v>93.2</v>
      </c>
      <c r="J63" s="89">
        <f>IF(AND(H63="",I63=""),"",H63+I63*$F63/1000)</f>
        <v>137.37680000000003</v>
      </c>
      <c r="K63" s="43">
        <f>IFERROR(J63/J69,"")</f>
        <v>0.89684372594303319</v>
      </c>
      <c r="L63" s="43"/>
      <c r="M63" s="48">
        <f t="shared" ref="M63:M77" si="30">IF(OR(J63=0,Q63=""),"",Q63/J63-1)</f>
        <v>-0.18454935622317614</v>
      </c>
      <c r="N63" s="43"/>
      <c r="P63" s="89">
        <f t="array" ref="P63">IFERROR(INDEX('Detail inputs'!$B$3:$K$168,MATCH($B63&amp;$C63&amp;$E63&amp;$G63&amp;P$5,'Detail inputs'!$B$3:$B$168&amp;'Detail inputs'!$D$3:$D$168&amp;'Detail inputs'!$F$3:$F$168&amp;'Detail inputs'!$G$3:$G$168&amp;'Detail inputs'!$H$3:$H$168,0),MATCH(P$4,'Detail inputs'!$B$3:$K$3,0)),0)</f>
        <v>76</v>
      </c>
      <c r="Q63" s="89">
        <f>IF(AND(O63="",P63=""),"",O63+P63*$F63/1000)</f>
        <v>112.024</v>
      </c>
      <c r="R63" s="43">
        <f>IFERROR(Q63/Q69,"")</f>
        <v>0.91247448673310116</v>
      </c>
    </row>
    <row r="64" spans="2:22" outlineLevel="1" x14ac:dyDescent="0.35">
      <c r="B64" s="3" t="str">
        <f t="shared" si="29"/>
        <v>Endeavour</v>
      </c>
      <c r="C64" s="3" t="str">
        <f t="shared" si="27"/>
        <v>Residential</v>
      </c>
      <c r="D64" s="3" t="str">
        <f t="shared" si="28"/>
        <v>with CL</v>
      </c>
      <c r="E64" s="3" t="s">
        <v>16</v>
      </c>
      <c r="F64" s="41">
        <f t="array" ref="F64">IFERROR(INDEX(Usage!$B$5:$P$18,MATCH($B64,Usage!$B$5:$B$18,0),MATCH($C64&amp;$D64&amp;$E64,Usage!$B$5:$S$5&amp;Usage!$B$6:$S$6&amp;Usage!$B$7:$S$7,0)),0)</f>
        <v>1474</v>
      </c>
      <c r="G64" s="3" t="s">
        <v>80</v>
      </c>
      <c r="I64" s="89">
        <f t="array" ref="I64">IFERROR(INDEX('Detail inputs'!$B$3:$K$168,MATCH($B64&amp;$G64&amp;I$5,'Detail inputs'!$B$3:$B$168&amp;'Detail inputs'!$G$3:$G$168&amp;'Detail inputs'!$H$3:$H$168,0),MATCH(I$4,'Detail inputs'!$B$3:$K$3,0)),0)</f>
        <v>1.53</v>
      </c>
      <c r="J64" s="89">
        <f t="shared" ref="J64:J69" si="31">IF(AND(H64="",I64=""),"",H64+I64*$F64/1000)</f>
        <v>2.2552200000000004</v>
      </c>
      <c r="K64" s="43">
        <f>IFERROR(J64/J69,"")</f>
        <v>1.4722863741339492E-2</v>
      </c>
      <c r="L64" s="43"/>
      <c r="M64" s="48">
        <f t="shared" si="30"/>
        <v>-0.81699346405228757</v>
      </c>
      <c r="N64" s="43"/>
      <c r="P64" s="89">
        <f t="array" ref="P64">IFERROR(INDEX('Detail inputs'!$B$3:$K$168,MATCH($B64&amp;$G64&amp;P$5,'Detail inputs'!$B$3:$B$168&amp;'Detail inputs'!$G$3:$G$168&amp;'Detail inputs'!$H$3:$H$168,0),MATCH(P$4,'Detail inputs'!$B$3:$K$3,0)),0)</f>
        <v>0.28000000000000003</v>
      </c>
      <c r="Q64" s="89">
        <f t="shared" ref="Q64:Q69" si="32">IF(AND(O64="",P64=""),"",O64+P64*$F64/1000)</f>
        <v>0.41272000000000003</v>
      </c>
      <c r="R64" s="43">
        <f>IFERROR(Q64/Q69,"")</f>
        <v>3.3617481090166888E-3</v>
      </c>
    </row>
    <row r="65" spans="2:22" outlineLevel="1" x14ac:dyDescent="0.35">
      <c r="B65" s="3" t="str">
        <f t="shared" si="29"/>
        <v>Endeavour</v>
      </c>
      <c r="C65" s="3" t="str">
        <f t="shared" si="27"/>
        <v>Residential</v>
      </c>
      <c r="D65" s="3" t="str">
        <f t="shared" si="28"/>
        <v>with CL</v>
      </c>
      <c r="E65" s="3" t="s">
        <v>16</v>
      </c>
      <c r="F65" s="41">
        <f t="array" ref="F65">IFERROR(INDEX(Usage!$B$5:$P$18,MATCH($B65,Usage!$B$5:$B$18,0),MATCH($C65&amp;$D65&amp;$E65,Usage!$B$5:$S$5&amp;Usage!$B$6:$S$6&amp;Usage!$B$7:$S$7,0)),0)</f>
        <v>1474</v>
      </c>
      <c r="G65" s="3" t="s">
        <v>88</v>
      </c>
      <c r="I65" s="89">
        <f t="array" ref="I65">IFERROR(INDEX('Detail inputs'!$B$3:$K$168,MATCH($B65&amp;$G65&amp;I$5,'Detail inputs'!$B$3:$B$168&amp;'Detail inputs'!$G$3:$G$168&amp;'Detail inputs'!$H$3:$H$168,0),MATCH(I$4,'Detail inputs'!$B$3:$K$3,0)),0)</f>
        <v>0.71</v>
      </c>
      <c r="J65" s="89">
        <f t="shared" si="31"/>
        <v>1.04654</v>
      </c>
      <c r="K65" s="43">
        <f>IFERROR(J65/J69,"")</f>
        <v>6.8321785989222472E-3</v>
      </c>
      <c r="L65" s="43"/>
      <c r="M65" s="48">
        <f t="shared" si="30"/>
        <v>-0.3098591549295775</v>
      </c>
      <c r="N65" s="43"/>
      <c r="P65" s="89">
        <f t="array" ref="P65">IFERROR(INDEX('Detail inputs'!$B$3:$K$168,MATCH($B65&amp;$G65&amp;P$5,'Detail inputs'!$B$3:$B$168&amp;'Detail inputs'!$G$3:$G$168&amp;'Detail inputs'!$H$3:$H$168,0),MATCH(P$4,'Detail inputs'!$B$3:$K$3,0)),0)</f>
        <v>0.49</v>
      </c>
      <c r="Q65" s="89">
        <f t="shared" si="32"/>
        <v>0.72226000000000001</v>
      </c>
      <c r="R65" s="43">
        <f>IFERROR(Q65/Q69,"")</f>
        <v>5.8830591907792044E-3</v>
      </c>
    </row>
    <row r="66" spans="2:22" outlineLevel="1" x14ac:dyDescent="0.35">
      <c r="B66" s="3" t="str">
        <f t="shared" si="29"/>
        <v>Endeavour</v>
      </c>
      <c r="C66" s="3" t="str">
        <f t="shared" si="27"/>
        <v>Residential</v>
      </c>
      <c r="D66" s="3" t="str">
        <f t="shared" si="28"/>
        <v>with CL</v>
      </c>
      <c r="E66" s="3" t="s">
        <v>16</v>
      </c>
      <c r="F66" s="41">
        <f t="array" ref="F66">IFERROR(INDEX(Usage!$B$5:$P$18,MATCH($B66,Usage!$B$5:$B$18,0),MATCH($C66&amp;$D66&amp;$E66,Usage!$B$5:$S$5&amp;Usage!$B$6:$S$6&amp;Usage!$B$7:$S$7,0)),0)</f>
        <v>1474</v>
      </c>
      <c r="G66" s="3" t="s">
        <v>81</v>
      </c>
      <c r="I66" s="89">
        <f t="array" ref="I66">IFERROR(INDEX('Detail inputs'!$B$3:$K$168,MATCH($B66&amp;$G66&amp;I$5,'Detail inputs'!$B$3:$B$168&amp;'Detail inputs'!$G$3:$G$168&amp;'Detail inputs'!$H$3:$H$168,0),MATCH(I$4,'Detail inputs'!$B$3:$K$3,0)),0)</f>
        <v>0.36</v>
      </c>
      <c r="J66" s="89">
        <f t="shared" si="31"/>
        <v>0.53064</v>
      </c>
      <c r="K66" s="43">
        <f>IFERROR(J66/J69,"")</f>
        <v>3.4642032332563503E-3</v>
      </c>
      <c r="L66" s="43"/>
      <c r="M66" s="48">
        <f t="shared" si="30"/>
        <v>-1</v>
      </c>
      <c r="N66" s="43"/>
      <c r="P66" s="89">
        <f t="array" ref="P66">IFERROR(INDEX('Detail inputs'!$B$3:$K$168,MATCH($B66&amp;$G66&amp;P$5,'Detail inputs'!$B$3:$B$168&amp;'Detail inputs'!$G$3:$G$168&amp;'Detail inputs'!$H$3:$H$168,0),MATCH(P$4,'Detail inputs'!$B$3:$K$3,0)),0)</f>
        <v>0</v>
      </c>
      <c r="Q66" s="89">
        <f t="shared" si="32"/>
        <v>0</v>
      </c>
      <c r="R66" s="43">
        <f>IFERROR(Q66/Q69,"")</f>
        <v>0</v>
      </c>
    </row>
    <row r="67" spans="2:22" outlineLevel="1" x14ac:dyDescent="0.35">
      <c r="B67" s="3" t="str">
        <f t="shared" si="29"/>
        <v>Endeavour</v>
      </c>
      <c r="C67" s="3" t="str">
        <f t="shared" si="27"/>
        <v>Residential</v>
      </c>
      <c r="D67" s="3" t="str">
        <f t="shared" si="28"/>
        <v>with CL</v>
      </c>
      <c r="E67" s="3" t="s">
        <v>16</v>
      </c>
      <c r="F67" s="41">
        <f t="array" ref="F67">IFERROR(INDEX(Usage!$B$5:$P$18,MATCH($B67,Usage!$B$5:$B$18,0),MATCH($C67&amp;$D67&amp;$E67,Usage!$B$5:$S$5&amp;Usage!$B$6:$S$6&amp;Usage!$B$7:$S$7,0)),0)</f>
        <v>1474</v>
      </c>
      <c r="G67" s="3" t="s">
        <v>161</v>
      </c>
      <c r="I67" s="89">
        <f t="array" ref="I67">IFERROR(INDEX('Detail inputs'!$B$3:$K$168,MATCH($B67&amp;$G67&amp;I$5,'Detail inputs'!$B$3:$B$168&amp;'Detail inputs'!$G$3:$G$168&amp;'Detail inputs'!$H$3:$H$168,0),MATCH(I$4,'Detail inputs'!$B$3:$K$3,0)),0)</f>
        <v>2.0499999999999998</v>
      </c>
      <c r="J67" s="89">
        <f t="shared" si="31"/>
        <v>3.0216999999999996</v>
      </c>
      <c r="K67" s="43">
        <f>IFERROR(J67/J69,"")</f>
        <v>1.9726712856043105E-2</v>
      </c>
      <c r="L67" s="43"/>
      <c r="M67" s="48">
        <f t="shared" si="30"/>
        <v>-0.11707317073170709</v>
      </c>
      <c r="N67" s="43"/>
      <c r="P67" s="89">
        <f t="array" ref="P67">IFERROR(INDEX('Detail inputs'!$B$3:$K$168,MATCH($B67&amp;$G67&amp;P$5,'Detail inputs'!$B$3:$B$168&amp;'Detail inputs'!$G$3:$G$168&amp;'Detail inputs'!$H$3:$H$168,0),MATCH(P$4,'Detail inputs'!$B$3:$K$3,0)),0)</f>
        <v>1.81</v>
      </c>
      <c r="Q67" s="89">
        <f t="shared" si="32"/>
        <v>2.6679400000000002</v>
      </c>
      <c r="R67" s="43">
        <f>IFERROR(Q67/Q69,"")</f>
        <v>2.1731300276143596E-2</v>
      </c>
    </row>
    <row r="68" spans="2:22" outlineLevel="1" x14ac:dyDescent="0.35">
      <c r="B68" s="3" t="str">
        <f t="shared" si="29"/>
        <v>Endeavour</v>
      </c>
      <c r="C68" s="3" t="str">
        <f t="shared" si="27"/>
        <v>Residential</v>
      </c>
      <c r="D68" s="3" t="str">
        <f t="shared" si="28"/>
        <v>with CL</v>
      </c>
      <c r="E68" s="3" t="s">
        <v>16</v>
      </c>
      <c r="F68" s="41">
        <f t="array" ref="F68">IFERROR(INDEX(Usage!$B$5:$P$18,MATCH($B68,Usage!$B$5:$B$18,0),MATCH($C68&amp;$D68&amp;$E68,Usage!$B$5:$S$5&amp;Usage!$B$6:$S$6&amp;Usage!$B$7:$S$7,0)),0)</f>
        <v>1474</v>
      </c>
      <c r="G68" s="3" t="s">
        <v>82</v>
      </c>
      <c r="I68" s="89">
        <f t="array" ref="I68">ROUND(IFERROR(INDEX('Detail inputs'!$B$3:$K$168,MATCH($B68&amp;$C68&amp;$E68&amp;$G68&amp;I$5,'Detail inputs'!$B$3:$B$168&amp;'Detail inputs'!$D$3:$D$168&amp;'Detail inputs'!$F$3:$F$168&amp;'Detail inputs'!$G$3:$G$168&amp;'Detail inputs'!$H$3:$H$168,0),MATCH(I$4,'Detail inputs'!$B$3:$K$3,0)),0)*SUM(I63:I67),2)</f>
        <v>6.07</v>
      </c>
      <c r="J68" s="89">
        <f t="shared" si="31"/>
        <v>8.9471799999999995</v>
      </c>
      <c r="K68" s="43">
        <f>IFERROR(J68/J69,"")</f>
        <v>5.8410315627405687E-2</v>
      </c>
      <c r="L68" s="43"/>
      <c r="M68" s="48">
        <f t="shared" si="30"/>
        <v>-0.22405271828665563</v>
      </c>
      <c r="N68" s="43"/>
      <c r="P68" s="89">
        <f t="array" ref="P68">ROUND(IFERROR(INDEX('Detail inputs'!$B$3:$K$168,MATCH($B68&amp;$C68&amp;$E68&amp;$G68&amp;P$5,'Detail inputs'!$B$3:$B$168&amp;'Detail inputs'!$D$3:$D$168&amp;'Detail inputs'!$F$3:$F$168&amp;'Detail inputs'!$G$3:$G$168&amp;'Detail inputs'!$H$3:$H$168,0),MATCH(P$4,'Detail inputs'!$B$3:$K$3,0)),0)*SUM(P63:P67),2)</f>
        <v>4.71</v>
      </c>
      <c r="Q68" s="89">
        <f t="shared" si="32"/>
        <v>6.9425400000000002</v>
      </c>
      <c r="R68" s="43">
        <f>IFERROR(Q68/Q69,"")</f>
        <v>5.6549405690959294E-2</v>
      </c>
    </row>
    <row r="69" spans="2:22" outlineLevel="1" x14ac:dyDescent="0.35">
      <c r="B69" s="3" t="str">
        <f t="shared" si="29"/>
        <v>Endeavour</v>
      </c>
      <c r="C69" s="3" t="str">
        <f t="shared" si="27"/>
        <v>Residential</v>
      </c>
      <c r="D69" s="3" t="str">
        <f t="shared" si="28"/>
        <v>with CL</v>
      </c>
      <c r="E69" s="3" t="s">
        <v>16</v>
      </c>
      <c r="F69" s="41">
        <f t="array" ref="F69">IFERROR(INDEX(Usage!$B$5:$P$18,MATCH($B69,Usage!$B$5:$B$18,0),MATCH($C69&amp;$D69&amp;$E69,Usage!$B$5:$S$5&amp;Usage!$B$6:$S$6&amp;Usage!$B$7:$S$7,0)),0)</f>
        <v>1474</v>
      </c>
      <c r="G69" s="3" t="s">
        <v>62</v>
      </c>
      <c r="H69" s="95"/>
      <c r="I69" s="95">
        <f t="array" ref="I69">INDEX('Key inputs'!$B$16:$N$40,MATCH($B69&amp;$C69&amp;$E69,'Key inputs'!$B$16:$B$40&amp;'Key inputs'!$C$16:$C$40&amp;'Key inputs'!$D$16:$D$40,0),MATCH($A$2&amp;I$4,'Key inputs'!$B$17:$N$17&amp;'Key inputs'!$B$18:$N$18,0))</f>
        <v>103.92</v>
      </c>
      <c r="J69" s="89">
        <f t="shared" si="31"/>
        <v>153.17808000000002</v>
      </c>
      <c r="K69" s="87"/>
      <c r="L69" s="88"/>
      <c r="M69" s="79">
        <f t="shared" si="30"/>
        <v>-0.1985180908391071</v>
      </c>
      <c r="N69" s="88"/>
      <c r="O69" s="95"/>
      <c r="P69" s="95">
        <f t="array" ref="P69">INDEX('Key inputs'!$B$16:$N$40,MATCH($B69&amp;$C69&amp;$E69,'Key inputs'!$B$16:$B$40&amp;'Key inputs'!$C$16:$C$40&amp;'Key inputs'!$D$16:$D$40,0),MATCH($A$2&amp;P$4,'Key inputs'!$B$17:$N$17&amp;'Key inputs'!$B$18:$N$18,0))</f>
        <v>83.29</v>
      </c>
      <c r="Q69" s="89">
        <f t="shared" si="32"/>
        <v>122.76946000000001</v>
      </c>
      <c r="R69" s="87"/>
      <c r="S69" s="129" t="b">
        <f>ROUND(I69,$T$5)=ROUND(SUM(I63:I68),$T$5)</f>
        <v>1</v>
      </c>
      <c r="T69" s="129" t="b">
        <f>ROUND(P69,$T$5)=ROUND(SUM(P63:P68),$T$5)</f>
        <v>1</v>
      </c>
      <c r="U69" s="128"/>
      <c r="V69" s="128"/>
    </row>
    <row r="70" spans="2:22" outlineLevel="1" x14ac:dyDescent="0.35">
      <c r="B70" s="3" t="str">
        <f t="shared" si="29"/>
        <v>Endeavour</v>
      </c>
      <c r="C70" s="3" t="str">
        <f t="shared" si="27"/>
        <v>Residential</v>
      </c>
      <c r="D70" s="3" t="str">
        <f t="shared" si="28"/>
        <v>with CL</v>
      </c>
      <c r="E70" s="3" t="s">
        <v>17</v>
      </c>
      <c r="F70" s="41">
        <f t="array" ref="F70">IFERROR(INDEX(Usage!$B$5:$P$18,MATCH($B70,Usage!$B$5:$B$18,0),MATCH($C70&amp;$D70&amp;$E70,Usage!$B$5:$S$5&amp;Usage!$B$6:$S$6&amp;Usage!$B$7:$S$7,0)),0)</f>
        <v>726</v>
      </c>
      <c r="G70" s="3" t="s">
        <v>79</v>
      </c>
      <c r="H70" s="95"/>
      <c r="I70" s="95">
        <f t="array" ref="I70">IFERROR(INDEX('Detail inputs'!$B$3:$K$168,MATCH($B70&amp;$C70&amp;$E70&amp;$G70&amp;I$5,'Detail inputs'!$B$3:$B$168&amp;'Detail inputs'!$D$3:$D$168&amp;'Detail inputs'!$F$3:$F$168&amp;'Detail inputs'!$G$3:$G$168&amp;'Detail inputs'!$H$3:$H$168,0),MATCH(I$4,'Detail inputs'!$B$3:$K$3,0)),0)</f>
        <v>93.2</v>
      </c>
      <c r="J70" s="95">
        <f>IF(AND(H70="",I70=""),"",H70+I70*$F70/1000)</f>
        <v>67.663200000000003</v>
      </c>
      <c r="K70" s="87">
        <f>IFERROR(J70/J76,"")</f>
        <v>0.89684372594303319</v>
      </c>
      <c r="L70" s="87"/>
      <c r="M70" s="79">
        <f t="shared" si="30"/>
        <v>-0.18454935622317603</v>
      </c>
      <c r="N70" s="87"/>
      <c r="O70" s="95"/>
      <c r="P70" s="95">
        <f t="array" ref="P70">IFERROR(INDEX('Detail inputs'!$B$3:$K$168,MATCH($B70&amp;$C70&amp;$E70&amp;$G70&amp;P$5,'Detail inputs'!$B$3:$B$168&amp;'Detail inputs'!$D$3:$D$168&amp;'Detail inputs'!$F$3:$F$168&amp;'Detail inputs'!$G$3:$G$168&amp;'Detail inputs'!$H$3:$H$168,0),MATCH(P$4,'Detail inputs'!$B$3:$K$3,0)),0)</f>
        <v>76</v>
      </c>
      <c r="Q70" s="95">
        <f>IF(AND(O70="",P70=""),"",O70+P70*$F70/1000)</f>
        <v>55.176000000000002</v>
      </c>
      <c r="R70" s="87">
        <f>IFERROR(Q70/Q76,"")</f>
        <v>0.91247448673310105</v>
      </c>
    </row>
    <row r="71" spans="2:22" outlineLevel="1" x14ac:dyDescent="0.35">
      <c r="B71" s="3" t="str">
        <f t="shared" si="29"/>
        <v>Endeavour</v>
      </c>
      <c r="C71" s="3" t="str">
        <f t="shared" si="27"/>
        <v>Residential</v>
      </c>
      <c r="D71" s="3" t="str">
        <f t="shared" si="28"/>
        <v>with CL</v>
      </c>
      <c r="E71" s="3" t="s">
        <v>17</v>
      </c>
      <c r="F71" s="41">
        <f t="array" ref="F71">IFERROR(INDEX(Usage!$B$5:$P$18,MATCH($B71,Usage!$B$5:$B$18,0),MATCH($C71&amp;$D71&amp;$E71,Usage!$B$5:$S$5&amp;Usage!$B$6:$S$6&amp;Usage!$B$7:$S$7,0)),0)</f>
        <v>726</v>
      </c>
      <c r="G71" s="3" t="s">
        <v>80</v>
      </c>
      <c r="H71" s="95"/>
      <c r="I71" s="95">
        <f t="array" ref="I71">IFERROR(INDEX('Detail inputs'!$B$3:$K$168,MATCH($B71&amp;$G71&amp;I$5,'Detail inputs'!$B$3:$B$168&amp;'Detail inputs'!$G$3:$G$168&amp;'Detail inputs'!$H$3:$H$168,0),MATCH(I$4,'Detail inputs'!$B$3:$K$3,0)),0)</f>
        <v>1.53</v>
      </c>
      <c r="J71" s="95">
        <f t="shared" ref="J71:J76" si="33">IF(AND(H71="",I71=""),"",H71+I71*$F71/1000)</f>
        <v>1.1107799999999999</v>
      </c>
      <c r="K71" s="87">
        <f>IFERROR(J71/J76,"")</f>
        <v>1.4722863741339491E-2</v>
      </c>
      <c r="L71" s="87"/>
      <c r="M71" s="79">
        <f t="shared" si="30"/>
        <v>-0.81699346405228757</v>
      </c>
      <c r="N71" s="87"/>
      <c r="O71" s="95"/>
      <c r="P71" s="95">
        <f t="array" ref="P71">IFERROR(INDEX('Detail inputs'!$B$3:$K$168,MATCH($B71&amp;$G71&amp;P$5,'Detail inputs'!$B$3:$B$168&amp;'Detail inputs'!$G$3:$G$168&amp;'Detail inputs'!$H$3:$H$168,0),MATCH(P$4,'Detail inputs'!$B$3:$K$3,0)),0)</f>
        <v>0.28000000000000003</v>
      </c>
      <c r="Q71" s="95">
        <f t="shared" ref="Q71:Q76" si="34">IF(AND(O71="",P71=""),"",O71+P71*$F71/1000)</f>
        <v>0.20328000000000002</v>
      </c>
      <c r="R71" s="87">
        <f>IFERROR(Q71/Q76,"")</f>
        <v>3.3617481090166884E-3</v>
      </c>
    </row>
    <row r="72" spans="2:22" outlineLevel="1" x14ac:dyDescent="0.35">
      <c r="B72" s="3" t="str">
        <f t="shared" si="29"/>
        <v>Endeavour</v>
      </c>
      <c r="C72" s="3" t="str">
        <f t="shared" si="27"/>
        <v>Residential</v>
      </c>
      <c r="D72" s="3" t="str">
        <f t="shared" si="28"/>
        <v>with CL</v>
      </c>
      <c r="E72" s="3" t="s">
        <v>17</v>
      </c>
      <c r="F72" s="41">
        <f t="array" ref="F72">IFERROR(INDEX(Usage!$B$5:$P$18,MATCH($B72,Usage!$B$5:$B$18,0),MATCH($C72&amp;$D72&amp;$E72,Usage!$B$5:$S$5&amp;Usage!$B$6:$S$6&amp;Usage!$B$7:$S$7,0)),0)</f>
        <v>726</v>
      </c>
      <c r="G72" s="3" t="s">
        <v>88</v>
      </c>
      <c r="H72" s="95"/>
      <c r="I72" s="95">
        <f t="array" ref="I72">IFERROR(INDEX('Detail inputs'!$B$3:$K$168,MATCH($B72&amp;$G72&amp;I$5,'Detail inputs'!$B$3:$B$168&amp;'Detail inputs'!$G$3:$G$168&amp;'Detail inputs'!$H$3:$H$168,0),MATCH(I$4,'Detail inputs'!$B$3:$K$3,0)),0)</f>
        <v>0.71</v>
      </c>
      <c r="J72" s="95">
        <f t="shared" si="33"/>
        <v>0.51545999999999992</v>
      </c>
      <c r="K72" s="87">
        <f>IFERROR(J72/J76,"")</f>
        <v>6.8321785989222464E-3</v>
      </c>
      <c r="L72" s="87"/>
      <c r="M72" s="79">
        <f t="shared" si="30"/>
        <v>-0.30985915492957739</v>
      </c>
      <c r="N72" s="87"/>
      <c r="O72" s="95"/>
      <c r="P72" s="95">
        <f t="array" ref="P72">IFERROR(INDEX('Detail inputs'!$B$3:$K$168,MATCH($B72&amp;$G72&amp;P$5,'Detail inputs'!$B$3:$B$168&amp;'Detail inputs'!$G$3:$G$168&amp;'Detail inputs'!$H$3:$H$168,0),MATCH(P$4,'Detail inputs'!$B$3:$K$3,0)),0)</f>
        <v>0.49</v>
      </c>
      <c r="Q72" s="95">
        <f t="shared" si="34"/>
        <v>0.35574</v>
      </c>
      <c r="R72" s="87">
        <f>IFERROR(Q72/Q76,"")</f>
        <v>5.8830591907792044E-3</v>
      </c>
    </row>
    <row r="73" spans="2:22" outlineLevel="1" x14ac:dyDescent="0.35">
      <c r="B73" s="3" t="str">
        <f t="shared" si="29"/>
        <v>Endeavour</v>
      </c>
      <c r="C73" s="3" t="str">
        <f t="shared" si="27"/>
        <v>Residential</v>
      </c>
      <c r="D73" s="3" t="str">
        <f t="shared" si="28"/>
        <v>with CL</v>
      </c>
      <c r="E73" s="3" t="s">
        <v>17</v>
      </c>
      <c r="F73" s="41">
        <f t="array" ref="F73">IFERROR(INDEX(Usage!$B$5:$P$18,MATCH($B73,Usage!$B$5:$B$18,0),MATCH($C73&amp;$D73&amp;$E73,Usage!$B$5:$S$5&amp;Usage!$B$6:$S$6&amp;Usage!$B$7:$S$7,0)),0)</f>
        <v>726</v>
      </c>
      <c r="G73" s="3" t="s">
        <v>81</v>
      </c>
      <c r="H73" s="95"/>
      <c r="I73" s="95">
        <f t="array" ref="I73">IFERROR(INDEX('Detail inputs'!$B$3:$K$168,MATCH($B73&amp;$G73&amp;I$5,'Detail inputs'!$B$3:$B$168&amp;'Detail inputs'!$G$3:$G$168&amp;'Detail inputs'!$H$3:$H$168,0),MATCH(I$4,'Detail inputs'!$B$3:$K$3,0)),0)</f>
        <v>0.36</v>
      </c>
      <c r="J73" s="95">
        <f t="shared" si="33"/>
        <v>0.26136000000000004</v>
      </c>
      <c r="K73" s="87">
        <f>IFERROR(J73/J76,"")</f>
        <v>3.4642032332563516E-3</v>
      </c>
      <c r="L73" s="87"/>
      <c r="M73" s="79">
        <f t="shared" si="30"/>
        <v>-1</v>
      </c>
      <c r="N73" s="87"/>
      <c r="O73" s="95"/>
      <c r="P73" s="95">
        <f t="array" ref="P73">IFERROR(INDEX('Detail inputs'!$B$3:$K$168,MATCH($B73&amp;$G73&amp;P$5,'Detail inputs'!$B$3:$B$168&amp;'Detail inputs'!$G$3:$G$168&amp;'Detail inputs'!$H$3:$H$168,0),MATCH(P$4,'Detail inputs'!$B$3:$K$3,0)),0)</f>
        <v>0</v>
      </c>
      <c r="Q73" s="95">
        <f t="shared" si="34"/>
        <v>0</v>
      </c>
      <c r="R73" s="87">
        <f>IFERROR(Q73/Q76,"")</f>
        <v>0</v>
      </c>
    </row>
    <row r="74" spans="2:22" outlineLevel="1" x14ac:dyDescent="0.35">
      <c r="B74" s="3" t="str">
        <f t="shared" si="29"/>
        <v>Endeavour</v>
      </c>
      <c r="C74" s="3" t="str">
        <f t="shared" si="27"/>
        <v>Residential</v>
      </c>
      <c r="D74" s="3" t="str">
        <f t="shared" si="28"/>
        <v>with CL</v>
      </c>
      <c r="E74" s="3" t="s">
        <v>17</v>
      </c>
      <c r="F74" s="41">
        <f t="array" ref="F74">IFERROR(INDEX(Usage!$B$5:$P$18,MATCH($B74,Usage!$B$5:$B$18,0),MATCH($C74&amp;$D74&amp;$E74,Usage!$B$5:$S$5&amp;Usage!$B$6:$S$6&amp;Usage!$B$7:$S$7,0)),0)</f>
        <v>726</v>
      </c>
      <c r="G74" s="3" t="s">
        <v>161</v>
      </c>
      <c r="H74" s="95"/>
      <c r="I74" s="95">
        <f t="array" ref="I74">IFERROR(INDEX('Detail inputs'!$B$3:$K$168,MATCH($B74&amp;$G74&amp;I$5,'Detail inputs'!$B$3:$B$168&amp;'Detail inputs'!$G$3:$G$168&amp;'Detail inputs'!$H$3:$H$168,0),MATCH(I$4,'Detail inputs'!$B$3:$K$3,0)),0)</f>
        <v>2.0499999999999998</v>
      </c>
      <c r="J74" s="95">
        <f t="shared" si="33"/>
        <v>1.4883</v>
      </c>
      <c r="K74" s="87">
        <f>IFERROR(J74/J76,"")</f>
        <v>1.9726712856043108E-2</v>
      </c>
      <c r="L74" s="87"/>
      <c r="M74" s="79">
        <f t="shared" si="30"/>
        <v>-0.11707317073170731</v>
      </c>
      <c r="N74" s="87"/>
      <c r="O74" s="95"/>
      <c r="P74" s="95">
        <f t="array" ref="P74">IFERROR(INDEX('Detail inputs'!$B$3:$K$168,MATCH($B74&amp;$G74&amp;P$5,'Detail inputs'!$B$3:$B$168&amp;'Detail inputs'!$G$3:$G$168&amp;'Detail inputs'!$H$3:$H$168,0),MATCH(P$4,'Detail inputs'!$B$3:$K$3,0)),0)</f>
        <v>1.81</v>
      </c>
      <c r="Q74" s="95">
        <f t="shared" si="34"/>
        <v>1.31406</v>
      </c>
      <c r="R74" s="87">
        <f>IFERROR(Q74/Q76,"")</f>
        <v>2.1731300276143589E-2</v>
      </c>
    </row>
    <row r="75" spans="2:22" outlineLevel="1" x14ac:dyDescent="0.35">
      <c r="B75" s="3" t="str">
        <f t="shared" si="29"/>
        <v>Endeavour</v>
      </c>
      <c r="C75" s="3" t="str">
        <f t="shared" si="27"/>
        <v>Residential</v>
      </c>
      <c r="D75" s="3" t="str">
        <f t="shared" si="28"/>
        <v>with CL</v>
      </c>
      <c r="E75" s="3" t="s">
        <v>17</v>
      </c>
      <c r="F75" s="41">
        <f t="array" ref="F75">IFERROR(INDEX(Usage!$B$5:$P$18,MATCH($B75,Usage!$B$5:$B$18,0),MATCH($C75&amp;$D75&amp;$E75,Usage!$B$5:$S$5&amp;Usage!$B$6:$S$6&amp;Usage!$B$7:$S$7,0)),0)</f>
        <v>726</v>
      </c>
      <c r="G75" s="3" t="s">
        <v>82</v>
      </c>
      <c r="H75" s="95"/>
      <c r="I75" s="89">
        <f t="array" ref="I75">ROUND(IFERROR(INDEX('Detail inputs'!$B$3:$K$168,MATCH($B75&amp;$C75&amp;$E75&amp;$G75&amp;I$5,'Detail inputs'!$B$3:$B$168&amp;'Detail inputs'!$D$3:$D$168&amp;'Detail inputs'!$F$3:$F$168&amp;'Detail inputs'!$G$3:$G$168&amp;'Detail inputs'!$H$3:$H$168,0),MATCH(I$4,'Detail inputs'!$B$3:$K$3,0)),0)*SUM(I70:I74),2)</f>
        <v>6.07</v>
      </c>
      <c r="J75" s="95">
        <f t="shared" si="33"/>
        <v>4.4068200000000006</v>
      </c>
      <c r="K75" s="87">
        <f>IFERROR(J75/J76,"")</f>
        <v>5.8410315627405701E-2</v>
      </c>
      <c r="L75" s="87"/>
      <c r="M75" s="79">
        <f t="shared" si="30"/>
        <v>-0.22405271828665585</v>
      </c>
      <c r="N75" s="87"/>
      <c r="O75" s="95"/>
      <c r="P75" s="89">
        <f t="array" ref="P75">ROUND(IFERROR(INDEX('Detail inputs'!$B$3:$K$168,MATCH($B75&amp;$C75&amp;$E75&amp;$G75&amp;P$5,'Detail inputs'!$B$3:$B$168&amp;'Detail inputs'!$D$3:$D$168&amp;'Detail inputs'!$F$3:$F$168&amp;'Detail inputs'!$G$3:$G$168&amp;'Detail inputs'!$H$3:$H$168,0),MATCH(P$4,'Detail inputs'!$B$3:$K$3,0)),0)*SUM(P70:P74),2)</f>
        <v>4.71</v>
      </c>
      <c r="Q75" s="95">
        <f t="shared" si="34"/>
        <v>3.4194599999999999</v>
      </c>
      <c r="R75" s="87">
        <f>IFERROR(Q75/Q76,"")</f>
        <v>5.6549405690959287E-2</v>
      </c>
    </row>
    <row r="76" spans="2:22" outlineLevel="1" x14ac:dyDescent="0.35">
      <c r="B76" s="3" t="str">
        <f t="shared" si="29"/>
        <v>Endeavour</v>
      </c>
      <c r="C76" s="3" t="str">
        <f t="shared" si="27"/>
        <v>Residential</v>
      </c>
      <c r="D76" s="3" t="str">
        <f t="shared" si="28"/>
        <v>with CL</v>
      </c>
      <c r="E76" s="3" t="s">
        <v>17</v>
      </c>
      <c r="F76" s="41">
        <f t="array" ref="F76">IFERROR(INDEX(Usage!$B$5:$P$18,MATCH($B76,Usage!$B$5:$B$18,0),MATCH($C76&amp;$D76&amp;$E76,Usage!$B$5:$S$5&amp;Usage!$B$6:$S$6&amp;Usage!$B$7:$S$7,0)),0)</f>
        <v>726</v>
      </c>
      <c r="G76" s="3" t="s">
        <v>62</v>
      </c>
      <c r="H76" s="95"/>
      <c r="I76" s="95">
        <f t="array" ref="I76">INDEX('Key inputs'!$B$16:$N$40,MATCH($B76&amp;$C76&amp;$E76,'Key inputs'!$B$16:$B$40&amp;'Key inputs'!$C$16:$C$40&amp;'Key inputs'!$D$16:$D$40,0),MATCH($A$2&amp;I$4,'Key inputs'!$B$17:$N$17&amp;'Key inputs'!$B$18:$N$18,0))</f>
        <v>103.92</v>
      </c>
      <c r="J76" s="89">
        <f t="shared" si="33"/>
        <v>75.445920000000001</v>
      </c>
      <c r="K76" s="87"/>
      <c r="L76" s="88"/>
      <c r="M76" s="79">
        <f t="shared" si="30"/>
        <v>-0.19851809083910688</v>
      </c>
      <c r="N76" s="88"/>
      <c r="O76" s="95"/>
      <c r="P76" s="95">
        <f t="array" ref="P76">INDEX('Key inputs'!$B$16:$N$40,MATCH($B76&amp;$C76&amp;$E76,'Key inputs'!$B$16:$B$40&amp;'Key inputs'!$C$16:$C$40&amp;'Key inputs'!$D$16:$D$40,0),MATCH($A$2&amp;P$4,'Key inputs'!$B$17:$N$17&amp;'Key inputs'!$B$18:$N$18,0))</f>
        <v>83.29</v>
      </c>
      <c r="Q76" s="89">
        <f t="shared" si="34"/>
        <v>60.468540000000012</v>
      </c>
      <c r="R76" s="87"/>
      <c r="S76" s="129" t="b">
        <f>ROUND(I76,$T$5)=ROUND(SUM(I70:I75),$T$5)</f>
        <v>1</v>
      </c>
      <c r="T76" s="129" t="b">
        <f>ROUND(P76,$T$5)=ROUND(SUM(P70:P75),$T$5)</f>
        <v>1</v>
      </c>
      <c r="U76" s="128"/>
      <c r="V76" s="128"/>
    </row>
    <row r="77" spans="2:22" s="77" customFormat="1" x14ac:dyDescent="0.35">
      <c r="B77" s="3" t="str">
        <f t="shared" si="29"/>
        <v>Endeavour</v>
      </c>
      <c r="C77" s="3" t="str">
        <f t="shared" si="27"/>
        <v>Residential</v>
      </c>
      <c r="D77" s="3" t="str">
        <f t="shared" si="28"/>
        <v>with CL</v>
      </c>
      <c r="E77" s="77" t="s">
        <v>62</v>
      </c>
      <c r="F77" s="41">
        <f t="array" ref="F77">IFERROR(INDEX(Usage!$B$5:$P$18,MATCH($B77,Usage!$B$5:$B$18,0),MATCH($C77&amp;$D77&amp;$E77,Usage!$B$5:$S$5&amp;Usage!$B$6:$S$6&amp;Usage!$B$7:$S$7,0)),0)</f>
        <v>7400</v>
      </c>
      <c r="G77" s="77" t="s">
        <v>62</v>
      </c>
      <c r="H77" s="95"/>
      <c r="I77" s="95">
        <f>I62+I69+I76</f>
        <v>320.11</v>
      </c>
      <c r="J77" s="95">
        <f>J62+J69+J76</f>
        <v>812.428</v>
      </c>
      <c r="K77" s="87"/>
      <c r="L77" s="88"/>
      <c r="M77" s="79">
        <f t="shared" si="30"/>
        <v>-0.20947825530385467</v>
      </c>
      <c r="N77" s="88"/>
      <c r="O77" s="95"/>
      <c r="P77" s="95">
        <f>P62+P69+P76</f>
        <v>254.85000000000002</v>
      </c>
      <c r="Q77" s="95">
        <f>Q62+Q69+Q76</f>
        <v>642.24199999999996</v>
      </c>
      <c r="R77" s="87"/>
      <c r="S77" s="129"/>
      <c r="T77" s="130"/>
    </row>
    <row r="78" spans="2:22" outlineLevel="1" x14ac:dyDescent="0.35">
      <c r="B78" s="3" t="str">
        <f t="shared" si="29"/>
        <v>Endeavour</v>
      </c>
      <c r="C78" s="3" t="str">
        <f t="shared" si="27"/>
        <v>Residential</v>
      </c>
      <c r="D78" s="3" t="str">
        <f t="shared" si="28"/>
        <v>with CL</v>
      </c>
      <c r="F78" s="41"/>
      <c r="G78" s="77" t="s">
        <v>42</v>
      </c>
      <c r="H78" s="95"/>
      <c r="I78" s="95"/>
      <c r="J78" s="95">
        <f>J77*GST</f>
        <v>81.242800000000003</v>
      </c>
      <c r="K78" s="87"/>
      <c r="L78" s="88"/>
      <c r="M78" s="79"/>
      <c r="N78" s="88"/>
      <c r="O78" s="95"/>
      <c r="P78" s="95"/>
      <c r="Q78" s="95">
        <f>Q77*GST</f>
        <v>64.224199999999996</v>
      </c>
      <c r="R78" s="75"/>
    </row>
    <row r="79" spans="2:22" x14ac:dyDescent="0.35">
      <c r="B79" s="3" t="str">
        <f t="shared" si="29"/>
        <v>Endeavour</v>
      </c>
      <c r="C79" s="3" t="str">
        <f t="shared" si="27"/>
        <v>Residential</v>
      </c>
      <c r="D79" s="3" t="str">
        <f t="shared" si="28"/>
        <v>with CL</v>
      </c>
      <c r="F79" s="41"/>
      <c r="G79" s="5" t="s">
        <v>90</v>
      </c>
      <c r="H79" s="94"/>
      <c r="I79" s="94"/>
      <c r="J79" s="94">
        <f>SUM(J77:J78)</f>
        <v>893.67079999999999</v>
      </c>
      <c r="K79" s="75"/>
      <c r="L79" s="27"/>
      <c r="M79" s="76">
        <f>IF(OR(J79=0,Q79=""),"",Q79/J79-1)</f>
        <v>-0.20947825530385467</v>
      </c>
      <c r="N79" s="27"/>
      <c r="O79" s="94"/>
      <c r="P79" s="94"/>
      <c r="Q79" s="94">
        <f>SUM(Q77:Q78)</f>
        <v>706.46619999999996</v>
      </c>
      <c r="R79" s="75"/>
    </row>
    <row r="80" spans="2:22" x14ac:dyDescent="0.35">
      <c r="F80" s="41"/>
      <c r="K80" s="43"/>
      <c r="M80" s="48"/>
      <c r="R80" s="43"/>
    </row>
    <row r="81" spans="2:22" x14ac:dyDescent="0.35">
      <c r="B81" s="5" t="s">
        <v>4</v>
      </c>
      <c r="C81" s="5" t="s">
        <v>15</v>
      </c>
      <c r="D81" s="5" t="s">
        <v>150</v>
      </c>
      <c r="F81" s="41"/>
      <c r="K81" s="43"/>
      <c r="M81" s="48"/>
      <c r="R81" s="43"/>
    </row>
    <row r="82" spans="2:22" outlineLevel="1" x14ac:dyDescent="0.35">
      <c r="B82" s="3" t="str">
        <f>B81</f>
        <v>Endeavour</v>
      </c>
      <c r="C82" s="3" t="str">
        <f t="shared" ref="C82:C90" si="35">C81</f>
        <v>Small business</v>
      </c>
      <c r="D82" s="3" t="str">
        <f t="shared" ref="D82:D90" si="36">D81</f>
        <v>without CL</v>
      </c>
      <c r="E82" s="3" t="s">
        <v>23</v>
      </c>
      <c r="F82" s="41">
        <f t="array" ref="F82">IFERROR(INDEX(Usage!$B$5:$P$18,MATCH($B82,Usage!$B$5:$B$18,0),MATCH($C82&amp;$D82&amp;$E82,Usage!$B$5:$S$5&amp;Usage!$B$6:$S$6&amp;Usage!$B$7:$S$7,0)),0)</f>
        <v>20000</v>
      </c>
      <c r="G82" s="3" t="s">
        <v>79</v>
      </c>
      <c r="I82" s="89">
        <f t="array" ref="I82">IFERROR(INDEX('Detail inputs'!$B$3:$K$168,MATCH($B82&amp;$C82&amp;$E82&amp;$G82&amp;I$5,'Detail inputs'!$B$3:$B$168&amp;'Detail inputs'!$D$3:$D$168&amp;'Detail inputs'!$F$3:$F$168&amp;'Detail inputs'!$G$3:$G$168&amp;'Detail inputs'!$H$3:$H$168,0),MATCH(I$4,'Detail inputs'!$B$3:$K$3,0)),0)</f>
        <v>101.07</v>
      </c>
      <c r="J82" s="89">
        <f>IF(AND(H82="",I82=""),"",H82+I82*$F82/1000)</f>
        <v>2021.3999999999999</v>
      </c>
      <c r="K82" s="43">
        <f>IFERROR(J82/J88,"")</f>
        <v>0.90024049167186238</v>
      </c>
      <c r="L82" s="43"/>
      <c r="M82" s="48">
        <f t="shared" ref="M82:M88" si="37">IF(OR(J82=0,Q82=""),"",Q82/J82-1)</f>
        <v>-0.2016424260413574</v>
      </c>
      <c r="N82" s="43"/>
      <c r="P82" s="89">
        <f t="array" ref="P82">IFERROR(INDEX('Detail inputs'!$B$3:$K$168,MATCH($B82&amp;$C82&amp;$E82&amp;$G82&amp;P$5,'Detail inputs'!$B$3:$B$168&amp;'Detail inputs'!$D$3:$D$168&amp;'Detail inputs'!$F$3:$F$168&amp;'Detail inputs'!$G$3:$G$168&amp;'Detail inputs'!$H$3:$H$168,0),MATCH(P$4,'Detail inputs'!$B$3:$K$3,0)),0)</f>
        <v>80.69</v>
      </c>
      <c r="Q82" s="89">
        <f>IF(AND(O82="",P82=""),"",O82+P82*$F82/1000)</f>
        <v>1613.8</v>
      </c>
      <c r="R82" s="43">
        <f>IFERROR(Q82/Q88,"")</f>
        <v>0.91412711000339864</v>
      </c>
    </row>
    <row r="83" spans="2:22" outlineLevel="1" x14ac:dyDescent="0.35">
      <c r="B83" s="3" t="str">
        <f t="shared" ref="B83:B90" si="38">B82</f>
        <v>Endeavour</v>
      </c>
      <c r="C83" s="3" t="str">
        <f t="shared" si="35"/>
        <v>Small business</v>
      </c>
      <c r="D83" s="3" t="str">
        <f t="shared" si="36"/>
        <v>without CL</v>
      </c>
      <c r="E83" s="3" t="s">
        <v>23</v>
      </c>
      <c r="F83" s="41">
        <f t="array" ref="F83">IFERROR(INDEX(Usage!$B$5:$P$18,MATCH($B83,Usage!$B$5:$B$18,0),MATCH($C83&amp;$D83&amp;$E83,Usage!$B$5:$S$5&amp;Usage!$B$6:$S$6&amp;Usage!$B$7:$S$7,0)),0)</f>
        <v>20000</v>
      </c>
      <c r="G83" s="3" t="s">
        <v>80</v>
      </c>
      <c r="I83" s="89">
        <f t="array" ref="I83">IFERROR(INDEX('Detail inputs'!$B$3:$K$168,MATCH($B83&amp;$G83&amp;I$5,'Detail inputs'!$B$3:$B$168&amp;'Detail inputs'!$G$3:$G$168&amp;'Detail inputs'!$H$3:$H$168,0),MATCH(I$4,'Detail inputs'!$B$3:$K$3,0)),0)</f>
        <v>1.53</v>
      </c>
      <c r="J83" s="89">
        <f t="shared" ref="J83:J88" si="39">IF(AND(H83="",I83=""),"",H83+I83*$F83/1000)</f>
        <v>30.6</v>
      </c>
      <c r="K83" s="43">
        <f>IFERROR(J83/J88,"")</f>
        <v>1.3627861405540216E-2</v>
      </c>
      <c r="L83" s="43"/>
      <c r="M83" s="48">
        <f t="shared" si="37"/>
        <v>-0.81699346405228757</v>
      </c>
      <c r="N83" s="43"/>
      <c r="P83" s="89">
        <f t="array" ref="P83">IFERROR(INDEX('Detail inputs'!$B$3:$K$168,MATCH($B83&amp;$G83&amp;P$5,'Detail inputs'!$B$3:$B$168&amp;'Detail inputs'!$G$3:$G$168&amp;'Detail inputs'!$H$3:$H$168,0),MATCH(P$4,'Detail inputs'!$B$3:$K$3,0)),0)</f>
        <v>0.28000000000000003</v>
      </c>
      <c r="Q83" s="89">
        <f t="shared" ref="Q83:Q88" si="40">IF(AND(O83="",P83=""),"",O83+P83*$F83/1000)</f>
        <v>5.6000000000000005</v>
      </c>
      <c r="R83" s="43">
        <f>IFERROR(Q83/Q88,"")</f>
        <v>3.1720856463124504E-3</v>
      </c>
    </row>
    <row r="84" spans="2:22" outlineLevel="1" x14ac:dyDescent="0.35">
      <c r="B84" s="3" t="str">
        <f t="shared" si="38"/>
        <v>Endeavour</v>
      </c>
      <c r="C84" s="3" t="str">
        <f t="shared" si="35"/>
        <v>Small business</v>
      </c>
      <c r="D84" s="3" t="str">
        <f t="shared" si="36"/>
        <v>without CL</v>
      </c>
      <c r="E84" s="3" t="s">
        <v>23</v>
      </c>
      <c r="F84" s="41">
        <f t="array" ref="F84">IFERROR(INDEX(Usage!$B$5:$P$18,MATCH($B84,Usage!$B$5:$B$18,0),MATCH($C84&amp;$D84&amp;$E84,Usage!$B$5:$S$5&amp;Usage!$B$6:$S$6&amp;Usage!$B$7:$S$7,0)),0)</f>
        <v>20000</v>
      </c>
      <c r="G84" s="3" t="s">
        <v>88</v>
      </c>
      <c r="I84" s="89">
        <f t="array" ref="I84">IFERROR(INDEX('Detail inputs'!$B$3:$K$168,MATCH($B84&amp;$G84&amp;I$5,'Detail inputs'!$B$3:$B$168&amp;'Detail inputs'!$G$3:$G$168&amp;'Detail inputs'!$H$3:$H$168,0),MATCH(I$4,'Detail inputs'!$B$3:$K$3,0)),0)</f>
        <v>0.71</v>
      </c>
      <c r="J84" s="89">
        <f t="shared" si="39"/>
        <v>14.2</v>
      </c>
      <c r="K84" s="43">
        <f>IFERROR(J84/J88,"")</f>
        <v>6.3240402600872889E-3</v>
      </c>
      <c r="L84" s="43"/>
      <c r="M84" s="48">
        <f t="shared" si="37"/>
        <v>-0.30985915492957739</v>
      </c>
      <c r="N84" s="43"/>
      <c r="P84" s="89">
        <f t="array" ref="P84">IFERROR(INDEX('Detail inputs'!$B$3:$K$168,MATCH($B84&amp;$G84&amp;P$5,'Detail inputs'!$B$3:$B$168&amp;'Detail inputs'!$G$3:$G$168&amp;'Detail inputs'!$H$3:$H$168,0),MATCH(P$4,'Detail inputs'!$B$3:$K$3,0)),0)</f>
        <v>0.49</v>
      </c>
      <c r="Q84" s="89">
        <f t="shared" si="40"/>
        <v>9.8000000000000007</v>
      </c>
      <c r="R84" s="43">
        <f>IFERROR(Q84/Q88,"")</f>
        <v>5.5511498810467885E-3</v>
      </c>
    </row>
    <row r="85" spans="2:22" outlineLevel="1" x14ac:dyDescent="0.35">
      <c r="B85" s="3" t="str">
        <f t="shared" si="38"/>
        <v>Endeavour</v>
      </c>
      <c r="C85" s="3" t="str">
        <f t="shared" si="35"/>
        <v>Small business</v>
      </c>
      <c r="D85" s="3" t="str">
        <f t="shared" si="36"/>
        <v>without CL</v>
      </c>
      <c r="E85" s="3" t="s">
        <v>23</v>
      </c>
      <c r="F85" s="41">
        <f t="array" ref="F85">IFERROR(INDEX(Usage!$B$5:$P$18,MATCH($B85,Usage!$B$5:$B$18,0),MATCH($C85&amp;$D85&amp;$E85,Usage!$B$5:$S$5&amp;Usage!$B$6:$S$6&amp;Usage!$B$7:$S$7,0)),0)</f>
        <v>20000</v>
      </c>
      <c r="G85" s="3" t="s">
        <v>81</v>
      </c>
      <c r="I85" s="89">
        <f t="array" ref="I85">IFERROR(INDEX('Detail inputs'!$B$3:$K$168,MATCH($B85&amp;$G85&amp;I$5,'Detail inputs'!$B$3:$B$168&amp;'Detail inputs'!$G$3:$G$168&amp;'Detail inputs'!$H$3:$H$168,0),MATCH(I$4,'Detail inputs'!$B$3:$K$3,0)),0)</f>
        <v>0.36</v>
      </c>
      <c r="J85" s="89">
        <f t="shared" si="39"/>
        <v>7.2</v>
      </c>
      <c r="K85" s="43">
        <f>IFERROR(J85/J88,"")</f>
        <v>3.206555624832992E-3</v>
      </c>
      <c r="L85" s="43"/>
      <c r="M85" s="48">
        <f t="shared" si="37"/>
        <v>-1</v>
      </c>
      <c r="N85" s="43"/>
      <c r="P85" s="89">
        <f t="array" ref="P85">IFERROR(INDEX('Detail inputs'!$B$3:$K$168,MATCH($B85&amp;$G85&amp;P$5,'Detail inputs'!$B$3:$B$168&amp;'Detail inputs'!$G$3:$G$168&amp;'Detail inputs'!$H$3:$H$168,0),MATCH(P$4,'Detail inputs'!$B$3:$K$3,0)),0)</f>
        <v>0</v>
      </c>
      <c r="Q85" s="89">
        <f t="shared" si="40"/>
        <v>0</v>
      </c>
      <c r="R85" s="43">
        <f>IFERROR(Q85/Q88,"")</f>
        <v>0</v>
      </c>
    </row>
    <row r="86" spans="2:22" outlineLevel="1" x14ac:dyDescent="0.35">
      <c r="B86" s="3" t="str">
        <f t="shared" si="38"/>
        <v>Endeavour</v>
      </c>
      <c r="C86" s="3" t="str">
        <f t="shared" si="35"/>
        <v>Small business</v>
      </c>
      <c r="D86" s="3" t="str">
        <f t="shared" si="36"/>
        <v>without CL</v>
      </c>
      <c r="E86" s="3" t="s">
        <v>23</v>
      </c>
      <c r="F86" s="41">
        <f t="array" ref="F86">IFERROR(INDEX(Usage!$B$5:$P$18,MATCH($B86,Usage!$B$5:$B$18,0),MATCH($C86&amp;$D86&amp;$E86,Usage!$B$5:$S$5&amp;Usage!$B$6:$S$6&amp;Usage!$B$7:$S$7,0)),0)</f>
        <v>20000</v>
      </c>
      <c r="G86" s="3" t="s">
        <v>161</v>
      </c>
      <c r="I86" s="89">
        <f t="array" ref="I86">IFERROR(INDEX('Detail inputs'!$B$3:$K$168,MATCH($B86&amp;$G86&amp;I$5,'Detail inputs'!$B$3:$B$168&amp;'Detail inputs'!$G$3:$G$168&amp;'Detail inputs'!$H$3:$H$168,0),MATCH(I$4,'Detail inputs'!$B$3:$K$3,0)),0)</f>
        <v>2.0499999999999998</v>
      </c>
      <c r="J86" s="89">
        <f t="shared" si="39"/>
        <v>41</v>
      </c>
      <c r="K86" s="43">
        <f>IFERROR(J86/J88,"")</f>
        <v>1.8259552863632313E-2</v>
      </c>
      <c r="L86" s="43"/>
      <c r="M86" s="48">
        <f t="shared" si="37"/>
        <v>-0.1170731707317072</v>
      </c>
      <c r="N86" s="43"/>
      <c r="P86" s="89">
        <f t="array" ref="P86">IFERROR(INDEX('Detail inputs'!$B$3:$K$168,MATCH($B86&amp;$G86&amp;P$5,'Detail inputs'!$B$3:$B$168&amp;'Detail inputs'!$G$3:$G$168&amp;'Detail inputs'!$H$3:$H$168,0),MATCH(P$4,'Detail inputs'!$B$3:$K$3,0)),0)</f>
        <v>1.81</v>
      </c>
      <c r="Q86" s="89">
        <f t="shared" si="40"/>
        <v>36.200000000000003</v>
      </c>
      <c r="R86" s="43">
        <f>IFERROR(Q86/Q88,"")</f>
        <v>2.050526792794834E-2</v>
      </c>
    </row>
    <row r="87" spans="2:22" outlineLevel="1" x14ac:dyDescent="0.35">
      <c r="B87" s="3" t="str">
        <f t="shared" si="38"/>
        <v>Endeavour</v>
      </c>
      <c r="C87" s="3" t="str">
        <f t="shared" si="35"/>
        <v>Small business</v>
      </c>
      <c r="D87" s="3" t="str">
        <f t="shared" si="36"/>
        <v>without CL</v>
      </c>
      <c r="E87" s="3" t="s">
        <v>23</v>
      </c>
      <c r="F87" s="41">
        <f t="array" ref="F87">IFERROR(INDEX(Usage!$B$5:$P$18,MATCH($B87,Usage!$B$5:$B$18,0),MATCH($C87&amp;$D87&amp;$E87,Usage!$B$5:$S$5&amp;Usage!$B$6:$S$6&amp;Usage!$B$7:$S$7,0)),0)</f>
        <v>20000</v>
      </c>
      <c r="G87" s="3" t="s">
        <v>82</v>
      </c>
      <c r="I87" s="89">
        <f t="array" ref="I87">ROUND(IFERROR(INDEX('Detail inputs'!$B$3:$K$168,MATCH($B87&amp;$C87&amp;$E87&amp;$G87&amp;I$5,'Detail inputs'!$B$3:$B$168&amp;'Detail inputs'!$D$3:$D$168&amp;'Detail inputs'!$F$3:$F$168&amp;'Detail inputs'!$G$3:$G$168&amp;'Detail inputs'!$H$3:$H$168,0),MATCH(I$4,'Detail inputs'!$B$3:$K$3,0)),0)*SUM(I82:I86),2)</f>
        <v>6.55</v>
      </c>
      <c r="J87" s="89">
        <f t="shared" si="39"/>
        <v>131</v>
      </c>
      <c r="K87" s="43">
        <f>IFERROR(J87/J88,"")</f>
        <v>5.8341498174044715E-2</v>
      </c>
      <c r="L87" s="43"/>
      <c r="M87" s="48">
        <f t="shared" si="37"/>
        <v>-0.23664122137404575</v>
      </c>
      <c r="N87" s="43"/>
      <c r="P87" s="89">
        <f t="array" ref="P87">ROUND(IFERROR(INDEX('Detail inputs'!$B$3:$K$168,MATCH($B87&amp;$C87&amp;$E87&amp;$G87&amp;P$5,'Detail inputs'!$B$3:$B$168&amp;'Detail inputs'!$D$3:$D$168&amp;'Detail inputs'!$F$3:$F$168&amp;'Detail inputs'!$G$3:$G$168&amp;'Detail inputs'!$H$3:$H$168,0),MATCH(P$4,'Detail inputs'!$B$3:$K$3,0)),0)*SUM(P82:P86),2)</f>
        <v>5</v>
      </c>
      <c r="Q87" s="89">
        <f t="shared" si="40"/>
        <v>100</v>
      </c>
      <c r="R87" s="43">
        <f>IFERROR(Q87/Q88,"")</f>
        <v>5.6644386541293758E-2</v>
      </c>
    </row>
    <row r="88" spans="2:22" s="77" customFormat="1" x14ac:dyDescent="0.35">
      <c r="B88" s="3" t="str">
        <f t="shared" si="38"/>
        <v>Endeavour</v>
      </c>
      <c r="C88" s="3" t="str">
        <f t="shared" si="35"/>
        <v>Small business</v>
      </c>
      <c r="D88" s="3" t="str">
        <f t="shared" si="36"/>
        <v>without CL</v>
      </c>
      <c r="E88" s="3" t="s">
        <v>23</v>
      </c>
      <c r="F88" s="41">
        <f t="array" ref="F88">IFERROR(INDEX(Usage!$B$5:$P$18,MATCH($B88,Usage!$B$5:$B$18,0),MATCH($C88&amp;$D88&amp;$E88,Usage!$B$5:$S$5&amp;Usage!$B$6:$S$6&amp;Usage!$B$7:$S$7,0)),0)</f>
        <v>20000</v>
      </c>
      <c r="G88" s="77" t="s">
        <v>62</v>
      </c>
      <c r="H88" s="95"/>
      <c r="I88" s="95">
        <f t="array" ref="I88">INDEX('Key inputs'!$B$16:$N$40,MATCH($B88&amp;$C88&amp;$E88,'Key inputs'!$B$16:$B$40&amp;'Key inputs'!$C$16:$C$40&amp;'Key inputs'!$D$16:$D$40,0),MATCH($A$2&amp;I$4,'Key inputs'!$B$17:$N$17&amp;'Key inputs'!$B$18:$N$18,0))</f>
        <v>112.27</v>
      </c>
      <c r="J88" s="89">
        <f t="shared" si="39"/>
        <v>2245.4</v>
      </c>
      <c r="K88" s="87"/>
      <c r="L88" s="88"/>
      <c r="M88" s="79">
        <f t="shared" si="37"/>
        <v>-0.21377037498886609</v>
      </c>
      <c r="N88" s="88"/>
      <c r="O88" s="95"/>
      <c r="P88" s="95">
        <f t="array" ref="P88">INDEX('Key inputs'!$B$16:$N$40,MATCH($B88&amp;$C88&amp;$E88,'Key inputs'!$B$16:$B$40&amp;'Key inputs'!$C$16:$C$40&amp;'Key inputs'!$D$16:$D$40,0),MATCH($A$2&amp;P$4,'Key inputs'!$B$17:$N$17&amp;'Key inputs'!$B$18:$N$18,0))</f>
        <v>88.27</v>
      </c>
      <c r="Q88" s="89">
        <f t="shared" si="40"/>
        <v>1765.4</v>
      </c>
      <c r="R88" s="87"/>
      <c r="S88" s="129" t="b">
        <f>ROUND(I88,$T$5)=ROUND(SUM(I82:I87),$T$5)</f>
        <v>1</v>
      </c>
      <c r="T88" s="129" t="b">
        <f>ROUND(P88,$T$5)=ROUND(SUM(P82:P87),$T$5)</f>
        <v>1</v>
      </c>
      <c r="U88" s="128"/>
      <c r="V88" s="128"/>
    </row>
    <row r="89" spans="2:22" outlineLevel="1" x14ac:dyDescent="0.35">
      <c r="B89" s="3" t="str">
        <f t="shared" si="38"/>
        <v>Endeavour</v>
      </c>
      <c r="C89" s="3" t="str">
        <f t="shared" si="35"/>
        <v>Small business</v>
      </c>
      <c r="D89" s="3" t="str">
        <f t="shared" si="36"/>
        <v>without CL</v>
      </c>
      <c r="F89" s="41"/>
      <c r="G89" s="77" t="s">
        <v>42</v>
      </c>
      <c r="H89" s="95"/>
      <c r="I89" s="95"/>
      <c r="J89" s="95">
        <f>J88*GST</f>
        <v>224.54000000000002</v>
      </c>
      <c r="K89" s="87"/>
      <c r="L89" s="88"/>
      <c r="M89" s="79"/>
      <c r="N89" s="88"/>
      <c r="O89" s="95"/>
      <c r="P89" s="95"/>
      <c r="Q89" s="95">
        <f>Q88*GST</f>
        <v>176.54000000000002</v>
      </c>
      <c r="R89" s="75"/>
    </row>
    <row r="90" spans="2:22" x14ac:dyDescent="0.35">
      <c r="B90" s="3" t="str">
        <f t="shared" si="38"/>
        <v>Endeavour</v>
      </c>
      <c r="C90" s="3" t="str">
        <f t="shared" si="35"/>
        <v>Small business</v>
      </c>
      <c r="D90" s="3" t="str">
        <f t="shared" si="36"/>
        <v>without CL</v>
      </c>
      <c r="F90" s="41"/>
      <c r="G90" s="5" t="s">
        <v>90</v>
      </c>
      <c r="H90" s="94"/>
      <c r="I90" s="94"/>
      <c r="J90" s="94">
        <f>SUM(J88:J89)</f>
        <v>2469.94</v>
      </c>
      <c r="K90" s="75"/>
      <c r="L90" s="27"/>
      <c r="M90" s="76">
        <f>IF(OR(J90=0,Q90=""),"",Q90/J90-1)</f>
        <v>-0.21377037498886609</v>
      </c>
      <c r="N90" s="27"/>
      <c r="O90" s="94"/>
      <c r="P90" s="94"/>
      <c r="Q90" s="94">
        <f>SUM(Q88:Q89)</f>
        <v>1941.94</v>
      </c>
      <c r="R90" s="75"/>
    </row>
    <row r="91" spans="2:22" x14ac:dyDescent="0.35">
      <c r="F91" s="41"/>
      <c r="K91" s="43"/>
      <c r="M91" s="48"/>
      <c r="R91" s="43"/>
    </row>
    <row r="92" spans="2:22" x14ac:dyDescent="0.35">
      <c r="B92" s="5" t="s">
        <v>3</v>
      </c>
      <c r="C92" s="5" t="s">
        <v>6</v>
      </c>
      <c r="D92" s="5" t="s">
        <v>150</v>
      </c>
      <c r="F92" s="41"/>
      <c r="K92" s="43"/>
      <c r="M92" s="48"/>
      <c r="R92" s="43"/>
    </row>
    <row r="93" spans="2:22" outlineLevel="1" x14ac:dyDescent="0.35">
      <c r="B93" s="3" t="str">
        <f>B92</f>
        <v>Essential</v>
      </c>
      <c r="C93" s="3" t="str">
        <f t="shared" ref="C93:C101" si="41">C92</f>
        <v>Residential</v>
      </c>
      <c r="D93" s="3" t="str">
        <f t="shared" ref="D93:D101" si="42">D92</f>
        <v>without CL</v>
      </c>
      <c r="E93" s="3" t="s">
        <v>23</v>
      </c>
      <c r="F93" s="41">
        <f t="array" ref="F93">IFERROR(INDEX(Usage!$B$5:$P$18,MATCH($B93,Usage!$B$5:$B$18,0),MATCH($C93&amp;$D93&amp;$E93&amp;"Total",Usage!$B$5:$S$5&amp;Usage!$B$6:$S$6&amp;Usage!$B$7:$S$7&amp;Usage!$B$13:$S$13,0)),0)</f>
        <v>4600</v>
      </c>
      <c r="G93" s="3" t="s">
        <v>79</v>
      </c>
      <c r="I93" s="89">
        <f t="array" ref="I93">IFERROR(INDEX('Detail inputs'!$B$3:$K$168,MATCH($B93&amp;$C93&amp;$E93&amp;$G93&amp;I$5,'Detail inputs'!$B$3:$B$168&amp;'Detail inputs'!$D$3:$D$168&amp;'Detail inputs'!$F$3:$F$168&amp;'Detail inputs'!$G$3:$G$168&amp;'Detail inputs'!$H$3:$H$168,0),MATCH(I$4,'Detail inputs'!$B$3:$K$3,0)),0)</f>
        <v>93.84</v>
      </c>
      <c r="J93" s="89">
        <f>IF(AND(H93="",I93=""),"",H93+I93*$F93/1000)</f>
        <v>431.66399999999999</v>
      </c>
      <c r="K93" s="43">
        <f>IFERROR(J93/J99,"")</f>
        <v>0.90666666666666662</v>
      </c>
      <c r="L93" s="43"/>
      <c r="M93" s="48">
        <f t="shared" ref="M93:M99" si="43">IF(OR(J93=0,Q93=""),"",Q93/J93-1)</f>
        <v>-0.20588235294117652</v>
      </c>
      <c r="N93" s="43"/>
      <c r="P93" s="89">
        <f t="array" ref="P93">IFERROR(INDEX('Detail inputs'!$B$3:$K$168,MATCH($B93&amp;$C93&amp;$E93&amp;$G93&amp;P$5,'Detail inputs'!$B$3:$B$168&amp;'Detail inputs'!$D$3:$D$168&amp;'Detail inputs'!$F$3:$F$168&amp;'Detail inputs'!$G$3:$G$168&amp;'Detail inputs'!$H$3:$H$168,0),MATCH(P$4,'Detail inputs'!$B$3:$K$3,0)),0)</f>
        <v>74.52</v>
      </c>
      <c r="Q93" s="89">
        <f>IF(AND(O93="",P93=""),"",O93+P93*$F93/1000)</f>
        <v>342.79199999999997</v>
      </c>
      <c r="R93" s="43">
        <f>IFERROR(Q93/Q99,"")</f>
        <v>0.92755787901418951</v>
      </c>
    </row>
    <row r="94" spans="2:22" outlineLevel="1" x14ac:dyDescent="0.35">
      <c r="B94" s="3" t="str">
        <f t="shared" ref="B94:B101" si="44">B93</f>
        <v>Essential</v>
      </c>
      <c r="C94" s="3" t="str">
        <f t="shared" si="41"/>
        <v>Residential</v>
      </c>
      <c r="D94" s="3" t="str">
        <f t="shared" si="42"/>
        <v>without CL</v>
      </c>
      <c r="E94" s="3" t="s">
        <v>23</v>
      </c>
      <c r="F94" s="41">
        <f t="array" ref="F94">IFERROR(INDEX(Usage!$B$5:$P$18,MATCH($B94,Usage!$B$5:$B$18,0),MATCH($C94&amp;$D94&amp;$E94&amp;"Total",Usage!$B$5:$S$5&amp;Usage!$B$6:$S$6&amp;Usage!$B$7:$S$7&amp;Usage!$B$13:$S$13,0)),0)</f>
        <v>4600</v>
      </c>
      <c r="G94" s="3" t="s">
        <v>80</v>
      </c>
      <c r="I94" s="89">
        <f t="array" ref="I94">IFERROR(INDEX('Detail inputs'!$B$3:$K$168,MATCH($B94&amp;$G94&amp;I$5,'Detail inputs'!$B$3:$B$168&amp;'Detail inputs'!$G$3:$G$168&amp;'Detail inputs'!$H$3:$H$168,0),MATCH(I$4,'Detail inputs'!$B$3:$K$3,0)),0)</f>
        <v>1.53</v>
      </c>
      <c r="J94" s="89">
        <f t="shared" ref="J94:J99" si="45">IF(AND(H94="",I94=""),"",H94+I94*$F94/1000)</f>
        <v>7.0380000000000003</v>
      </c>
      <c r="K94" s="43">
        <f>IFERROR(J94/J99,"")</f>
        <v>1.4782608695652174E-2</v>
      </c>
      <c r="L94" s="43"/>
      <c r="M94" s="48">
        <f t="shared" si="43"/>
        <v>-0.81699346405228757</v>
      </c>
      <c r="N94" s="43"/>
      <c r="P94" s="89">
        <f t="array" ref="P94">IFERROR(INDEX('Detail inputs'!$B$3:$K$168,MATCH($B94&amp;$G94&amp;P$5,'Detail inputs'!$B$3:$B$168&amp;'Detail inputs'!$G$3:$G$168&amp;'Detail inputs'!$H$3:$H$168,0),MATCH(P$4,'Detail inputs'!$B$3:$K$3,0)),0)</f>
        <v>0.28000000000000003</v>
      </c>
      <c r="Q94" s="89">
        <f t="shared" ref="Q94:Q99" si="46">IF(AND(O94="",P94=""),"",O94+P94*$F94/1000)</f>
        <v>1.2880000000000003</v>
      </c>
      <c r="R94" s="43">
        <f>IFERROR(Q94/Q99,"")</f>
        <v>3.4851879512073692E-3</v>
      </c>
    </row>
    <row r="95" spans="2:22" outlineLevel="1" x14ac:dyDescent="0.35">
      <c r="B95" s="3" t="str">
        <f t="shared" si="44"/>
        <v>Essential</v>
      </c>
      <c r="C95" s="3" t="str">
        <f t="shared" si="41"/>
        <v>Residential</v>
      </c>
      <c r="D95" s="3" t="str">
        <f t="shared" si="42"/>
        <v>without CL</v>
      </c>
      <c r="E95" s="3" t="s">
        <v>23</v>
      </c>
      <c r="F95" s="41">
        <f t="array" ref="F95">IFERROR(INDEX(Usage!$B$5:$P$18,MATCH($B95,Usage!$B$5:$B$18,0),MATCH($C95&amp;$D95&amp;$E95&amp;"Total",Usage!$B$5:$S$5&amp;Usage!$B$6:$S$6&amp;Usage!$B$7:$S$7&amp;Usage!$B$13:$S$13,0)),0)</f>
        <v>4600</v>
      </c>
      <c r="G95" s="3" t="s">
        <v>88</v>
      </c>
      <c r="I95" s="89">
        <f t="array" ref="I95">IFERROR(INDEX('Detail inputs'!$B$3:$K$168,MATCH($B95&amp;$G95&amp;I$5,'Detail inputs'!$B$3:$B$168&amp;'Detail inputs'!$G$3:$G$168&amp;'Detail inputs'!$H$3:$H$168,0),MATCH(I$4,'Detail inputs'!$B$3:$K$3,0)),0)</f>
        <v>0.71</v>
      </c>
      <c r="J95" s="89">
        <f t="shared" si="45"/>
        <v>3.266</v>
      </c>
      <c r="K95" s="43">
        <f>IFERROR(J95/J99,"")</f>
        <v>6.8599033816425115E-3</v>
      </c>
      <c r="L95" s="43"/>
      <c r="M95" s="48">
        <f t="shared" si="43"/>
        <v>-0.3098591549295775</v>
      </c>
      <c r="N95" s="43"/>
      <c r="P95" s="89">
        <f t="array" ref="P95">IFERROR(INDEX('Detail inputs'!$B$3:$K$168,MATCH($B95&amp;$G95&amp;P$5,'Detail inputs'!$B$3:$B$168&amp;'Detail inputs'!$G$3:$G$168&amp;'Detail inputs'!$H$3:$H$168,0),MATCH(P$4,'Detail inputs'!$B$3:$K$3,0)),0)</f>
        <v>0.49</v>
      </c>
      <c r="Q95" s="89">
        <f t="shared" si="46"/>
        <v>2.254</v>
      </c>
      <c r="R95" s="43">
        <f>IFERROR(Q95/Q99,"")</f>
        <v>6.0990789146128949E-3</v>
      </c>
    </row>
    <row r="96" spans="2:22" outlineLevel="1" x14ac:dyDescent="0.35">
      <c r="B96" s="3" t="str">
        <f t="shared" si="44"/>
        <v>Essential</v>
      </c>
      <c r="C96" s="3" t="str">
        <f t="shared" si="41"/>
        <v>Residential</v>
      </c>
      <c r="D96" s="3" t="str">
        <f t="shared" si="42"/>
        <v>without CL</v>
      </c>
      <c r="E96" s="3" t="s">
        <v>23</v>
      </c>
      <c r="F96" s="41">
        <f t="array" ref="F96">IFERROR(INDEX(Usage!$B$5:$P$18,MATCH($B96,Usage!$B$5:$B$18,0),MATCH($C96&amp;$D96&amp;$E96&amp;"Total",Usage!$B$5:$S$5&amp;Usage!$B$6:$S$6&amp;Usage!$B$7:$S$7&amp;Usage!$B$13:$S$13,0)),0)</f>
        <v>4600</v>
      </c>
      <c r="G96" s="3" t="s">
        <v>81</v>
      </c>
      <c r="I96" s="89">
        <f t="array" ref="I96">IFERROR(INDEX('Detail inputs'!$B$3:$K$168,MATCH($B96&amp;$G96&amp;I$5,'Detail inputs'!$B$3:$B$168&amp;'Detail inputs'!$G$3:$G$168&amp;'Detail inputs'!$H$3:$H$168,0),MATCH(I$4,'Detail inputs'!$B$3:$K$3,0)),0)</f>
        <v>0.36</v>
      </c>
      <c r="J96" s="89">
        <f t="shared" si="45"/>
        <v>1.6559999999999999</v>
      </c>
      <c r="K96" s="43">
        <f>IFERROR(J96/J99,"")</f>
        <v>3.4782608695652171E-3</v>
      </c>
      <c r="L96" s="43"/>
      <c r="M96" s="48">
        <f t="shared" si="43"/>
        <v>-1</v>
      </c>
      <c r="N96" s="43"/>
      <c r="P96" s="89">
        <f t="array" ref="P96">IFERROR(INDEX('Detail inputs'!$B$3:$K$168,MATCH($B96&amp;$G96&amp;P$5,'Detail inputs'!$B$3:$B$168&amp;'Detail inputs'!$G$3:$G$168&amp;'Detail inputs'!$H$3:$H$168,0),MATCH(P$4,'Detail inputs'!$B$3:$K$3,0)),0)</f>
        <v>0</v>
      </c>
      <c r="Q96" s="89">
        <f t="shared" si="46"/>
        <v>0</v>
      </c>
      <c r="R96" s="43">
        <f>IFERROR(Q96/Q99,"")</f>
        <v>0</v>
      </c>
    </row>
    <row r="97" spans="2:22" outlineLevel="1" x14ac:dyDescent="0.35">
      <c r="B97" s="3" t="str">
        <f t="shared" si="44"/>
        <v>Essential</v>
      </c>
      <c r="C97" s="3" t="str">
        <f t="shared" si="41"/>
        <v>Residential</v>
      </c>
      <c r="D97" s="3" t="str">
        <f t="shared" si="42"/>
        <v>without CL</v>
      </c>
      <c r="E97" s="3" t="s">
        <v>23</v>
      </c>
      <c r="F97" s="41">
        <f t="array" ref="F97">IFERROR(INDEX(Usage!$B$5:$P$18,MATCH($B97,Usage!$B$5:$B$18,0),MATCH($C97&amp;$D97&amp;$E97&amp;"Total",Usage!$B$5:$S$5&amp;Usage!$B$6:$S$6&amp;Usage!$B$7:$S$7&amp;Usage!$B$13:$S$13,0)),0)</f>
        <v>4600</v>
      </c>
      <c r="G97" s="3" t="s">
        <v>161</v>
      </c>
      <c r="I97" s="89">
        <f t="array" ref="I97">IFERROR(INDEX('Detail inputs'!$B$3:$K$168,MATCH($B97&amp;$G97&amp;I$5,'Detail inputs'!$B$3:$B$168&amp;'Detail inputs'!$G$3:$G$168&amp;'Detail inputs'!$H$3:$H$168,0),MATCH(I$4,'Detail inputs'!$B$3:$K$3,0)),0)</f>
        <v>1.66</v>
      </c>
      <c r="J97" s="89">
        <f t="shared" si="45"/>
        <v>7.6360000000000001</v>
      </c>
      <c r="K97" s="43">
        <f>IFERROR(J97/J99,"")</f>
        <v>1.603864734299517E-2</v>
      </c>
      <c r="L97" s="43"/>
      <c r="M97" s="48">
        <f t="shared" si="43"/>
        <v>-4.216867469879515E-2</v>
      </c>
      <c r="N97" s="43"/>
      <c r="P97" s="89">
        <f t="array" ref="P97">IFERROR(INDEX('Detail inputs'!$B$3:$K$168,MATCH($B97&amp;$G97&amp;P$5,'Detail inputs'!$B$3:$B$168&amp;'Detail inputs'!$G$3:$G$168&amp;'Detail inputs'!$H$3:$H$168,0),MATCH(P$4,'Detail inputs'!$B$3:$K$3,0)),0)</f>
        <v>1.59</v>
      </c>
      <c r="Q97" s="89">
        <f t="shared" si="46"/>
        <v>7.3140000000000001</v>
      </c>
      <c r="R97" s="43">
        <f>IFERROR(Q97/Q99,"")</f>
        <v>1.9790888722927558E-2</v>
      </c>
    </row>
    <row r="98" spans="2:22" outlineLevel="1" x14ac:dyDescent="0.35">
      <c r="B98" s="3" t="str">
        <f t="shared" si="44"/>
        <v>Essential</v>
      </c>
      <c r="C98" s="3" t="str">
        <f t="shared" si="41"/>
        <v>Residential</v>
      </c>
      <c r="D98" s="3" t="str">
        <f t="shared" si="42"/>
        <v>without CL</v>
      </c>
      <c r="E98" s="3" t="s">
        <v>23</v>
      </c>
      <c r="F98" s="41">
        <f t="array" ref="F98">IFERROR(INDEX(Usage!$B$5:$P$18,MATCH($B98,Usage!$B$5:$B$18,0),MATCH($C98&amp;$D98&amp;$E98&amp;"Total",Usage!$B$5:$S$5&amp;Usage!$B$6:$S$6&amp;Usage!$B$7:$S$7&amp;Usage!$B$13:$S$13,0)),0)</f>
        <v>4600</v>
      </c>
      <c r="G98" s="3" t="s">
        <v>82</v>
      </c>
      <c r="I98" s="89">
        <f t="array" ref="I98">ROUND(IFERROR(INDEX('Detail inputs'!$B$3:$K$168,MATCH($B98&amp;$C98&amp;$E98&amp;$G98&amp;I$5,'Detail inputs'!$B$3:$B$168&amp;'Detail inputs'!$D$3:$D$168&amp;'Detail inputs'!$F$3:$F$168&amp;'Detail inputs'!$G$3:$G$168&amp;'Detail inputs'!$H$3:$H$168,0),MATCH(I$4,'Detail inputs'!$B$3:$K$3,0)),0)*SUM(I93:I97),2)</f>
        <v>5.4</v>
      </c>
      <c r="J98" s="89">
        <f t="shared" si="45"/>
        <v>24.84</v>
      </c>
      <c r="K98" s="43">
        <f>IFERROR(J98/J99,"")</f>
        <v>5.2173913043478258E-2</v>
      </c>
      <c r="L98" s="43"/>
      <c r="M98" s="48">
        <f t="shared" si="43"/>
        <v>-0.35925925925925928</v>
      </c>
      <c r="N98" s="43"/>
      <c r="P98" s="89">
        <f t="array" ref="P98">ROUND(IFERROR(INDEX('Detail inputs'!$B$3:$K$168,MATCH($B98&amp;$C98&amp;$E98&amp;$G98&amp;P$5,'Detail inputs'!$B$3:$B$168&amp;'Detail inputs'!$D$3:$D$168&amp;'Detail inputs'!$F$3:$F$168&amp;'Detail inputs'!$G$3:$G$168&amp;'Detail inputs'!$H$3:$H$168,0),MATCH(P$4,'Detail inputs'!$B$3:$K$3,0)),0)*SUM(P93:P97),2)</f>
        <v>3.46</v>
      </c>
      <c r="Q98" s="89">
        <f t="shared" si="46"/>
        <v>15.916</v>
      </c>
      <c r="R98" s="43">
        <f>IFERROR(Q98/Q99,"")</f>
        <v>4.3066965397062486E-2</v>
      </c>
    </row>
    <row r="99" spans="2:22" s="77" customFormat="1" x14ac:dyDescent="0.35">
      <c r="B99" s="3" t="str">
        <f t="shared" si="44"/>
        <v>Essential</v>
      </c>
      <c r="C99" s="3" t="str">
        <f t="shared" si="41"/>
        <v>Residential</v>
      </c>
      <c r="D99" s="3" t="str">
        <f t="shared" si="42"/>
        <v>without CL</v>
      </c>
      <c r="E99" s="3" t="s">
        <v>23</v>
      </c>
      <c r="F99" s="41">
        <f t="array" ref="F99">IFERROR(INDEX(Usage!$B$5:$P$18,MATCH($B99,Usage!$B$5:$B$18,0),MATCH($C99&amp;$D99&amp;$E99&amp;"Total",Usage!$B$5:$S$5&amp;Usage!$B$6:$S$6&amp;Usage!$B$7:$S$7&amp;Usage!$B$13:$S$13,0)),0)</f>
        <v>4600</v>
      </c>
      <c r="G99" s="77" t="s">
        <v>62</v>
      </c>
      <c r="H99" s="95"/>
      <c r="I99" s="95">
        <f t="array" ref="I99">INDEX('Key inputs'!$B$16:$N$40,MATCH($B99&amp;$C99&amp;$E99,'Key inputs'!$B$16:$B$40&amp;'Key inputs'!$C$16:$C$40&amp;'Key inputs'!$D$16:$D$40,0),MATCH($A$2&amp;I$4,'Key inputs'!$B$17:$N$17&amp;'Key inputs'!$B$18:$N$18,0))</f>
        <v>103.5</v>
      </c>
      <c r="J99" s="89">
        <f t="shared" si="45"/>
        <v>476.1</v>
      </c>
      <c r="K99" s="87"/>
      <c r="L99" s="88"/>
      <c r="M99" s="79">
        <f t="shared" si="43"/>
        <v>-0.22376811594202894</v>
      </c>
      <c r="N99" s="88"/>
      <c r="O99" s="95"/>
      <c r="P99" s="95">
        <f t="array" ref="P99">INDEX('Key inputs'!$B$16:$N$40,MATCH($B99&amp;$C99&amp;$E99,'Key inputs'!$B$16:$B$40&amp;'Key inputs'!$C$16:$C$40&amp;'Key inputs'!$D$16:$D$40,0),MATCH($A$2&amp;P$4,'Key inputs'!$B$17:$N$17&amp;'Key inputs'!$B$18:$N$18,0))</f>
        <v>80.34</v>
      </c>
      <c r="Q99" s="89">
        <f t="shared" si="46"/>
        <v>369.56400000000002</v>
      </c>
      <c r="R99" s="87"/>
      <c r="S99" s="129" t="b">
        <f>ROUND(I99,$T$5)=ROUND(SUM(I93:I98),$T$5)</f>
        <v>1</v>
      </c>
      <c r="T99" s="129" t="b">
        <f>ROUND(P99,$T$5)=ROUND(SUM(P93:P98),$T$5)</f>
        <v>1</v>
      </c>
      <c r="U99" s="128"/>
      <c r="V99" s="128"/>
    </row>
    <row r="100" spans="2:22" outlineLevel="1" x14ac:dyDescent="0.35">
      <c r="B100" s="3" t="str">
        <f t="shared" si="44"/>
        <v>Essential</v>
      </c>
      <c r="C100" s="3" t="str">
        <f t="shared" si="41"/>
        <v>Residential</v>
      </c>
      <c r="D100" s="3" t="str">
        <f t="shared" si="42"/>
        <v>without CL</v>
      </c>
      <c r="F100" s="41"/>
      <c r="G100" s="77" t="s">
        <v>42</v>
      </c>
      <c r="H100" s="95"/>
      <c r="I100" s="95"/>
      <c r="J100" s="95">
        <f>J99*GST</f>
        <v>47.610000000000007</v>
      </c>
      <c r="K100" s="87"/>
      <c r="L100" s="88"/>
      <c r="M100" s="79"/>
      <c r="N100" s="88"/>
      <c r="O100" s="95"/>
      <c r="P100" s="95"/>
      <c r="Q100" s="95">
        <f>Q99*GST</f>
        <v>36.956400000000002</v>
      </c>
      <c r="R100" s="75"/>
    </row>
    <row r="101" spans="2:22" x14ac:dyDescent="0.35">
      <c r="B101" s="3" t="str">
        <f t="shared" si="44"/>
        <v>Essential</v>
      </c>
      <c r="C101" s="3" t="str">
        <f t="shared" si="41"/>
        <v>Residential</v>
      </c>
      <c r="D101" s="3" t="str">
        <f t="shared" si="42"/>
        <v>without CL</v>
      </c>
      <c r="F101" s="41"/>
      <c r="G101" s="5" t="s">
        <v>90</v>
      </c>
      <c r="H101" s="94"/>
      <c r="I101" s="94"/>
      <c r="J101" s="94">
        <f>SUM(J99:J100)</f>
        <v>523.71</v>
      </c>
      <c r="K101" s="75"/>
      <c r="L101" s="27"/>
      <c r="M101" s="76">
        <f>IF(OR(J101=0,Q101=""),"",Q101/J101-1)</f>
        <v>-0.22376811594202906</v>
      </c>
      <c r="N101" s="27"/>
      <c r="O101" s="94"/>
      <c r="P101" s="94"/>
      <c r="Q101" s="94">
        <f>SUM(Q99:Q100)</f>
        <v>406.5204</v>
      </c>
      <c r="R101" s="75"/>
    </row>
    <row r="102" spans="2:22" x14ac:dyDescent="0.35">
      <c r="F102" s="41"/>
      <c r="K102" s="43"/>
      <c r="M102" s="48"/>
      <c r="R102" s="43"/>
    </row>
    <row r="103" spans="2:22" x14ac:dyDescent="0.35">
      <c r="B103" s="5" t="s">
        <v>3</v>
      </c>
      <c r="C103" s="5" t="s">
        <v>6</v>
      </c>
      <c r="D103" s="5" t="s">
        <v>151</v>
      </c>
      <c r="F103" s="41"/>
      <c r="K103" s="43"/>
      <c r="M103" s="48"/>
      <c r="R103" s="43"/>
    </row>
    <row r="104" spans="2:22" outlineLevel="1" x14ac:dyDescent="0.35">
      <c r="B104" s="3" t="str">
        <f>B103</f>
        <v>Essential</v>
      </c>
      <c r="C104" s="3" t="str">
        <f t="shared" ref="C104:C121" si="47">C103</f>
        <v>Residential</v>
      </c>
      <c r="D104" s="3" t="str">
        <f t="shared" ref="D104:D121" si="48">D103</f>
        <v>with CL</v>
      </c>
      <c r="E104" s="3" t="s">
        <v>23</v>
      </c>
      <c r="F104" s="41">
        <f t="array" ref="F104">IFERROR(INDEX(Usage!$B$5:$P$18,MATCH($B104,Usage!$B$5:$B$18,0),MATCH($C104&amp;$D104&amp;$E104&amp;"Total",Usage!$B$5:$S$5&amp;Usage!$B$6:$S$6&amp;Usage!$B$7:$S$7&amp;Usage!$B$13:$S$13,0)),0)</f>
        <v>4600</v>
      </c>
      <c r="G104" s="3" t="s">
        <v>62</v>
      </c>
      <c r="I104" s="95">
        <f t="array" ref="I104">INDEX('Key inputs'!$B$16:$N$40,MATCH($B104&amp;$C104&amp;$E104,'Key inputs'!$B$16:$B$40&amp;'Key inputs'!$C$16:$C$40&amp;'Key inputs'!$D$16:$D$40,0),MATCH($A$2&amp;I$4,'Key inputs'!$B$17:$N$17&amp;'Key inputs'!$B$18:$N$18,0))</f>
        <v>103.5</v>
      </c>
      <c r="J104" s="89">
        <f>IF(AND(H104="",I104=""),"",H104+I104*$F104/1000)</f>
        <v>476.1</v>
      </c>
      <c r="K104" s="43"/>
      <c r="M104" s="48">
        <f>IF(OR(J104=0,Q104=""),"",Q104/J104-1)</f>
        <v>-0.22376811594202894</v>
      </c>
      <c r="P104" s="95">
        <f t="array" ref="P104">INDEX('Key inputs'!$B$16:$N$40,MATCH($B104&amp;$C104&amp;$E104,'Key inputs'!$B$16:$B$40&amp;'Key inputs'!$C$16:$C$40&amp;'Key inputs'!$D$16:$D$40,0),MATCH($A$2&amp;P$4,'Key inputs'!$B$17:$N$17&amp;'Key inputs'!$B$18:$N$18,0))</f>
        <v>80.34</v>
      </c>
      <c r="Q104" s="89">
        <f>IF(AND(O104="",P104=""),"",O104+P104*$F104/1000)</f>
        <v>369.56400000000002</v>
      </c>
      <c r="R104" s="43"/>
    </row>
    <row r="105" spans="2:22" outlineLevel="1" x14ac:dyDescent="0.35">
      <c r="B105" s="3" t="str">
        <f t="shared" ref="B105:B121" si="49">B104</f>
        <v>Essential</v>
      </c>
      <c r="C105" s="3" t="str">
        <f t="shared" si="47"/>
        <v>Residential</v>
      </c>
      <c r="D105" s="3" t="str">
        <f t="shared" si="48"/>
        <v>with CL</v>
      </c>
      <c r="E105" s="3" t="s">
        <v>16</v>
      </c>
      <c r="F105" s="41">
        <f t="array" ref="F105">IFERROR(INDEX(Usage!$B$5:$P$18,MATCH($B105,Usage!$B$5:$B$18,0),MATCH($C105&amp;$D105&amp;$E105,Usage!$B$5:$S$5&amp;Usage!$B$6:$S$6&amp;Usage!$B$7:$S$7,0)),0)</f>
        <v>1540</v>
      </c>
      <c r="G105" s="3" t="s">
        <v>79</v>
      </c>
      <c r="I105" s="89">
        <f t="array" ref="I105">IFERROR(INDEX('Detail inputs'!$B$3:$K$168,MATCH($B105&amp;$C105&amp;$E105&amp;$G105&amp;I$5,'Detail inputs'!$B$3:$B$168&amp;'Detail inputs'!$D$3:$D$168&amp;'Detail inputs'!$F$3:$F$168&amp;'Detail inputs'!$G$3:$G$168&amp;'Detail inputs'!$H$3:$H$168,0),MATCH(I$4,'Detail inputs'!$B$3:$K$3,0)),0)</f>
        <v>79.06</v>
      </c>
      <c r="J105" s="89">
        <f>IF(AND(H105="",I105=""),"",H105+I105*$F105/1000)</f>
        <v>121.75240000000001</v>
      </c>
      <c r="K105" s="43">
        <f>IFERROR(J105/J111,"")</f>
        <v>0.89943117178612053</v>
      </c>
      <c r="L105" s="43"/>
      <c r="M105" s="48">
        <f t="shared" ref="M105:M119" si="50">IF(OR(J105=0,Q105=""),"",Q105/J105-1)</f>
        <v>-0.21527953453073623</v>
      </c>
      <c r="N105" s="43"/>
      <c r="P105" s="89">
        <f t="array" ref="P105">IFERROR(INDEX('Detail inputs'!$B$3:$K$168,MATCH($B105&amp;$C105&amp;$E105&amp;$G105&amp;P$5,'Detail inputs'!$B$3:$B$168&amp;'Detail inputs'!$D$3:$D$168&amp;'Detail inputs'!$F$3:$F$168&amp;'Detail inputs'!$G$3:$G$168&amp;'Detail inputs'!$H$3:$H$168,0),MATCH(P$4,'Detail inputs'!$B$3:$K$3,0)),0)</f>
        <v>62.04</v>
      </c>
      <c r="Q105" s="89">
        <f>IF(AND(O105="",P105=""),"",O105+P105*$F105/1000)</f>
        <v>95.541600000000003</v>
      </c>
      <c r="R105" s="43">
        <f>IFERROR(Q105/Q111,"")</f>
        <v>0.9218424962852898</v>
      </c>
    </row>
    <row r="106" spans="2:22" outlineLevel="1" x14ac:dyDescent="0.35">
      <c r="B106" s="3" t="str">
        <f t="shared" si="49"/>
        <v>Essential</v>
      </c>
      <c r="C106" s="3" t="str">
        <f t="shared" si="47"/>
        <v>Residential</v>
      </c>
      <c r="D106" s="3" t="str">
        <f t="shared" si="48"/>
        <v>with CL</v>
      </c>
      <c r="E106" s="3" t="s">
        <v>16</v>
      </c>
      <c r="F106" s="41">
        <f t="array" ref="F106">IFERROR(INDEX(Usage!$B$5:$P$18,MATCH($B106,Usage!$B$5:$B$18,0),MATCH($C106&amp;$D106&amp;$E106,Usage!$B$5:$S$5&amp;Usage!$B$6:$S$6&amp;Usage!$B$7:$S$7,0)),0)</f>
        <v>1540</v>
      </c>
      <c r="G106" s="3" t="s">
        <v>80</v>
      </c>
      <c r="I106" s="89">
        <f t="array" ref="I106">IFERROR(INDEX('Detail inputs'!$B$3:$K$168,MATCH($B106&amp;$G106&amp;I$5,'Detail inputs'!$B$3:$B$168&amp;'Detail inputs'!$G$3:$G$168&amp;'Detail inputs'!$H$3:$H$168,0),MATCH(I$4,'Detail inputs'!$B$3:$K$3,0)),0)</f>
        <v>1.53</v>
      </c>
      <c r="J106" s="89">
        <f t="shared" ref="J106:J111" si="51">IF(AND(H106="",I106=""),"",H106+I106*$F106/1000)</f>
        <v>2.3561999999999999</v>
      </c>
      <c r="K106" s="43">
        <f>IFERROR(J106/J111,"")</f>
        <v>1.7406143344709895E-2</v>
      </c>
      <c r="L106" s="43"/>
      <c r="M106" s="48">
        <f t="shared" si="50"/>
        <v>-0.81699346405228757</v>
      </c>
      <c r="N106" s="43"/>
      <c r="P106" s="89">
        <f t="array" ref="P106">IFERROR(INDEX('Detail inputs'!$B$3:$K$168,MATCH($B106&amp;$G106&amp;P$5,'Detail inputs'!$B$3:$B$168&amp;'Detail inputs'!$G$3:$G$168&amp;'Detail inputs'!$H$3:$H$168,0),MATCH(P$4,'Detail inputs'!$B$3:$K$3,0)),0)</f>
        <v>0.28000000000000003</v>
      </c>
      <c r="Q106" s="89">
        <f t="shared" ref="Q106:Q111" si="52">IF(AND(O106="",P106=""),"",O106+P106*$F106/1000)</f>
        <v>0.43120000000000003</v>
      </c>
      <c r="R106" s="43">
        <f>IFERROR(Q106/Q111,"")</f>
        <v>4.1604754829123337E-3</v>
      </c>
    </row>
    <row r="107" spans="2:22" outlineLevel="1" x14ac:dyDescent="0.35">
      <c r="B107" s="3" t="str">
        <f t="shared" si="49"/>
        <v>Essential</v>
      </c>
      <c r="C107" s="3" t="str">
        <f t="shared" si="47"/>
        <v>Residential</v>
      </c>
      <c r="D107" s="3" t="str">
        <f t="shared" si="48"/>
        <v>with CL</v>
      </c>
      <c r="E107" s="3" t="s">
        <v>16</v>
      </c>
      <c r="F107" s="41">
        <f t="array" ref="F107">IFERROR(INDEX(Usage!$B$5:$P$18,MATCH($B107,Usage!$B$5:$B$18,0),MATCH($C107&amp;$D107&amp;$E107,Usage!$B$5:$S$5&amp;Usage!$B$6:$S$6&amp;Usage!$B$7:$S$7,0)),0)</f>
        <v>1540</v>
      </c>
      <c r="G107" s="3" t="s">
        <v>88</v>
      </c>
      <c r="I107" s="89">
        <f t="array" ref="I107">IFERROR(INDEX('Detail inputs'!$B$3:$K$168,MATCH($B107&amp;$G107&amp;I$5,'Detail inputs'!$B$3:$B$168&amp;'Detail inputs'!$G$3:$G$168&amp;'Detail inputs'!$H$3:$H$168,0),MATCH(I$4,'Detail inputs'!$B$3:$K$3,0)),0)</f>
        <v>0.71</v>
      </c>
      <c r="J107" s="89">
        <f t="shared" si="51"/>
        <v>1.0933999999999999</v>
      </c>
      <c r="K107" s="43">
        <f>IFERROR(J107/J111,"")</f>
        <v>8.0773606370875984E-3</v>
      </c>
      <c r="L107" s="43"/>
      <c r="M107" s="48">
        <f t="shared" si="50"/>
        <v>-0.30985915492957739</v>
      </c>
      <c r="N107" s="43"/>
      <c r="P107" s="89">
        <f t="array" ref="P107">IFERROR(INDEX('Detail inputs'!$B$3:$K$168,MATCH($B107&amp;$G107&amp;P$5,'Detail inputs'!$B$3:$B$168&amp;'Detail inputs'!$G$3:$G$168&amp;'Detail inputs'!$H$3:$H$168,0),MATCH(P$4,'Detail inputs'!$B$3:$K$3,0)),0)</f>
        <v>0.49</v>
      </c>
      <c r="Q107" s="89">
        <f t="shared" si="52"/>
        <v>0.75460000000000005</v>
      </c>
      <c r="R107" s="43">
        <f>IFERROR(Q107/Q111,"")</f>
        <v>7.2808320950965835E-3</v>
      </c>
    </row>
    <row r="108" spans="2:22" outlineLevel="1" x14ac:dyDescent="0.35">
      <c r="B108" s="3" t="str">
        <f t="shared" si="49"/>
        <v>Essential</v>
      </c>
      <c r="C108" s="3" t="str">
        <f t="shared" si="47"/>
        <v>Residential</v>
      </c>
      <c r="D108" s="3" t="str">
        <f t="shared" si="48"/>
        <v>with CL</v>
      </c>
      <c r="E108" s="3" t="s">
        <v>16</v>
      </c>
      <c r="F108" s="41">
        <f t="array" ref="F108">IFERROR(INDEX(Usage!$B$5:$P$18,MATCH($B108,Usage!$B$5:$B$18,0),MATCH($C108&amp;$D108&amp;$E108,Usage!$B$5:$S$5&amp;Usage!$B$6:$S$6&amp;Usage!$B$7:$S$7,0)),0)</f>
        <v>1540</v>
      </c>
      <c r="G108" s="3" t="s">
        <v>81</v>
      </c>
      <c r="I108" s="89">
        <f t="array" ref="I108">IFERROR(INDEX('Detail inputs'!$B$3:$K$168,MATCH($B108&amp;$G108&amp;I$5,'Detail inputs'!$B$3:$B$168&amp;'Detail inputs'!$G$3:$G$168&amp;'Detail inputs'!$H$3:$H$168,0),MATCH(I$4,'Detail inputs'!$B$3:$K$3,0)),0)</f>
        <v>0.36</v>
      </c>
      <c r="J108" s="89">
        <f t="shared" si="51"/>
        <v>0.5544</v>
      </c>
      <c r="K108" s="43">
        <f>IFERROR(J108/J111,"")</f>
        <v>4.0955631399317407E-3</v>
      </c>
      <c r="L108" s="43"/>
      <c r="M108" s="48">
        <f t="shared" si="50"/>
        <v>-1</v>
      </c>
      <c r="N108" s="43"/>
      <c r="P108" s="89">
        <f t="array" ref="P108">IFERROR(INDEX('Detail inputs'!$B$3:$K$168,MATCH($B108&amp;$G108&amp;P$5,'Detail inputs'!$B$3:$B$168&amp;'Detail inputs'!$G$3:$G$168&amp;'Detail inputs'!$H$3:$H$168,0),MATCH(P$4,'Detail inputs'!$B$3:$K$3,0)),0)</f>
        <v>0</v>
      </c>
      <c r="Q108" s="89">
        <f t="shared" si="52"/>
        <v>0</v>
      </c>
      <c r="R108" s="43">
        <f>IFERROR(Q108/Q111,"")</f>
        <v>0</v>
      </c>
    </row>
    <row r="109" spans="2:22" outlineLevel="1" x14ac:dyDescent="0.35">
      <c r="B109" s="3" t="str">
        <f t="shared" si="49"/>
        <v>Essential</v>
      </c>
      <c r="C109" s="3" t="str">
        <f t="shared" si="47"/>
        <v>Residential</v>
      </c>
      <c r="D109" s="3" t="str">
        <f t="shared" si="48"/>
        <v>with CL</v>
      </c>
      <c r="E109" s="3" t="s">
        <v>16</v>
      </c>
      <c r="F109" s="41">
        <f t="array" ref="F109">IFERROR(INDEX(Usage!$B$5:$P$18,MATCH($B109,Usage!$B$5:$B$18,0),MATCH($C109&amp;$D109&amp;$E109,Usage!$B$5:$S$5&amp;Usage!$B$6:$S$6&amp;Usage!$B$7:$S$7,0)),0)</f>
        <v>1540</v>
      </c>
      <c r="G109" s="3" t="s">
        <v>161</v>
      </c>
      <c r="I109" s="89">
        <f t="array" ref="I109">IFERROR(INDEX('Detail inputs'!$B$3:$K$168,MATCH($B109&amp;$G109&amp;I$5,'Detail inputs'!$B$3:$B$168&amp;'Detail inputs'!$G$3:$G$168&amp;'Detail inputs'!$H$3:$H$168,0),MATCH(I$4,'Detail inputs'!$B$3:$K$3,0)),0)</f>
        <v>1.66</v>
      </c>
      <c r="J109" s="89">
        <f t="shared" si="51"/>
        <v>2.5564</v>
      </c>
      <c r="K109" s="43">
        <f>IFERROR(J109/J111,"")</f>
        <v>1.8885096700796359E-2</v>
      </c>
      <c r="L109" s="43"/>
      <c r="M109" s="48">
        <f t="shared" si="50"/>
        <v>-4.2168674698795261E-2</v>
      </c>
      <c r="N109" s="43"/>
      <c r="P109" s="89">
        <f t="array" ref="P109">IFERROR(INDEX('Detail inputs'!$B$3:$K$168,MATCH($B109&amp;$G109&amp;P$5,'Detail inputs'!$B$3:$B$168&amp;'Detail inputs'!$G$3:$G$168&amp;'Detail inputs'!$H$3:$H$168,0),MATCH(P$4,'Detail inputs'!$B$3:$K$3,0)),0)</f>
        <v>1.59</v>
      </c>
      <c r="Q109" s="89">
        <f t="shared" si="52"/>
        <v>2.4485999999999999</v>
      </c>
      <c r="R109" s="43">
        <f>IFERROR(Q109/Q111,"")</f>
        <v>2.3625557206537889E-2</v>
      </c>
    </row>
    <row r="110" spans="2:22" outlineLevel="1" x14ac:dyDescent="0.35">
      <c r="B110" s="3" t="str">
        <f t="shared" si="49"/>
        <v>Essential</v>
      </c>
      <c r="C110" s="3" t="str">
        <f t="shared" si="47"/>
        <v>Residential</v>
      </c>
      <c r="D110" s="3" t="str">
        <f t="shared" si="48"/>
        <v>with CL</v>
      </c>
      <c r="E110" s="3" t="s">
        <v>16</v>
      </c>
      <c r="F110" s="41">
        <f t="array" ref="F110">IFERROR(INDEX(Usage!$B$5:$P$18,MATCH($B110,Usage!$B$5:$B$18,0),MATCH($C110&amp;$D110&amp;$E110,Usage!$B$5:$S$5&amp;Usage!$B$6:$S$6&amp;Usage!$B$7:$S$7,0)),0)</f>
        <v>1540</v>
      </c>
      <c r="G110" s="3" t="s">
        <v>82</v>
      </c>
      <c r="I110" s="89">
        <f t="array" ref="I110">ROUND(IFERROR(INDEX('Detail inputs'!$B$3:$K$168,MATCH($B110&amp;$C110&amp;$E110&amp;$G110&amp;I$5,'Detail inputs'!$B$3:$B$168&amp;'Detail inputs'!$D$3:$D$168&amp;'Detail inputs'!$F$3:$F$168&amp;'Detail inputs'!$G$3:$G$168&amp;'Detail inputs'!$H$3:$H$168,0),MATCH(I$4,'Detail inputs'!$B$3:$K$3,0)),0)*SUM(I105:I109),2)</f>
        <v>4.58</v>
      </c>
      <c r="J110" s="89">
        <f t="shared" si="51"/>
        <v>7.0531999999999995</v>
      </c>
      <c r="K110" s="43">
        <f>IFERROR(J110/J111,"")</f>
        <v>5.2104664391353799E-2</v>
      </c>
      <c r="L110" s="43"/>
      <c r="M110" s="48">
        <f t="shared" si="50"/>
        <v>-0.36681222707423577</v>
      </c>
      <c r="N110" s="43"/>
      <c r="P110" s="89">
        <f t="array" ref="P110">ROUND(IFERROR(INDEX('Detail inputs'!$B$3:$K$168,MATCH($B110&amp;$C110&amp;$E110&amp;$G110&amp;P$5,'Detail inputs'!$B$3:$B$168&amp;'Detail inputs'!$D$3:$D$168&amp;'Detail inputs'!$F$3:$F$168&amp;'Detail inputs'!$G$3:$G$168&amp;'Detail inputs'!$H$3:$H$168,0),MATCH(P$4,'Detail inputs'!$B$3:$K$3,0)),0)*SUM(P105:P109),2)</f>
        <v>2.9</v>
      </c>
      <c r="Q110" s="89">
        <f t="shared" si="52"/>
        <v>4.4660000000000002</v>
      </c>
      <c r="R110" s="43">
        <f>IFERROR(Q110/Q111,"")</f>
        <v>4.3090638930163454E-2</v>
      </c>
    </row>
    <row r="111" spans="2:22" outlineLevel="1" x14ac:dyDescent="0.35">
      <c r="B111" s="3" t="str">
        <f t="shared" si="49"/>
        <v>Essential</v>
      </c>
      <c r="C111" s="3" t="str">
        <f t="shared" si="47"/>
        <v>Residential</v>
      </c>
      <c r="D111" s="3" t="str">
        <f t="shared" si="48"/>
        <v>with CL</v>
      </c>
      <c r="E111" s="3" t="s">
        <v>16</v>
      </c>
      <c r="F111" s="41">
        <f t="array" ref="F111">IFERROR(INDEX(Usage!$B$5:$P$18,MATCH($B111,Usage!$B$5:$B$18,0),MATCH($C111&amp;$D111&amp;$E111,Usage!$B$5:$S$5&amp;Usage!$B$6:$S$6&amp;Usage!$B$7:$S$7,0)),0)</f>
        <v>1540</v>
      </c>
      <c r="G111" s="3" t="s">
        <v>62</v>
      </c>
      <c r="H111" s="95"/>
      <c r="I111" s="95">
        <f t="array" ref="I111">INDEX('Key inputs'!$B$16:$N$40,MATCH($B111&amp;$C111&amp;$E111,'Key inputs'!$B$16:$B$40&amp;'Key inputs'!$C$16:$C$40&amp;'Key inputs'!$D$16:$D$40,0),MATCH($A$2&amp;I$4,'Key inputs'!$B$17:$N$17&amp;'Key inputs'!$B$18:$N$18,0))</f>
        <v>87.9</v>
      </c>
      <c r="J111" s="89">
        <f t="shared" si="51"/>
        <v>135.36600000000001</v>
      </c>
      <c r="K111" s="87"/>
      <c r="L111" s="88"/>
      <c r="M111" s="79">
        <f t="shared" si="50"/>
        <v>-0.23435722411831639</v>
      </c>
      <c r="N111" s="88"/>
      <c r="O111" s="95"/>
      <c r="P111" s="95">
        <f t="array" ref="P111">INDEX('Key inputs'!$B$16:$N$40,MATCH($B111&amp;$C111&amp;$E111,'Key inputs'!$B$16:$B$40&amp;'Key inputs'!$C$16:$C$40&amp;'Key inputs'!$D$16:$D$40,0),MATCH($A$2&amp;P$4,'Key inputs'!$B$17:$N$17&amp;'Key inputs'!$B$18:$N$18,0))</f>
        <v>67.3</v>
      </c>
      <c r="Q111" s="89">
        <f t="shared" si="52"/>
        <v>103.642</v>
      </c>
      <c r="R111" s="87"/>
      <c r="S111" s="129" t="b">
        <f>ROUND(I111,$T$5)=ROUND(SUM(I105:I110),$T$5)</f>
        <v>1</v>
      </c>
      <c r="T111" s="129" t="b">
        <f>ROUND(P111,$T$5)=ROUND(SUM(P105:P110),$T$5)</f>
        <v>1</v>
      </c>
      <c r="U111" s="128"/>
      <c r="V111" s="128"/>
    </row>
    <row r="112" spans="2:22" outlineLevel="1" x14ac:dyDescent="0.35">
      <c r="B112" s="3" t="str">
        <f t="shared" si="49"/>
        <v>Essential</v>
      </c>
      <c r="C112" s="3" t="str">
        <f t="shared" si="47"/>
        <v>Residential</v>
      </c>
      <c r="D112" s="3" t="str">
        <f t="shared" si="48"/>
        <v>with CL</v>
      </c>
      <c r="E112" s="3" t="s">
        <v>17</v>
      </c>
      <c r="F112" s="41">
        <f t="array" ref="F112">IFERROR(INDEX(Usage!$B$5:$P$18,MATCH($B112,Usage!$B$5:$B$18,0),MATCH($C112&amp;$D112&amp;$E112,Usage!$B$5:$S$5&amp;Usage!$B$6:$S$6&amp;Usage!$B$7:$S$7,0)),0)</f>
        <v>460</v>
      </c>
      <c r="G112" s="3" t="s">
        <v>79</v>
      </c>
      <c r="H112" s="95"/>
      <c r="I112" s="95">
        <f t="array" ref="I112">IFERROR(INDEX('Detail inputs'!$B$3:$K$168,MATCH($B112&amp;$C112&amp;$E112&amp;$G112&amp;I$5,'Detail inputs'!$B$3:$B$168&amp;'Detail inputs'!$D$3:$D$168&amp;'Detail inputs'!$F$3:$F$168&amp;'Detail inputs'!$G$3:$G$168&amp;'Detail inputs'!$H$3:$H$168,0),MATCH(I$4,'Detail inputs'!$B$3:$K$3,0)),0)</f>
        <v>79.06</v>
      </c>
      <c r="J112" s="95">
        <f>IF(AND(H112="",I112=""),"",H112+I112*$F112/1000)</f>
        <v>36.367599999999996</v>
      </c>
      <c r="K112" s="87">
        <f>IFERROR(J112/J118,"")</f>
        <v>0.89943117178612053</v>
      </c>
      <c r="L112" s="87"/>
      <c r="M112" s="79">
        <f t="shared" si="50"/>
        <v>-0.21527953453073612</v>
      </c>
      <c r="N112" s="87"/>
      <c r="O112" s="95"/>
      <c r="P112" s="95">
        <f t="array" ref="P112">IFERROR(INDEX('Detail inputs'!$B$3:$K$168,MATCH($B112&amp;$C112&amp;$E112&amp;$G112&amp;P$5,'Detail inputs'!$B$3:$B$168&amp;'Detail inputs'!$D$3:$D$168&amp;'Detail inputs'!$F$3:$F$168&amp;'Detail inputs'!$G$3:$G$168&amp;'Detail inputs'!$H$3:$H$168,0),MATCH(P$4,'Detail inputs'!$B$3:$K$3,0)),0)</f>
        <v>62.04</v>
      </c>
      <c r="Q112" s="95">
        <f>IF(AND(O112="",P112=""),"",O112+P112*$F112/1000)</f>
        <v>28.538399999999999</v>
      </c>
      <c r="R112" s="87">
        <f>IFERROR(Q112/Q118,"")</f>
        <v>0.9218424962852898</v>
      </c>
    </row>
    <row r="113" spans="2:22" outlineLevel="1" x14ac:dyDescent="0.35">
      <c r="B113" s="3" t="str">
        <f t="shared" si="49"/>
        <v>Essential</v>
      </c>
      <c r="C113" s="3" t="str">
        <f t="shared" si="47"/>
        <v>Residential</v>
      </c>
      <c r="D113" s="3" t="str">
        <f t="shared" si="48"/>
        <v>with CL</v>
      </c>
      <c r="E113" s="3" t="s">
        <v>17</v>
      </c>
      <c r="F113" s="41">
        <f t="array" ref="F113">IFERROR(INDEX(Usage!$B$5:$P$18,MATCH($B113,Usage!$B$5:$B$18,0),MATCH($C113&amp;$D113&amp;$E113,Usage!$B$5:$S$5&amp;Usage!$B$6:$S$6&amp;Usage!$B$7:$S$7,0)),0)</f>
        <v>460</v>
      </c>
      <c r="G113" s="3" t="s">
        <v>80</v>
      </c>
      <c r="H113" s="95"/>
      <c r="I113" s="95">
        <f t="array" ref="I113">IFERROR(INDEX('Detail inputs'!$B$3:$K$168,MATCH($B113&amp;$G113&amp;I$5,'Detail inputs'!$B$3:$B$168&amp;'Detail inputs'!$G$3:$G$168&amp;'Detail inputs'!$H$3:$H$168,0),MATCH(I$4,'Detail inputs'!$B$3:$K$3,0)),0)</f>
        <v>1.53</v>
      </c>
      <c r="J113" s="95">
        <f t="shared" ref="J113:J118" si="53">IF(AND(H113="",I113=""),"",H113+I113*$F113/1000)</f>
        <v>0.70380000000000009</v>
      </c>
      <c r="K113" s="87">
        <f>IFERROR(J113/J118,"")</f>
        <v>1.7406143344709902E-2</v>
      </c>
      <c r="L113" s="87"/>
      <c r="M113" s="79">
        <f t="shared" si="50"/>
        <v>-0.81699346405228757</v>
      </c>
      <c r="N113" s="87"/>
      <c r="O113" s="95"/>
      <c r="P113" s="95">
        <f t="array" ref="P113">IFERROR(INDEX('Detail inputs'!$B$3:$K$168,MATCH($B113&amp;$G113&amp;P$5,'Detail inputs'!$B$3:$B$168&amp;'Detail inputs'!$G$3:$G$168&amp;'Detail inputs'!$H$3:$H$168,0),MATCH(P$4,'Detail inputs'!$B$3:$K$3,0)),0)</f>
        <v>0.28000000000000003</v>
      </c>
      <c r="Q113" s="95">
        <f t="shared" ref="Q113:Q118" si="54">IF(AND(O113="",P113=""),"",O113+P113*$F113/1000)</f>
        <v>0.1288</v>
      </c>
      <c r="R113" s="87">
        <f>IFERROR(Q113/Q118,"")</f>
        <v>4.1604754829123328E-3</v>
      </c>
    </row>
    <row r="114" spans="2:22" outlineLevel="1" x14ac:dyDescent="0.35">
      <c r="B114" s="3" t="str">
        <f t="shared" si="49"/>
        <v>Essential</v>
      </c>
      <c r="C114" s="3" t="str">
        <f t="shared" si="47"/>
        <v>Residential</v>
      </c>
      <c r="D114" s="3" t="str">
        <f t="shared" si="48"/>
        <v>with CL</v>
      </c>
      <c r="E114" s="3" t="s">
        <v>17</v>
      </c>
      <c r="F114" s="41">
        <f t="array" ref="F114">IFERROR(INDEX(Usage!$B$5:$P$18,MATCH($B114,Usage!$B$5:$B$18,0),MATCH($C114&amp;$D114&amp;$E114,Usage!$B$5:$S$5&amp;Usage!$B$6:$S$6&amp;Usage!$B$7:$S$7,0)),0)</f>
        <v>460</v>
      </c>
      <c r="G114" s="3" t="s">
        <v>88</v>
      </c>
      <c r="H114" s="95"/>
      <c r="I114" s="95">
        <f t="array" ref="I114">IFERROR(INDEX('Detail inputs'!$B$3:$K$168,MATCH($B114&amp;$G114&amp;I$5,'Detail inputs'!$B$3:$B$168&amp;'Detail inputs'!$G$3:$G$168&amp;'Detail inputs'!$H$3:$H$168,0),MATCH(I$4,'Detail inputs'!$B$3:$K$3,0)),0)</f>
        <v>0.71</v>
      </c>
      <c r="J114" s="95">
        <f t="shared" si="53"/>
        <v>0.32659999999999995</v>
      </c>
      <c r="K114" s="87">
        <f>IFERROR(J114/J118,"")</f>
        <v>8.0773606370875984E-3</v>
      </c>
      <c r="L114" s="87"/>
      <c r="M114" s="79">
        <f t="shared" si="50"/>
        <v>-0.30985915492957727</v>
      </c>
      <c r="N114" s="87"/>
      <c r="O114" s="95"/>
      <c r="P114" s="95">
        <f t="array" ref="P114">IFERROR(INDEX('Detail inputs'!$B$3:$K$168,MATCH($B114&amp;$G114&amp;P$5,'Detail inputs'!$B$3:$B$168&amp;'Detail inputs'!$G$3:$G$168&amp;'Detail inputs'!$H$3:$H$168,0),MATCH(P$4,'Detail inputs'!$B$3:$K$3,0)),0)</f>
        <v>0.49</v>
      </c>
      <c r="Q114" s="95">
        <f t="shared" si="54"/>
        <v>0.22540000000000002</v>
      </c>
      <c r="R114" s="87">
        <f>IFERROR(Q114/Q118,"")</f>
        <v>7.2808320950965835E-3</v>
      </c>
    </row>
    <row r="115" spans="2:22" outlineLevel="1" x14ac:dyDescent="0.35">
      <c r="B115" s="3" t="str">
        <f t="shared" si="49"/>
        <v>Essential</v>
      </c>
      <c r="C115" s="3" t="str">
        <f t="shared" si="47"/>
        <v>Residential</v>
      </c>
      <c r="D115" s="3" t="str">
        <f t="shared" si="48"/>
        <v>with CL</v>
      </c>
      <c r="E115" s="3" t="s">
        <v>17</v>
      </c>
      <c r="F115" s="41">
        <f t="array" ref="F115">IFERROR(INDEX(Usage!$B$5:$P$18,MATCH($B115,Usage!$B$5:$B$18,0),MATCH($C115&amp;$D115&amp;$E115,Usage!$B$5:$S$5&amp;Usage!$B$6:$S$6&amp;Usage!$B$7:$S$7,0)),0)</f>
        <v>460</v>
      </c>
      <c r="G115" s="3" t="s">
        <v>81</v>
      </c>
      <c r="H115" s="95"/>
      <c r="I115" s="95">
        <f t="array" ref="I115">IFERROR(INDEX('Detail inputs'!$B$3:$K$168,MATCH($B115&amp;$G115&amp;I$5,'Detail inputs'!$B$3:$B$168&amp;'Detail inputs'!$G$3:$G$168&amp;'Detail inputs'!$H$3:$H$168,0),MATCH(I$4,'Detail inputs'!$B$3:$K$3,0)),0)</f>
        <v>0.36</v>
      </c>
      <c r="J115" s="95">
        <f t="shared" si="53"/>
        <v>0.1656</v>
      </c>
      <c r="K115" s="87">
        <f>IFERROR(J115/J118,"")</f>
        <v>4.0955631399317407E-3</v>
      </c>
      <c r="L115" s="87"/>
      <c r="M115" s="79">
        <f t="shared" si="50"/>
        <v>-1</v>
      </c>
      <c r="N115" s="87"/>
      <c r="O115" s="95"/>
      <c r="P115" s="95">
        <f t="array" ref="P115">IFERROR(INDEX('Detail inputs'!$B$3:$K$168,MATCH($B115&amp;$G115&amp;P$5,'Detail inputs'!$B$3:$B$168&amp;'Detail inputs'!$G$3:$G$168&amp;'Detail inputs'!$H$3:$H$168,0),MATCH(P$4,'Detail inputs'!$B$3:$K$3,0)),0)</f>
        <v>0</v>
      </c>
      <c r="Q115" s="95">
        <f t="shared" si="54"/>
        <v>0</v>
      </c>
      <c r="R115" s="87">
        <f>IFERROR(Q115/Q118,"")</f>
        <v>0</v>
      </c>
    </row>
    <row r="116" spans="2:22" outlineLevel="1" x14ac:dyDescent="0.35">
      <c r="B116" s="3" t="str">
        <f t="shared" si="49"/>
        <v>Essential</v>
      </c>
      <c r="C116" s="3" t="str">
        <f t="shared" si="47"/>
        <v>Residential</v>
      </c>
      <c r="D116" s="3" t="str">
        <f t="shared" si="48"/>
        <v>with CL</v>
      </c>
      <c r="E116" s="3" t="s">
        <v>17</v>
      </c>
      <c r="F116" s="41">
        <f t="array" ref="F116">IFERROR(INDEX(Usage!$B$5:$P$18,MATCH($B116,Usage!$B$5:$B$18,0),MATCH($C116&amp;$D116&amp;$E116,Usage!$B$5:$S$5&amp;Usage!$B$6:$S$6&amp;Usage!$B$7:$S$7,0)),0)</f>
        <v>460</v>
      </c>
      <c r="G116" s="3" t="s">
        <v>161</v>
      </c>
      <c r="H116" s="95"/>
      <c r="I116" s="95">
        <f t="array" ref="I116">IFERROR(INDEX('Detail inputs'!$B$3:$K$168,MATCH($B116&amp;$G116&amp;I$5,'Detail inputs'!$B$3:$B$168&amp;'Detail inputs'!$G$3:$G$168&amp;'Detail inputs'!$H$3:$H$168,0),MATCH(I$4,'Detail inputs'!$B$3:$K$3,0)),0)</f>
        <v>1.66</v>
      </c>
      <c r="J116" s="95">
        <f t="shared" si="53"/>
        <v>0.76359999999999995</v>
      </c>
      <c r="K116" s="87">
        <f>IFERROR(J116/J118,"")</f>
        <v>1.8885096700796359E-2</v>
      </c>
      <c r="L116" s="87"/>
      <c r="M116" s="79">
        <f t="shared" si="50"/>
        <v>-4.2168674698795039E-2</v>
      </c>
      <c r="N116" s="87"/>
      <c r="O116" s="95"/>
      <c r="P116" s="95">
        <f t="array" ref="P116">IFERROR(INDEX('Detail inputs'!$B$3:$K$168,MATCH($B116&amp;$G116&amp;P$5,'Detail inputs'!$B$3:$B$168&amp;'Detail inputs'!$G$3:$G$168&amp;'Detail inputs'!$H$3:$H$168,0),MATCH(P$4,'Detail inputs'!$B$3:$K$3,0)),0)</f>
        <v>1.59</v>
      </c>
      <c r="Q116" s="95">
        <f t="shared" si="54"/>
        <v>0.73140000000000005</v>
      </c>
      <c r="R116" s="87">
        <f>IFERROR(Q116/Q118,"")</f>
        <v>2.3625557206537893E-2</v>
      </c>
    </row>
    <row r="117" spans="2:22" outlineLevel="1" x14ac:dyDescent="0.35">
      <c r="B117" s="3" t="str">
        <f t="shared" si="49"/>
        <v>Essential</v>
      </c>
      <c r="C117" s="3" t="str">
        <f t="shared" si="47"/>
        <v>Residential</v>
      </c>
      <c r="D117" s="3" t="str">
        <f t="shared" si="48"/>
        <v>with CL</v>
      </c>
      <c r="E117" s="3" t="s">
        <v>17</v>
      </c>
      <c r="F117" s="41">
        <f t="array" ref="F117">IFERROR(INDEX(Usage!$B$5:$P$18,MATCH($B117,Usage!$B$5:$B$18,0),MATCH($C117&amp;$D117&amp;$E117,Usage!$B$5:$S$5&amp;Usage!$B$6:$S$6&amp;Usage!$B$7:$S$7,0)),0)</f>
        <v>460</v>
      </c>
      <c r="G117" s="3" t="s">
        <v>82</v>
      </c>
      <c r="H117" s="95"/>
      <c r="I117" s="89">
        <f t="array" ref="I117">ROUND(IFERROR(INDEX('Detail inputs'!$B$3:$K$168,MATCH($B117&amp;$C117&amp;$E117&amp;$G117&amp;I$5,'Detail inputs'!$B$3:$B$168&amp;'Detail inputs'!$D$3:$D$168&amp;'Detail inputs'!$F$3:$F$168&amp;'Detail inputs'!$G$3:$G$168&amp;'Detail inputs'!$H$3:$H$168,0),MATCH(I$4,'Detail inputs'!$B$3:$K$3,0)),0)*SUM(I112:I116),2)</f>
        <v>4.58</v>
      </c>
      <c r="J117" s="95">
        <f t="shared" si="53"/>
        <v>2.1068000000000002</v>
      </c>
      <c r="K117" s="87">
        <f>IFERROR(J117/J118,"")</f>
        <v>5.2104664391353819E-2</v>
      </c>
      <c r="L117" s="87"/>
      <c r="M117" s="79">
        <f t="shared" si="50"/>
        <v>-0.36681222707423589</v>
      </c>
      <c r="N117" s="87"/>
      <c r="O117" s="95"/>
      <c r="P117" s="89">
        <f t="array" ref="P117">ROUND(IFERROR(INDEX('Detail inputs'!$B$3:$K$168,MATCH($B117&amp;$C117&amp;$E117&amp;$G117&amp;P$5,'Detail inputs'!$B$3:$B$168&amp;'Detail inputs'!$D$3:$D$168&amp;'Detail inputs'!$F$3:$F$168&amp;'Detail inputs'!$G$3:$G$168&amp;'Detail inputs'!$H$3:$H$168,0),MATCH(P$4,'Detail inputs'!$B$3:$K$3,0)),0)*SUM(P112:P116),2)</f>
        <v>2.9</v>
      </c>
      <c r="Q117" s="95">
        <f t="shared" si="54"/>
        <v>1.3340000000000001</v>
      </c>
      <c r="R117" s="87">
        <f>IFERROR(Q117/Q118,"")</f>
        <v>4.3090638930163454E-2</v>
      </c>
    </row>
    <row r="118" spans="2:22" outlineLevel="1" x14ac:dyDescent="0.35">
      <c r="B118" s="3" t="str">
        <f t="shared" si="49"/>
        <v>Essential</v>
      </c>
      <c r="C118" s="3" t="str">
        <f t="shared" si="47"/>
        <v>Residential</v>
      </c>
      <c r="D118" s="3" t="str">
        <f t="shared" si="48"/>
        <v>with CL</v>
      </c>
      <c r="E118" s="3" t="s">
        <v>17</v>
      </c>
      <c r="F118" s="41">
        <f t="array" ref="F118">IFERROR(INDEX(Usage!$B$5:$P$18,MATCH($B118,Usage!$B$5:$B$18,0),MATCH($C118&amp;$D118&amp;$E118,Usage!$B$5:$S$5&amp;Usage!$B$6:$S$6&amp;Usage!$B$7:$S$7,0)),0)</f>
        <v>460</v>
      </c>
      <c r="G118" s="3" t="s">
        <v>62</v>
      </c>
      <c r="H118" s="95"/>
      <c r="I118" s="95">
        <f t="array" ref="I118">INDEX('Key inputs'!$B$16:$N$40,MATCH($B118&amp;$C118&amp;$E118,'Key inputs'!$B$16:$B$40&amp;'Key inputs'!$C$16:$C$40&amp;'Key inputs'!$D$16:$D$40,0),MATCH($A$2&amp;I$4,'Key inputs'!$B$17:$N$17&amp;'Key inputs'!$B$18:$N$18,0))</f>
        <v>87.9</v>
      </c>
      <c r="J118" s="89">
        <f t="shared" si="53"/>
        <v>40.433999999999997</v>
      </c>
      <c r="K118" s="87"/>
      <c r="L118" s="88"/>
      <c r="M118" s="79">
        <f t="shared" si="50"/>
        <v>-0.23435722411831628</v>
      </c>
      <c r="N118" s="88"/>
      <c r="O118" s="95"/>
      <c r="P118" s="95">
        <f t="array" ref="P118">INDEX('Key inputs'!$B$16:$N$40,MATCH($B118&amp;$C118&amp;$E118,'Key inputs'!$B$16:$B$40&amp;'Key inputs'!$C$16:$C$40&amp;'Key inputs'!$D$16:$D$40,0),MATCH($A$2&amp;P$4,'Key inputs'!$B$17:$N$17&amp;'Key inputs'!$B$18:$N$18,0))</f>
        <v>67.3</v>
      </c>
      <c r="Q118" s="89">
        <f t="shared" si="54"/>
        <v>30.957999999999998</v>
      </c>
      <c r="R118" s="87"/>
      <c r="S118" s="129" t="b">
        <f>ROUND(I118,$T$5)=ROUND(SUM(I112:I117),$T$5)</f>
        <v>1</v>
      </c>
      <c r="T118" s="129" t="b">
        <f>ROUND(P118,$T$5)=ROUND(SUM(P112:P117),$T$5)</f>
        <v>1</v>
      </c>
      <c r="U118" s="128"/>
      <c r="V118" s="128"/>
    </row>
    <row r="119" spans="2:22" s="77" customFormat="1" x14ac:dyDescent="0.35">
      <c r="B119" s="3" t="str">
        <f t="shared" si="49"/>
        <v>Essential</v>
      </c>
      <c r="C119" s="3" t="str">
        <f t="shared" si="47"/>
        <v>Residential</v>
      </c>
      <c r="D119" s="3" t="str">
        <f t="shared" si="48"/>
        <v>with CL</v>
      </c>
      <c r="E119" s="77" t="s">
        <v>62</v>
      </c>
      <c r="F119" s="41">
        <f t="array" ref="F119">IFERROR(INDEX(Usage!$B$5:$P$18,MATCH($B119,Usage!$B$5:$B$18,0),MATCH($C119&amp;$D119&amp;$E119,Usage!$B$5:$S$5&amp;Usage!$B$6:$S$6&amp;Usage!$B$7:$S$7,0)),0)</f>
        <v>6600</v>
      </c>
      <c r="G119" s="77" t="s">
        <v>62</v>
      </c>
      <c r="H119" s="95"/>
      <c r="I119" s="95">
        <f>I104+I111+I118</f>
        <v>279.3</v>
      </c>
      <c r="J119" s="95">
        <f>J104+J111+J118</f>
        <v>651.9</v>
      </c>
      <c r="K119" s="87"/>
      <c r="L119" s="88"/>
      <c r="M119" s="79">
        <f t="shared" si="50"/>
        <v>-0.22662371529375669</v>
      </c>
      <c r="N119" s="88"/>
      <c r="O119" s="95"/>
      <c r="P119" s="95">
        <f>P104+P111+P118</f>
        <v>214.94</v>
      </c>
      <c r="Q119" s="95">
        <f>Q104+Q111+Q118</f>
        <v>504.16399999999999</v>
      </c>
      <c r="R119" s="87"/>
      <c r="S119" s="129"/>
      <c r="T119" s="130"/>
    </row>
    <row r="120" spans="2:22" outlineLevel="1" x14ac:dyDescent="0.35">
      <c r="B120" s="3" t="str">
        <f t="shared" si="49"/>
        <v>Essential</v>
      </c>
      <c r="C120" s="3" t="str">
        <f t="shared" si="47"/>
        <v>Residential</v>
      </c>
      <c r="D120" s="3" t="str">
        <f t="shared" si="48"/>
        <v>with CL</v>
      </c>
      <c r="F120" s="41"/>
      <c r="G120" s="77" t="s">
        <v>42</v>
      </c>
      <c r="H120" s="95"/>
      <c r="I120" s="95"/>
      <c r="J120" s="95">
        <f>J119*GST</f>
        <v>65.19</v>
      </c>
      <c r="K120" s="87"/>
      <c r="L120" s="88"/>
      <c r="M120" s="79"/>
      <c r="N120" s="88"/>
      <c r="O120" s="95"/>
      <c r="P120" s="95"/>
      <c r="Q120" s="95">
        <f>Q119*GST</f>
        <v>50.416400000000003</v>
      </c>
      <c r="R120" s="75"/>
    </row>
    <row r="121" spans="2:22" x14ac:dyDescent="0.35">
      <c r="B121" s="3" t="str">
        <f t="shared" si="49"/>
        <v>Essential</v>
      </c>
      <c r="C121" s="3" t="str">
        <f t="shared" si="47"/>
        <v>Residential</v>
      </c>
      <c r="D121" s="3" t="str">
        <f t="shared" si="48"/>
        <v>with CL</v>
      </c>
      <c r="F121" s="41"/>
      <c r="G121" s="5" t="s">
        <v>90</v>
      </c>
      <c r="H121" s="94"/>
      <c r="I121" s="94"/>
      <c r="J121" s="94">
        <f>SUM(J119:J120)</f>
        <v>717.08999999999992</v>
      </c>
      <c r="K121" s="75"/>
      <c r="L121" s="27"/>
      <c r="M121" s="76">
        <f>IF(OR(J121=0,Q121=""),"",Q121/J121-1)</f>
        <v>-0.22662371529375669</v>
      </c>
      <c r="N121" s="27"/>
      <c r="O121" s="94"/>
      <c r="P121" s="94"/>
      <c r="Q121" s="94">
        <f>SUM(Q119:Q120)</f>
        <v>554.58039999999994</v>
      </c>
      <c r="R121" s="75"/>
    </row>
    <row r="122" spans="2:22" x14ac:dyDescent="0.35">
      <c r="F122" s="41"/>
      <c r="K122" s="43"/>
      <c r="M122" s="48"/>
      <c r="R122" s="43"/>
    </row>
    <row r="123" spans="2:22" x14ac:dyDescent="0.35">
      <c r="B123" s="5" t="s">
        <v>3</v>
      </c>
      <c r="C123" s="5" t="s">
        <v>15</v>
      </c>
      <c r="D123" s="5" t="s">
        <v>150</v>
      </c>
      <c r="F123" s="41"/>
      <c r="K123" s="43"/>
      <c r="M123" s="48"/>
      <c r="R123" s="43"/>
    </row>
    <row r="124" spans="2:22" outlineLevel="1" x14ac:dyDescent="0.35">
      <c r="B124" s="3" t="str">
        <f>B123</f>
        <v>Essential</v>
      </c>
      <c r="C124" s="3" t="str">
        <f t="shared" ref="C124:C132" si="55">C123</f>
        <v>Small business</v>
      </c>
      <c r="D124" s="3" t="str">
        <f t="shared" ref="D124:D132" si="56">D123</f>
        <v>without CL</v>
      </c>
      <c r="E124" s="3" t="s">
        <v>23</v>
      </c>
      <c r="F124" s="41">
        <f t="array" ref="F124">IFERROR(INDEX(Usage!$B$5:$P$18,MATCH($B124,Usage!$B$5:$B$18,0),MATCH($C124&amp;$D124&amp;$E124,Usage!$B$5:$S$5&amp;Usage!$B$6:$S$6&amp;Usage!$B$7:$S$7,0)),0)</f>
        <v>20000</v>
      </c>
      <c r="G124" s="3" t="s">
        <v>79</v>
      </c>
      <c r="I124" s="89">
        <f t="array" ref="I124">IFERROR(INDEX('Detail inputs'!$B$3:$K$168,MATCH($B124&amp;$C124&amp;$E124&amp;$G124&amp;I$5,'Detail inputs'!$B$3:$B$168&amp;'Detail inputs'!$D$3:$D$168&amp;'Detail inputs'!$F$3:$F$168&amp;'Detail inputs'!$G$3:$G$168&amp;'Detail inputs'!$H$3:$H$168,0),MATCH(I$4,'Detail inputs'!$B$3:$K$3,0)),0)</f>
        <v>93.84</v>
      </c>
      <c r="J124" s="89">
        <f>IF(AND(H124="",I124=""),"",H124+I124*$F124/1000)</f>
        <v>1876.8</v>
      </c>
      <c r="K124" s="43">
        <f>IFERROR(J124/J130,"")</f>
        <v>0.90666666666666662</v>
      </c>
      <c r="L124" s="43"/>
      <c r="M124" s="48">
        <f t="shared" ref="M124:M130" si="57">IF(OR(J124=0,Q124=""),"",Q124/J124-1)</f>
        <v>-0.20588235294117641</v>
      </c>
      <c r="N124" s="43"/>
      <c r="P124" s="89">
        <f t="array" ref="P124">IFERROR(INDEX('Detail inputs'!$B$3:$K$168,MATCH($B124&amp;$C124&amp;$E124&amp;$G124&amp;P$5,'Detail inputs'!$B$3:$B$168&amp;'Detail inputs'!$D$3:$D$168&amp;'Detail inputs'!$F$3:$F$168&amp;'Detail inputs'!$G$3:$G$168&amp;'Detail inputs'!$H$3:$H$168,0),MATCH(P$4,'Detail inputs'!$B$3:$K$3,0)),0)</f>
        <v>74.52</v>
      </c>
      <c r="Q124" s="89">
        <f>IF(AND(O124="",P124=""),"",O124+P124*$F124/1000)</f>
        <v>1490.4</v>
      </c>
      <c r="R124" s="43">
        <f>IFERROR(Q124/Q130,"")</f>
        <v>0.92755787901418973</v>
      </c>
    </row>
    <row r="125" spans="2:22" outlineLevel="1" x14ac:dyDescent="0.35">
      <c r="B125" s="3" t="str">
        <f t="shared" ref="B125:B132" si="58">B124</f>
        <v>Essential</v>
      </c>
      <c r="C125" s="3" t="str">
        <f t="shared" si="55"/>
        <v>Small business</v>
      </c>
      <c r="D125" s="3" t="str">
        <f t="shared" si="56"/>
        <v>without CL</v>
      </c>
      <c r="E125" s="3" t="s">
        <v>23</v>
      </c>
      <c r="F125" s="41">
        <f t="array" ref="F125">IFERROR(INDEX(Usage!$B$5:$P$18,MATCH($B125,Usage!$B$5:$B$18,0),MATCH($C125&amp;$D125&amp;$E125,Usage!$B$5:$S$5&amp;Usage!$B$6:$S$6&amp;Usage!$B$7:$S$7,0)),0)</f>
        <v>20000</v>
      </c>
      <c r="G125" s="3" t="s">
        <v>80</v>
      </c>
      <c r="I125" s="89">
        <f t="array" ref="I125">IFERROR(INDEX('Detail inputs'!$B$3:$K$168,MATCH($B125&amp;$G125&amp;I$5,'Detail inputs'!$B$3:$B$168&amp;'Detail inputs'!$G$3:$G$168&amp;'Detail inputs'!$H$3:$H$168,0),MATCH(I$4,'Detail inputs'!$B$3:$K$3,0)),0)</f>
        <v>1.53</v>
      </c>
      <c r="J125" s="89">
        <f t="shared" ref="J125:J130" si="59">IF(AND(H125="",I125=""),"",H125+I125*$F125/1000)</f>
        <v>30.6</v>
      </c>
      <c r="K125" s="43">
        <f>IFERROR(J125/J130,"")</f>
        <v>1.4782608695652174E-2</v>
      </c>
      <c r="L125" s="43"/>
      <c r="M125" s="48">
        <f t="shared" si="57"/>
        <v>-0.81699346405228757</v>
      </c>
      <c r="N125" s="43"/>
      <c r="P125" s="89">
        <f t="array" ref="P125">IFERROR(INDEX('Detail inputs'!$B$3:$K$168,MATCH($B125&amp;$G125&amp;P$5,'Detail inputs'!$B$3:$B$168&amp;'Detail inputs'!$G$3:$G$168&amp;'Detail inputs'!$H$3:$H$168,0),MATCH(P$4,'Detail inputs'!$B$3:$K$3,0)),0)</f>
        <v>0.28000000000000003</v>
      </c>
      <c r="Q125" s="89">
        <f t="shared" ref="Q125:Q130" si="60">IF(AND(O125="",P125=""),"",O125+P125*$F125/1000)</f>
        <v>5.6000000000000005</v>
      </c>
      <c r="R125" s="43">
        <f>IFERROR(Q125/Q130,"")</f>
        <v>3.4851879512073692E-3</v>
      </c>
    </row>
    <row r="126" spans="2:22" outlineLevel="1" x14ac:dyDescent="0.35">
      <c r="B126" s="3" t="str">
        <f t="shared" si="58"/>
        <v>Essential</v>
      </c>
      <c r="C126" s="3" t="str">
        <f t="shared" si="55"/>
        <v>Small business</v>
      </c>
      <c r="D126" s="3" t="str">
        <f t="shared" si="56"/>
        <v>without CL</v>
      </c>
      <c r="E126" s="3" t="s">
        <v>23</v>
      </c>
      <c r="F126" s="41">
        <f t="array" ref="F126">IFERROR(INDEX(Usage!$B$5:$P$18,MATCH($B126,Usage!$B$5:$B$18,0),MATCH($C126&amp;$D126&amp;$E126,Usage!$B$5:$S$5&amp;Usage!$B$6:$S$6&amp;Usage!$B$7:$S$7,0)),0)</f>
        <v>20000</v>
      </c>
      <c r="G126" s="3" t="s">
        <v>88</v>
      </c>
      <c r="I126" s="89">
        <f t="array" ref="I126">IFERROR(INDEX('Detail inputs'!$B$3:$K$168,MATCH($B126&amp;$G126&amp;I$5,'Detail inputs'!$B$3:$B$168&amp;'Detail inputs'!$G$3:$G$168&amp;'Detail inputs'!$H$3:$H$168,0),MATCH(I$4,'Detail inputs'!$B$3:$K$3,0)),0)</f>
        <v>0.71</v>
      </c>
      <c r="J126" s="89">
        <f t="shared" si="59"/>
        <v>14.2</v>
      </c>
      <c r="K126" s="43">
        <f>IFERROR(J126/J130,"")</f>
        <v>6.8599033816425115E-3</v>
      </c>
      <c r="L126" s="43"/>
      <c r="M126" s="48">
        <f t="shared" si="57"/>
        <v>-0.30985915492957739</v>
      </c>
      <c r="N126" s="43"/>
      <c r="P126" s="89">
        <f t="array" ref="P126">IFERROR(INDEX('Detail inputs'!$B$3:$K$168,MATCH($B126&amp;$G126&amp;P$5,'Detail inputs'!$B$3:$B$168&amp;'Detail inputs'!$G$3:$G$168&amp;'Detail inputs'!$H$3:$H$168,0),MATCH(P$4,'Detail inputs'!$B$3:$K$3,0)),0)</f>
        <v>0.49</v>
      </c>
      <c r="Q126" s="89">
        <f t="shared" si="60"/>
        <v>9.8000000000000007</v>
      </c>
      <c r="R126" s="43">
        <f>IFERROR(Q126/Q130,"")</f>
        <v>6.0990789146128958E-3</v>
      </c>
    </row>
    <row r="127" spans="2:22" outlineLevel="1" x14ac:dyDescent="0.35">
      <c r="B127" s="3" t="str">
        <f t="shared" si="58"/>
        <v>Essential</v>
      </c>
      <c r="C127" s="3" t="str">
        <f t="shared" si="55"/>
        <v>Small business</v>
      </c>
      <c r="D127" s="3" t="str">
        <f t="shared" si="56"/>
        <v>without CL</v>
      </c>
      <c r="E127" s="3" t="s">
        <v>23</v>
      </c>
      <c r="F127" s="41">
        <f t="array" ref="F127">IFERROR(INDEX(Usage!$B$5:$P$18,MATCH($B127,Usage!$B$5:$B$18,0),MATCH($C127&amp;$D127&amp;$E127,Usage!$B$5:$S$5&amp;Usage!$B$6:$S$6&amp;Usage!$B$7:$S$7,0)),0)</f>
        <v>20000</v>
      </c>
      <c r="G127" s="3" t="s">
        <v>81</v>
      </c>
      <c r="I127" s="89">
        <f t="array" ref="I127">IFERROR(INDEX('Detail inputs'!$B$3:$K$168,MATCH($B127&amp;$G127&amp;I$5,'Detail inputs'!$B$3:$B$168&amp;'Detail inputs'!$G$3:$G$168&amp;'Detail inputs'!$H$3:$H$168,0),MATCH(I$4,'Detail inputs'!$B$3:$K$3,0)),0)</f>
        <v>0.36</v>
      </c>
      <c r="J127" s="89">
        <f t="shared" si="59"/>
        <v>7.2</v>
      </c>
      <c r="K127" s="43">
        <f>IFERROR(J127/J130,"")</f>
        <v>3.4782608695652175E-3</v>
      </c>
      <c r="L127" s="43"/>
      <c r="M127" s="48">
        <f t="shared" si="57"/>
        <v>-1</v>
      </c>
      <c r="N127" s="43"/>
      <c r="P127" s="89">
        <f t="array" ref="P127">IFERROR(INDEX('Detail inputs'!$B$3:$K$168,MATCH($B127&amp;$G127&amp;P$5,'Detail inputs'!$B$3:$B$168&amp;'Detail inputs'!$G$3:$G$168&amp;'Detail inputs'!$H$3:$H$168,0),MATCH(P$4,'Detail inputs'!$B$3:$K$3,0)),0)</f>
        <v>0</v>
      </c>
      <c r="Q127" s="89">
        <f t="shared" si="60"/>
        <v>0</v>
      </c>
      <c r="R127" s="43">
        <f>IFERROR(Q127/Q130,"")</f>
        <v>0</v>
      </c>
    </row>
    <row r="128" spans="2:22" outlineLevel="1" x14ac:dyDescent="0.35">
      <c r="B128" s="3" t="str">
        <f t="shared" si="58"/>
        <v>Essential</v>
      </c>
      <c r="C128" s="3" t="str">
        <f t="shared" si="55"/>
        <v>Small business</v>
      </c>
      <c r="D128" s="3" t="str">
        <f t="shared" si="56"/>
        <v>without CL</v>
      </c>
      <c r="E128" s="3" t="s">
        <v>23</v>
      </c>
      <c r="F128" s="41">
        <f t="array" ref="F128">IFERROR(INDEX(Usage!$B$5:$P$18,MATCH($B128,Usage!$B$5:$B$18,0),MATCH($C128&amp;$D128&amp;$E128,Usage!$B$5:$S$5&amp;Usage!$B$6:$S$6&amp;Usage!$B$7:$S$7,0)),0)</f>
        <v>20000</v>
      </c>
      <c r="G128" s="3" t="s">
        <v>161</v>
      </c>
      <c r="I128" s="89">
        <f t="array" ref="I128">IFERROR(INDEX('Detail inputs'!$B$3:$K$168,MATCH($B128&amp;$G128&amp;I$5,'Detail inputs'!$B$3:$B$168&amp;'Detail inputs'!$G$3:$G$168&amp;'Detail inputs'!$H$3:$H$168,0),MATCH(I$4,'Detail inputs'!$B$3:$K$3,0)),0)</f>
        <v>1.66</v>
      </c>
      <c r="J128" s="89">
        <f t="shared" si="59"/>
        <v>33.200000000000003</v>
      </c>
      <c r="K128" s="43">
        <f>IFERROR(J128/J130,"")</f>
        <v>1.603864734299517E-2</v>
      </c>
      <c r="L128" s="43"/>
      <c r="M128" s="48">
        <f t="shared" si="57"/>
        <v>-4.2168674698795261E-2</v>
      </c>
      <c r="N128" s="43"/>
      <c r="P128" s="89">
        <f t="array" ref="P128">IFERROR(INDEX('Detail inputs'!$B$3:$K$168,MATCH($B128&amp;$G128&amp;P$5,'Detail inputs'!$B$3:$B$168&amp;'Detail inputs'!$G$3:$G$168&amp;'Detail inputs'!$H$3:$H$168,0),MATCH(P$4,'Detail inputs'!$B$3:$K$3,0)),0)</f>
        <v>1.59</v>
      </c>
      <c r="Q128" s="89">
        <f t="shared" si="60"/>
        <v>31.8</v>
      </c>
      <c r="R128" s="43">
        <f>IFERROR(Q128/Q130,"")</f>
        <v>1.9790888722927558E-2</v>
      </c>
    </row>
    <row r="129" spans="2:22" outlineLevel="1" x14ac:dyDescent="0.35">
      <c r="B129" s="3" t="str">
        <f t="shared" si="58"/>
        <v>Essential</v>
      </c>
      <c r="C129" s="3" t="str">
        <f t="shared" si="55"/>
        <v>Small business</v>
      </c>
      <c r="D129" s="3" t="str">
        <f t="shared" si="56"/>
        <v>without CL</v>
      </c>
      <c r="E129" s="3" t="s">
        <v>23</v>
      </c>
      <c r="F129" s="41">
        <f t="array" ref="F129">IFERROR(INDEX(Usage!$B$5:$P$18,MATCH($B129,Usage!$B$5:$B$18,0),MATCH($C129&amp;$D129&amp;$E129,Usage!$B$5:$S$5&amp;Usage!$B$6:$S$6&amp;Usage!$B$7:$S$7,0)),0)</f>
        <v>20000</v>
      </c>
      <c r="G129" s="3" t="s">
        <v>82</v>
      </c>
      <c r="I129" s="89">
        <f t="array" ref="I129">ROUND(IFERROR(INDEX('Detail inputs'!$B$3:$K$168,MATCH($B129&amp;$C129&amp;$E129&amp;$G129&amp;I$5,'Detail inputs'!$B$3:$B$168&amp;'Detail inputs'!$D$3:$D$168&amp;'Detail inputs'!$F$3:$F$168&amp;'Detail inputs'!$G$3:$G$168&amp;'Detail inputs'!$H$3:$H$168,0),MATCH(I$4,'Detail inputs'!$B$3:$K$3,0)),0)*SUM(I124:I128),2)</f>
        <v>5.4</v>
      </c>
      <c r="J129" s="89">
        <f t="shared" si="59"/>
        <v>108</v>
      </c>
      <c r="K129" s="43">
        <f>IFERROR(J129/J130,"")</f>
        <v>5.2173913043478258E-2</v>
      </c>
      <c r="L129" s="43"/>
      <c r="M129" s="48">
        <f t="shared" si="57"/>
        <v>-0.35925925925925928</v>
      </c>
      <c r="N129" s="43"/>
      <c r="P129" s="89">
        <f t="array" ref="P129">ROUND(IFERROR(INDEX('Detail inputs'!$B$3:$K$168,MATCH($B129&amp;$C129&amp;$E129&amp;$G129&amp;P$5,'Detail inputs'!$B$3:$B$168&amp;'Detail inputs'!$D$3:$D$168&amp;'Detail inputs'!$F$3:$F$168&amp;'Detail inputs'!$G$3:$G$168&amp;'Detail inputs'!$H$3:$H$168,0),MATCH(P$4,'Detail inputs'!$B$3:$K$3,0)),0)*SUM(P124:P128),2)</f>
        <v>3.46</v>
      </c>
      <c r="Q129" s="89">
        <f t="shared" si="60"/>
        <v>69.2</v>
      </c>
      <c r="R129" s="43">
        <f>IFERROR(Q129/Q130,"")</f>
        <v>4.3066965397062486E-2</v>
      </c>
    </row>
    <row r="130" spans="2:22" s="77" customFormat="1" x14ac:dyDescent="0.35">
      <c r="B130" s="3" t="str">
        <f t="shared" si="58"/>
        <v>Essential</v>
      </c>
      <c r="C130" s="3" t="str">
        <f t="shared" si="55"/>
        <v>Small business</v>
      </c>
      <c r="D130" s="3" t="str">
        <f t="shared" si="56"/>
        <v>without CL</v>
      </c>
      <c r="E130" s="3" t="s">
        <v>23</v>
      </c>
      <c r="F130" s="41">
        <f t="array" ref="F130">IFERROR(INDEX(Usage!$B$5:$P$18,MATCH($B130,Usage!$B$5:$B$18,0),MATCH($C130&amp;$D130&amp;$E130,Usage!$B$5:$S$5&amp;Usage!$B$6:$S$6&amp;Usage!$B$7:$S$7,0)),0)</f>
        <v>20000</v>
      </c>
      <c r="G130" s="77" t="s">
        <v>62</v>
      </c>
      <c r="H130" s="95"/>
      <c r="I130" s="95">
        <f t="array" ref="I130">INDEX('Key inputs'!$B$16:$N$40,MATCH($B130&amp;$C130&amp;$E130,'Key inputs'!$B$16:$B$40&amp;'Key inputs'!$C$16:$C$40&amp;'Key inputs'!$D$16:$D$40,0),MATCH($A$2&amp;I$4,'Key inputs'!$B$17:$N$17&amp;'Key inputs'!$B$18:$N$18,0))</f>
        <v>103.5</v>
      </c>
      <c r="J130" s="89">
        <f t="shared" si="59"/>
        <v>2070</v>
      </c>
      <c r="K130" s="87"/>
      <c r="L130" s="88"/>
      <c r="M130" s="79">
        <f t="shared" si="57"/>
        <v>-0.22376811594202906</v>
      </c>
      <c r="N130" s="88"/>
      <c r="O130" s="95"/>
      <c r="P130" s="95">
        <f t="array" ref="P130">INDEX('Key inputs'!$B$16:$N$40,MATCH($B130&amp;$C130&amp;$E130,'Key inputs'!$B$16:$B$40&amp;'Key inputs'!$C$16:$C$40&amp;'Key inputs'!$D$16:$D$40,0),MATCH($A$2&amp;P$4,'Key inputs'!$B$17:$N$17&amp;'Key inputs'!$B$18:$N$18,0))</f>
        <v>80.34</v>
      </c>
      <c r="Q130" s="89">
        <f t="shared" si="60"/>
        <v>1606.8</v>
      </c>
      <c r="R130" s="87"/>
      <c r="S130" s="129" t="b">
        <f>ROUND(I130,$T$5)=ROUND(SUM(I124:I129),$T$5)</f>
        <v>1</v>
      </c>
      <c r="T130" s="129" t="b">
        <f>ROUND(P130,$T$5)=ROUND(SUM(P124:P129),$T$5)</f>
        <v>1</v>
      </c>
      <c r="U130" s="128"/>
      <c r="V130" s="128"/>
    </row>
    <row r="131" spans="2:22" x14ac:dyDescent="0.35">
      <c r="B131" s="3" t="str">
        <f t="shared" si="58"/>
        <v>Essential</v>
      </c>
      <c r="C131" s="3" t="str">
        <f t="shared" si="55"/>
        <v>Small business</v>
      </c>
      <c r="D131" s="3" t="str">
        <f t="shared" si="56"/>
        <v>without CL</v>
      </c>
      <c r="F131" s="41"/>
      <c r="G131" s="77" t="s">
        <v>42</v>
      </c>
      <c r="H131" s="95"/>
      <c r="I131" s="95"/>
      <c r="J131" s="95">
        <f>J130*GST</f>
        <v>207</v>
      </c>
      <c r="K131" s="87"/>
      <c r="L131" s="88"/>
      <c r="M131" s="79"/>
      <c r="N131" s="88"/>
      <c r="O131" s="95"/>
      <c r="P131" s="95"/>
      <c r="Q131" s="95">
        <f>Q130*GST</f>
        <v>160.68</v>
      </c>
      <c r="R131" s="75"/>
    </row>
    <row r="132" spans="2:22" x14ac:dyDescent="0.35">
      <c r="B132" s="3" t="str">
        <f t="shared" si="58"/>
        <v>Essential</v>
      </c>
      <c r="C132" s="3" t="str">
        <f t="shared" si="55"/>
        <v>Small business</v>
      </c>
      <c r="D132" s="3" t="str">
        <f t="shared" si="56"/>
        <v>without CL</v>
      </c>
      <c r="F132" s="41"/>
      <c r="G132" s="5" t="s">
        <v>90</v>
      </c>
      <c r="H132" s="94"/>
      <c r="I132" s="94"/>
      <c r="J132" s="94">
        <f>SUM(J130:J131)</f>
        <v>2277</v>
      </c>
      <c r="K132" s="75"/>
      <c r="L132" s="27"/>
      <c r="M132" s="76">
        <f>IF(OR(J132=0,Q132=""),"",Q132/J132-1)</f>
        <v>-0.22376811594202894</v>
      </c>
      <c r="N132" s="27"/>
      <c r="O132" s="94"/>
      <c r="P132" s="94"/>
      <c r="Q132" s="94">
        <f>SUM(Q130:Q131)</f>
        <v>1767.48</v>
      </c>
      <c r="R132" s="75"/>
    </row>
    <row r="133" spans="2:22" x14ac:dyDescent="0.35">
      <c r="F133" s="41"/>
      <c r="K133" s="43"/>
      <c r="M133" s="48"/>
      <c r="R133" s="43"/>
    </row>
    <row r="134" spans="2:22" x14ac:dyDescent="0.35">
      <c r="B134" s="5" t="s">
        <v>0</v>
      </c>
      <c r="C134" s="5" t="s">
        <v>6</v>
      </c>
      <c r="D134" s="5" t="s">
        <v>150</v>
      </c>
      <c r="F134" s="41"/>
      <c r="K134" s="43"/>
      <c r="M134" s="48"/>
      <c r="R134" s="43"/>
    </row>
    <row r="135" spans="2:22" outlineLevel="1" x14ac:dyDescent="0.35">
      <c r="B135" s="3" t="str">
        <f>B134</f>
        <v>Energex</v>
      </c>
      <c r="C135" s="3" t="str">
        <f t="shared" ref="C135:C143" si="61">C134</f>
        <v>Residential</v>
      </c>
      <c r="D135" s="3" t="str">
        <f t="shared" ref="D135:D143" si="62">D134</f>
        <v>without CL</v>
      </c>
      <c r="E135" s="3" t="s">
        <v>23</v>
      </c>
      <c r="F135" s="41">
        <f t="array" ref="F135">IFERROR(INDEX(Usage!$B$5:$P$18,MATCH($B135,Usage!$B$5:$B$18,0),MATCH($C135&amp;$D135&amp;$E135&amp;"Total",Usage!$B$5:$S$5&amp;Usage!$B$6:$S$6&amp;Usage!$B$7:$S$7&amp;Usage!$B$13:$S$13,0)),0)</f>
        <v>4600</v>
      </c>
      <c r="G135" s="3" t="s">
        <v>79</v>
      </c>
      <c r="I135" s="89">
        <f t="array" ref="I135">IFERROR(INDEX('Detail inputs'!$B$3:$K$168,MATCH($B135&amp;$C135&amp;$E135&amp;$G135&amp;I$5,'Detail inputs'!$B$3:$B$168&amp;'Detail inputs'!$D$3:$D$168&amp;'Detail inputs'!$F$3:$F$168&amp;'Detail inputs'!$G$3:$G$168&amp;'Detail inputs'!$H$3:$H$168,0),MATCH(I$4,'Detail inputs'!$B$3:$K$3,0)),0)</f>
        <v>82.45</v>
      </c>
      <c r="J135" s="89">
        <f>IF(AND(H135="",I135=""),"",H135+I135*$F135/1000)</f>
        <v>379.27</v>
      </c>
      <c r="K135" s="43">
        <f>IFERROR(J135/J141,"")</f>
        <v>0.90119138703683466</v>
      </c>
      <c r="L135" s="43"/>
      <c r="M135" s="48">
        <f t="shared" ref="M135:M141" si="63">IF(OR(J135=0,Q135=""),"",Q135/J135-1)</f>
        <v>-0.18726500909642207</v>
      </c>
      <c r="N135" s="43"/>
      <c r="P135" s="89">
        <f t="array" ref="P135">IFERROR(INDEX('Detail inputs'!$B$3:$K$168,MATCH($B135&amp;$C135&amp;$E135&amp;$G135&amp;P$5,'Detail inputs'!$B$3:$B$168&amp;'Detail inputs'!$D$3:$D$168&amp;'Detail inputs'!$F$3:$F$168&amp;'Detail inputs'!$G$3:$G$168&amp;'Detail inputs'!$H$3:$H$168,0),MATCH(P$4,'Detail inputs'!$B$3:$K$3,0)),0)</f>
        <v>67.010000000000005</v>
      </c>
      <c r="Q135" s="89">
        <f>IF(AND(O135="",P135=""),"",O135+P135*$F135/1000)</f>
        <v>308.24599999999998</v>
      </c>
      <c r="R135" s="43">
        <f>IFERROR(Q135/Q141,"")</f>
        <v>0.90517357827907596</v>
      </c>
    </row>
    <row r="136" spans="2:22" outlineLevel="1" x14ac:dyDescent="0.35">
      <c r="B136" s="3" t="str">
        <f t="shared" ref="B136:B143" si="64">B135</f>
        <v>Energex</v>
      </c>
      <c r="C136" s="3" t="str">
        <f t="shared" si="61"/>
        <v>Residential</v>
      </c>
      <c r="D136" s="3" t="str">
        <f t="shared" si="62"/>
        <v>without CL</v>
      </c>
      <c r="E136" s="3" t="s">
        <v>23</v>
      </c>
      <c r="F136" s="41">
        <f t="array" ref="F136">IFERROR(INDEX(Usage!$B$5:$P$18,MATCH($B136,Usage!$B$5:$B$18,0),MATCH($C136&amp;$D136&amp;$E136&amp;"Total",Usage!$B$5:$S$5&amp;Usage!$B$6:$S$6&amp;Usage!$B$7:$S$7&amp;Usage!$B$13:$S$13,0)),0)</f>
        <v>4600</v>
      </c>
      <c r="G136" s="3" t="s">
        <v>80</v>
      </c>
      <c r="I136" s="89">
        <f t="array" ref="I136">IFERROR(INDEX('Detail inputs'!$B$3:$K$168,MATCH($B136&amp;$G136&amp;I$5,'Detail inputs'!$B$3:$B$168&amp;'Detail inputs'!$G$3:$G$168&amp;'Detail inputs'!$H$3:$H$168,0),MATCH(I$4,'Detail inputs'!$B$3:$K$3,0)),0)</f>
        <v>1.53</v>
      </c>
      <c r="J136" s="89">
        <f t="shared" ref="J136:J141" si="65">IF(AND(H136="",I136=""),"",H136+I136*$F136/1000)</f>
        <v>7.0380000000000003</v>
      </c>
      <c r="K136" s="43">
        <f>IFERROR(J136/J141,"")</f>
        <v>1.6723139140889715E-2</v>
      </c>
      <c r="L136" s="43"/>
      <c r="M136" s="48">
        <f t="shared" si="63"/>
        <v>-0.72549019607843146</v>
      </c>
      <c r="N136" s="43"/>
      <c r="P136" s="89">
        <f t="array" ref="P136">IFERROR(INDEX('Detail inputs'!$B$3:$K$168,MATCH($B136&amp;$G136&amp;P$5,'Detail inputs'!$B$3:$B$168&amp;'Detail inputs'!$G$3:$G$168&amp;'Detail inputs'!$H$3:$H$168,0),MATCH(P$4,'Detail inputs'!$B$3:$K$3,0)),0)</f>
        <v>0.42</v>
      </c>
      <c r="Q136" s="89">
        <f t="shared" ref="Q136:Q141" si="66">IF(AND(O136="",P136=""),"",O136+P136*$F136/1000)</f>
        <v>1.9319999999999999</v>
      </c>
      <c r="R136" s="43">
        <f>IFERROR(Q136/Q141,"")</f>
        <v>5.6733756585168171E-3</v>
      </c>
    </row>
    <row r="137" spans="2:22" outlineLevel="1" x14ac:dyDescent="0.35">
      <c r="B137" s="3" t="str">
        <f t="shared" si="64"/>
        <v>Energex</v>
      </c>
      <c r="C137" s="3" t="str">
        <f t="shared" si="61"/>
        <v>Residential</v>
      </c>
      <c r="D137" s="3" t="str">
        <f t="shared" si="62"/>
        <v>without CL</v>
      </c>
      <c r="E137" s="3" t="s">
        <v>23</v>
      </c>
      <c r="F137" s="41">
        <f t="array" ref="F137">IFERROR(INDEX(Usage!$B$5:$P$18,MATCH($B137,Usage!$B$5:$B$18,0),MATCH($C137&amp;$D137&amp;$E137&amp;"Total",Usage!$B$5:$S$5&amp;Usage!$B$6:$S$6&amp;Usage!$B$7:$S$7&amp;Usage!$B$13:$S$13,0)),0)</f>
        <v>4600</v>
      </c>
      <c r="G137" s="3" t="s">
        <v>88</v>
      </c>
      <c r="I137" s="89">
        <f t="array" ref="I137">IFERROR(INDEX('Detail inputs'!$B$3:$K$168,MATCH($B137&amp;$G137&amp;I$5,'Detail inputs'!$B$3:$B$168&amp;'Detail inputs'!$G$3:$G$168&amp;'Detail inputs'!$H$3:$H$168,0),MATCH(I$4,'Detail inputs'!$B$3:$K$3,0)),0)</f>
        <v>0.71</v>
      </c>
      <c r="J137" s="89">
        <f t="shared" si="65"/>
        <v>3.266</v>
      </c>
      <c r="K137" s="43">
        <f>IFERROR(J137/J141,"")</f>
        <v>7.7604109738769267E-3</v>
      </c>
      <c r="L137" s="43"/>
      <c r="M137" s="48">
        <f t="shared" si="63"/>
        <v>-0.3098591549295775</v>
      </c>
      <c r="N137" s="43"/>
      <c r="P137" s="89">
        <f t="array" ref="P137">IFERROR(INDEX('Detail inputs'!$B$3:$K$168,MATCH($B137&amp;$G137&amp;P$5,'Detail inputs'!$B$3:$B$168&amp;'Detail inputs'!$G$3:$G$168&amp;'Detail inputs'!$H$3:$H$168,0),MATCH(P$4,'Detail inputs'!$B$3:$K$3,0)),0)</f>
        <v>0.49</v>
      </c>
      <c r="Q137" s="89">
        <f t="shared" si="66"/>
        <v>2.254</v>
      </c>
      <c r="R137" s="43">
        <f>IFERROR(Q137/Q141,"")</f>
        <v>6.6189382682696205E-3</v>
      </c>
    </row>
    <row r="138" spans="2:22" outlineLevel="1" x14ac:dyDescent="0.35">
      <c r="B138" s="3" t="str">
        <f t="shared" si="64"/>
        <v>Energex</v>
      </c>
      <c r="C138" s="3" t="str">
        <f t="shared" si="61"/>
        <v>Residential</v>
      </c>
      <c r="D138" s="3" t="str">
        <f t="shared" si="62"/>
        <v>without CL</v>
      </c>
      <c r="E138" s="3" t="s">
        <v>23</v>
      </c>
      <c r="F138" s="41">
        <f t="array" ref="F138">IFERROR(INDEX(Usage!$B$5:$P$18,MATCH($B138,Usage!$B$5:$B$18,0),MATCH($C138&amp;$D138&amp;$E138&amp;"Total",Usage!$B$5:$S$5&amp;Usage!$B$6:$S$6&amp;Usage!$B$7:$S$7&amp;Usage!$B$13:$S$13,0)),0)</f>
        <v>4600</v>
      </c>
      <c r="G138" s="3" t="s">
        <v>81</v>
      </c>
      <c r="I138" s="89">
        <f t="array" ref="I138">IFERROR(INDEX('Detail inputs'!$B$3:$K$168,MATCH($B138&amp;$G138&amp;I$5,'Detail inputs'!$B$3:$B$168&amp;'Detail inputs'!$G$3:$G$168&amp;'Detail inputs'!$H$3:$H$168,0),MATCH(I$4,'Detail inputs'!$B$3:$K$3,0)),0)</f>
        <v>0</v>
      </c>
      <c r="J138" s="89">
        <f t="shared" si="65"/>
        <v>0</v>
      </c>
      <c r="K138" s="43">
        <f>IFERROR(J138/J141,"")</f>
        <v>0</v>
      </c>
      <c r="L138" s="43"/>
      <c r="M138" s="48" t="str">
        <f t="shared" si="63"/>
        <v/>
      </c>
      <c r="N138" s="43"/>
      <c r="P138" s="89">
        <f t="array" ref="P138">IFERROR(INDEX('Detail inputs'!$B$3:$K$168,MATCH($B138&amp;$G138&amp;P$5,'Detail inputs'!$B$3:$B$168&amp;'Detail inputs'!$G$3:$G$168&amp;'Detail inputs'!$H$3:$H$168,0),MATCH(P$4,'Detail inputs'!$B$3:$K$3,0)),0)</f>
        <v>0</v>
      </c>
      <c r="Q138" s="89">
        <f t="shared" si="66"/>
        <v>0</v>
      </c>
      <c r="R138" s="43">
        <f>IFERROR(Q138/Q141,"")</f>
        <v>0</v>
      </c>
    </row>
    <row r="139" spans="2:22" outlineLevel="1" x14ac:dyDescent="0.35">
      <c r="B139" s="3" t="str">
        <f t="shared" si="64"/>
        <v>Energex</v>
      </c>
      <c r="C139" s="3" t="str">
        <f t="shared" si="61"/>
        <v>Residential</v>
      </c>
      <c r="D139" s="3" t="str">
        <f t="shared" si="62"/>
        <v>without CL</v>
      </c>
      <c r="E139" s="3" t="s">
        <v>23</v>
      </c>
      <c r="F139" s="41">
        <f t="array" ref="F139">IFERROR(INDEX(Usage!$B$5:$P$18,MATCH($B139,Usage!$B$5:$B$18,0),MATCH($C139&amp;$D139&amp;$E139&amp;"Total",Usage!$B$5:$S$5&amp;Usage!$B$6:$S$6&amp;Usage!$B$7:$S$7&amp;Usage!$B$13:$S$13,0)),0)</f>
        <v>4600</v>
      </c>
      <c r="G139" s="3" t="s">
        <v>161</v>
      </c>
      <c r="I139" s="89">
        <f t="array" ref="I139">IFERROR(INDEX('Detail inputs'!$B$3:$K$168,MATCH($B139&amp;$G139&amp;I$5,'Detail inputs'!$B$3:$B$168&amp;'Detail inputs'!$G$3:$G$168&amp;'Detail inputs'!$H$3:$H$168,0),MATCH(I$4,'Detail inputs'!$B$3:$K$3,0)),0)</f>
        <v>1.7</v>
      </c>
      <c r="J139" s="89">
        <f t="shared" si="65"/>
        <v>7.82</v>
      </c>
      <c r="K139" s="43">
        <f>IFERROR(J139/J141,"")</f>
        <v>1.8581265712099684E-2</v>
      </c>
      <c r="L139" s="43"/>
      <c r="M139" s="48">
        <f t="shared" si="63"/>
        <v>-2.352941176470591E-2</v>
      </c>
      <c r="N139" s="43"/>
      <c r="P139" s="89">
        <f t="array" ref="P139">IFERROR(INDEX('Detail inputs'!$B$3:$K$168,MATCH($B139&amp;$G139&amp;P$5,'Detail inputs'!$B$3:$B$168&amp;'Detail inputs'!$G$3:$G$168&amp;'Detail inputs'!$H$3:$H$168,0),MATCH(P$4,'Detail inputs'!$B$3:$K$3,0)),0)</f>
        <v>1.66</v>
      </c>
      <c r="Q139" s="89">
        <f t="shared" si="66"/>
        <v>7.6360000000000001</v>
      </c>
      <c r="R139" s="43">
        <f>IFERROR(Q139/Q141,"")</f>
        <v>2.2423341888423612E-2</v>
      </c>
    </row>
    <row r="140" spans="2:22" outlineLevel="1" x14ac:dyDescent="0.35">
      <c r="B140" s="3" t="str">
        <f t="shared" si="64"/>
        <v>Energex</v>
      </c>
      <c r="C140" s="3" t="str">
        <f t="shared" si="61"/>
        <v>Residential</v>
      </c>
      <c r="D140" s="3" t="str">
        <f t="shared" si="62"/>
        <v>without CL</v>
      </c>
      <c r="E140" s="3" t="s">
        <v>23</v>
      </c>
      <c r="F140" s="41">
        <f t="array" ref="F140">IFERROR(INDEX(Usage!$B$5:$P$18,MATCH($B140,Usage!$B$5:$B$18,0),MATCH($C140&amp;$D140&amp;$E140&amp;"Total",Usage!$B$5:$S$5&amp;Usage!$B$6:$S$6&amp;Usage!$B$7:$S$7&amp;Usage!$B$13:$S$13,0)),0)</f>
        <v>4600</v>
      </c>
      <c r="G140" s="3" t="s">
        <v>82</v>
      </c>
      <c r="I140" s="89">
        <f t="array" ref="I140">ROUND(IFERROR(INDEX('Detail inputs'!$B$3:$K$168,MATCH($B140&amp;$C140&amp;$E140&amp;$G140&amp;I$5,'Detail inputs'!$B$3:$B$168&amp;'Detail inputs'!$D$3:$D$168&amp;'Detail inputs'!$F$3:$F$168&amp;'Detail inputs'!$G$3:$G$168&amp;'Detail inputs'!$H$3:$H$168,0),MATCH(I$4,'Detail inputs'!$B$3:$K$3,0)),0)*SUM(I135:I139),2)</f>
        <v>5.0999999999999996</v>
      </c>
      <c r="J140" s="89">
        <f t="shared" si="65"/>
        <v>23.46</v>
      </c>
      <c r="K140" s="43">
        <f>IFERROR(J140/J141,"")</f>
        <v>5.5743797136299053E-2</v>
      </c>
      <c r="L140" s="43"/>
      <c r="M140" s="48">
        <f t="shared" si="63"/>
        <v>-0.12745098039215697</v>
      </c>
      <c r="N140" s="43"/>
      <c r="P140" s="89">
        <f t="array" ref="P140">ROUND(IFERROR(INDEX('Detail inputs'!$B$3:$K$168,MATCH($B140&amp;$C140&amp;$E140&amp;$G140&amp;P$5,'Detail inputs'!$B$3:$B$168&amp;'Detail inputs'!$D$3:$D$168&amp;'Detail inputs'!$F$3:$F$168&amp;'Detail inputs'!$G$3:$G$168&amp;'Detail inputs'!$H$3:$H$168,0),MATCH(P$4,'Detail inputs'!$B$3:$K$3,0)),0)*SUM(P135:P139),2)</f>
        <v>4.45</v>
      </c>
      <c r="Q140" s="89">
        <f t="shared" si="66"/>
        <v>20.47</v>
      </c>
      <c r="R140" s="43">
        <f>IFERROR(Q140/Q141,"")</f>
        <v>6.0110765905713896E-2</v>
      </c>
    </row>
    <row r="141" spans="2:22" s="77" customFormat="1" x14ac:dyDescent="0.35">
      <c r="B141" s="3" t="str">
        <f t="shared" si="64"/>
        <v>Energex</v>
      </c>
      <c r="C141" s="3" t="str">
        <f t="shared" si="61"/>
        <v>Residential</v>
      </c>
      <c r="D141" s="3" t="str">
        <f t="shared" si="62"/>
        <v>without CL</v>
      </c>
      <c r="E141" s="3" t="s">
        <v>23</v>
      </c>
      <c r="F141" s="41">
        <f t="array" ref="F141">IFERROR(INDEX(Usage!$B$5:$P$18,MATCH($B141,Usage!$B$5:$B$18,0),MATCH($C141&amp;$D141&amp;$E141&amp;"Total",Usage!$B$5:$S$5&amp;Usage!$B$6:$S$6&amp;Usage!$B$7:$S$7&amp;Usage!$B$13:$S$13,0)),0)</f>
        <v>4600</v>
      </c>
      <c r="G141" s="77" t="s">
        <v>62</v>
      </c>
      <c r="H141" s="95"/>
      <c r="I141" s="95">
        <f t="array" ref="I141">INDEX('Key inputs'!$B$16:$N$40,MATCH($B141&amp;$C141&amp;$E141,'Key inputs'!$B$16:$B$40&amp;'Key inputs'!$C$16:$C$40&amp;'Key inputs'!$D$16:$D$40,0),MATCH($A$2&amp;I$4,'Key inputs'!$B$17:$N$17&amp;'Key inputs'!$B$18:$N$18,0))</f>
        <v>91.49</v>
      </c>
      <c r="J141" s="89">
        <f t="shared" si="65"/>
        <v>420.85399999999998</v>
      </c>
      <c r="K141" s="87"/>
      <c r="L141" s="88"/>
      <c r="M141" s="79">
        <f t="shared" si="63"/>
        <v>-0.19084052901956494</v>
      </c>
      <c r="N141" s="88"/>
      <c r="O141" s="95"/>
      <c r="P141" s="95">
        <f t="array" ref="P141">INDEX('Key inputs'!$B$16:$N$40,MATCH($B141&amp;$C141&amp;$E141,'Key inputs'!$B$16:$B$40&amp;'Key inputs'!$C$16:$C$40&amp;'Key inputs'!$D$16:$D$40,0),MATCH($A$2&amp;P$4,'Key inputs'!$B$17:$N$17&amp;'Key inputs'!$B$18:$N$18,0))</f>
        <v>74.03</v>
      </c>
      <c r="Q141" s="89">
        <f t="shared" si="66"/>
        <v>340.53800000000001</v>
      </c>
      <c r="R141" s="87"/>
      <c r="S141" s="129" t="b">
        <f>ROUND(I141,$T$5)=ROUND(SUM(I135:I140),$T$5)</f>
        <v>1</v>
      </c>
      <c r="T141" s="129" t="b">
        <f>ROUND(P141,$T$5)=ROUND(SUM(P135:P140),$T$5)</f>
        <v>1</v>
      </c>
      <c r="U141" s="128"/>
      <c r="V141" s="128"/>
    </row>
    <row r="142" spans="2:22" outlineLevel="1" x14ac:dyDescent="0.35">
      <c r="B142" s="3" t="str">
        <f t="shared" si="64"/>
        <v>Energex</v>
      </c>
      <c r="C142" s="3" t="str">
        <f t="shared" si="61"/>
        <v>Residential</v>
      </c>
      <c r="D142" s="3" t="str">
        <f t="shared" si="62"/>
        <v>without CL</v>
      </c>
      <c r="F142" s="41"/>
      <c r="G142" s="77" t="s">
        <v>42</v>
      </c>
      <c r="H142" s="95"/>
      <c r="I142" s="95"/>
      <c r="J142" s="95">
        <f>J141*GST</f>
        <v>42.0854</v>
      </c>
      <c r="K142" s="87"/>
      <c r="L142" s="88"/>
      <c r="M142" s="79"/>
      <c r="N142" s="88"/>
      <c r="O142" s="95"/>
      <c r="P142" s="95"/>
      <c r="Q142" s="95">
        <f>Q141*GST</f>
        <v>34.053800000000003</v>
      </c>
      <c r="R142" s="75"/>
    </row>
    <row r="143" spans="2:22" x14ac:dyDescent="0.35">
      <c r="B143" s="3" t="str">
        <f t="shared" si="64"/>
        <v>Energex</v>
      </c>
      <c r="C143" s="3" t="str">
        <f t="shared" si="61"/>
        <v>Residential</v>
      </c>
      <c r="D143" s="3" t="str">
        <f t="shared" si="62"/>
        <v>without CL</v>
      </c>
      <c r="F143" s="41"/>
      <c r="G143" s="5" t="s">
        <v>90</v>
      </c>
      <c r="H143" s="94"/>
      <c r="I143" s="94"/>
      <c r="J143" s="94">
        <f>SUM(J141:J142)</f>
        <v>462.93939999999998</v>
      </c>
      <c r="K143" s="75"/>
      <c r="L143" s="27"/>
      <c r="M143" s="76">
        <f>IF(OR(J143=0,Q143=""),"",Q143/J143-1)</f>
        <v>-0.19084052901956483</v>
      </c>
      <c r="N143" s="27"/>
      <c r="O143" s="94"/>
      <c r="P143" s="94"/>
      <c r="Q143" s="94">
        <f>SUM(Q141:Q142)</f>
        <v>374.59180000000003</v>
      </c>
      <c r="R143" s="75"/>
    </row>
    <row r="144" spans="2:22" x14ac:dyDescent="0.35">
      <c r="F144" s="41"/>
      <c r="K144" s="43"/>
      <c r="M144" s="48"/>
      <c r="R144" s="43"/>
    </row>
    <row r="145" spans="2:22" x14ac:dyDescent="0.35">
      <c r="B145" s="5" t="s">
        <v>0</v>
      </c>
      <c r="C145" s="5" t="s">
        <v>6</v>
      </c>
      <c r="D145" s="5" t="s">
        <v>151</v>
      </c>
      <c r="F145" s="41"/>
      <c r="K145" s="43"/>
      <c r="M145" s="48"/>
      <c r="R145" s="43"/>
    </row>
    <row r="146" spans="2:22" outlineLevel="1" x14ac:dyDescent="0.35">
      <c r="B146" s="3" t="str">
        <f>B145</f>
        <v>Energex</v>
      </c>
      <c r="C146" s="3" t="str">
        <f t="shared" ref="C146:C163" si="67">C145</f>
        <v>Residential</v>
      </c>
      <c r="D146" s="3" t="str">
        <f t="shared" ref="D146:D163" si="68">D145</f>
        <v>with CL</v>
      </c>
      <c r="E146" s="3" t="s">
        <v>23</v>
      </c>
      <c r="F146" s="41">
        <f t="array" ref="F146">IFERROR(INDEX(Usage!$B$5:$P$18,MATCH($B146,Usage!$B$5:$B$18,0),MATCH($C146&amp;$D146&amp;$E146&amp;"Total",Usage!$B$5:$S$5&amp;Usage!$B$6:$S$6&amp;Usage!$B$7:$S$7&amp;Usage!$B$13:$S$13,0)),0)</f>
        <v>4400</v>
      </c>
      <c r="G146" s="3" t="s">
        <v>62</v>
      </c>
      <c r="I146" s="95">
        <f t="array" ref="I146">INDEX('Key inputs'!$B$16:$N$40,MATCH($B146&amp;$C146&amp;$E146,'Key inputs'!$B$16:$B$40&amp;'Key inputs'!$C$16:$C$40&amp;'Key inputs'!$D$16:$D$40,0),MATCH($A$2&amp;I$4,'Key inputs'!$B$17:$N$17&amp;'Key inputs'!$B$18:$N$18,0))</f>
        <v>91.49</v>
      </c>
      <c r="J146" s="89">
        <f t="shared" ref="J146:J154" si="69">IF(AND(H146="",I146=""),"",H146+I146*$F146/1000)</f>
        <v>402.55599999999998</v>
      </c>
      <c r="K146" s="43"/>
      <c r="M146" s="48">
        <f t="shared" ref="M146:M155" si="70">IF(OR(J146=0,Q146=""),"",Q146/J146-1)</f>
        <v>-0.19084052901956483</v>
      </c>
      <c r="P146" s="95">
        <f t="array" ref="P146">INDEX('Key inputs'!$B$16:$N$40,MATCH($B146&amp;$C146&amp;$E146,'Key inputs'!$B$16:$B$40&amp;'Key inputs'!$C$16:$C$40&amp;'Key inputs'!$D$16:$D$40,0),MATCH($A$2&amp;P$4,'Key inputs'!$B$17:$N$17&amp;'Key inputs'!$B$18:$N$18,0))</f>
        <v>74.03</v>
      </c>
      <c r="Q146" s="89">
        <f t="shared" ref="Q146:Q153" si="71">IF(AND(O146="",P146=""),"",O146+P146*$F146/1000)</f>
        <v>325.73200000000003</v>
      </c>
      <c r="R146" s="43"/>
    </row>
    <row r="147" spans="2:22" outlineLevel="1" x14ac:dyDescent="0.35">
      <c r="B147" s="3" t="str">
        <f t="shared" ref="B147:B163" si="72">B146</f>
        <v>Energex</v>
      </c>
      <c r="C147" s="3" t="str">
        <f t="shared" si="67"/>
        <v>Residential</v>
      </c>
      <c r="D147" s="3" t="str">
        <f t="shared" si="68"/>
        <v>with CL</v>
      </c>
      <c r="E147" s="3" t="s">
        <v>16</v>
      </c>
      <c r="F147" s="41">
        <f t="array" ref="F147">IFERROR(INDEX(Usage!$B$5:$P$18,MATCH($B147,Usage!$B$5:$B$18,0),MATCH($C147&amp;$D147&amp;$E147,Usage!$B$5:$S$5&amp;Usage!$B$6:$S$6&amp;Usage!$B$7:$S$7,0)),0)</f>
        <v>551</v>
      </c>
      <c r="G147" s="3" t="s">
        <v>79</v>
      </c>
      <c r="I147" s="89">
        <f t="array" ref="I147">IFERROR(INDEX('Detail inputs'!$B$3:$K$168,MATCH($B147&amp;$C147&amp;$E147&amp;$G147&amp;I$5,'Detail inputs'!$B$3:$B$168&amp;'Detail inputs'!$D$3:$D$168&amp;'Detail inputs'!$F$3:$F$168&amp;'Detail inputs'!$G$3:$G$168&amp;'Detail inputs'!$H$3:$H$168,0),MATCH(I$4,'Detail inputs'!$B$3:$K$3,0)),0)</f>
        <v>64.319999999999993</v>
      </c>
      <c r="J147" s="89">
        <f t="shared" si="69"/>
        <v>35.44032</v>
      </c>
      <c r="K147" s="43">
        <f>IFERROR(J147/J153,"")</f>
        <v>0.88974961958777155</v>
      </c>
      <c r="L147" s="43"/>
      <c r="M147" s="48">
        <f t="shared" si="70"/>
        <v>-0.18019278606965172</v>
      </c>
      <c r="N147" s="43"/>
      <c r="P147" s="89">
        <f t="array" ref="P147">IFERROR(INDEX('Detail inputs'!$B$3:$K$168,MATCH($B147&amp;$C147&amp;$E147&amp;$G147&amp;P$5,'Detail inputs'!$B$3:$B$168&amp;'Detail inputs'!$D$3:$D$168&amp;'Detail inputs'!$F$3:$F$168&amp;'Detail inputs'!$G$3:$G$168&amp;'Detail inputs'!$H$3:$H$168,0),MATCH(P$4,'Detail inputs'!$B$3:$K$3,0)),0)</f>
        <v>52.73</v>
      </c>
      <c r="Q147" s="89">
        <f t="shared" si="71"/>
        <v>29.05423</v>
      </c>
      <c r="R147" s="43">
        <f>IFERROR(Q147/Q153,"")</f>
        <v>0.89615907545887152</v>
      </c>
    </row>
    <row r="148" spans="2:22" outlineLevel="1" x14ac:dyDescent="0.35">
      <c r="B148" s="3" t="str">
        <f t="shared" si="72"/>
        <v>Energex</v>
      </c>
      <c r="C148" s="3" t="str">
        <f t="shared" si="67"/>
        <v>Residential</v>
      </c>
      <c r="D148" s="3" t="str">
        <f t="shared" si="68"/>
        <v>with CL</v>
      </c>
      <c r="E148" s="3" t="s">
        <v>16</v>
      </c>
      <c r="F148" s="41">
        <f t="array" ref="F148">IFERROR(INDEX(Usage!$B$5:$P$18,MATCH($B148,Usage!$B$5:$B$18,0),MATCH($C148&amp;$D148&amp;$E148,Usage!$B$5:$S$5&amp;Usage!$B$6:$S$6&amp;Usage!$B$7:$S$7,0)),0)</f>
        <v>551</v>
      </c>
      <c r="G148" s="3" t="s">
        <v>80</v>
      </c>
      <c r="I148" s="89">
        <f t="array" ref="I148">IFERROR(INDEX('Detail inputs'!$B$3:$K$168,MATCH($B148&amp;$G148&amp;I$5,'Detail inputs'!$B$3:$B$168&amp;'Detail inputs'!$G$3:$G$168&amp;'Detail inputs'!$H$3:$H$168,0),MATCH(I$4,'Detail inputs'!$B$3:$K$3,0)),0)</f>
        <v>1.53</v>
      </c>
      <c r="J148" s="89">
        <f t="shared" si="69"/>
        <v>0.84302999999999995</v>
      </c>
      <c r="K148" s="43">
        <f>IFERROR(J148/J153,"")</f>
        <v>2.1164753077880759E-2</v>
      </c>
      <c r="L148" s="43"/>
      <c r="M148" s="48">
        <f t="shared" si="70"/>
        <v>-0.72549019607843135</v>
      </c>
      <c r="N148" s="43"/>
      <c r="P148" s="89">
        <f t="array" ref="P148">IFERROR(INDEX('Detail inputs'!$B$3:$K$168,MATCH($B148&amp;$G148&amp;P$5,'Detail inputs'!$B$3:$B$168&amp;'Detail inputs'!$G$3:$G$168&amp;'Detail inputs'!$H$3:$H$168,0),MATCH(P$4,'Detail inputs'!$B$3:$K$3,0)),0)</f>
        <v>0.42</v>
      </c>
      <c r="Q148" s="89">
        <f t="shared" si="71"/>
        <v>0.23141999999999999</v>
      </c>
      <c r="R148" s="43">
        <f>IFERROR(Q148/Q153,"")</f>
        <v>7.1380013596193063E-3</v>
      </c>
    </row>
    <row r="149" spans="2:22" outlineLevel="1" x14ac:dyDescent="0.35">
      <c r="B149" s="3" t="str">
        <f t="shared" si="72"/>
        <v>Energex</v>
      </c>
      <c r="C149" s="3" t="str">
        <f t="shared" si="67"/>
        <v>Residential</v>
      </c>
      <c r="D149" s="3" t="str">
        <f t="shared" si="68"/>
        <v>with CL</v>
      </c>
      <c r="E149" s="3" t="s">
        <v>16</v>
      </c>
      <c r="F149" s="41">
        <f t="array" ref="F149">IFERROR(INDEX(Usage!$B$5:$P$18,MATCH($B149,Usage!$B$5:$B$18,0),MATCH($C149&amp;$D149&amp;$E149,Usage!$B$5:$S$5&amp;Usage!$B$6:$S$6&amp;Usage!$B$7:$S$7,0)),0)</f>
        <v>551</v>
      </c>
      <c r="G149" s="3" t="s">
        <v>88</v>
      </c>
      <c r="I149" s="89">
        <f t="array" ref="I149">IFERROR(INDEX('Detail inputs'!$B$3:$K$168,MATCH($B149&amp;$G149&amp;I$5,'Detail inputs'!$B$3:$B$168&amp;'Detail inputs'!$G$3:$G$168&amp;'Detail inputs'!$H$3:$H$168,0),MATCH(I$4,'Detail inputs'!$B$3:$K$3,0)),0)</f>
        <v>0.71</v>
      </c>
      <c r="J149" s="89">
        <f t="shared" si="69"/>
        <v>0.39121</v>
      </c>
      <c r="K149" s="43">
        <f>IFERROR(J149/J153,"")</f>
        <v>9.821552081892379E-3</v>
      </c>
      <c r="L149" s="43"/>
      <c r="M149" s="48">
        <f t="shared" si="70"/>
        <v>-0.3098591549295775</v>
      </c>
      <c r="N149" s="43"/>
      <c r="P149" s="89">
        <f t="array" ref="P149">IFERROR(INDEX('Detail inputs'!$B$3:$K$168,MATCH($B149&amp;$G149&amp;P$5,'Detail inputs'!$B$3:$B$168&amp;'Detail inputs'!$G$3:$G$168&amp;'Detail inputs'!$H$3:$H$168,0),MATCH(P$4,'Detail inputs'!$B$3:$K$3,0)),0)</f>
        <v>0.49</v>
      </c>
      <c r="Q149" s="89">
        <f t="shared" si="71"/>
        <v>0.26999000000000001</v>
      </c>
      <c r="R149" s="43">
        <f>IFERROR(Q149/Q153,"")</f>
        <v>8.3276682528891921E-3</v>
      </c>
    </row>
    <row r="150" spans="2:22" outlineLevel="1" x14ac:dyDescent="0.35">
      <c r="B150" s="3" t="str">
        <f t="shared" si="72"/>
        <v>Energex</v>
      </c>
      <c r="C150" s="3" t="str">
        <f t="shared" si="67"/>
        <v>Residential</v>
      </c>
      <c r="D150" s="3" t="str">
        <f t="shared" si="68"/>
        <v>with CL</v>
      </c>
      <c r="E150" s="3" t="s">
        <v>16</v>
      </c>
      <c r="F150" s="41">
        <f t="array" ref="F150">IFERROR(INDEX(Usage!$B$5:$P$18,MATCH($B150,Usage!$B$5:$B$18,0),MATCH($C150&amp;$D150&amp;$E150,Usage!$B$5:$S$5&amp;Usage!$B$6:$S$6&amp;Usage!$B$7:$S$7,0)),0)</f>
        <v>551</v>
      </c>
      <c r="G150" s="3" t="s">
        <v>81</v>
      </c>
      <c r="I150" s="89">
        <f t="array" ref="I150">IFERROR(INDEX('Detail inputs'!$B$3:$K$168,MATCH($B150&amp;$G150&amp;I$5,'Detail inputs'!$B$3:$B$168&amp;'Detail inputs'!$G$3:$G$168&amp;'Detail inputs'!$H$3:$H$168,0),MATCH(I$4,'Detail inputs'!$B$3:$K$3,0)),0)</f>
        <v>0</v>
      </c>
      <c r="J150" s="89">
        <f t="shared" si="69"/>
        <v>0</v>
      </c>
      <c r="K150" s="43">
        <f>IFERROR(J150/J153,"")</f>
        <v>0</v>
      </c>
      <c r="L150" s="43"/>
      <c r="M150" s="48" t="str">
        <f t="shared" si="70"/>
        <v/>
      </c>
      <c r="N150" s="43"/>
      <c r="P150" s="89">
        <f t="array" ref="P150">IFERROR(INDEX('Detail inputs'!$B$3:$K$168,MATCH($B150&amp;$G150&amp;P$5,'Detail inputs'!$B$3:$B$168&amp;'Detail inputs'!$G$3:$G$168&amp;'Detail inputs'!$H$3:$H$168,0),MATCH(P$4,'Detail inputs'!$B$3:$K$3,0)),0)</f>
        <v>0</v>
      </c>
      <c r="Q150" s="89">
        <f t="shared" si="71"/>
        <v>0</v>
      </c>
      <c r="R150" s="43">
        <f>IFERROR(Q150/Q153,"")</f>
        <v>0</v>
      </c>
    </row>
    <row r="151" spans="2:22" outlineLevel="1" x14ac:dyDescent="0.35">
      <c r="B151" s="3" t="str">
        <f t="shared" si="72"/>
        <v>Energex</v>
      </c>
      <c r="C151" s="3" t="str">
        <f t="shared" si="67"/>
        <v>Residential</v>
      </c>
      <c r="D151" s="3" t="str">
        <f t="shared" si="68"/>
        <v>with CL</v>
      </c>
      <c r="E151" s="3" t="s">
        <v>16</v>
      </c>
      <c r="F151" s="41">
        <f t="array" ref="F151">IFERROR(INDEX(Usage!$B$5:$P$18,MATCH($B151,Usage!$B$5:$B$18,0),MATCH($C151&amp;$D151&amp;$E151,Usage!$B$5:$S$5&amp;Usage!$B$6:$S$6&amp;Usage!$B$7:$S$7,0)),0)</f>
        <v>551</v>
      </c>
      <c r="G151" s="3" t="s">
        <v>161</v>
      </c>
      <c r="I151" s="89">
        <f t="array" ref="I151">IFERROR(INDEX('Detail inputs'!$B$3:$K$168,MATCH($B151&amp;$G151&amp;I$5,'Detail inputs'!$B$3:$B$168&amp;'Detail inputs'!$G$3:$G$168&amp;'Detail inputs'!$H$3:$H$168,0),MATCH(I$4,'Detail inputs'!$B$3:$K$3,0)),0)</f>
        <v>1.7</v>
      </c>
      <c r="J151" s="89">
        <f t="shared" si="69"/>
        <v>0.93669999999999998</v>
      </c>
      <c r="K151" s="43">
        <f>IFERROR(J151/J153,"")</f>
        <v>2.3516392308756399E-2</v>
      </c>
      <c r="L151" s="43"/>
      <c r="M151" s="48">
        <f t="shared" si="70"/>
        <v>-2.352941176470591E-2</v>
      </c>
      <c r="N151" s="43"/>
      <c r="P151" s="89">
        <f t="array" ref="P151">IFERROR(INDEX('Detail inputs'!$B$3:$K$168,MATCH($B151&amp;$G151&amp;P$5,'Detail inputs'!$B$3:$B$168&amp;'Detail inputs'!$G$3:$G$168&amp;'Detail inputs'!$H$3:$H$168,0),MATCH(P$4,'Detail inputs'!$B$3:$K$3,0)),0)</f>
        <v>1.66</v>
      </c>
      <c r="Q151" s="89">
        <f t="shared" si="71"/>
        <v>0.91465999999999992</v>
      </c>
      <c r="R151" s="43">
        <f>IFERROR(Q151/Q153,"")</f>
        <v>2.8212100611828685E-2</v>
      </c>
    </row>
    <row r="152" spans="2:22" outlineLevel="1" x14ac:dyDescent="0.35">
      <c r="B152" s="3" t="str">
        <f t="shared" si="72"/>
        <v>Energex</v>
      </c>
      <c r="C152" s="3" t="str">
        <f t="shared" si="67"/>
        <v>Residential</v>
      </c>
      <c r="D152" s="3" t="str">
        <f t="shared" si="68"/>
        <v>with CL</v>
      </c>
      <c r="E152" s="3" t="s">
        <v>16</v>
      </c>
      <c r="F152" s="41">
        <f t="array" ref="F152">IFERROR(INDEX(Usage!$B$5:$P$18,MATCH($B152,Usage!$B$5:$B$18,0),MATCH($C152&amp;$D152&amp;$E152,Usage!$B$5:$S$5&amp;Usage!$B$6:$S$6&amp;Usage!$B$7:$S$7,0)),0)</f>
        <v>551</v>
      </c>
      <c r="G152" s="3" t="s">
        <v>82</v>
      </c>
      <c r="I152" s="89">
        <f t="array" ref="I152">ROUND(IFERROR(INDEX('Detail inputs'!$B$3:$K$168,MATCH($B152&amp;$C152&amp;$E152&amp;$G152&amp;I$5,'Detail inputs'!$B$3:$B$168&amp;'Detail inputs'!$D$3:$D$168&amp;'Detail inputs'!$F$3:$F$168&amp;'Detail inputs'!$G$3:$G$168&amp;'Detail inputs'!$H$3:$H$168,0),MATCH(I$4,'Detail inputs'!$B$3:$K$3,0)),0)*SUM(I147:I151),2)</f>
        <v>4.03</v>
      </c>
      <c r="J152" s="89">
        <f t="shared" si="69"/>
        <v>2.2205300000000001</v>
      </c>
      <c r="K152" s="43">
        <f>IFERROR(J152/J153,"")</f>
        <v>5.5747682943698994E-2</v>
      </c>
      <c r="L152" s="43"/>
      <c r="M152" s="48">
        <f t="shared" si="70"/>
        <v>-0.12158808933002485</v>
      </c>
      <c r="N152" s="43"/>
      <c r="P152" s="89">
        <f t="array" ref="P152">ROUND(IFERROR(INDEX('Detail inputs'!$B$3:$K$168,MATCH($B152&amp;$C152&amp;$E152&amp;$G152&amp;P$5,'Detail inputs'!$B$3:$B$168&amp;'Detail inputs'!$D$3:$D$168&amp;'Detail inputs'!$F$3:$F$168&amp;'Detail inputs'!$G$3:$G$168&amp;'Detail inputs'!$H$3:$H$168,0),MATCH(P$4,'Detail inputs'!$B$3:$K$3,0)),0)*SUM(P147:P151),2)</f>
        <v>3.54</v>
      </c>
      <c r="Q152" s="89">
        <f t="shared" si="71"/>
        <v>1.9505399999999999</v>
      </c>
      <c r="R152" s="43">
        <f>IFERROR(Q152/Q153,"")</f>
        <v>6.0163154316791298E-2</v>
      </c>
    </row>
    <row r="153" spans="2:22" outlineLevel="1" x14ac:dyDescent="0.35">
      <c r="B153" s="3" t="str">
        <f t="shared" si="72"/>
        <v>Energex</v>
      </c>
      <c r="C153" s="3" t="str">
        <f t="shared" si="67"/>
        <v>Residential</v>
      </c>
      <c r="D153" s="3" t="str">
        <f t="shared" si="68"/>
        <v>with CL</v>
      </c>
      <c r="E153" s="3" t="s">
        <v>16</v>
      </c>
      <c r="F153" s="41">
        <f t="array" ref="F153">IFERROR(INDEX(Usage!$B$5:$P$18,MATCH($B153,Usage!$B$5:$B$18,0),MATCH($C153&amp;$D153&amp;$E153,Usage!$B$5:$S$5&amp;Usage!$B$6:$S$6&amp;Usage!$B$7:$S$7,0)),0)</f>
        <v>551</v>
      </c>
      <c r="G153" s="3" t="s">
        <v>62</v>
      </c>
      <c r="H153" s="95"/>
      <c r="I153" s="95">
        <f t="array" ref="I153">INDEX('Key inputs'!$B$16:$N$40,MATCH($B153&amp;$C153&amp;$E153,'Key inputs'!$B$16:$B$40&amp;'Key inputs'!$C$16:$C$40&amp;'Key inputs'!$D$16:$D$40,0),MATCH($A$2&amp;I$4,'Key inputs'!$B$17:$N$17&amp;'Key inputs'!$B$18:$N$18,0))</f>
        <v>72.290000000000006</v>
      </c>
      <c r="J153" s="89">
        <f t="shared" si="69"/>
        <v>39.831789999999998</v>
      </c>
      <c r="K153" s="87"/>
      <c r="L153" s="88"/>
      <c r="M153" s="79">
        <f t="shared" si="70"/>
        <v>-0.1860561626781021</v>
      </c>
      <c r="N153" s="88"/>
      <c r="O153" s="95"/>
      <c r="P153" s="95">
        <f t="array" ref="P153">INDEX('Key inputs'!$B$16:$N$40,MATCH($B153&amp;$C153&amp;$E153,'Key inputs'!$B$16:$B$40&amp;'Key inputs'!$C$16:$C$40&amp;'Key inputs'!$D$16:$D$40,0),MATCH($A$2&amp;P$4,'Key inputs'!$B$17:$N$17&amp;'Key inputs'!$B$18:$N$18,0))</f>
        <v>58.84</v>
      </c>
      <c r="Q153" s="89">
        <f t="shared" si="71"/>
        <v>32.420839999999998</v>
      </c>
      <c r="R153" s="87"/>
      <c r="S153" s="129" t="b">
        <f>ROUND(I153,$T$5)=ROUND(SUM(I147:I152),$T$5)</f>
        <v>1</v>
      </c>
      <c r="T153" s="129" t="b">
        <f>ROUND(P153,$T$5)=ROUND(SUM(P147:P152),$T$5)</f>
        <v>1</v>
      </c>
      <c r="U153" s="128"/>
      <c r="V153" s="128"/>
    </row>
    <row r="154" spans="2:22" outlineLevel="1" x14ac:dyDescent="0.35">
      <c r="B154" s="3" t="str">
        <f t="shared" si="72"/>
        <v>Energex</v>
      </c>
      <c r="C154" s="3" t="str">
        <f t="shared" si="67"/>
        <v>Residential</v>
      </c>
      <c r="D154" s="3" t="str">
        <f t="shared" si="68"/>
        <v>with CL</v>
      </c>
      <c r="E154" s="3" t="s">
        <v>17</v>
      </c>
      <c r="F154" s="41">
        <f t="array" ref="F154">IFERROR(INDEX(Usage!$B$5:$P$18,MATCH($B154,Usage!$B$5:$B$18,0),MATCH($C154&amp;$D154&amp;$E154,Usage!$B$5:$S$5&amp;Usage!$B$6:$S$6&amp;Usage!$B$7:$S$7,0)),0)</f>
        <v>1349</v>
      </c>
      <c r="G154" s="3" t="s">
        <v>79</v>
      </c>
      <c r="H154" s="95"/>
      <c r="I154" s="89">
        <f t="array" ref="I154">IFERROR(INDEX('Detail inputs'!$B$3:$K$168,MATCH($B154&amp;$C154&amp;$E154&amp;$G154&amp;I$5,'Detail inputs'!$B$3:$B$168&amp;'Detail inputs'!$D$3:$D$168&amp;'Detail inputs'!$F$3:$F$168&amp;'Detail inputs'!$G$3:$G$168&amp;'Detail inputs'!$H$3:$H$168,0),MATCH(I$4,'Detail inputs'!$B$3:$K$3,0)),0)</f>
        <v>65.989999999999995</v>
      </c>
      <c r="J154" s="89">
        <f t="shared" si="69"/>
        <v>89.020510000000002</v>
      </c>
      <c r="K154" s="87">
        <f>IFERROR(J154/J160,"")</f>
        <v>0.89103429651633803</v>
      </c>
      <c r="L154" s="87"/>
      <c r="M154" s="79">
        <f t="shared" si="70"/>
        <v>-0.16760115168965006</v>
      </c>
      <c r="N154" s="87"/>
      <c r="O154" s="95"/>
      <c r="P154" s="89">
        <f t="array" ref="P154">IFERROR(INDEX('Detail inputs'!$B$3:$K$168,MATCH($B154&amp;$C154&amp;$E154&amp;$G154&amp;P$5,'Detail inputs'!$B$3:$B$168&amp;'Detail inputs'!$D$3:$D$168&amp;'Detail inputs'!$F$3:$F$168&amp;'Detail inputs'!$G$3:$G$168&amp;'Detail inputs'!$H$3:$H$168,0),MATCH(P$4,'Detail inputs'!$B$3:$K$3,0)),0)</f>
        <v>54.93</v>
      </c>
      <c r="Q154" s="95">
        <f t="shared" ref="Q154:Q160" si="73">IF(AND(O154="",P154=""),"",O154+P154*$F154/1000)</f>
        <v>74.100569999999991</v>
      </c>
      <c r="R154" s="87">
        <f>IFERROR(Q154/Q160,"")</f>
        <v>0.89784243216737492</v>
      </c>
    </row>
    <row r="155" spans="2:22" outlineLevel="1" x14ac:dyDescent="0.35">
      <c r="B155" s="3" t="str">
        <f t="shared" si="72"/>
        <v>Energex</v>
      </c>
      <c r="C155" s="3" t="str">
        <f t="shared" si="67"/>
        <v>Residential</v>
      </c>
      <c r="D155" s="3" t="str">
        <f t="shared" si="68"/>
        <v>with CL</v>
      </c>
      <c r="E155" s="3" t="s">
        <v>17</v>
      </c>
      <c r="F155" s="41">
        <f t="array" ref="F155">IFERROR(INDEX(Usage!$B$5:$P$18,MATCH($B155,Usage!$B$5:$B$18,0),MATCH($C155&amp;$D155&amp;$E155,Usage!$B$5:$S$5&amp;Usage!$B$6:$S$6&amp;Usage!$B$7:$S$7,0)),0)</f>
        <v>1349</v>
      </c>
      <c r="G155" s="3" t="s">
        <v>80</v>
      </c>
      <c r="H155" s="95"/>
      <c r="I155" s="95">
        <f t="array" ref="I155">IFERROR(INDEX('Detail inputs'!$B$3:$K$168,MATCH($B155&amp;$G155&amp;I$5,'Detail inputs'!$B$3:$B$168&amp;'Detail inputs'!$G$3:$G$168&amp;'Detail inputs'!$H$3:$H$168,0),MATCH(I$4,'Detail inputs'!$B$3:$K$3,0)),0)</f>
        <v>1.53</v>
      </c>
      <c r="J155" s="95">
        <f t="shared" ref="J155:J160" si="74">IF(AND(H155="",I155=""),"",H155+I155*$F155/1000)</f>
        <v>2.0639700000000003</v>
      </c>
      <c r="K155" s="87">
        <f>IFERROR(J155/J160,"")</f>
        <v>2.0658925195787201E-2</v>
      </c>
      <c r="L155" s="87"/>
      <c r="M155" s="79">
        <f t="shared" si="70"/>
        <v>-0.72549019607843146</v>
      </c>
      <c r="N155" s="87"/>
      <c r="O155" s="95"/>
      <c r="P155" s="95">
        <f t="array" ref="P155">IFERROR(INDEX('Detail inputs'!$B$3:$K$168,MATCH($B155&amp;$G155&amp;P$5,'Detail inputs'!$B$3:$B$168&amp;'Detail inputs'!$G$3:$G$168&amp;'Detail inputs'!$H$3:$H$168,0),MATCH(P$4,'Detail inputs'!$B$3:$K$3,0)),0)</f>
        <v>0.42</v>
      </c>
      <c r="Q155" s="95">
        <f t="shared" si="73"/>
        <v>0.56657999999999997</v>
      </c>
      <c r="R155" s="87">
        <f>IFERROR(Q155/Q160,"")</f>
        <v>6.8649885583524023E-3</v>
      </c>
    </row>
    <row r="156" spans="2:22" outlineLevel="1" x14ac:dyDescent="0.35">
      <c r="B156" s="3" t="str">
        <f t="shared" si="72"/>
        <v>Energex</v>
      </c>
      <c r="C156" s="3" t="str">
        <f t="shared" si="67"/>
        <v>Residential</v>
      </c>
      <c r="D156" s="3" t="str">
        <f t="shared" si="68"/>
        <v>with CL</v>
      </c>
      <c r="E156" s="3" t="s">
        <v>17</v>
      </c>
      <c r="F156" s="41">
        <f t="array" ref="F156">IFERROR(INDEX(Usage!$B$5:$P$18,MATCH($B156,Usage!$B$5:$B$18,0),MATCH($C156&amp;$D156&amp;$E156,Usage!$B$5:$S$5&amp;Usage!$B$6:$S$6&amp;Usage!$B$7:$S$7,0)),0)</f>
        <v>1349</v>
      </c>
      <c r="G156" s="3" t="s">
        <v>88</v>
      </c>
      <c r="H156" s="95"/>
      <c r="I156" s="95">
        <f t="array" ref="I156">IFERROR(INDEX('Detail inputs'!$B$3:$K$168,MATCH($B156&amp;$G156&amp;I$5,'Detail inputs'!$B$3:$B$168&amp;'Detail inputs'!$G$3:$G$168&amp;'Detail inputs'!$H$3:$H$168,0),MATCH(I$4,'Detail inputs'!$B$3:$K$3,0)),0)</f>
        <v>0.71</v>
      </c>
      <c r="J156" s="95">
        <f t="shared" si="74"/>
        <v>0.95778999999999992</v>
      </c>
      <c r="K156" s="87">
        <f>IFERROR(J156/J160,"")</f>
        <v>9.5868214960842541E-3</v>
      </c>
      <c r="L156" s="87"/>
      <c r="M156" s="79">
        <f t="shared" ref="M156:M161" si="75">IF(OR(J156=0,Q156=""),"",Q156/J156-1)</f>
        <v>-0.30985915492957739</v>
      </c>
      <c r="N156" s="87"/>
      <c r="O156" s="95"/>
      <c r="P156" s="95">
        <f t="array" ref="P156">IFERROR(INDEX('Detail inputs'!$B$3:$K$168,MATCH($B156&amp;$G156&amp;P$5,'Detail inputs'!$B$3:$B$168&amp;'Detail inputs'!$G$3:$G$168&amp;'Detail inputs'!$H$3:$H$168,0),MATCH(P$4,'Detail inputs'!$B$3:$K$3,0)),0)</f>
        <v>0.49</v>
      </c>
      <c r="Q156" s="95">
        <f t="shared" si="73"/>
        <v>0.66100999999999999</v>
      </c>
      <c r="R156" s="87">
        <f>IFERROR(Q156/Q160,"")</f>
        <v>8.0091533180778034E-3</v>
      </c>
    </row>
    <row r="157" spans="2:22" outlineLevel="1" x14ac:dyDescent="0.35">
      <c r="B157" s="3" t="str">
        <f t="shared" si="72"/>
        <v>Energex</v>
      </c>
      <c r="C157" s="3" t="str">
        <f t="shared" si="67"/>
        <v>Residential</v>
      </c>
      <c r="D157" s="3" t="str">
        <f t="shared" si="68"/>
        <v>with CL</v>
      </c>
      <c r="E157" s="3" t="s">
        <v>17</v>
      </c>
      <c r="F157" s="41">
        <f t="array" ref="F157">IFERROR(INDEX(Usage!$B$5:$P$18,MATCH($B157,Usage!$B$5:$B$18,0),MATCH($C157&amp;$D157&amp;$E157,Usage!$B$5:$S$5&amp;Usage!$B$6:$S$6&amp;Usage!$B$7:$S$7,0)),0)</f>
        <v>1349</v>
      </c>
      <c r="G157" s="3" t="s">
        <v>81</v>
      </c>
      <c r="H157" s="95"/>
      <c r="I157" s="95">
        <f t="array" ref="I157">IFERROR(INDEX('Detail inputs'!$B$3:$K$168,MATCH($B157&amp;$G157&amp;I$5,'Detail inputs'!$B$3:$B$168&amp;'Detail inputs'!$G$3:$G$168&amp;'Detail inputs'!$H$3:$H$168,0),MATCH(I$4,'Detail inputs'!$B$3:$K$3,0)),0)</f>
        <v>0</v>
      </c>
      <c r="J157" s="95">
        <f t="shared" si="74"/>
        <v>0</v>
      </c>
      <c r="K157" s="87">
        <f>IFERROR(J157/J160,"")</f>
        <v>0</v>
      </c>
      <c r="L157" s="87"/>
      <c r="M157" s="79" t="str">
        <f t="shared" si="75"/>
        <v/>
      </c>
      <c r="N157" s="87"/>
      <c r="O157" s="95"/>
      <c r="P157" s="95">
        <f t="array" ref="P157">IFERROR(INDEX('Detail inputs'!$B$3:$K$168,MATCH($B157&amp;$G157&amp;P$5,'Detail inputs'!$B$3:$B$168&amp;'Detail inputs'!$G$3:$G$168&amp;'Detail inputs'!$H$3:$H$168,0),MATCH(P$4,'Detail inputs'!$B$3:$K$3,0)),0)</f>
        <v>0</v>
      </c>
      <c r="Q157" s="95">
        <f t="shared" si="73"/>
        <v>0</v>
      </c>
      <c r="R157" s="87">
        <f>IFERROR(Q157/Q160,"")</f>
        <v>0</v>
      </c>
    </row>
    <row r="158" spans="2:22" outlineLevel="1" x14ac:dyDescent="0.35">
      <c r="B158" s="3" t="str">
        <f t="shared" si="72"/>
        <v>Energex</v>
      </c>
      <c r="C158" s="3" t="str">
        <f t="shared" si="67"/>
        <v>Residential</v>
      </c>
      <c r="D158" s="3" t="str">
        <f t="shared" si="68"/>
        <v>with CL</v>
      </c>
      <c r="E158" s="3" t="s">
        <v>17</v>
      </c>
      <c r="F158" s="41">
        <f t="array" ref="F158">IFERROR(INDEX(Usage!$B$5:$P$18,MATCH($B158,Usage!$B$5:$B$18,0),MATCH($C158&amp;$D158&amp;$E158,Usage!$B$5:$S$5&amp;Usage!$B$6:$S$6&amp;Usage!$B$7:$S$7,0)),0)</f>
        <v>1349</v>
      </c>
      <c r="G158" s="3" t="s">
        <v>161</v>
      </c>
      <c r="H158" s="95"/>
      <c r="I158" s="95">
        <f t="array" ref="I158">IFERROR(INDEX('Detail inputs'!$B$3:$K$168,MATCH($B158&amp;$G158&amp;I$5,'Detail inputs'!$B$3:$B$168&amp;'Detail inputs'!$G$3:$G$168&amp;'Detail inputs'!$H$3:$H$168,0),MATCH(I$4,'Detail inputs'!$B$3:$K$3,0)),0)</f>
        <v>1.7</v>
      </c>
      <c r="J158" s="95">
        <f t="shared" si="74"/>
        <v>2.2932999999999999</v>
      </c>
      <c r="K158" s="87">
        <f>IFERROR(J158/J160,"")</f>
        <v>2.2954361328652442E-2</v>
      </c>
      <c r="L158" s="87"/>
      <c r="M158" s="79">
        <f t="shared" si="75"/>
        <v>-2.352941176470591E-2</v>
      </c>
      <c r="N158" s="87"/>
      <c r="O158" s="95"/>
      <c r="P158" s="95">
        <f t="array" ref="P158">IFERROR(INDEX('Detail inputs'!$B$3:$K$168,MATCH($B158&amp;$G158&amp;P$5,'Detail inputs'!$B$3:$B$168&amp;'Detail inputs'!$G$3:$G$168&amp;'Detail inputs'!$H$3:$H$168,0),MATCH(P$4,'Detail inputs'!$B$3:$K$3,0)),0)</f>
        <v>1.66</v>
      </c>
      <c r="Q158" s="95">
        <f t="shared" si="73"/>
        <v>2.2393399999999999</v>
      </c>
      <c r="R158" s="87">
        <f>IFERROR(Q158/Q160,"")</f>
        <v>2.7133050016345212E-2</v>
      </c>
    </row>
    <row r="159" spans="2:22" outlineLevel="1" x14ac:dyDescent="0.35">
      <c r="B159" s="3" t="str">
        <f t="shared" si="72"/>
        <v>Energex</v>
      </c>
      <c r="C159" s="3" t="str">
        <f t="shared" si="67"/>
        <v>Residential</v>
      </c>
      <c r="D159" s="3" t="str">
        <f t="shared" si="68"/>
        <v>with CL</v>
      </c>
      <c r="E159" s="3" t="s">
        <v>17</v>
      </c>
      <c r="F159" s="41">
        <f t="array" ref="F159">IFERROR(INDEX(Usage!$B$5:$P$18,MATCH($B159,Usage!$B$5:$B$18,0),MATCH($C159&amp;$D159&amp;$E159,Usage!$B$5:$S$5&amp;Usage!$B$6:$S$6&amp;Usage!$B$7:$S$7,0)),0)</f>
        <v>1349</v>
      </c>
      <c r="G159" s="3" t="s">
        <v>82</v>
      </c>
      <c r="H159" s="95"/>
      <c r="I159" s="89">
        <f t="array" ref="I159">ROUND(IFERROR(INDEX('Detail inputs'!$B$3:$K$168,MATCH($B159&amp;$C159&amp;$E159&amp;$G159&amp;I$5,'Detail inputs'!$B$3:$B$168&amp;'Detail inputs'!$D$3:$D$168&amp;'Detail inputs'!$F$3:$F$168&amp;'Detail inputs'!$G$3:$G$168&amp;'Detail inputs'!$H$3:$H$168,0),MATCH(I$4,'Detail inputs'!$B$3:$K$3,0)),0)*SUM(I154:I158),2)</f>
        <v>4.13</v>
      </c>
      <c r="J159" s="95">
        <f t="shared" si="74"/>
        <v>5.5713699999999999</v>
      </c>
      <c r="K159" s="87">
        <f>IFERROR(J159/J160,"")</f>
        <v>5.5765595463137994E-2</v>
      </c>
      <c r="L159" s="87"/>
      <c r="M159" s="79">
        <f t="shared" si="75"/>
        <v>-0.1089588377723969</v>
      </c>
      <c r="N159" s="87"/>
      <c r="O159" s="95"/>
      <c r="P159" s="89">
        <f t="array" ref="P159">ROUND(IFERROR(INDEX('Detail inputs'!$B$3:$K$168,MATCH($B159&amp;$C159&amp;$E159&amp;$G159&amp;P$5,'Detail inputs'!$B$3:$B$168&amp;'Detail inputs'!$D$3:$D$168&amp;'Detail inputs'!$F$3:$F$168&amp;'Detail inputs'!$G$3:$G$168&amp;'Detail inputs'!$H$3:$H$168,0),MATCH(P$4,'Detail inputs'!$B$3:$K$3,0)),0)*SUM(P154:P158),2)</f>
        <v>3.68</v>
      </c>
      <c r="Q159" s="95">
        <f t="shared" si="73"/>
        <v>4.9643200000000007</v>
      </c>
      <c r="R159" s="87">
        <f>IFERROR(Q159/Q160,"")</f>
        <v>6.0150375939849635E-2</v>
      </c>
    </row>
    <row r="160" spans="2:22" outlineLevel="1" x14ac:dyDescent="0.35">
      <c r="B160" s="3" t="str">
        <f t="shared" si="72"/>
        <v>Energex</v>
      </c>
      <c r="C160" s="3" t="str">
        <f t="shared" si="67"/>
        <v>Residential</v>
      </c>
      <c r="D160" s="3" t="str">
        <f t="shared" si="68"/>
        <v>with CL</v>
      </c>
      <c r="E160" s="3" t="s">
        <v>17</v>
      </c>
      <c r="F160" s="41">
        <f t="array" ref="F160">IFERROR(INDEX(Usage!$B$5:$P$18,MATCH($B160,Usage!$B$5:$B$18,0),MATCH($C160&amp;$D160&amp;$E160,Usage!$B$5:$S$5&amp;Usage!$B$6:$S$6&amp;Usage!$B$7:$S$7,0)),0)</f>
        <v>1349</v>
      </c>
      <c r="G160" s="3" t="s">
        <v>62</v>
      </c>
      <c r="H160" s="95"/>
      <c r="I160" s="95">
        <f t="array" ref="I160">INDEX('Key inputs'!$B$16:$N$40,MATCH($B160&amp;$C160&amp;$E160,'Key inputs'!$B$16:$B$40&amp;'Key inputs'!$C$16:$C$40&amp;'Key inputs'!$D$16:$D$40,0),MATCH($A$2&amp;I$4,'Key inputs'!$B$17:$N$17&amp;'Key inputs'!$B$18:$N$18,0))</f>
        <v>74.06</v>
      </c>
      <c r="J160" s="89">
        <f t="shared" si="74"/>
        <v>99.906940000000006</v>
      </c>
      <c r="K160" s="87"/>
      <c r="L160" s="88"/>
      <c r="M160" s="79">
        <f t="shared" si="75"/>
        <v>-0.17391304347826098</v>
      </c>
      <c r="N160" s="88"/>
      <c r="O160" s="95"/>
      <c r="P160" s="95">
        <f t="array" ref="P160">INDEX('Key inputs'!$B$16:$N$40,MATCH($B160&amp;$C160&amp;$E160,'Key inputs'!$B$16:$B$40&amp;'Key inputs'!$C$16:$C$40&amp;'Key inputs'!$D$16:$D$40,0),MATCH($A$2&amp;P$4,'Key inputs'!$B$17:$N$17&amp;'Key inputs'!$B$18:$N$18,0))</f>
        <v>61.18</v>
      </c>
      <c r="Q160" s="89">
        <f t="shared" si="73"/>
        <v>82.531819999999996</v>
      </c>
      <c r="R160" s="87"/>
      <c r="S160" s="129" t="b">
        <f>ROUND(I160,$T$5)=ROUND(SUM(I154:I159),$T$5)</f>
        <v>1</v>
      </c>
      <c r="T160" s="129" t="b">
        <f>ROUND(P160,$T$5)=ROUND(SUM(P154:P159),$T$5)</f>
        <v>1</v>
      </c>
      <c r="U160" s="128"/>
      <c r="V160" s="128"/>
    </row>
    <row r="161" spans="2:22" s="77" customFormat="1" x14ac:dyDescent="0.35">
      <c r="B161" s="3" t="str">
        <f t="shared" si="72"/>
        <v>Energex</v>
      </c>
      <c r="C161" s="3" t="str">
        <f t="shared" si="67"/>
        <v>Residential</v>
      </c>
      <c r="D161" s="3" t="str">
        <f t="shared" si="68"/>
        <v>with CL</v>
      </c>
      <c r="E161" s="77" t="s">
        <v>62</v>
      </c>
      <c r="F161" s="41">
        <f t="array" ref="F161">IFERROR(INDEX(Usage!$B$5:$P$18,MATCH($B161,Usage!$B$5:$B$18,0),MATCH($C161&amp;$D161&amp;$E161,Usage!$B$5:$S$5&amp;Usage!$B$6:$S$6&amp;Usage!$B$7:$S$7,0)),0)</f>
        <v>6300</v>
      </c>
      <c r="G161" s="77" t="s">
        <v>62</v>
      </c>
      <c r="H161" s="95"/>
      <c r="I161" s="95">
        <f>I146+I153+I160</f>
        <v>237.84</v>
      </c>
      <c r="J161" s="95">
        <f>J146+J153+J160</f>
        <v>542.29472999999996</v>
      </c>
      <c r="K161" s="87"/>
      <c r="L161" s="88"/>
      <c r="M161" s="79">
        <f t="shared" si="75"/>
        <v>-0.18737056507998884</v>
      </c>
      <c r="N161" s="88"/>
      <c r="O161" s="95"/>
      <c r="P161" s="95">
        <f>P146+P153+P160</f>
        <v>194.05</v>
      </c>
      <c r="Q161" s="95">
        <f>Q146+Q153+Q160</f>
        <v>440.68466000000001</v>
      </c>
      <c r="R161" s="87"/>
      <c r="S161" s="129"/>
      <c r="T161" s="130"/>
    </row>
    <row r="162" spans="2:22" outlineLevel="1" x14ac:dyDescent="0.35">
      <c r="B162" s="3" t="str">
        <f t="shared" si="72"/>
        <v>Energex</v>
      </c>
      <c r="C162" s="3" t="str">
        <f t="shared" si="67"/>
        <v>Residential</v>
      </c>
      <c r="D162" s="3" t="str">
        <f t="shared" si="68"/>
        <v>with CL</v>
      </c>
      <c r="F162" s="41"/>
      <c r="G162" s="77" t="s">
        <v>42</v>
      </c>
      <c r="H162" s="95"/>
      <c r="I162" s="95"/>
      <c r="J162" s="95">
        <f>J161*GST</f>
        <v>54.229472999999999</v>
      </c>
      <c r="K162" s="87"/>
      <c r="L162" s="88"/>
      <c r="M162" s="79"/>
      <c r="N162" s="88"/>
      <c r="O162" s="95"/>
      <c r="P162" s="95"/>
      <c r="Q162" s="95">
        <f>Q161*GST</f>
        <v>44.068466000000001</v>
      </c>
      <c r="R162" s="75"/>
    </row>
    <row r="163" spans="2:22" x14ac:dyDescent="0.35">
      <c r="B163" s="3" t="str">
        <f t="shared" si="72"/>
        <v>Energex</v>
      </c>
      <c r="C163" s="3" t="str">
        <f t="shared" si="67"/>
        <v>Residential</v>
      </c>
      <c r="D163" s="3" t="str">
        <f t="shared" si="68"/>
        <v>with CL</v>
      </c>
      <c r="F163" s="41"/>
      <c r="G163" s="5" t="s">
        <v>90</v>
      </c>
      <c r="H163" s="94"/>
      <c r="I163" s="94"/>
      <c r="J163" s="94">
        <f>SUM(J161:J162)</f>
        <v>596.52420299999994</v>
      </c>
      <c r="K163" s="75"/>
      <c r="L163" s="27"/>
      <c r="M163" s="76">
        <f>IF(OR(J163=0,Q163=""),"",Q163/J163-1)</f>
        <v>-0.18737056507998884</v>
      </c>
      <c r="N163" s="27"/>
      <c r="O163" s="94"/>
      <c r="P163" s="94"/>
      <c r="Q163" s="94">
        <f>SUM(Q161:Q162)</f>
        <v>484.75312600000001</v>
      </c>
      <c r="R163" s="75"/>
    </row>
    <row r="164" spans="2:22" x14ac:dyDescent="0.35">
      <c r="F164" s="41"/>
      <c r="K164" s="43"/>
      <c r="M164" s="48"/>
      <c r="R164" s="43"/>
    </row>
    <row r="165" spans="2:22" x14ac:dyDescent="0.35">
      <c r="B165" s="5" t="s">
        <v>0</v>
      </c>
      <c r="C165" s="5" t="s">
        <v>15</v>
      </c>
      <c r="D165" s="5" t="s">
        <v>150</v>
      </c>
      <c r="F165" s="41"/>
      <c r="K165" s="43"/>
      <c r="M165" s="48"/>
      <c r="R165" s="43"/>
    </row>
    <row r="166" spans="2:22" outlineLevel="1" x14ac:dyDescent="0.35">
      <c r="B166" s="3" t="str">
        <f>B165</f>
        <v>Energex</v>
      </c>
      <c r="C166" s="3" t="str">
        <f t="shared" ref="C166:C174" si="76">C165</f>
        <v>Small business</v>
      </c>
      <c r="D166" s="3" t="str">
        <f t="shared" ref="D166:D174" si="77">D165</f>
        <v>without CL</v>
      </c>
      <c r="E166" s="3" t="s">
        <v>23</v>
      </c>
      <c r="F166" s="41">
        <f t="array" ref="F166">IFERROR(INDEX(Usage!$B$5:$P$18,MATCH($B166,Usage!$B$5:$B$18,0),MATCH($C166&amp;$D166&amp;$E166,Usage!$B$5:$S$5&amp;Usage!$B$6:$S$6&amp;Usage!$B$7:$S$7,0)),0)</f>
        <v>20000</v>
      </c>
      <c r="G166" s="3" t="s">
        <v>79</v>
      </c>
      <c r="I166" s="89">
        <f t="array" ref="I166">IFERROR(INDEX('Detail inputs'!$B$3:$K$168,MATCH($B166&amp;$C166&amp;$E166&amp;$G166&amp;I$5,'Detail inputs'!$B$3:$B$168&amp;'Detail inputs'!$D$3:$D$168&amp;'Detail inputs'!$F$3:$F$168&amp;'Detail inputs'!$G$3:$G$168&amp;'Detail inputs'!$H$3:$H$168,0),MATCH(I$4,'Detail inputs'!$B$3:$K$3,0)),0)</f>
        <v>82.45</v>
      </c>
      <c r="J166" s="89">
        <f>IF(AND(H166="",I166=""),"",H166+I166*$F166/1000)</f>
        <v>1649</v>
      </c>
      <c r="K166" s="43">
        <f>IFERROR(J166/J172,"")</f>
        <v>0.90119138703683466</v>
      </c>
      <c r="L166" s="43"/>
      <c r="M166" s="48">
        <f t="shared" ref="M166:M172" si="78">IF(OR(J166=0,Q166=""),"",Q166/J166-1)</f>
        <v>-0.18726500909642207</v>
      </c>
      <c r="N166" s="43"/>
      <c r="P166" s="89">
        <f t="array" ref="P166">IFERROR(INDEX('Detail inputs'!$B$3:$K$168,MATCH($B166&amp;$C166&amp;$E166&amp;$G166&amp;P$5,'Detail inputs'!$B$3:$B$168&amp;'Detail inputs'!$D$3:$D$168&amp;'Detail inputs'!$F$3:$F$168&amp;'Detail inputs'!$G$3:$G$168&amp;'Detail inputs'!$H$3:$H$168,0),MATCH(P$4,'Detail inputs'!$B$3:$K$3,0)),0)</f>
        <v>67.010000000000005</v>
      </c>
      <c r="Q166" s="89">
        <f>IF(AND(O166="",P166=""),"",O166+P166*$F166/1000)</f>
        <v>1340.2</v>
      </c>
      <c r="R166" s="43">
        <f>IFERROR(Q166/Q172,"")</f>
        <v>0.90517357827907619</v>
      </c>
    </row>
    <row r="167" spans="2:22" outlineLevel="1" x14ac:dyDescent="0.35">
      <c r="B167" s="3" t="str">
        <f t="shared" ref="B167:B174" si="79">B166</f>
        <v>Energex</v>
      </c>
      <c r="C167" s="3" t="str">
        <f t="shared" si="76"/>
        <v>Small business</v>
      </c>
      <c r="D167" s="3" t="str">
        <f t="shared" si="77"/>
        <v>without CL</v>
      </c>
      <c r="E167" s="3" t="s">
        <v>23</v>
      </c>
      <c r="F167" s="41">
        <f t="array" ref="F167">IFERROR(INDEX(Usage!$B$5:$P$18,MATCH($B167,Usage!$B$5:$B$18,0),MATCH($C167&amp;$D167&amp;$E167,Usage!$B$5:$S$5&amp;Usage!$B$6:$S$6&amp;Usage!$B$7:$S$7,0)),0)</f>
        <v>20000</v>
      </c>
      <c r="G167" s="3" t="s">
        <v>80</v>
      </c>
      <c r="I167" s="89">
        <f t="array" ref="I167">IFERROR(INDEX('Detail inputs'!$B$3:$K$168,MATCH($B167&amp;$G167&amp;I$5,'Detail inputs'!$B$3:$B$168&amp;'Detail inputs'!$G$3:$G$168&amp;'Detail inputs'!$H$3:$H$168,0),MATCH(I$4,'Detail inputs'!$B$3:$K$3,0)),0)</f>
        <v>1.53</v>
      </c>
      <c r="J167" s="89">
        <f t="shared" ref="J167:J172" si="80">IF(AND(H167="",I167=""),"",H167+I167*$F167/1000)</f>
        <v>30.6</v>
      </c>
      <c r="K167" s="43">
        <f>IFERROR(J167/J172,"")</f>
        <v>1.6723139140889715E-2</v>
      </c>
      <c r="L167" s="43"/>
      <c r="M167" s="48">
        <f t="shared" si="78"/>
        <v>-0.72549019607843135</v>
      </c>
      <c r="N167" s="43"/>
      <c r="P167" s="89">
        <f t="array" ref="P167">IFERROR(INDEX('Detail inputs'!$B$3:$K$168,MATCH($B167&amp;$G167&amp;P$5,'Detail inputs'!$B$3:$B$168&amp;'Detail inputs'!$G$3:$G$168&amp;'Detail inputs'!$H$3:$H$168,0),MATCH(P$4,'Detail inputs'!$B$3:$K$3,0)),0)</f>
        <v>0.42</v>
      </c>
      <c r="Q167" s="89">
        <f t="shared" ref="Q167:Q172" si="81">IF(AND(O167="",P167=""),"",O167+P167*$F167/1000)</f>
        <v>8.4</v>
      </c>
      <c r="R167" s="43">
        <f>IFERROR(Q167/Q172,"")</f>
        <v>5.6733756585168179E-3</v>
      </c>
    </row>
    <row r="168" spans="2:22" outlineLevel="1" x14ac:dyDescent="0.35">
      <c r="B168" s="3" t="str">
        <f t="shared" si="79"/>
        <v>Energex</v>
      </c>
      <c r="C168" s="3" t="str">
        <f t="shared" si="76"/>
        <v>Small business</v>
      </c>
      <c r="D168" s="3" t="str">
        <f t="shared" si="77"/>
        <v>without CL</v>
      </c>
      <c r="E168" s="3" t="s">
        <v>23</v>
      </c>
      <c r="F168" s="41">
        <f t="array" ref="F168">IFERROR(INDEX(Usage!$B$5:$P$18,MATCH($B168,Usage!$B$5:$B$18,0),MATCH($C168&amp;$D168&amp;$E168,Usage!$B$5:$S$5&amp;Usage!$B$6:$S$6&amp;Usage!$B$7:$S$7,0)),0)</f>
        <v>20000</v>
      </c>
      <c r="G168" s="3" t="s">
        <v>88</v>
      </c>
      <c r="I168" s="89">
        <f t="array" ref="I168">IFERROR(INDEX('Detail inputs'!$B$3:$K$168,MATCH($B168&amp;$G168&amp;I$5,'Detail inputs'!$B$3:$B$168&amp;'Detail inputs'!$G$3:$G$168&amp;'Detail inputs'!$H$3:$H$168,0),MATCH(I$4,'Detail inputs'!$B$3:$K$3,0)),0)</f>
        <v>0.71</v>
      </c>
      <c r="J168" s="89">
        <f t="shared" si="80"/>
        <v>14.2</v>
      </c>
      <c r="K168" s="43">
        <f>IFERROR(J168/J172,"")</f>
        <v>7.7604109738769259E-3</v>
      </c>
      <c r="L168" s="43"/>
      <c r="M168" s="48">
        <f t="shared" si="78"/>
        <v>-0.30985915492957739</v>
      </c>
      <c r="N168" s="43"/>
      <c r="P168" s="89">
        <f t="array" ref="P168">IFERROR(INDEX('Detail inputs'!$B$3:$K$168,MATCH($B168&amp;$G168&amp;P$5,'Detail inputs'!$B$3:$B$168&amp;'Detail inputs'!$G$3:$G$168&amp;'Detail inputs'!$H$3:$H$168,0),MATCH(P$4,'Detail inputs'!$B$3:$K$3,0)),0)</f>
        <v>0.49</v>
      </c>
      <c r="Q168" s="89">
        <f t="shared" si="81"/>
        <v>9.8000000000000007</v>
      </c>
      <c r="R168" s="43">
        <f>IFERROR(Q168/Q172,"")</f>
        <v>6.6189382682696214E-3</v>
      </c>
    </row>
    <row r="169" spans="2:22" outlineLevel="1" x14ac:dyDescent="0.35">
      <c r="B169" s="3" t="str">
        <f t="shared" si="79"/>
        <v>Energex</v>
      </c>
      <c r="C169" s="3" t="str">
        <f t="shared" si="76"/>
        <v>Small business</v>
      </c>
      <c r="D169" s="3" t="str">
        <f t="shared" si="77"/>
        <v>without CL</v>
      </c>
      <c r="E169" s="3" t="s">
        <v>23</v>
      </c>
      <c r="F169" s="41">
        <f t="array" ref="F169">IFERROR(INDEX(Usage!$B$5:$P$18,MATCH($B169,Usage!$B$5:$B$18,0),MATCH($C169&amp;$D169&amp;$E169,Usage!$B$5:$S$5&amp;Usage!$B$6:$S$6&amp;Usage!$B$7:$S$7,0)),0)</f>
        <v>20000</v>
      </c>
      <c r="G169" s="3" t="s">
        <v>81</v>
      </c>
      <c r="I169" s="89">
        <f t="array" ref="I169">IFERROR(INDEX('Detail inputs'!$B$3:$K$168,MATCH($B169&amp;$G169&amp;I$5,'Detail inputs'!$B$3:$B$168&amp;'Detail inputs'!$G$3:$G$168&amp;'Detail inputs'!$H$3:$H$168,0),MATCH(I$4,'Detail inputs'!$B$3:$K$3,0)),0)</f>
        <v>0</v>
      </c>
      <c r="J169" s="89">
        <f t="shared" si="80"/>
        <v>0</v>
      </c>
      <c r="K169" s="43">
        <f>IFERROR(J169/J172,"")</f>
        <v>0</v>
      </c>
      <c r="L169" s="43"/>
      <c r="M169" s="48" t="str">
        <f t="shared" si="78"/>
        <v/>
      </c>
      <c r="N169" s="43"/>
      <c r="P169" s="89">
        <f t="array" ref="P169">IFERROR(INDEX('Detail inputs'!$B$3:$K$168,MATCH($B169&amp;$G169&amp;P$5,'Detail inputs'!$B$3:$B$168&amp;'Detail inputs'!$G$3:$G$168&amp;'Detail inputs'!$H$3:$H$168,0),MATCH(P$4,'Detail inputs'!$B$3:$K$3,0)),0)</f>
        <v>0</v>
      </c>
      <c r="Q169" s="89">
        <f t="shared" si="81"/>
        <v>0</v>
      </c>
      <c r="R169" s="43">
        <f>IFERROR(Q169/Q172,"")</f>
        <v>0</v>
      </c>
    </row>
    <row r="170" spans="2:22" outlineLevel="1" x14ac:dyDescent="0.35">
      <c r="B170" s="3" t="str">
        <f t="shared" si="79"/>
        <v>Energex</v>
      </c>
      <c r="C170" s="3" t="str">
        <f t="shared" si="76"/>
        <v>Small business</v>
      </c>
      <c r="D170" s="3" t="str">
        <f t="shared" si="77"/>
        <v>without CL</v>
      </c>
      <c r="E170" s="3" t="s">
        <v>23</v>
      </c>
      <c r="F170" s="41">
        <f t="array" ref="F170">IFERROR(INDEX(Usage!$B$5:$P$18,MATCH($B170,Usage!$B$5:$B$18,0),MATCH($C170&amp;$D170&amp;$E170,Usage!$B$5:$S$5&amp;Usage!$B$6:$S$6&amp;Usage!$B$7:$S$7,0)),0)</f>
        <v>20000</v>
      </c>
      <c r="G170" s="3" t="s">
        <v>161</v>
      </c>
      <c r="I170" s="89">
        <f t="array" ref="I170">IFERROR(INDEX('Detail inputs'!$B$3:$K$168,MATCH($B170&amp;$G170&amp;I$5,'Detail inputs'!$B$3:$B$168&amp;'Detail inputs'!$G$3:$G$168&amp;'Detail inputs'!$H$3:$H$168,0),MATCH(I$4,'Detail inputs'!$B$3:$K$3,0)),0)</f>
        <v>1.7</v>
      </c>
      <c r="J170" s="89">
        <f t="shared" si="80"/>
        <v>34</v>
      </c>
      <c r="K170" s="43">
        <f>IFERROR(J170/J172,"")</f>
        <v>1.8581265712099684E-2</v>
      </c>
      <c r="L170" s="43"/>
      <c r="M170" s="48">
        <f t="shared" si="78"/>
        <v>-2.3529411764705799E-2</v>
      </c>
      <c r="N170" s="43"/>
      <c r="P170" s="89">
        <f t="array" ref="P170">IFERROR(INDEX('Detail inputs'!$B$3:$K$168,MATCH($B170&amp;$G170&amp;P$5,'Detail inputs'!$B$3:$B$168&amp;'Detail inputs'!$G$3:$G$168&amp;'Detail inputs'!$H$3:$H$168,0),MATCH(P$4,'Detail inputs'!$B$3:$K$3,0)),0)</f>
        <v>1.66</v>
      </c>
      <c r="Q170" s="89">
        <f t="shared" si="81"/>
        <v>33.200000000000003</v>
      </c>
      <c r="R170" s="43">
        <f>IFERROR(Q170/Q172,"")</f>
        <v>2.2423341888423615E-2</v>
      </c>
    </row>
    <row r="171" spans="2:22" outlineLevel="1" x14ac:dyDescent="0.35">
      <c r="B171" s="3" t="str">
        <f t="shared" si="79"/>
        <v>Energex</v>
      </c>
      <c r="C171" s="3" t="str">
        <f t="shared" si="76"/>
        <v>Small business</v>
      </c>
      <c r="D171" s="3" t="str">
        <f t="shared" si="77"/>
        <v>without CL</v>
      </c>
      <c r="E171" s="3" t="s">
        <v>23</v>
      </c>
      <c r="F171" s="41">
        <f t="array" ref="F171">IFERROR(INDEX(Usage!$B$5:$P$18,MATCH($B171,Usage!$B$5:$B$18,0),MATCH($C171&amp;$D171&amp;$E171,Usage!$B$5:$S$5&amp;Usage!$B$6:$S$6&amp;Usage!$B$7:$S$7,0)),0)</f>
        <v>20000</v>
      </c>
      <c r="G171" s="3" t="s">
        <v>82</v>
      </c>
      <c r="I171" s="89">
        <f t="array" ref="I171">ROUND(IFERROR(INDEX('Detail inputs'!$B$3:$K$168,MATCH($B171&amp;$C171&amp;$E171&amp;$G171&amp;I$5,'Detail inputs'!$B$3:$B$168&amp;'Detail inputs'!$D$3:$D$168&amp;'Detail inputs'!$F$3:$F$168&amp;'Detail inputs'!$G$3:$G$168&amp;'Detail inputs'!$H$3:$H$168,0),MATCH(I$4,'Detail inputs'!$B$3:$K$3,0)),0)*SUM(I166:I170),2)</f>
        <v>5.0999999999999996</v>
      </c>
      <c r="J171" s="89">
        <f t="shared" si="80"/>
        <v>102</v>
      </c>
      <c r="K171" s="43">
        <f>IFERROR(J171/J172,"")</f>
        <v>5.5743797136299053E-2</v>
      </c>
      <c r="L171" s="43"/>
      <c r="M171" s="48">
        <f t="shared" si="78"/>
        <v>-0.12745098039215685</v>
      </c>
      <c r="N171" s="43"/>
      <c r="P171" s="89">
        <f t="array" ref="P171">ROUND(IFERROR(INDEX('Detail inputs'!$B$3:$K$168,MATCH($B171&amp;$C171&amp;$E171&amp;$G171&amp;P$5,'Detail inputs'!$B$3:$B$168&amp;'Detail inputs'!$D$3:$D$168&amp;'Detail inputs'!$F$3:$F$168&amp;'Detail inputs'!$G$3:$G$168&amp;'Detail inputs'!$H$3:$H$168,0),MATCH(P$4,'Detail inputs'!$B$3:$K$3,0)),0)*SUM(P166:P170),2)</f>
        <v>4.45</v>
      </c>
      <c r="Q171" s="89">
        <f t="shared" si="81"/>
        <v>89</v>
      </c>
      <c r="R171" s="43">
        <f>IFERROR(Q171/Q172,"")</f>
        <v>6.0110765905713903E-2</v>
      </c>
    </row>
    <row r="172" spans="2:22" s="77" customFormat="1" x14ac:dyDescent="0.35">
      <c r="B172" s="3" t="str">
        <f t="shared" si="79"/>
        <v>Energex</v>
      </c>
      <c r="C172" s="3" t="str">
        <f t="shared" si="76"/>
        <v>Small business</v>
      </c>
      <c r="D172" s="3" t="str">
        <f t="shared" si="77"/>
        <v>without CL</v>
      </c>
      <c r="E172" s="3" t="s">
        <v>23</v>
      </c>
      <c r="F172" s="41">
        <f t="array" ref="F172">IFERROR(INDEX(Usage!$B$5:$P$18,MATCH($B172,Usage!$B$5:$B$18,0),MATCH($C172&amp;$D172&amp;$E172,Usage!$B$5:$S$5&amp;Usage!$B$6:$S$6&amp;Usage!$B$7:$S$7,0)),0)</f>
        <v>20000</v>
      </c>
      <c r="G172" s="77" t="s">
        <v>62</v>
      </c>
      <c r="H172" s="95"/>
      <c r="I172" s="95">
        <f t="array" ref="I172">INDEX('Key inputs'!$B$16:$N$40,MATCH($B172&amp;$C172&amp;$E172,'Key inputs'!$B$16:$B$40&amp;'Key inputs'!$C$16:$C$40&amp;'Key inputs'!$D$16:$D$40,0),MATCH($A$2&amp;I$4,'Key inputs'!$B$17:$N$17&amp;'Key inputs'!$B$18:$N$18,0))</f>
        <v>91.49</v>
      </c>
      <c r="J172" s="89">
        <f t="shared" si="80"/>
        <v>1829.8</v>
      </c>
      <c r="K172" s="87"/>
      <c r="L172" s="88"/>
      <c r="M172" s="79">
        <f t="shared" si="78"/>
        <v>-0.19084052901956505</v>
      </c>
      <c r="N172" s="88"/>
      <c r="O172" s="95"/>
      <c r="P172" s="95">
        <f t="array" ref="P172">INDEX('Key inputs'!$B$16:$N$40,MATCH($B172&amp;$C172&amp;$E172,'Key inputs'!$B$16:$B$40&amp;'Key inputs'!$C$16:$C$40&amp;'Key inputs'!$D$16:$D$40,0),MATCH($A$2&amp;P$4,'Key inputs'!$B$17:$N$17&amp;'Key inputs'!$B$18:$N$18,0))</f>
        <v>74.03</v>
      </c>
      <c r="Q172" s="89">
        <f t="shared" si="81"/>
        <v>1480.6</v>
      </c>
      <c r="R172" s="87"/>
      <c r="S172" s="129" t="b">
        <f>ROUND(I172,$T$5)=ROUND(SUM(I166:I171),$T$5)</f>
        <v>1</v>
      </c>
      <c r="T172" s="129" t="b">
        <f>ROUND(P172,$T$5)=ROUND(SUM(P166:P171),$T$5)</f>
        <v>1</v>
      </c>
      <c r="U172" s="128"/>
      <c r="V172" s="128"/>
    </row>
    <row r="173" spans="2:22" outlineLevel="1" x14ac:dyDescent="0.35">
      <c r="B173" s="3" t="str">
        <f t="shared" si="79"/>
        <v>Energex</v>
      </c>
      <c r="C173" s="3" t="str">
        <f t="shared" si="76"/>
        <v>Small business</v>
      </c>
      <c r="D173" s="3" t="str">
        <f t="shared" si="77"/>
        <v>without CL</v>
      </c>
      <c r="F173" s="41"/>
      <c r="G173" s="77" t="s">
        <v>42</v>
      </c>
      <c r="H173" s="95"/>
      <c r="I173" s="95"/>
      <c r="J173" s="95">
        <f>J172*GST</f>
        <v>182.98000000000002</v>
      </c>
      <c r="K173" s="87"/>
      <c r="L173" s="88"/>
      <c r="M173" s="79"/>
      <c r="N173" s="88"/>
      <c r="O173" s="95"/>
      <c r="P173" s="95"/>
      <c r="Q173" s="95">
        <f>Q172*GST</f>
        <v>148.06</v>
      </c>
      <c r="R173" s="75"/>
    </row>
    <row r="174" spans="2:22" x14ac:dyDescent="0.35">
      <c r="B174" s="3" t="str">
        <f t="shared" si="79"/>
        <v>Energex</v>
      </c>
      <c r="C174" s="3" t="str">
        <f t="shared" si="76"/>
        <v>Small business</v>
      </c>
      <c r="D174" s="3" t="str">
        <f t="shared" si="77"/>
        <v>without CL</v>
      </c>
      <c r="F174" s="41"/>
      <c r="G174" s="5" t="s">
        <v>90</v>
      </c>
      <c r="H174" s="94"/>
      <c r="I174" s="94"/>
      <c r="J174" s="94">
        <f>SUM(J172:J173)</f>
        <v>2012.78</v>
      </c>
      <c r="K174" s="75"/>
      <c r="L174" s="27"/>
      <c r="M174" s="76">
        <f>IF(OR(J174=0,Q174=""),"",Q174/J174-1)</f>
        <v>-0.19084052901956505</v>
      </c>
      <c r="N174" s="27"/>
      <c r="O174" s="94"/>
      <c r="P174" s="94"/>
      <c r="Q174" s="94">
        <f>SUM(Q172:Q173)</f>
        <v>1628.6599999999999</v>
      </c>
      <c r="R174" s="75"/>
    </row>
    <row r="175" spans="2:22" x14ac:dyDescent="0.35">
      <c r="F175" s="41"/>
      <c r="K175" s="43"/>
      <c r="M175" s="48"/>
      <c r="R175" s="43"/>
    </row>
    <row r="176" spans="2:22" x14ac:dyDescent="0.35">
      <c r="B176" s="5" t="s">
        <v>5</v>
      </c>
      <c r="C176" s="5" t="s">
        <v>6</v>
      </c>
      <c r="D176" s="5" t="s">
        <v>150</v>
      </c>
      <c r="F176" s="41"/>
      <c r="K176" s="43"/>
      <c r="M176" s="48"/>
      <c r="R176" s="43"/>
    </row>
    <row r="177" spans="2:22" outlineLevel="1" x14ac:dyDescent="0.35">
      <c r="B177" s="3" t="str">
        <f>B176</f>
        <v>SAPN</v>
      </c>
      <c r="C177" s="3" t="str">
        <f t="shared" ref="C177:C185" si="82">C176</f>
        <v>Residential</v>
      </c>
      <c r="D177" s="3" t="str">
        <f t="shared" ref="D177:D185" si="83">D176</f>
        <v>without CL</v>
      </c>
      <c r="E177" s="3" t="s">
        <v>23</v>
      </c>
      <c r="F177" s="41">
        <f t="array" ref="F177">IFERROR(INDEX(Usage!$B$5:$P$18,MATCH($B177,Usage!$B$5:$B$18,0),MATCH($C177&amp;$D177&amp;$E177&amp;"Total",Usage!$B$5:$S$5&amp;Usage!$B$6:$S$6&amp;Usage!$B$7:$S$7&amp;Usage!$B$13:$S$13,0)),0)</f>
        <v>4000</v>
      </c>
      <c r="G177" s="3" t="s">
        <v>79</v>
      </c>
      <c r="I177" s="89">
        <f t="array" ref="I177">IFERROR(INDEX('Detail inputs'!$B$3:$K$168,MATCH($B177&amp;$C177&amp;$E177&amp;$G177&amp;I$5,'Detail inputs'!$B$3:$B$168&amp;'Detail inputs'!$D$3:$D$168&amp;'Detail inputs'!$F$3:$F$168&amp;'Detail inputs'!$G$3:$G$168&amp;'Detail inputs'!$H$3:$H$168,0),MATCH(I$4,'Detail inputs'!$B$3:$K$3,0)),0)</f>
        <v>132.61000000000001</v>
      </c>
      <c r="J177" s="89">
        <f>IF(AND(H177="",I177=""),"",H177+I177*$F177/1000)</f>
        <v>530.44000000000005</v>
      </c>
      <c r="K177" s="43">
        <f>IFERROR(J177/J183,"")</f>
        <v>0.86043342849727489</v>
      </c>
      <c r="L177" s="43"/>
      <c r="M177" s="48">
        <f t="shared" ref="M177:M183" si="84">IF(OR(J177=0,Q177=""),"",Q177/J177-1)</f>
        <v>-0.23271246512329391</v>
      </c>
      <c r="N177" s="43"/>
      <c r="P177" s="89">
        <f t="array" ref="P177">IFERROR(INDEX('Detail inputs'!$B$3:$K$168,MATCH($B177&amp;$C177&amp;$E177&amp;$G177&amp;P$5,'Detail inputs'!$B$3:$B$168&amp;'Detail inputs'!$D$3:$D$168&amp;'Detail inputs'!$F$3:$F$168&amp;'Detail inputs'!$G$3:$G$168&amp;'Detail inputs'!$H$3:$H$168,0),MATCH(P$4,'Detail inputs'!$B$3:$K$3,0)),0)</f>
        <v>101.75</v>
      </c>
      <c r="Q177" s="89">
        <f>IF(AND(O177="",P177=""),"",O177+P177*$F177/1000)</f>
        <v>407</v>
      </c>
      <c r="R177" s="43">
        <f>IFERROR(Q177/Q183,"")</f>
        <v>0.85167824558466565</v>
      </c>
    </row>
    <row r="178" spans="2:22" outlineLevel="1" x14ac:dyDescent="0.35">
      <c r="B178" s="3" t="str">
        <f t="shared" ref="B178:B185" si="85">B177</f>
        <v>SAPN</v>
      </c>
      <c r="C178" s="3" t="str">
        <f t="shared" si="82"/>
        <v>Residential</v>
      </c>
      <c r="D178" s="3" t="str">
        <f t="shared" si="83"/>
        <v>without CL</v>
      </c>
      <c r="E178" s="3" t="s">
        <v>23</v>
      </c>
      <c r="F178" s="41">
        <f t="array" ref="F178">IFERROR(INDEX(Usage!$B$5:$P$18,MATCH($B178,Usage!$B$5:$B$18,0),MATCH($C178&amp;$D178&amp;$E178&amp;"Total",Usage!$B$5:$S$5&amp;Usage!$B$6:$S$6&amp;Usage!$B$7:$S$7&amp;Usage!$B$13:$S$13,0)),0)</f>
        <v>4000</v>
      </c>
      <c r="G178" s="3" t="s">
        <v>80</v>
      </c>
      <c r="I178" s="89">
        <f t="array" ref="I178">IFERROR(INDEX('Detail inputs'!$B$3:$K$168,MATCH($B178&amp;$G178&amp;I$5,'Detail inputs'!$B$3:$B$168&amp;'Detail inputs'!$G$3:$G$168&amp;'Detail inputs'!$H$3:$H$168,0),MATCH(I$4,'Detail inputs'!$B$3:$K$3,0)),0)</f>
        <v>1.53</v>
      </c>
      <c r="J178" s="89">
        <f t="shared" ref="J178:J183" si="86">IF(AND(H178="",I178=""),"",H178+I178*$F178/1000)</f>
        <v>6.12</v>
      </c>
      <c r="K178" s="43">
        <f>IFERROR(J178/J183,"")</f>
        <v>9.9273293537503245E-3</v>
      </c>
      <c r="L178" s="43"/>
      <c r="M178" s="48">
        <f t="shared" si="84"/>
        <v>-0.33333333333333337</v>
      </c>
      <c r="N178" s="43"/>
      <c r="P178" s="89">
        <f t="array" ref="P178">IFERROR(INDEX('Detail inputs'!$B$3:$K$168,MATCH($B178&amp;$G178&amp;P$5,'Detail inputs'!$B$3:$B$168&amp;'Detail inputs'!$G$3:$G$168&amp;'Detail inputs'!$H$3:$H$168,0),MATCH(P$4,'Detail inputs'!$B$3:$K$3,0)),0)</f>
        <v>1.02</v>
      </c>
      <c r="Q178" s="89">
        <f t="shared" ref="Q178:Q183" si="87">IF(AND(O178="",P178=""),"",O178+P178*$F178/1000)</f>
        <v>4.08</v>
      </c>
      <c r="R178" s="43">
        <f>IFERROR(Q178/Q183,"")</f>
        <v>8.5377082112664277E-3</v>
      </c>
    </row>
    <row r="179" spans="2:22" outlineLevel="1" x14ac:dyDescent="0.35">
      <c r="B179" s="3" t="str">
        <f t="shared" si="85"/>
        <v>SAPN</v>
      </c>
      <c r="C179" s="3" t="str">
        <f t="shared" si="82"/>
        <v>Residential</v>
      </c>
      <c r="D179" s="3" t="str">
        <f t="shared" si="83"/>
        <v>without CL</v>
      </c>
      <c r="E179" s="3" t="s">
        <v>23</v>
      </c>
      <c r="F179" s="41">
        <f t="array" ref="F179">IFERROR(INDEX(Usage!$B$5:$P$18,MATCH($B179,Usage!$B$5:$B$18,0),MATCH($C179&amp;$D179&amp;$E179&amp;"Total",Usage!$B$5:$S$5&amp;Usage!$B$6:$S$6&amp;Usage!$B$7:$S$7&amp;Usage!$B$13:$S$13,0)),0)</f>
        <v>4000</v>
      </c>
      <c r="G179" s="3" t="s">
        <v>88</v>
      </c>
      <c r="I179" s="89">
        <f t="array" ref="I179">IFERROR(INDEX('Detail inputs'!$B$3:$K$168,MATCH($B179&amp;$G179&amp;I$5,'Detail inputs'!$B$3:$B$168&amp;'Detail inputs'!$G$3:$G$168&amp;'Detail inputs'!$H$3:$H$168,0),MATCH(I$4,'Detail inputs'!$B$3:$K$3,0)),0)</f>
        <v>0.71</v>
      </c>
      <c r="J179" s="89">
        <f t="shared" si="86"/>
        <v>2.84</v>
      </c>
      <c r="K179" s="43">
        <f>IFERROR(J179/J183,"")</f>
        <v>4.6067998961847904E-3</v>
      </c>
      <c r="L179" s="43"/>
      <c r="M179" s="48">
        <f t="shared" si="84"/>
        <v>-0.3098591549295775</v>
      </c>
      <c r="N179" s="43"/>
      <c r="P179" s="89">
        <f t="array" ref="P179">IFERROR(INDEX('Detail inputs'!$B$3:$K$168,MATCH($B179&amp;$G179&amp;P$5,'Detail inputs'!$B$3:$B$168&amp;'Detail inputs'!$G$3:$G$168&amp;'Detail inputs'!$H$3:$H$168,0),MATCH(P$4,'Detail inputs'!$B$3:$K$3,0)),0)</f>
        <v>0.49</v>
      </c>
      <c r="Q179" s="89">
        <f t="shared" si="87"/>
        <v>1.96</v>
      </c>
      <c r="R179" s="43">
        <f>IFERROR(Q179/Q183,"")</f>
        <v>4.1014480622750477E-3</v>
      </c>
    </row>
    <row r="180" spans="2:22" outlineLevel="1" x14ac:dyDescent="0.35">
      <c r="B180" s="3" t="str">
        <f t="shared" si="85"/>
        <v>SAPN</v>
      </c>
      <c r="C180" s="3" t="str">
        <f t="shared" si="82"/>
        <v>Residential</v>
      </c>
      <c r="D180" s="3" t="str">
        <f t="shared" si="83"/>
        <v>without CL</v>
      </c>
      <c r="E180" s="3" t="s">
        <v>23</v>
      </c>
      <c r="F180" s="41">
        <f t="array" ref="F180">IFERROR(INDEX(Usage!$B$5:$P$18,MATCH($B180,Usage!$B$5:$B$18,0),MATCH($C180&amp;$D180&amp;$E180&amp;"Total",Usage!$B$5:$S$5&amp;Usage!$B$6:$S$6&amp;Usage!$B$7:$S$7&amp;Usage!$B$13:$S$13,0)),0)</f>
        <v>4000</v>
      </c>
      <c r="G180" s="3" t="s">
        <v>81</v>
      </c>
      <c r="I180" s="89">
        <f t="array" ref="I180">IFERROR(INDEX('Detail inputs'!$B$3:$K$168,MATCH($B180&amp;$G180&amp;I$5,'Detail inputs'!$B$3:$B$168&amp;'Detail inputs'!$G$3:$G$168&amp;'Detail inputs'!$H$3:$H$168,0),MATCH(I$4,'Detail inputs'!$B$3:$K$3,0)),0)</f>
        <v>0</v>
      </c>
      <c r="J180" s="89">
        <f t="shared" si="86"/>
        <v>0</v>
      </c>
      <c r="K180" s="43">
        <f>IFERROR(J180/J183,"")</f>
        <v>0</v>
      </c>
      <c r="L180" s="43"/>
      <c r="M180" s="48" t="str">
        <f t="shared" si="84"/>
        <v/>
      </c>
      <c r="N180" s="43"/>
      <c r="P180" s="89">
        <f t="array" ref="P180">IFERROR(INDEX('Detail inputs'!$B$3:$K$168,MATCH($B180&amp;$G180&amp;P$5,'Detail inputs'!$B$3:$B$168&amp;'Detail inputs'!$G$3:$G$168&amp;'Detail inputs'!$H$3:$H$168,0),MATCH(P$4,'Detail inputs'!$B$3:$K$3,0)),0)</f>
        <v>0</v>
      </c>
      <c r="Q180" s="89">
        <f t="shared" si="87"/>
        <v>0</v>
      </c>
      <c r="R180" s="43">
        <f>IFERROR(Q180/Q183,"")</f>
        <v>0</v>
      </c>
    </row>
    <row r="181" spans="2:22" outlineLevel="1" x14ac:dyDescent="0.35">
      <c r="B181" s="3" t="str">
        <f t="shared" si="85"/>
        <v>SAPN</v>
      </c>
      <c r="C181" s="3" t="str">
        <f t="shared" si="82"/>
        <v>Residential</v>
      </c>
      <c r="D181" s="3" t="str">
        <f t="shared" si="83"/>
        <v>without CL</v>
      </c>
      <c r="E181" s="3" t="s">
        <v>23</v>
      </c>
      <c r="F181" s="41">
        <f t="array" ref="F181">IFERROR(INDEX(Usage!$B$5:$P$18,MATCH($B181,Usage!$B$5:$B$18,0),MATCH($C181&amp;$D181&amp;$E181&amp;"Total",Usage!$B$5:$S$5&amp;Usage!$B$6:$S$6&amp;Usage!$B$7:$S$7&amp;Usage!$B$13:$S$13,0)),0)</f>
        <v>4000</v>
      </c>
      <c r="G181" s="3" t="s">
        <v>161</v>
      </c>
      <c r="I181" s="89">
        <f t="array" ref="I181">IFERROR(INDEX('Detail inputs'!$B$3:$K$168,MATCH($B181&amp;$G181&amp;I$5,'Detail inputs'!$B$3:$B$168&amp;'Detail inputs'!$G$3:$G$168&amp;'Detail inputs'!$H$3:$H$168,0),MATCH(I$4,'Detail inputs'!$B$3:$K$3,0)),0)</f>
        <v>4.25</v>
      </c>
      <c r="J181" s="89">
        <f t="shared" si="86"/>
        <v>17</v>
      </c>
      <c r="K181" s="43">
        <f>IFERROR(J181/J183,"")</f>
        <v>2.7575914871528679E-2</v>
      </c>
      <c r="L181" s="43"/>
      <c r="M181" s="48">
        <f t="shared" si="84"/>
        <v>-0.15294117647058825</v>
      </c>
      <c r="N181" s="43"/>
      <c r="P181" s="89">
        <f t="array" ref="P181">IFERROR(INDEX('Detail inputs'!$B$3:$K$168,MATCH($B181&amp;$G181&amp;P$5,'Detail inputs'!$B$3:$B$168&amp;'Detail inputs'!$G$3:$G$168&amp;'Detail inputs'!$H$3:$H$168,0),MATCH(P$4,'Detail inputs'!$B$3:$K$3,0)),0)</f>
        <v>3.6</v>
      </c>
      <c r="Q181" s="89">
        <f t="shared" si="87"/>
        <v>14.4</v>
      </c>
      <c r="R181" s="43">
        <f>IFERROR(Q181/Q183,"")</f>
        <v>3.0133087804469744E-2</v>
      </c>
    </row>
    <row r="182" spans="2:22" outlineLevel="1" x14ac:dyDescent="0.35">
      <c r="B182" s="3" t="str">
        <f t="shared" si="85"/>
        <v>SAPN</v>
      </c>
      <c r="C182" s="3" t="str">
        <f t="shared" si="82"/>
        <v>Residential</v>
      </c>
      <c r="D182" s="3" t="str">
        <f t="shared" si="83"/>
        <v>without CL</v>
      </c>
      <c r="E182" s="3" t="s">
        <v>23</v>
      </c>
      <c r="F182" s="41">
        <f t="array" ref="F182">IFERROR(INDEX(Usage!$B$5:$P$18,MATCH($B182,Usage!$B$5:$B$18,0),MATCH($C182&amp;$D182&amp;$E182&amp;"Total",Usage!$B$5:$S$5&amp;Usage!$B$6:$S$6&amp;Usage!$B$7:$S$7&amp;Usage!$B$13:$S$13,0)),0)</f>
        <v>4000</v>
      </c>
      <c r="G182" s="3" t="s">
        <v>82</v>
      </c>
      <c r="I182" s="89">
        <f t="array" ref="I182">ROUND(IFERROR(INDEX('Detail inputs'!$B$3:$K$168,MATCH($B182&amp;$C182&amp;$E182&amp;$G182&amp;I$5,'Detail inputs'!$B$3:$B$168&amp;'Detail inputs'!$D$3:$D$168&amp;'Detail inputs'!$F$3:$F$168&amp;'Detail inputs'!$G$3:$G$168&amp;'Detail inputs'!$H$3:$H$168,0),MATCH(I$4,'Detail inputs'!$B$3:$K$3,0)),0)*SUM(I177:I181),2)</f>
        <v>15.02</v>
      </c>
      <c r="J182" s="89">
        <f t="shared" si="86"/>
        <v>60.08</v>
      </c>
      <c r="K182" s="43">
        <f>IFERROR(J182/J183,"")</f>
        <v>9.7456527381261343E-2</v>
      </c>
      <c r="L182" s="43"/>
      <c r="M182" s="48">
        <f t="shared" si="84"/>
        <v>-0.16045272969374169</v>
      </c>
      <c r="N182" s="43"/>
      <c r="P182" s="89">
        <f t="array" ref="P182">ROUND(IFERROR(INDEX('Detail inputs'!$B$3:$K$168,MATCH($B182&amp;$C182&amp;$E182&amp;$G182&amp;P$5,'Detail inputs'!$B$3:$B$168&amp;'Detail inputs'!$D$3:$D$168&amp;'Detail inputs'!$F$3:$F$168&amp;'Detail inputs'!$G$3:$G$168&amp;'Detail inputs'!$H$3:$H$168,0),MATCH(P$4,'Detail inputs'!$B$3:$K$3,0)),0)*SUM(P177:P181),2)</f>
        <v>12.61</v>
      </c>
      <c r="Q182" s="89">
        <f t="shared" si="87"/>
        <v>50.44</v>
      </c>
      <c r="R182" s="43">
        <f>IFERROR(Q182/Q183,"")</f>
        <v>0.10554951033732317</v>
      </c>
    </row>
    <row r="183" spans="2:22" s="77" customFormat="1" x14ac:dyDescent="0.35">
      <c r="B183" s="3" t="str">
        <f t="shared" si="85"/>
        <v>SAPN</v>
      </c>
      <c r="C183" s="3" t="str">
        <f t="shared" si="82"/>
        <v>Residential</v>
      </c>
      <c r="D183" s="3" t="str">
        <f t="shared" si="83"/>
        <v>without CL</v>
      </c>
      <c r="E183" s="3" t="s">
        <v>23</v>
      </c>
      <c r="F183" s="41">
        <f t="array" ref="F183">IFERROR(INDEX(Usage!$B$5:$P$18,MATCH($B183,Usage!$B$5:$B$18,0),MATCH($C183&amp;$D183&amp;$E183&amp;"Total",Usage!$B$5:$S$5&amp;Usage!$B$6:$S$6&amp;Usage!$B$7:$S$7&amp;Usage!$B$13:$S$13,0)),0)</f>
        <v>4000</v>
      </c>
      <c r="G183" s="77" t="s">
        <v>62</v>
      </c>
      <c r="H183" s="95"/>
      <c r="I183" s="95">
        <f t="array" ref="I183">INDEX('Key inputs'!$B$16:$N$40,MATCH($B183&amp;$C183&amp;$E183,'Key inputs'!$B$16:$B$40&amp;'Key inputs'!$C$16:$C$40&amp;'Key inputs'!$D$16:$D$40,0),MATCH($A$2&amp;I$4,'Key inputs'!$B$17:$N$17&amp;'Key inputs'!$B$18:$N$18,0))</f>
        <v>154.12</v>
      </c>
      <c r="J183" s="89">
        <f t="shared" si="86"/>
        <v>616.48</v>
      </c>
      <c r="K183" s="87"/>
      <c r="L183" s="88"/>
      <c r="M183" s="79">
        <f t="shared" si="84"/>
        <v>-0.22482481183493386</v>
      </c>
      <c r="N183" s="88"/>
      <c r="O183" s="95"/>
      <c r="P183" s="95">
        <f t="array" ref="P183">INDEX('Key inputs'!$B$16:$N$40,MATCH($B183&amp;$C183&amp;$E183,'Key inputs'!$B$16:$B$40&amp;'Key inputs'!$C$16:$C$40&amp;'Key inputs'!$D$16:$D$40,0),MATCH($A$2&amp;P$4,'Key inputs'!$B$17:$N$17&amp;'Key inputs'!$B$18:$N$18,0))</f>
        <v>119.47</v>
      </c>
      <c r="Q183" s="89">
        <f t="shared" si="87"/>
        <v>477.88</v>
      </c>
      <c r="R183" s="87"/>
      <c r="S183" s="129" t="b">
        <f>ROUND(I183,$T$5)=ROUND(SUM(I177:I182),$T$5)</f>
        <v>1</v>
      </c>
      <c r="T183" s="129" t="b">
        <f>ROUND(P183,$T$5)=ROUND(SUM(P177:P182),$T$5)</f>
        <v>1</v>
      </c>
      <c r="U183" s="128"/>
      <c r="V183" s="128"/>
    </row>
    <row r="184" spans="2:22" outlineLevel="1" x14ac:dyDescent="0.35">
      <c r="B184" s="3" t="str">
        <f t="shared" si="85"/>
        <v>SAPN</v>
      </c>
      <c r="C184" s="3" t="str">
        <f t="shared" si="82"/>
        <v>Residential</v>
      </c>
      <c r="D184" s="3" t="str">
        <f t="shared" si="83"/>
        <v>without CL</v>
      </c>
      <c r="F184" s="41"/>
      <c r="G184" s="77" t="s">
        <v>42</v>
      </c>
      <c r="H184" s="95"/>
      <c r="I184" s="95"/>
      <c r="J184" s="95">
        <f>J183*GST</f>
        <v>61.648000000000003</v>
      </c>
      <c r="K184" s="87"/>
      <c r="L184" s="88"/>
      <c r="M184" s="79"/>
      <c r="N184" s="88"/>
      <c r="O184" s="95"/>
      <c r="P184" s="95"/>
      <c r="Q184" s="95">
        <f>Q183*GST</f>
        <v>47.788000000000004</v>
      </c>
      <c r="R184" s="75"/>
    </row>
    <row r="185" spans="2:22" x14ac:dyDescent="0.35">
      <c r="B185" s="3" t="str">
        <f t="shared" si="85"/>
        <v>SAPN</v>
      </c>
      <c r="C185" s="3" t="str">
        <f t="shared" si="82"/>
        <v>Residential</v>
      </c>
      <c r="D185" s="3" t="str">
        <f t="shared" si="83"/>
        <v>without CL</v>
      </c>
      <c r="F185" s="41"/>
      <c r="G185" s="5" t="s">
        <v>90</v>
      </c>
      <c r="H185" s="94"/>
      <c r="I185" s="94"/>
      <c r="J185" s="94">
        <f>SUM(J183:J184)</f>
        <v>678.12800000000004</v>
      </c>
      <c r="K185" s="75"/>
      <c r="L185" s="27"/>
      <c r="M185" s="76">
        <f>IF(OR(J185=0,Q185=""),"",Q185/J185-1)</f>
        <v>-0.22482481183493386</v>
      </c>
      <c r="N185" s="27"/>
      <c r="O185" s="94"/>
      <c r="P185" s="94"/>
      <c r="Q185" s="94">
        <f>SUM(Q183:Q184)</f>
        <v>525.66800000000001</v>
      </c>
      <c r="R185" s="75"/>
    </row>
    <row r="186" spans="2:22" x14ac:dyDescent="0.35">
      <c r="F186" s="41"/>
      <c r="K186" s="43"/>
      <c r="M186" s="48"/>
      <c r="R186" s="43"/>
    </row>
    <row r="187" spans="2:22" x14ac:dyDescent="0.35">
      <c r="B187" s="5" t="s">
        <v>5</v>
      </c>
      <c r="C187" s="5" t="s">
        <v>6</v>
      </c>
      <c r="D187" s="5" t="s">
        <v>151</v>
      </c>
      <c r="F187" s="41"/>
      <c r="K187" s="43"/>
      <c r="M187" s="48"/>
      <c r="R187" s="43"/>
    </row>
    <row r="188" spans="2:22" outlineLevel="1" x14ac:dyDescent="0.35">
      <c r="B188" s="3" t="str">
        <f>B187</f>
        <v>SAPN</v>
      </c>
      <c r="C188" s="3" t="str">
        <f t="shared" ref="C188:C198" si="88">C187</f>
        <v>Residential</v>
      </c>
      <c r="D188" s="3" t="str">
        <f t="shared" ref="D188:D198" si="89">D187</f>
        <v>with CL</v>
      </c>
      <c r="E188" s="3" t="s">
        <v>23</v>
      </c>
      <c r="F188" s="41">
        <f t="array" ref="F188">IFERROR(INDEX(Usage!$B$5:$P$18,MATCH($B188,Usage!$B$5:$B$18,0),MATCH($C188&amp;$D188&amp;$E188&amp;"Total",Usage!$B$5:$S$5&amp;Usage!$B$6:$S$6&amp;Usage!$B$7:$S$7&amp;Usage!$B$13:$S$13,0)),0)</f>
        <v>4200</v>
      </c>
      <c r="G188" s="3" t="s">
        <v>62</v>
      </c>
      <c r="I188" s="95">
        <f t="array" ref="I188">INDEX('Key inputs'!$B$16:$N$40,MATCH($B188&amp;$C188&amp;$E188,'Key inputs'!$B$16:$B$40&amp;'Key inputs'!$C$16:$C$40&amp;'Key inputs'!$D$16:$D$40,0),MATCH($A$2&amp;I$4,'Key inputs'!$B$17:$N$17&amp;'Key inputs'!$B$18:$N$18,0))</f>
        <v>154.12</v>
      </c>
      <c r="J188" s="89">
        <f>IF(AND(H188="",I188=""),"",H188+I188*$F188/1000)</f>
        <v>647.30399999999997</v>
      </c>
      <c r="K188" s="43"/>
      <c r="M188" s="48">
        <f>IF(OR(J188=0,Q188=""),"",Q188/J188-1)</f>
        <v>-0.22482481183493375</v>
      </c>
      <c r="P188" s="95">
        <f t="array" ref="P188">INDEX('Key inputs'!$B$16:$N$40,MATCH($B188&amp;$C188&amp;$E188,'Key inputs'!$B$16:$B$40&amp;'Key inputs'!$C$16:$C$40&amp;'Key inputs'!$D$16:$D$40,0),MATCH($A$2&amp;P$4,'Key inputs'!$B$17:$N$17&amp;'Key inputs'!$B$18:$N$18,0))</f>
        <v>119.47</v>
      </c>
      <c r="Q188" s="89">
        <f>IF(AND(O188="",P188=""),"",O188+P188*$F188/1000)</f>
        <v>501.774</v>
      </c>
      <c r="R188" s="43"/>
    </row>
    <row r="189" spans="2:22" outlineLevel="1" x14ac:dyDescent="0.35">
      <c r="B189" s="3" t="str">
        <f t="shared" ref="B189:B198" si="90">B188</f>
        <v>SAPN</v>
      </c>
      <c r="C189" s="3" t="str">
        <f t="shared" si="88"/>
        <v>Residential</v>
      </c>
      <c r="D189" s="3" t="str">
        <f t="shared" si="89"/>
        <v>with CL</v>
      </c>
      <c r="E189" s="3" t="s">
        <v>16</v>
      </c>
      <c r="F189" s="41">
        <f t="array" ref="F189">IFERROR(INDEX(Usage!$B$5:$P$18,MATCH($B189,Usage!$B$5:$B$18,0),MATCH($C189&amp;$D189&amp;$E189,Usage!$B$5:$S$5&amp;Usage!$B$6:$S$6&amp;Usage!$B$7:$S$7,0)),0)</f>
        <v>1800</v>
      </c>
      <c r="G189" s="3" t="s">
        <v>79</v>
      </c>
      <c r="I189" s="89">
        <f t="array" ref="I189">IFERROR(INDEX('Detail inputs'!$B$3:$K$168,MATCH($B189&amp;$C189&amp;$E189&amp;$G189&amp;I$5,'Detail inputs'!$B$3:$B$168&amp;'Detail inputs'!$D$3:$D$168&amp;'Detail inputs'!$F$3:$F$168&amp;'Detail inputs'!$G$3:$G$168&amp;'Detail inputs'!$H$3:$H$168,0),MATCH(I$4,'Detail inputs'!$B$3:$K$3,0)),0)</f>
        <v>77.58</v>
      </c>
      <c r="J189" s="89">
        <f>IF(AND(H189="",I189=""),"",H189+I189*$F189/1000)</f>
        <v>139.64400000000001</v>
      </c>
      <c r="K189" s="43">
        <f>IFERROR(J189/J195,"")</f>
        <v>0.83285024154589382</v>
      </c>
      <c r="L189" s="43"/>
      <c r="M189" s="48">
        <f t="shared" ref="M189:M196" si="91">IF(OR(J189=0,Q189=""),"",Q189/J189-1)</f>
        <v>-0.22634699664862079</v>
      </c>
      <c r="N189" s="43"/>
      <c r="P189" s="89">
        <f t="array" ref="P189">IFERROR(INDEX('Detail inputs'!$B$3:$K$168,MATCH($B189&amp;$C189&amp;$E189&amp;$G189&amp;P$5,'Detail inputs'!$B$3:$B$168&amp;'Detail inputs'!$D$3:$D$168&amp;'Detail inputs'!$F$3:$F$168&amp;'Detail inputs'!$G$3:$G$168&amp;'Detail inputs'!$H$3:$H$168,0),MATCH(P$4,'Detail inputs'!$B$3:$K$3,0)),0)</f>
        <v>60.02</v>
      </c>
      <c r="Q189" s="89">
        <f>IF(AND(O189="",P189=""),"",O189+P189*$F189/1000)</f>
        <v>108.036</v>
      </c>
      <c r="R189" s="43">
        <f>IFERROR(Q189/Q195,"")</f>
        <v>0.82422411425432573</v>
      </c>
    </row>
    <row r="190" spans="2:22" outlineLevel="1" x14ac:dyDescent="0.35">
      <c r="B190" s="3" t="str">
        <f t="shared" si="90"/>
        <v>SAPN</v>
      </c>
      <c r="C190" s="3" t="str">
        <f t="shared" si="88"/>
        <v>Residential</v>
      </c>
      <c r="D190" s="3" t="str">
        <f t="shared" si="89"/>
        <v>with CL</v>
      </c>
      <c r="E190" s="3" t="s">
        <v>16</v>
      </c>
      <c r="F190" s="41">
        <f t="array" ref="F190">IFERROR(INDEX(Usage!$B$5:$P$18,MATCH($B190,Usage!$B$5:$B$18,0),MATCH($C190&amp;$D190&amp;$E190,Usage!$B$5:$S$5&amp;Usage!$B$6:$S$6&amp;Usage!$B$7:$S$7,0)),0)</f>
        <v>1800</v>
      </c>
      <c r="G190" s="3" t="s">
        <v>80</v>
      </c>
      <c r="I190" s="89">
        <f t="array" ref="I190">IFERROR(INDEX('Detail inputs'!$B$3:$K$168,MATCH($B190&amp;$G190&amp;I$5,'Detail inputs'!$B$3:$B$168&amp;'Detail inputs'!$G$3:$G$168&amp;'Detail inputs'!$H$3:$H$168,0),MATCH(I$4,'Detail inputs'!$B$3:$K$3,0)),0)</f>
        <v>1.53</v>
      </c>
      <c r="J190" s="89">
        <f t="shared" ref="J190:J195" si="92">IF(AND(H190="",I190=""),"",H190+I190*$F190/1000)</f>
        <v>2.754</v>
      </c>
      <c r="K190" s="43">
        <f>IFERROR(J190/J195,"")</f>
        <v>1.6425120772946861E-2</v>
      </c>
      <c r="L190" s="43"/>
      <c r="M190" s="48">
        <f t="shared" si="91"/>
        <v>-0.33333333333333326</v>
      </c>
      <c r="N190" s="43"/>
      <c r="P190" s="89">
        <f t="array" ref="P190">IFERROR(INDEX('Detail inputs'!$B$3:$K$168,MATCH($B190&amp;$G190&amp;P$5,'Detail inputs'!$B$3:$B$168&amp;'Detail inputs'!$G$3:$G$168&amp;'Detail inputs'!$H$3:$H$168,0),MATCH(P$4,'Detail inputs'!$B$3:$K$3,0)),0)</f>
        <v>1.02</v>
      </c>
      <c r="Q190" s="89">
        <f t="shared" ref="Q190:Q195" si="93">IF(AND(O190="",P190=""),"",O190+P190*$F190/1000)</f>
        <v>1.8360000000000001</v>
      </c>
      <c r="R190" s="43">
        <f>IFERROR(Q190/Q195,"")</f>
        <v>1.4007140895358419E-2</v>
      </c>
    </row>
    <row r="191" spans="2:22" outlineLevel="1" x14ac:dyDescent="0.35">
      <c r="B191" s="3" t="str">
        <f t="shared" si="90"/>
        <v>SAPN</v>
      </c>
      <c r="C191" s="3" t="str">
        <f t="shared" si="88"/>
        <v>Residential</v>
      </c>
      <c r="D191" s="3" t="str">
        <f t="shared" si="89"/>
        <v>with CL</v>
      </c>
      <c r="E191" s="3" t="s">
        <v>16</v>
      </c>
      <c r="F191" s="41">
        <f t="array" ref="F191">IFERROR(INDEX(Usage!$B$5:$P$18,MATCH($B191,Usage!$B$5:$B$18,0),MATCH($C191&amp;$D191&amp;$E191,Usage!$B$5:$S$5&amp;Usage!$B$6:$S$6&amp;Usage!$B$7:$S$7,0)),0)</f>
        <v>1800</v>
      </c>
      <c r="G191" s="3" t="s">
        <v>88</v>
      </c>
      <c r="I191" s="89">
        <f t="array" ref="I191">IFERROR(INDEX('Detail inputs'!$B$3:$K$168,MATCH($B191&amp;$G191&amp;I$5,'Detail inputs'!$B$3:$B$168&amp;'Detail inputs'!$G$3:$G$168&amp;'Detail inputs'!$H$3:$H$168,0),MATCH(I$4,'Detail inputs'!$B$3:$K$3,0)),0)</f>
        <v>0.71</v>
      </c>
      <c r="J191" s="89">
        <f t="shared" si="92"/>
        <v>1.278</v>
      </c>
      <c r="K191" s="43">
        <f>IFERROR(J191/J195,"")</f>
        <v>7.6221148684916806E-3</v>
      </c>
      <c r="L191" s="43"/>
      <c r="M191" s="48">
        <f t="shared" si="91"/>
        <v>-0.3098591549295775</v>
      </c>
      <c r="N191" s="43"/>
      <c r="P191" s="89">
        <f t="array" ref="P191">IFERROR(INDEX('Detail inputs'!$B$3:$K$168,MATCH($B191&amp;$G191&amp;P$5,'Detail inputs'!$B$3:$B$168&amp;'Detail inputs'!$G$3:$G$168&amp;'Detail inputs'!$H$3:$H$168,0),MATCH(P$4,'Detail inputs'!$B$3:$K$3,0)),0)</f>
        <v>0.49</v>
      </c>
      <c r="Q191" s="89">
        <f t="shared" si="93"/>
        <v>0.88200000000000001</v>
      </c>
      <c r="R191" s="43">
        <f>IFERROR(Q191/Q195,"")</f>
        <v>6.7289206262015934E-3</v>
      </c>
    </row>
    <row r="192" spans="2:22" outlineLevel="1" x14ac:dyDescent="0.35">
      <c r="B192" s="3" t="str">
        <f t="shared" si="90"/>
        <v>SAPN</v>
      </c>
      <c r="C192" s="3" t="str">
        <f t="shared" si="88"/>
        <v>Residential</v>
      </c>
      <c r="D192" s="3" t="str">
        <f t="shared" si="89"/>
        <v>with CL</v>
      </c>
      <c r="E192" s="3" t="s">
        <v>16</v>
      </c>
      <c r="F192" s="41">
        <f t="array" ref="F192">IFERROR(INDEX(Usage!$B$5:$P$18,MATCH($B192,Usage!$B$5:$B$18,0),MATCH($C192&amp;$D192&amp;$E192,Usage!$B$5:$S$5&amp;Usage!$B$6:$S$6&amp;Usage!$B$7:$S$7,0)),0)</f>
        <v>1800</v>
      </c>
      <c r="G192" s="3" t="s">
        <v>81</v>
      </c>
      <c r="I192" s="89">
        <f t="array" ref="I192">IFERROR(INDEX('Detail inputs'!$B$3:$K$168,MATCH($B192&amp;$G192&amp;I$5,'Detail inputs'!$B$3:$B$168&amp;'Detail inputs'!$G$3:$G$168&amp;'Detail inputs'!$H$3:$H$168,0),MATCH(I$4,'Detail inputs'!$B$3:$K$3,0)),0)</f>
        <v>0</v>
      </c>
      <c r="J192" s="89">
        <f t="shared" si="92"/>
        <v>0</v>
      </c>
      <c r="K192" s="43">
        <f>IFERROR(J192/J195,"")</f>
        <v>0</v>
      </c>
      <c r="L192" s="43"/>
      <c r="M192" s="48" t="str">
        <f t="shared" si="91"/>
        <v/>
      </c>
      <c r="N192" s="43"/>
      <c r="P192" s="89">
        <f t="array" ref="P192">IFERROR(INDEX('Detail inputs'!$B$3:$K$168,MATCH($B192&amp;$G192&amp;P$5,'Detail inputs'!$B$3:$B$168&amp;'Detail inputs'!$G$3:$G$168&amp;'Detail inputs'!$H$3:$H$168,0),MATCH(P$4,'Detail inputs'!$B$3:$K$3,0)),0)</f>
        <v>0</v>
      </c>
      <c r="Q192" s="89">
        <f t="shared" si="93"/>
        <v>0</v>
      </c>
      <c r="R192" s="43">
        <f>IFERROR(Q192/Q195,"")</f>
        <v>0</v>
      </c>
    </row>
    <row r="193" spans="2:22" outlineLevel="1" x14ac:dyDescent="0.35">
      <c r="B193" s="3" t="str">
        <f t="shared" si="90"/>
        <v>SAPN</v>
      </c>
      <c r="C193" s="3" t="str">
        <f t="shared" si="88"/>
        <v>Residential</v>
      </c>
      <c r="D193" s="3" t="str">
        <f t="shared" si="89"/>
        <v>with CL</v>
      </c>
      <c r="E193" s="3" t="s">
        <v>16</v>
      </c>
      <c r="F193" s="41">
        <f t="array" ref="F193">IFERROR(INDEX(Usage!$B$5:$P$18,MATCH($B193,Usage!$B$5:$B$18,0),MATCH($C193&amp;$D193&amp;$E193,Usage!$B$5:$S$5&amp;Usage!$B$6:$S$6&amp;Usage!$B$7:$S$7,0)),0)</f>
        <v>1800</v>
      </c>
      <c r="G193" s="3" t="s">
        <v>161</v>
      </c>
      <c r="I193" s="89">
        <f t="array" ref="I193">IFERROR(INDEX('Detail inputs'!$B$3:$K$168,MATCH($B193&amp;$G193&amp;I$5,'Detail inputs'!$B$3:$B$168&amp;'Detail inputs'!$G$3:$G$168&amp;'Detail inputs'!$H$3:$H$168,0),MATCH(I$4,'Detail inputs'!$B$3:$K$3,0)),0)</f>
        <v>4.25</v>
      </c>
      <c r="J193" s="89">
        <f t="shared" si="92"/>
        <v>7.65</v>
      </c>
      <c r="K193" s="43">
        <f>IFERROR(J193/J195,"")</f>
        <v>4.5625335480407953E-2</v>
      </c>
      <c r="L193" s="43"/>
      <c r="M193" s="48">
        <f t="shared" si="91"/>
        <v>-0.15294117647058825</v>
      </c>
      <c r="N193" s="43"/>
      <c r="P193" s="89">
        <f t="array" ref="P193">IFERROR(INDEX('Detail inputs'!$B$3:$K$168,MATCH($B193&amp;$G193&amp;P$5,'Detail inputs'!$B$3:$B$168&amp;'Detail inputs'!$G$3:$G$168&amp;'Detail inputs'!$H$3:$H$168,0),MATCH(P$4,'Detail inputs'!$B$3:$K$3,0)),0)</f>
        <v>3.6</v>
      </c>
      <c r="Q193" s="89">
        <f t="shared" si="93"/>
        <v>6.48</v>
      </c>
      <c r="R193" s="43">
        <f>IFERROR(Q193/Q195,"")</f>
        <v>4.9436967865970891E-2</v>
      </c>
    </row>
    <row r="194" spans="2:22" outlineLevel="1" x14ac:dyDescent="0.35">
      <c r="B194" s="3" t="str">
        <f t="shared" si="90"/>
        <v>SAPN</v>
      </c>
      <c r="C194" s="3" t="str">
        <f t="shared" si="88"/>
        <v>Residential</v>
      </c>
      <c r="D194" s="3" t="str">
        <f t="shared" si="89"/>
        <v>with CL</v>
      </c>
      <c r="E194" s="3" t="s">
        <v>16</v>
      </c>
      <c r="F194" s="41">
        <f t="array" ref="F194">IFERROR(INDEX(Usage!$B$5:$P$18,MATCH($B194,Usage!$B$5:$B$18,0),MATCH($C194&amp;$D194&amp;$E194,Usage!$B$5:$S$5&amp;Usage!$B$6:$S$6&amp;Usage!$B$7:$S$7,0)),0)</f>
        <v>1800</v>
      </c>
      <c r="G194" s="3" t="s">
        <v>82</v>
      </c>
      <c r="I194" s="89">
        <f t="array" ref="I194">ROUND(IFERROR(INDEX('Detail inputs'!$B$3:$K$168,MATCH($B194&amp;$C194&amp;$E194&amp;$G194&amp;I$5,'Detail inputs'!$B$3:$B$168&amp;'Detail inputs'!$D$3:$D$168&amp;'Detail inputs'!$F$3:$F$168&amp;'Detail inputs'!$G$3:$G$168&amp;'Detail inputs'!$H$3:$H$168,0),MATCH(I$4,'Detail inputs'!$B$3:$K$3,0)),0)*SUM(I189:I193),2)</f>
        <v>9.08</v>
      </c>
      <c r="J194" s="89">
        <f t="shared" si="92"/>
        <v>16.344000000000001</v>
      </c>
      <c r="K194" s="43">
        <f>IFERROR(J194/J195,"")</f>
        <v>9.747718733225981E-2</v>
      </c>
      <c r="L194" s="43"/>
      <c r="M194" s="48">
        <f t="shared" si="91"/>
        <v>-0.15308370044052866</v>
      </c>
      <c r="N194" s="43"/>
      <c r="P194" s="89">
        <f t="array" ref="P194">ROUND(IFERROR(INDEX('Detail inputs'!$B$3:$K$168,MATCH($B194&amp;$C194&amp;$E194&amp;$G194&amp;P$5,'Detail inputs'!$B$3:$B$168&amp;'Detail inputs'!$D$3:$D$168&amp;'Detail inputs'!$F$3:$F$168&amp;'Detail inputs'!$G$3:$G$168&amp;'Detail inputs'!$H$3:$H$168,0),MATCH(P$4,'Detail inputs'!$B$3:$K$3,0)),0)*SUM(P189:P193),2)</f>
        <v>7.69</v>
      </c>
      <c r="Q194" s="89">
        <f t="shared" si="93"/>
        <v>13.842000000000001</v>
      </c>
      <c r="R194" s="43">
        <f>IFERROR(Q194/Q195,"")</f>
        <v>0.10560285635814337</v>
      </c>
    </row>
    <row r="195" spans="2:22" outlineLevel="1" x14ac:dyDescent="0.35">
      <c r="B195" s="3" t="str">
        <f t="shared" si="90"/>
        <v>SAPN</v>
      </c>
      <c r="C195" s="3" t="str">
        <f t="shared" si="88"/>
        <v>Residential</v>
      </c>
      <c r="D195" s="3" t="str">
        <f t="shared" si="89"/>
        <v>with CL</v>
      </c>
      <c r="E195" s="3" t="s">
        <v>16</v>
      </c>
      <c r="F195" s="41">
        <f t="array" ref="F195">IFERROR(INDEX(Usage!$B$5:$P$18,MATCH($B195,Usage!$B$5:$B$18,0),MATCH($C195&amp;$D195&amp;$E195,Usage!$B$5:$S$5&amp;Usage!$B$6:$S$6&amp;Usage!$B$7:$S$7,0)),0)</f>
        <v>1800</v>
      </c>
      <c r="G195" s="3" t="s">
        <v>62</v>
      </c>
      <c r="H195" s="95"/>
      <c r="I195" s="95">
        <f t="array" ref="I195">INDEX('Key inputs'!$B$16:$N$40,MATCH($B195&amp;$C195&amp;$E195,'Key inputs'!$B$16:$B$40&amp;'Key inputs'!$C$16:$C$40&amp;'Key inputs'!$D$16:$D$40,0),MATCH($A$2&amp;I$4,'Key inputs'!$B$17:$N$17&amp;'Key inputs'!$B$18:$N$18,0))</f>
        <v>93.15</v>
      </c>
      <c r="J195" s="89">
        <f t="shared" si="92"/>
        <v>167.67</v>
      </c>
      <c r="K195" s="87"/>
      <c r="L195" s="88"/>
      <c r="M195" s="79">
        <f t="shared" si="91"/>
        <v>-0.2182501341921631</v>
      </c>
      <c r="N195" s="88"/>
      <c r="O195" s="95"/>
      <c r="P195" s="95">
        <f t="array" ref="P195">INDEX('Key inputs'!$B$16:$N$40,MATCH($B195&amp;$C195&amp;$E195,'Key inputs'!$B$16:$B$40&amp;'Key inputs'!$C$16:$C$40&amp;'Key inputs'!$D$16:$D$40,0),MATCH($A$2&amp;P$4,'Key inputs'!$B$17:$N$17&amp;'Key inputs'!$B$18:$N$18,0))</f>
        <v>72.819999999999993</v>
      </c>
      <c r="Q195" s="89">
        <f t="shared" si="93"/>
        <v>131.07599999999999</v>
      </c>
      <c r="R195" s="87"/>
      <c r="S195" s="129" t="b">
        <f>ROUND(I195,$T$5)=ROUND(SUM(I189:I194),$T$5)</f>
        <v>1</v>
      </c>
      <c r="T195" s="129" t="b">
        <f>ROUND(P195,$T$5)=ROUND(SUM(P189:P194),$T$5)</f>
        <v>1</v>
      </c>
      <c r="U195" s="128"/>
      <c r="V195" s="128"/>
    </row>
    <row r="196" spans="2:22" s="77" customFormat="1" x14ac:dyDescent="0.35">
      <c r="B196" s="3" t="str">
        <f t="shared" si="90"/>
        <v>SAPN</v>
      </c>
      <c r="C196" s="3" t="str">
        <f t="shared" si="88"/>
        <v>Residential</v>
      </c>
      <c r="D196" s="3" t="str">
        <f t="shared" si="89"/>
        <v>with CL</v>
      </c>
      <c r="E196" s="77" t="s">
        <v>62</v>
      </c>
      <c r="F196" s="41">
        <f t="array" ref="F196">IFERROR(INDEX(Usage!$B$5:$P$18,MATCH($B196,Usage!$B$5:$B$18,0),MATCH($C196&amp;$D196&amp;$E196,Usage!$B$5:$S$5&amp;Usage!$B$6:$S$6&amp;Usage!$B$7:$S$7,0)),0)</f>
        <v>6000</v>
      </c>
      <c r="G196" s="77" t="s">
        <v>62</v>
      </c>
      <c r="H196" s="95"/>
      <c r="I196" s="95">
        <f>I188+I195</f>
        <v>247.27</v>
      </c>
      <c r="J196" s="95">
        <f>J188+J195</f>
        <v>814.97399999999993</v>
      </c>
      <c r="K196" s="87"/>
      <c r="L196" s="88"/>
      <c r="M196" s="79">
        <f t="shared" si="91"/>
        <v>-0.22347215984804414</v>
      </c>
      <c r="N196" s="88"/>
      <c r="O196" s="95"/>
      <c r="P196" s="95">
        <f>P188+P195</f>
        <v>192.29</v>
      </c>
      <c r="Q196" s="95">
        <f>Q188+Q195</f>
        <v>632.85</v>
      </c>
      <c r="R196" s="87"/>
      <c r="S196" s="129"/>
      <c r="T196" s="130"/>
      <c r="U196" s="3"/>
    </row>
    <row r="197" spans="2:22" outlineLevel="1" x14ac:dyDescent="0.35">
      <c r="B197" s="3" t="str">
        <f t="shared" si="90"/>
        <v>SAPN</v>
      </c>
      <c r="C197" s="3" t="str">
        <f t="shared" si="88"/>
        <v>Residential</v>
      </c>
      <c r="D197" s="3" t="str">
        <f t="shared" si="89"/>
        <v>with CL</v>
      </c>
      <c r="F197" s="41"/>
      <c r="G197" s="77" t="s">
        <v>42</v>
      </c>
      <c r="H197" s="95"/>
      <c r="I197" s="95"/>
      <c r="J197" s="95">
        <f>J196*GST</f>
        <v>81.497399999999999</v>
      </c>
      <c r="K197" s="87"/>
      <c r="L197" s="88"/>
      <c r="M197" s="79"/>
      <c r="N197" s="88"/>
      <c r="O197" s="95"/>
      <c r="P197" s="95"/>
      <c r="Q197" s="95">
        <f>Q196*GST</f>
        <v>63.285000000000004</v>
      </c>
      <c r="R197" s="87"/>
    </row>
    <row r="198" spans="2:22" x14ac:dyDescent="0.35">
      <c r="B198" s="3" t="str">
        <f t="shared" si="90"/>
        <v>SAPN</v>
      </c>
      <c r="C198" s="3" t="str">
        <f t="shared" si="88"/>
        <v>Residential</v>
      </c>
      <c r="D198" s="3" t="str">
        <f t="shared" si="89"/>
        <v>with CL</v>
      </c>
      <c r="F198" s="41"/>
      <c r="G198" s="5" t="s">
        <v>90</v>
      </c>
      <c r="H198" s="94"/>
      <c r="I198" s="94"/>
      <c r="J198" s="94">
        <f>SUM(J196:J197)</f>
        <v>896.4713999999999</v>
      </c>
      <c r="K198" s="75"/>
      <c r="L198" s="27"/>
      <c r="M198" s="76">
        <f>IF(OR(J198=0,Q198=""),"",Q198/J198-1)</f>
        <v>-0.22347215984804414</v>
      </c>
      <c r="N198" s="27"/>
      <c r="O198" s="94"/>
      <c r="P198" s="94"/>
      <c r="Q198" s="94">
        <f>SUM(Q196:Q197)</f>
        <v>696.13499999999999</v>
      </c>
      <c r="R198" s="87"/>
    </row>
    <row r="199" spans="2:22" x14ac:dyDescent="0.35">
      <c r="F199" s="41"/>
      <c r="K199" s="87"/>
      <c r="M199" s="48"/>
      <c r="R199" s="87"/>
    </row>
    <row r="200" spans="2:22" x14ac:dyDescent="0.35">
      <c r="B200" s="5" t="s">
        <v>5</v>
      </c>
      <c r="C200" s="5" t="s">
        <v>15</v>
      </c>
      <c r="D200" s="5" t="s">
        <v>150</v>
      </c>
      <c r="F200" s="41"/>
      <c r="K200" s="87"/>
      <c r="M200" s="48"/>
      <c r="R200" s="87"/>
    </row>
    <row r="201" spans="2:22" outlineLevel="1" x14ac:dyDescent="0.35">
      <c r="B201" s="3" t="str">
        <f>B200</f>
        <v>SAPN</v>
      </c>
      <c r="C201" s="3" t="str">
        <f t="shared" ref="C201:C209" si="94">C200</f>
        <v>Small business</v>
      </c>
      <c r="D201" s="3" t="str">
        <f t="shared" ref="D201:D209" si="95">D200</f>
        <v>without CL</v>
      </c>
      <c r="E201" s="3" t="s">
        <v>23</v>
      </c>
      <c r="F201" s="41">
        <f t="array" ref="F201">IFERROR(INDEX(Usage!$B$5:$P$18,MATCH($B201,Usage!$B$5:$B$18,0),MATCH($C201&amp;$D201&amp;$E201,Usage!$B$5:$S$5&amp;Usage!$B$6:$S$6&amp;Usage!$B$7:$S$7,0)),0)</f>
        <v>20000</v>
      </c>
      <c r="G201" s="3" t="s">
        <v>79</v>
      </c>
      <c r="I201" s="89">
        <f t="array" ref="I201">IFERROR(INDEX('Detail inputs'!$B$3:$K$168,MATCH($B201&amp;$C201&amp;$E201&amp;$G201&amp;I$5,'Detail inputs'!$B$3:$B$168&amp;'Detail inputs'!$D$3:$D$168&amp;'Detail inputs'!$F$3:$F$168&amp;'Detail inputs'!$G$3:$G$168&amp;'Detail inputs'!$H$3:$H$168,0),MATCH(I$4,'Detail inputs'!$B$3:$K$3,0)),0)</f>
        <v>132.61000000000001</v>
      </c>
      <c r="J201" s="89">
        <f>IF(AND(H201="",I201=""),"",H201+I201*$F201/1000)</f>
        <v>2652.2000000000003</v>
      </c>
      <c r="K201" s="43">
        <f>IFERROR(J201/J207,"")</f>
        <v>0.86043342849727489</v>
      </c>
      <c r="L201" s="43"/>
      <c r="M201" s="48">
        <f t="shared" ref="M201:M207" si="96">IF(OR(J201=0,Q201=""),"",Q201/J201-1)</f>
        <v>-0.23271246512329391</v>
      </c>
      <c r="N201" s="43"/>
      <c r="P201" s="89">
        <f t="array" ref="P201">IFERROR(INDEX('Detail inputs'!$B$3:$K$168,MATCH($B201&amp;$C201&amp;$E201&amp;$G201&amp;P$5,'Detail inputs'!$B$3:$B$168&amp;'Detail inputs'!$D$3:$D$168&amp;'Detail inputs'!$F$3:$F$168&amp;'Detail inputs'!$G$3:$G$168&amp;'Detail inputs'!$H$3:$H$168,0),MATCH(P$4,'Detail inputs'!$B$3:$K$3,0)),0)</f>
        <v>101.75</v>
      </c>
      <c r="Q201" s="89">
        <f>IF(AND(O201="",P201=""),"",O201+P201*$F201/1000)</f>
        <v>2035</v>
      </c>
      <c r="R201" s="43">
        <f>IFERROR(Q201/Q207,"")</f>
        <v>0.85167824558466554</v>
      </c>
    </row>
    <row r="202" spans="2:22" outlineLevel="1" x14ac:dyDescent="0.35">
      <c r="B202" s="3" t="str">
        <f t="shared" ref="B202:B209" si="97">B201</f>
        <v>SAPN</v>
      </c>
      <c r="C202" s="3" t="str">
        <f t="shared" si="94"/>
        <v>Small business</v>
      </c>
      <c r="D202" s="3" t="str">
        <f t="shared" si="95"/>
        <v>without CL</v>
      </c>
      <c r="E202" s="3" t="s">
        <v>23</v>
      </c>
      <c r="F202" s="41">
        <f t="array" ref="F202">IFERROR(INDEX(Usage!$B$5:$P$18,MATCH($B202,Usage!$B$5:$B$18,0),MATCH($C202&amp;$D202&amp;$E202,Usage!$B$5:$S$5&amp;Usage!$B$6:$S$6&amp;Usage!$B$7:$S$7,0)),0)</f>
        <v>20000</v>
      </c>
      <c r="G202" s="3" t="s">
        <v>80</v>
      </c>
      <c r="I202" s="89">
        <f t="array" ref="I202">IFERROR(INDEX('Detail inputs'!$B$3:$K$168,MATCH($B202&amp;$G202&amp;I$5,'Detail inputs'!$B$3:$B$168&amp;'Detail inputs'!$G$3:$G$168&amp;'Detail inputs'!$H$3:$H$168,0),MATCH(I$4,'Detail inputs'!$B$3:$K$3,0)),0)</f>
        <v>1.53</v>
      </c>
      <c r="J202" s="89">
        <f t="shared" ref="J202:J207" si="98">IF(AND(H202="",I202=""),"",H202+I202*$F202/1000)</f>
        <v>30.6</v>
      </c>
      <c r="K202" s="43">
        <f>IFERROR(J202/J207,"")</f>
        <v>9.9273293537503245E-3</v>
      </c>
      <c r="L202" s="43"/>
      <c r="M202" s="48">
        <f t="shared" si="96"/>
        <v>-0.33333333333333337</v>
      </c>
      <c r="N202" s="43"/>
      <c r="P202" s="89">
        <f t="array" ref="P202">IFERROR(INDEX('Detail inputs'!$B$3:$K$168,MATCH($B202&amp;$G202&amp;P$5,'Detail inputs'!$B$3:$B$168&amp;'Detail inputs'!$G$3:$G$168&amp;'Detail inputs'!$H$3:$H$168,0),MATCH(P$4,'Detail inputs'!$B$3:$K$3,0)),0)</f>
        <v>1.02</v>
      </c>
      <c r="Q202" s="89">
        <f t="shared" ref="Q202:Q207" si="99">IF(AND(O202="",P202=""),"",O202+P202*$F202/1000)</f>
        <v>20.399999999999999</v>
      </c>
      <c r="R202" s="43">
        <f>IFERROR(Q202/Q207,"")</f>
        <v>8.537708211266426E-3</v>
      </c>
    </row>
    <row r="203" spans="2:22" outlineLevel="1" x14ac:dyDescent="0.35">
      <c r="B203" s="3" t="str">
        <f t="shared" si="97"/>
        <v>SAPN</v>
      </c>
      <c r="C203" s="3" t="str">
        <f t="shared" si="94"/>
        <v>Small business</v>
      </c>
      <c r="D203" s="3" t="str">
        <f t="shared" si="95"/>
        <v>without CL</v>
      </c>
      <c r="E203" s="3" t="s">
        <v>23</v>
      </c>
      <c r="F203" s="41">
        <f t="array" ref="F203">IFERROR(INDEX(Usage!$B$5:$P$18,MATCH($B203,Usage!$B$5:$B$18,0),MATCH($C203&amp;$D203&amp;$E203,Usage!$B$5:$S$5&amp;Usage!$B$6:$S$6&amp;Usage!$B$7:$S$7,0)),0)</f>
        <v>20000</v>
      </c>
      <c r="G203" s="3" t="s">
        <v>88</v>
      </c>
      <c r="I203" s="89">
        <f t="array" ref="I203">IFERROR(INDEX('Detail inputs'!$B$3:$K$168,MATCH($B203&amp;$G203&amp;I$5,'Detail inputs'!$B$3:$B$168&amp;'Detail inputs'!$G$3:$G$168&amp;'Detail inputs'!$H$3:$H$168,0),MATCH(I$4,'Detail inputs'!$B$3:$K$3,0)),0)</f>
        <v>0.71</v>
      </c>
      <c r="J203" s="89">
        <f>IF(AND(H203="",I203=""),"",H203+I203*$F203/1000)</f>
        <v>14.2</v>
      </c>
      <c r="K203" s="43">
        <f>IFERROR(J203/J207,"")</f>
        <v>4.6067998961847904E-3</v>
      </c>
      <c r="L203" s="43"/>
      <c r="M203" s="48">
        <f t="shared" si="96"/>
        <v>-0.30985915492957739</v>
      </c>
      <c r="N203" s="43"/>
      <c r="P203" s="89">
        <f t="array" ref="P203">IFERROR(INDEX('Detail inputs'!$B$3:$K$168,MATCH($B203&amp;$G203&amp;P$5,'Detail inputs'!$B$3:$B$168&amp;'Detail inputs'!$G$3:$G$168&amp;'Detail inputs'!$H$3:$H$168,0),MATCH(P$4,'Detail inputs'!$B$3:$K$3,0)),0)</f>
        <v>0.49</v>
      </c>
      <c r="Q203" s="89">
        <f>IF(AND(O203="",P203=""),"",O203+P203*$F203/1000)</f>
        <v>9.8000000000000007</v>
      </c>
      <c r="R203" s="43">
        <f>IFERROR(Q203/Q207,"")</f>
        <v>4.1014480622750486E-3</v>
      </c>
    </row>
    <row r="204" spans="2:22" outlineLevel="1" x14ac:dyDescent="0.35">
      <c r="B204" s="3" t="str">
        <f t="shared" si="97"/>
        <v>SAPN</v>
      </c>
      <c r="C204" s="3" t="str">
        <f t="shared" si="94"/>
        <v>Small business</v>
      </c>
      <c r="D204" s="3" t="str">
        <f t="shared" si="95"/>
        <v>without CL</v>
      </c>
      <c r="E204" s="3" t="s">
        <v>23</v>
      </c>
      <c r="F204" s="41">
        <f t="array" ref="F204">IFERROR(INDEX(Usage!$B$5:$P$18,MATCH($B204,Usage!$B$5:$B$18,0),MATCH($C204&amp;$D204&amp;$E204,Usage!$B$5:$S$5&amp;Usage!$B$6:$S$6&amp;Usage!$B$7:$S$7,0)),0)</f>
        <v>20000</v>
      </c>
      <c r="G204" s="3" t="s">
        <v>81</v>
      </c>
      <c r="I204" s="89">
        <f t="array" ref="I204">IFERROR(INDEX('Detail inputs'!$B$3:$K$168,MATCH($B204&amp;$G204&amp;I$5,'Detail inputs'!$B$3:$B$168&amp;'Detail inputs'!$G$3:$G$168&amp;'Detail inputs'!$H$3:$H$168,0),MATCH(I$4,'Detail inputs'!$B$3:$K$3,0)),0)</f>
        <v>0</v>
      </c>
      <c r="J204" s="89">
        <f t="shared" si="98"/>
        <v>0</v>
      </c>
      <c r="K204" s="43">
        <f>IFERROR(J204/J207,"")</f>
        <v>0</v>
      </c>
      <c r="L204" s="43"/>
      <c r="M204" s="48" t="str">
        <f t="shared" si="96"/>
        <v/>
      </c>
      <c r="N204" s="43"/>
      <c r="P204" s="89">
        <f t="array" ref="P204">IFERROR(INDEX('Detail inputs'!$B$3:$K$168,MATCH($B204&amp;$G204&amp;P$5,'Detail inputs'!$B$3:$B$168&amp;'Detail inputs'!$G$3:$G$168&amp;'Detail inputs'!$H$3:$H$168,0),MATCH(P$4,'Detail inputs'!$B$3:$K$3,0)),0)</f>
        <v>0</v>
      </c>
      <c r="Q204" s="89">
        <f t="shared" si="99"/>
        <v>0</v>
      </c>
      <c r="R204" s="43">
        <f>IFERROR(Q204/Q207,"")</f>
        <v>0</v>
      </c>
      <c r="U204" s="77"/>
    </row>
    <row r="205" spans="2:22" outlineLevel="1" x14ac:dyDescent="0.35">
      <c r="B205" s="3" t="str">
        <f t="shared" si="97"/>
        <v>SAPN</v>
      </c>
      <c r="C205" s="3" t="str">
        <f t="shared" si="94"/>
        <v>Small business</v>
      </c>
      <c r="D205" s="3" t="str">
        <f t="shared" si="95"/>
        <v>without CL</v>
      </c>
      <c r="E205" s="3" t="s">
        <v>23</v>
      </c>
      <c r="F205" s="41">
        <f t="array" ref="F205">IFERROR(INDEX(Usage!$B$5:$P$18,MATCH($B205,Usage!$B$5:$B$18,0),MATCH($C205&amp;$D205&amp;$E205,Usage!$B$5:$S$5&amp;Usage!$B$6:$S$6&amp;Usage!$B$7:$S$7,0)),0)</f>
        <v>20000</v>
      </c>
      <c r="G205" s="3" t="s">
        <v>161</v>
      </c>
      <c r="I205" s="89">
        <f t="array" ref="I205">IFERROR(INDEX('Detail inputs'!$B$3:$K$168,MATCH($B205&amp;$G205&amp;I$5,'Detail inputs'!$B$3:$B$168&amp;'Detail inputs'!$G$3:$G$168&amp;'Detail inputs'!$H$3:$H$168,0),MATCH(I$4,'Detail inputs'!$B$3:$K$3,0)),0)</f>
        <v>4.25</v>
      </c>
      <c r="J205" s="89">
        <f t="shared" si="98"/>
        <v>85</v>
      </c>
      <c r="K205" s="43">
        <f>IFERROR(J205/J207,"")</f>
        <v>2.7575914871528679E-2</v>
      </c>
      <c r="L205" s="43"/>
      <c r="M205" s="48">
        <f t="shared" si="96"/>
        <v>-0.15294117647058825</v>
      </c>
      <c r="N205" s="43"/>
      <c r="P205" s="89">
        <f t="array" ref="P205">IFERROR(INDEX('Detail inputs'!$B$3:$K$168,MATCH($B205&amp;$G205&amp;P$5,'Detail inputs'!$B$3:$B$168&amp;'Detail inputs'!$G$3:$G$168&amp;'Detail inputs'!$H$3:$H$168,0),MATCH(P$4,'Detail inputs'!$B$3:$K$3,0)),0)</f>
        <v>3.6</v>
      </c>
      <c r="Q205" s="89">
        <f t="shared" si="99"/>
        <v>72</v>
      </c>
      <c r="R205" s="43">
        <f>IFERROR(Q205/Q207,"")</f>
        <v>3.013308780446974E-2</v>
      </c>
    </row>
    <row r="206" spans="2:22" outlineLevel="1" x14ac:dyDescent="0.35">
      <c r="B206" s="3" t="str">
        <f t="shared" si="97"/>
        <v>SAPN</v>
      </c>
      <c r="C206" s="3" t="str">
        <f t="shared" si="94"/>
        <v>Small business</v>
      </c>
      <c r="D206" s="3" t="str">
        <f t="shared" si="95"/>
        <v>without CL</v>
      </c>
      <c r="E206" s="3" t="s">
        <v>23</v>
      </c>
      <c r="F206" s="41">
        <f t="array" ref="F206">IFERROR(INDEX(Usage!$B$5:$P$18,MATCH($B206,Usage!$B$5:$B$18,0),MATCH($C206&amp;$D206&amp;$E206,Usage!$B$5:$S$5&amp;Usage!$B$6:$S$6&amp;Usage!$B$7:$S$7,0)),0)</f>
        <v>20000</v>
      </c>
      <c r="G206" s="3" t="s">
        <v>82</v>
      </c>
      <c r="I206" s="89">
        <f t="array" ref="I206">ROUND(IFERROR(INDEX('Detail inputs'!$B$3:$K$168,MATCH($B206&amp;$C206&amp;$E206&amp;$G206&amp;I$5,'Detail inputs'!$B$3:$B$168&amp;'Detail inputs'!$D$3:$D$168&amp;'Detail inputs'!$F$3:$F$168&amp;'Detail inputs'!$G$3:$G$168&amp;'Detail inputs'!$H$3:$H$168,0),MATCH(I$4,'Detail inputs'!$B$3:$K$3,0)),0)*SUM(I201:I205),2)</f>
        <v>15.02</v>
      </c>
      <c r="J206" s="89">
        <f t="shared" si="98"/>
        <v>300.39999999999998</v>
      </c>
      <c r="K206" s="43">
        <f>IFERROR(J206/J207,"")</f>
        <v>9.7456527381261343E-2</v>
      </c>
      <c r="L206" s="43"/>
      <c r="M206" s="48">
        <f t="shared" si="96"/>
        <v>-0.16045272969374169</v>
      </c>
      <c r="N206" s="43"/>
      <c r="P206" s="89">
        <f t="array" ref="P206">ROUND(IFERROR(INDEX('Detail inputs'!$B$3:$K$168,MATCH($B206&amp;$C206&amp;$E206&amp;$G206&amp;P$5,'Detail inputs'!$B$3:$B$168&amp;'Detail inputs'!$D$3:$D$168&amp;'Detail inputs'!$F$3:$F$168&amp;'Detail inputs'!$G$3:$G$168&amp;'Detail inputs'!$H$3:$H$168,0),MATCH(P$4,'Detail inputs'!$B$3:$K$3,0)),0)*SUM(P201:P205),2)</f>
        <v>12.61</v>
      </c>
      <c r="Q206" s="89">
        <f t="shared" si="99"/>
        <v>252.2</v>
      </c>
      <c r="R206" s="43">
        <f>IFERROR(Q206/Q207,"")</f>
        <v>0.10554951033732317</v>
      </c>
    </row>
    <row r="207" spans="2:22" s="77" customFormat="1" x14ac:dyDescent="0.35">
      <c r="B207" s="3" t="str">
        <f t="shared" si="97"/>
        <v>SAPN</v>
      </c>
      <c r="C207" s="3" t="str">
        <f t="shared" si="94"/>
        <v>Small business</v>
      </c>
      <c r="D207" s="3" t="str">
        <f t="shared" si="95"/>
        <v>without CL</v>
      </c>
      <c r="E207" s="3" t="s">
        <v>23</v>
      </c>
      <c r="F207" s="41">
        <f t="array" ref="F207">IFERROR(INDEX(Usage!$B$5:$P$18,MATCH($B207,Usage!$B$5:$B$18,0),MATCH($C207&amp;$D207&amp;$E207,Usage!$B$5:$S$5&amp;Usage!$B$6:$S$6&amp;Usage!$B$7:$S$7,0)),0)</f>
        <v>20000</v>
      </c>
      <c r="G207" s="77" t="s">
        <v>62</v>
      </c>
      <c r="H207" s="95"/>
      <c r="I207" s="95">
        <f t="array" ref="I207">INDEX('Key inputs'!$B$16:$N$40,MATCH($B207&amp;$C207&amp;$E207,'Key inputs'!$B$16:$B$40&amp;'Key inputs'!$C$16:$C$40&amp;'Key inputs'!$D$16:$D$40,0),MATCH($A$2&amp;I$4,'Key inputs'!$B$17:$N$17&amp;'Key inputs'!$B$18:$N$18,0))</f>
        <v>154.12</v>
      </c>
      <c r="J207" s="89">
        <f t="shared" si="98"/>
        <v>3082.4</v>
      </c>
      <c r="K207" s="87"/>
      <c r="L207" s="88"/>
      <c r="M207" s="79">
        <f t="shared" si="96"/>
        <v>-0.22482481183493386</v>
      </c>
      <c r="N207" s="88"/>
      <c r="O207" s="95"/>
      <c r="P207" s="95">
        <f t="array" ref="P207">INDEX('Key inputs'!$B$16:$N$40,MATCH($B207&amp;$C207&amp;$E207,'Key inputs'!$B$16:$B$40&amp;'Key inputs'!$C$16:$C$40&amp;'Key inputs'!$D$16:$D$40,0),MATCH($A$2&amp;P$4,'Key inputs'!$B$17:$N$17&amp;'Key inputs'!$B$18:$N$18,0))</f>
        <v>119.47</v>
      </c>
      <c r="Q207" s="89">
        <f t="shared" si="99"/>
        <v>2389.4</v>
      </c>
      <c r="R207" s="87"/>
      <c r="S207" s="129" t="b">
        <f>ROUND(I207,$T$5)=ROUND(SUM(I201:I206),$T$5)</f>
        <v>1</v>
      </c>
      <c r="T207" s="129" t="b">
        <f>ROUND(P207,$T$5)=ROUND(SUM(P201:P206),$T$5)</f>
        <v>1</v>
      </c>
      <c r="U207" s="128"/>
      <c r="V207" s="128"/>
    </row>
    <row r="208" spans="2:22" outlineLevel="1" x14ac:dyDescent="0.35">
      <c r="B208" s="3" t="str">
        <f t="shared" si="97"/>
        <v>SAPN</v>
      </c>
      <c r="C208" s="3" t="str">
        <f t="shared" si="94"/>
        <v>Small business</v>
      </c>
      <c r="D208" s="3" t="str">
        <f t="shared" si="95"/>
        <v>without CL</v>
      </c>
      <c r="G208" s="77" t="s">
        <v>42</v>
      </c>
      <c r="H208" s="95"/>
      <c r="I208" s="95"/>
      <c r="J208" s="95">
        <f>J207*GST</f>
        <v>308.24</v>
      </c>
      <c r="K208" s="87"/>
      <c r="L208" s="88"/>
      <c r="M208" s="79"/>
      <c r="N208" s="88"/>
      <c r="O208" s="95"/>
      <c r="P208" s="95"/>
      <c r="Q208" s="95">
        <f>Q207*GST</f>
        <v>238.94000000000003</v>
      </c>
      <c r="R208" s="43" t="str">
        <f>IFERROR(Q208/Q218,"")</f>
        <v/>
      </c>
    </row>
    <row r="209" spans="2:21" x14ac:dyDescent="0.35">
      <c r="B209" s="3" t="str">
        <f t="shared" si="97"/>
        <v>SAPN</v>
      </c>
      <c r="C209" s="3" t="str">
        <f t="shared" si="94"/>
        <v>Small business</v>
      </c>
      <c r="D209" s="3" t="str">
        <f t="shared" si="95"/>
        <v>without CL</v>
      </c>
      <c r="G209" s="5" t="s">
        <v>90</v>
      </c>
      <c r="H209" s="94"/>
      <c r="I209" s="94"/>
      <c r="J209" s="94">
        <f>SUM(J207:J208)</f>
        <v>3390.6400000000003</v>
      </c>
      <c r="K209" s="75"/>
      <c r="L209" s="27"/>
      <c r="M209" s="76">
        <f>IF(OR(J209=0,Q209=""),"",Q209/J209-1)</f>
        <v>-0.22482481183493386</v>
      </c>
      <c r="N209" s="27"/>
      <c r="O209" s="94"/>
      <c r="P209" s="94"/>
      <c r="Q209" s="94">
        <f>SUM(Q207:Q208)</f>
        <v>2628.34</v>
      </c>
      <c r="R209" s="43" t="str">
        <f>IFERROR(Q209/Q218,"")</f>
        <v/>
      </c>
    </row>
    <row r="210" spans="2:21" x14ac:dyDescent="0.35">
      <c r="K210" s="43" t="str">
        <f>IFERROR(J210/J218,"")</f>
        <v/>
      </c>
      <c r="R210" s="43" t="str">
        <f>IFERROR(Q210/Q218,"")</f>
        <v/>
      </c>
    </row>
    <row r="211" spans="2:21" x14ac:dyDescent="0.35">
      <c r="K211" s="43" t="str">
        <f>IFERROR(J211/J218,"")</f>
        <v/>
      </c>
      <c r="R211" s="43" t="str">
        <f>IFERROR(Q211/Q218,"")</f>
        <v/>
      </c>
    </row>
    <row r="212" spans="2:21" x14ac:dyDescent="0.35">
      <c r="K212" s="43" t="str">
        <f>IFERROR(J212/J218,"")</f>
        <v/>
      </c>
      <c r="R212" s="43" t="str">
        <f>IFERROR(Q212/Q218,"")</f>
        <v/>
      </c>
    </row>
    <row r="213" spans="2:21" x14ac:dyDescent="0.35">
      <c r="K213" s="43" t="str">
        <f>IFERROR(J213/J218,"")</f>
        <v/>
      </c>
      <c r="R213" s="43" t="str">
        <f>IFERROR(Q213/Q218,"")</f>
        <v/>
      </c>
    </row>
    <row r="214" spans="2:21" x14ac:dyDescent="0.35">
      <c r="K214" s="43" t="str">
        <f>IFERROR(J214/J218,"")</f>
        <v/>
      </c>
      <c r="R214" s="43" t="str">
        <f>IFERROR(Q214/Q218,"")</f>
        <v/>
      </c>
    </row>
    <row r="215" spans="2:21" x14ac:dyDescent="0.35">
      <c r="K215" s="43" t="str">
        <f>IFERROR(J215/J218,"")</f>
        <v/>
      </c>
      <c r="R215" s="43" t="str">
        <f>IFERROR(Q215/Q218,"")</f>
        <v/>
      </c>
    </row>
    <row r="216" spans="2:21" x14ac:dyDescent="0.35">
      <c r="K216" s="43" t="str">
        <f>IFERROR(J216/J218,"")</f>
        <v/>
      </c>
      <c r="R216" s="43" t="str">
        <f>IFERROR(Q216/Q218,"")</f>
        <v/>
      </c>
    </row>
    <row r="217" spans="2:21" x14ac:dyDescent="0.35">
      <c r="K217" s="43" t="str">
        <f>IFERROR(J217/J218,"")</f>
        <v/>
      </c>
      <c r="R217" s="43" t="str">
        <f>IFERROR(Q217/Q218,"")</f>
        <v/>
      </c>
    </row>
    <row r="218" spans="2:21" x14ac:dyDescent="0.35">
      <c r="K218" s="75"/>
      <c r="R218" s="75"/>
      <c r="T218" s="129"/>
      <c r="U218" s="128"/>
    </row>
  </sheetData>
  <sheetProtection algorithmName="SHA-256" hashValue="UPwBlrmEJDN/QLh4ZjeYZY2+M8KMFLlieHtDv8bD9rU=" saltValue="NfgCRaWOufdRdarZlYahPw==" spinCount="100000" sheet="1" objects="1" scenarios="1"/>
  <mergeCells count="3">
    <mergeCell ref="O3:R3"/>
    <mergeCell ref="H3:K3"/>
    <mergeCell ref="A1:B1"/>
  </mergeCells>
  <conditionalFormatting sqref="B7:R250">
    <cfRule type="expression" dxfId="92" priority="7">
      <formula>MOD(ROW(),2)=0</formula>
    </cfRule>
  </conditionalFormatting>
  <conditionalFormatting sqref="S7:T250">
    <cfRule type="cellIs" dxfId="91" priority="9" operator="equal">
      <formula>FALSE</formula>
    </cfRule>
    <cfRule type="cellIs" dxfId="90" priority="27" operator="equal">
      <formula>TRUE</formula>
    </cfRule>
  </conditionalFormatting>
  <conditionalFormatting sqref="B7:D250">
    <cfRule type="expression" dxfId="89" priority="119">
      <formula>AND(B7=B6,MOD(ROW(),2)=1)</formula>
    </cfRule>
    <cfRule type="expression" dxfId="88" priority="120">
      <formula>AND(B7=B6,MOD(ROW(),2)=0)</formula>
    </cfRule>
  </conditionalFormatting>
  <hyperlinks>
    <hyperlink ref="A1" location="Index!A1" display="&lt;&lt;Back to Index"/>
  </hyperlinks>
  <pageMargins left="0.7" right="0.7" top="0.75" bottom="0.75" header="0.3" footer="0.3"/>
  <pageSetup paperSize="9" orientation="portrait" r:id="rId1"/>
  <ignoredErrors>
    <ignoredError sqref="K27:N27 K69:N69 K111:N1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76"/>
  <sheetViews>
    <sheetView workbookViewId="0">
      <pane ySplit="6" topLeftCell="A7" activePane="bottomLeft" state="frozen"/>
      <selection activeCell="S10" sqref="S10"/>
      <selection pane="bottomLeft" sqref="A1:B1"/>
    </sheetView>
  </sheetViews>
  <sheetFormatPr defaultColWidth="8.81640625" defaultRowHeight="14.5" outlineLevelRow="1" x14ac:dyDescent="0.35"/>
  <cols>
    <col min="1" max="1" width="1.81640625" style="3" customWidth="1"/>
    <col min="2" max="3" width="15.81640625" style="3" customWidth="1"/>
    <col min="4" max="4" width="18.1796875" style="3" customWidth="1"/>
    <col min="5" max="5" width="10.81640625" style="3" customWidth="1"/>
    <col min="6" max="6" width="10.81640625" style="21" customWidth="1"/>
    <col min="7" max="7" width="10.81640625" style="3" customWidth="1"/>
    <col min="8" max="10" width="10.81640625" style="89" customWidth="1"/>
    <col min="11" max="11" width="10.81640625" style="21" customWidth="1"/>
    <col min="12" max="12" width="0.81640625" style="21" customWidth="1"/>
    <col min="13" max="13" width="10.81640625" style="21" customWidth="1"/>
    <col min="14" max="14" width="0.81640625" style="21" customWidth="1"/>
    <col min="15" max="17" width="10.81640625" style="89" customWidth="1"/>
    <col min="18" max="18" width="10.81640625" style="21" customWidth="1"/>
    <col min="19" max="20" width="8.81640625" style="21"/>
    <col min="21" max="16384" width="8.81640625" style="3"/>
  </cols>
  <sheetData>
    <row r="1" spans="1:22" ht="10.4" customHeight="1" x14ac:dyDescent="0.35">
      <c r="A1" s="274" t="s">
        <v>22</v>
      </c>
      <c r="B1" s="300"/>
    </row>
    <row r="2" spans="1:22" s="14" customFormat="1" ht="22.5" customHeight="1" x14ac:dyDescent="0.35">
      <c r="A2" s="15" t="s">
        <v>92</v>
      </c>
      <c r="F2" s="22"/>
      <c r="H2" s="90"/>
      <c r="I2" s="90"/>
      <c r="J2" s="90"/>
      <c r="K2" s="22"/>
      <c r="L2" s="22"/>
      <c r="M2" s="22"/>
      <c r="N2" s="22"/>
      <c r="O2" s="90"/>
      <c r="P2" s="90"/>
      <c r="Q2" s="90"/>
      <c r="R2" s="22"/>
      <c r="S2" s="22"/>
      <c r="T2" s="22"/>
    </row>
    <row r="3" spans="1:22" s="31" customFormat="1" ht="17.899999999999999" customHeight="1" x14ac:dyDescent="0.35">
      <c r="B3" s="32"/>
      <c r="C3" s="32"/>
      <c r="D3" s="32"/>
      <c r="E3" s="32"/>
      <c r="F3" s="54"/>
      <c r="G3" s="32"/>
      <c r="H3" s="308" t="str">
        <f>PY</f>
        <v>2020-21</v>
      </c>
      <c r="I3" s="308"/>
      <c r="J3" s="308"/>
      <c r="K3" s="308"/>
      <c r="L3" s="42"/>
      <c r="M3" s="47" t="str">
        <f>FY</f>
        <v>2021-22</v>
      </c>
      <c r="N3" s="42"/>
      <c r="O3" s="308" t="str">
        <f>FY</f>
        <v>2021-22</v>
      </c>
      <c r="P3" s="308"/>
      <c r="Q3" s="308"/>
      <c r="R3" s="308"/>
      <c r="S3" s="133"/>
      <c r="T3" s="134"/>
    </row>
    <row r="4" spans="1:22" s="31" customFormat="1" ht="3" customHeight="1" x14ac:dyDescent="0.35">
      <c r="B4" s="32"/>
      <c r="C4" s="32"/>
      <c r="D4" s="32"/>
      <c r="E4" s="32"/>
      <c r="F4" s="46" t="str">
        <f t="shared" ref="F4:K4" si="0">$H$3</f>
        <v>2020-21</v>
      </c>
      <c r="G4" s="32"/>
      <c r="H4" s="91" t="str">
        <f>$H$3</f>
        <v>2020-21</v>
      </c>
      <c r="I4" s="91" t="str">
        <f t="shared" si="0"/>
        <v>2020-21</v>
      </c>
      <c r="J4" s="91" t="str">
        <f t="shared" si="0"/>
        <v>2020-21</v>
      </c>
      <c r="K4" s="46" t="str">
        <f t="shared" si="0"/>
        <v>2020-21</v>
      </c>
      <c r="L4" s="46"/>
      <c r="M4" s="46" t="str">
        <f>FY</f>
        <v>2021-22</v>
      </c>
      <c r="N4" s="46"/>
      <c r="O4" s="91" t="str">
        <f>$O$3</f>
        <v>2021-22</v>
      </c>
      <c r="P4" s="91" t="str">
        <f>$O$3</f>
        <v>2021-22</v>
      </c>
      <c r="Q4" s="91" t="str">
        <f>$O$3</f>
        <v>2021-22</v>
      </c>
      <c r="R4" s="46" t="str">
        <f>$O$3</f>
        <v>2021-22</v>
      </c>
      <c r="S4" s="133"/>
      <c r="T4" s="134"/>
    </row>
    <row r="5" spans="1:22" s="5" customFormat="1" ht="17.899999999999999" customHeight="1" x14ac:dyDescent="0.35">
      <c r="B5" s="25" t="s">
        <v>1</v>
      </c>
      <c r="C5" s="25" t="s">
        <v>12</v>
      </c>
      <c r="D5" s="25" t="s">
        <v>26</v>
      </c>
      <c r="E5" s="25" t="s">
        <v>13</v>
      </c>
      <c r="F5" s="12" t="s">
        <v>28</v>
      </c>
      <c r="G5" s="25" t="s">
        <v>36</v>
      </c>
      <c r="H5" s="92" t="s">
        <v>50</v>
      </c>
      <c r="I5" s="92" t="s">
        <v>51</v>
      </c>
      <c r="J5" s="92" t="s">
        <v>25</v>
      </c>
      <c r="K5" s="12" t="s">
        <v>27</v>
      </c>
      <c r="L5" s="12"/>
      <c r="M5" s="12" t="s">
        <v>24</v>
      </c>
      <c r="N5" s="12"/>
      <c r="O5" s="92" t="s">
        <v>50</v>
      </c>
      <c r="P5" s="92" t="s">
        <v>51</v>
      </c>
      <c r="Q5" s="92" t="s">
        <v>25</v>
      </c>
      <c r="R5" s="12" t="s">
        <v>27</v>
      </c>
      <c r="S5" s="253" t="s">
        <v>160</v>
      </c>
      <c r="T5" s="254">
        <v>2</v>
      </c>
    </row>
    <row r="6" spans="1:22" s="33" customFormat="1" ht="17.899999999999999" customHeight="1" x14ac:dyDescent="0.3">
      <c r="B6" s="34"/>
      <c r="C6" s="34"/>
      <c r="D6" s="34"/>
      <c r="E6" s="34"/>
      <c r="F6" s="35" t="s">
        <v>60</v>
      </c>
      <c r="G6" s="34"/>
      <c r="H6" s="93" t="s">
        <v>77</v>
      </c>
      <c r="I6" s="93" t="s">
        <v>48</v>
      </c>
      <c r="J6" s="93" t="s">
        <v>49</v>
      </c>
      <c r="K6" s="35" t="s">
        <v>31</v>
      </c>
      <c r="L6" s="35"/>
      <c r="M6" s="35" t="s">
        <v>31</v>
      </c>
      <c r="N6" s="35"/>
      <c r="O6" s="93" t="s">
        <v>77</v>
      </c>
      <c r="P6" s="93" t="s">
        <v>48</v>
      </c>
      <c r="Q6" s="93" t="s">
        <v>49</v>
      </c>
      <c r="R6" s="35" t="s">
        <v>31</v>
      </c>
      <c r="S6" s="135" t="s">
        <v>102</v>
      </c>
      <c r="T6" s="135" t="s">
        <v>102</v>
      </c>
    </row>
    <row r="7" spans="1:22" x14ac:dyDescent="0.3">
      <c r="F7" s="41"/>
      <c r="K7" s="43"/>
      <c r="L7" s="43"/>
      <c r="M7" s="48"/>
      <c r="N7" s="43"/>
      <c r="R7" s="43"/>
      <c r="S7" s="136" t="b">
        <f>IF(COUNTIF(S8:S300,"FALSE")&gt;0,FALSE,TRUE)</f>
        <v>1</v>
      </c>
      <c r="T7" s="136" t="b">
        <f>IF(COUNTIF(T8:T300,"FALSE")&gt;0,FALSE,TRUE)</f>
        <v>1</v>
      </c>
    </row>
    <row r="8" spans="1:22" x14ac:dyDescent="0.3">
      <c r="B8" s="5" t="s">
        <v>2</v>
      </c>
      <c r="C8" s="5" t="s">
        <v>6</v>
      </c>
      <c r="D8" s="5" t="s">
        <v>150</v>
      </c>
      <c r="F8" s="41"/>
      <c r="K8" s="43"/>
      <c r="L8" s="43"/>
      <c r="M8" s="48"/>
      <c r="N8" s="43"/>
      <c r="R8" s="43"/>
      <c r="S8" s="136"/>
      <c r="T8" s="136"/>
    </row>
    <row r="9" spans="1:22" outlineLevel="1" x14ac:dyDescent="0.3">
      <c r="B9" s="3" t="str">
        <f t="shared" ref="B9:D15" si="1">B8</f>
        <v>Ausgrid</v>
      </c>
      <c r="C9" s="3" t="str">
        <f t="shared" si="1"/>
        <v>Residential</v>
      </c>
      <c r="D9" s="3" t="str">
        <f t="shared" si="1"/>
        <v>without CL</v>
      </c>
      <c r="E9" s="3" t="s">
        <v>23</v>
      </c>
      <c r="F9" s="41">
        <f t="array" ref="F9">IFERROR(INDEX(Usage!$B$5:$P$18,MATCH($B9,Usage!$B$5:$B$18,0),MATCH($C9&amp;$D9&amp;$E9&amp;"Total",Usage!$B$5:$S$5&amp;Usage!$B$6:$S$6&amp;Usage!$B$7:$S$7&amp;Usage!$B$13:$S$13,0)),0)</f>
        <v>3900</v>
      </c>
      <c r="G9" s="3" t="s">
        <v>83</v>
      </c>
      <c r="I9" s="89">
        <f t="array" ref="I9">IFERROR(INDEX('Detail inputs'!$B$3:$K$168,MATCH($B9&amp;$G9&amp;I$5,'Detail inputs'!$B$3:$B$168&amp;'Detail inputs'!$G$3:$G$168&amp;'Detail inputs'!$H$3:$H$168,0),MATCH(I$4,'Detail inputs'!$B$3:$K$3,0)),0)</f>
        <v>4.95</v>
      </c>
      <c r="J9" s="89">
        <f>IF(AND(H9="",I9=""),"",H9+I9*$F9/1000)</f>
        <v>19.305</v>
      </c>
      <c r="K9" s="43">
        <f>IFERROR(J9/J13,"")</f>
        <v>0.28829353523587653</v>
      </c>
      <c r="L9" s="43"/>
      <c r="M9" s="48">
        <f>IF(OR(J9=0,Q9=""),"",Q9/J9-1)</f>
        <v>-0.14747474747474754</v>
      </c>
      <c r="N9" s="43"/>
      <c r="P9" s="89">
        <f t="array" ref="P9">IFERROR(INDEX('Detail inputs'!$B$3:$K$168,MATCH($B9&amp;$G9&amp;P$5,'Detail inputs'!$B$3:$B$168&amp;'Detail inputs'!$G$3:$G$168&amp;'Detail inputs'!$H$3:$H$168,0),MATCH(P$4,'Detail inputs'!$B$3:$K$3,0)),0)</f>
        <v>4.22</v>
      </c>
      <c r="Q9" s="89">
        <f>IF(AND(O9="",P9=""),"",O9+P9*$F9/1000)</f>
        <v>16.457999999999998</v>
      </c>
      <c r="R9" s="43">
        <f>IFERROR(Q9/Q13,"")</f>
        <v>0.22013562858633279</v>
      </c>
      <c r="S9" s="136"/>
      <c r="T9" s="136"/>
    </row>
    <row r="10" spans="1:22" outlineLevel="1" x14ac:dyDescent="0.3">
      <c r="B10" s="3" t="str">
        <f t="shared" si="1"/>
        <v>Ausgrid</v>
      </c>
      <c r="C10" s="3" t="str">
        <f t="shared" si="1"/>
        <v>Residential</v>
      </c>
      <c r="D10" s="3" t="str">
        <f t="shared" si="1"/>
        <v>without CL</v>
      </c>
      <c r="E10" s="3" t="s">
        <v>23</v>
      </c>
      <c r="F10" s="41">
        <f t="array" ref="F10">IFERROR(INDEX(Usage!$B$5:$P$18,MATCH($B10,Usage!$B$5:$B$18,0),MATCH($C10&amp;$D10&amp;$E10&amp;"Total",Usage!$B$5:$S$5&amp;Usage!$B$6:$S$6&amp;Usage!$B$7:$S$7&amp;Usage!$B$13:$S$13,0)),0)</f>
        <v>3900</v>
      </c>
      <c r="G10" s="3" t="s">
        <v>84</v>
      </c>
      <c r="I10" s="89">
        <f t="array" ref="I10">IFERROR(INDEX('Detail inputs'!$B$3:$K$168,MATCH($B10&amp;$G10&amp;I$5,'Detail inputs'!$B$3:$B$168&amp;'Detail inputs'!$G$3:$G$168&amp;'Detail inputs'!$H$3:$H$168,0),MATCH(I$4,'Detail inputs'!$B$3:$K$3,0)),0)</f>
        <v>9.31</v>
      </c>
      <c r="J10" s="89">
        <f>IF(AND(H10="",I10=""),"",H10+I10*$F10/1000)</f>
        <v>36.308999999999997</v>
      </c>
      <c r="K10" s="43">
        <f>IFERROR(J10/J13,"")</f>
        <v>0.54222481071636575</v>
      </c>
      <c r="L10" s="43"/>
      <c r="M10" s="48">
        <f>IF(OR(J10=0,Q10=""),"",Q10/J10-1)</f>
        <v>0.23737916219119226</v>
      </c>
      <c r="N10" s="43"/>
      <c r="P10" s="89">
        <f t="array" ref="P10">IFERROR(INDEX('Detail inputs'!$B$3:$K$168,MATCH($B10&amp;$G10&amp;P$5,'Detail inputs'!$B$3:$B$168&amp;'Detail inputs'!$G$3:$G$168&amp;'Detail inputs'!$H$3:$H$168,0),MATCH(P$4,'Detail inputs'!$B$3:$K$3,0)),0)</f>
        <v>11.52</v>
      </c>
      <c r="Q10" s="89">
        <f>IF(AND(O10="",P10=""),"",O10+P10*$F10/1000)</f>
        <v>44.927999999999997</v>
      </c>
      <c r="R10" s="43">
        <f>IFERROR(Q10/Q13,"")</f>
        <v>0.60093896713615014</v>
      </c>
      <c r="S10" s="136"/>
      <c r="T10" s="136"/>
    </row>
    <row r="11" spans="1:22" outlineLevel="1" x14ac:dyDescent="0.3">
      <c r="B11" s="3" t="str">
        <f t="shared" si="1"/>
        <v>Ausgrid</v>
      </c>
      <c r="C11" s="3" t="str">
        <f t="shared" si="1"/>
        <v>Residential</v>
      </c>
      <c r="D11" s="3" t="str">
        <f t="shared" si="1"/>
        <v>without CL</v>
      </c>
      <c r="E11" s="3" t="s">
        <v>23</v>
      </c>
      <c r="F11" s="41">
        <f t="array" ref="F11">IFERROR(INDEX(Usage!$B$5:$P$18,MATCH($B11,Usage!$B$5:$B$18,0),MATCH($C11&amp;$D11&amp;$E11&amp;"Total",Usage!$B$5:$S$5&amp;Usage!$B$6:$S$6&amp;Usage!$B$7:$S$7&amp;Usage!$B$13:$S$13,0)),0)</f>
        <v>3900</v>
      </c>
      <c r="G11" s="3" t="s">
        <v>85</v>
      </c>
      <c r="I11" s="89">
        <f t="array" ref="I11">IFERROR(INDEX('Detail inputs'!$B$3:$K$168,MATCH($B11&amp;$G11&amp;I$5,'Detail inputs'!$B$3:$B$168&amp;'Detail inputs'!$G$3:$G$168&amp;'Detail inputs'!$H$3:$H$168,0),MATCH(I$4,'Detail inputs'!$B$3:$K$3,0)),0)</f>
        <v>2.09</v>
      </c>
      <c r="J11" s="89">
        <f>IF(AND(H11="",I11=""),"",H11+I11*$F11/1000)</f>
        <v>8.1509999999999998</v>
      </c>
      <c r="K11" s="43">
        <f>IFERROR(J11/J13,"")</f>
        <v>0.12172393709959232</v>
      </c>
      <c r="L11" s="43"/>
      <c r="M11" s="48">
        <f>IF(OR(J11=0,Q11=""),"",Q11/J11-1)</f>
        <v>0.18660287081339733</v>
      </c>
      <c r="N11" s="43"/>
      <c r="P11" s="89">
        <f t="array" ref="P11">IFERROR(INDEX('Detail inputs'!$B$3:$K$168,MATCH($B11&amp;$G11&amp;P$5,'Detail inputs'!$B$3:$B$168&amp;'Detail inputs'!$G$3:$G$168&amp;'Detail inputs'!$H$3:$H$168,0),MATCH(P$4,'Detail inputs'!$B$3:$K$3,0)),0)</f>
        <v>2.48</v>
      </c>
      <c r="Q11" s="89">
        <f>IF(AND(O11="",P11=""),"",O11+P11*$F11/1000)</f>
        <v>9.6720000000000006</v>
      </c>
      <c r="R11" s="43">
        <f>IFERROR(Q11/Q13,"")</f>
        <v>0.12936880542514345</v>
      </c>
      <c r="S11" s="136"/>
      <c r="T11" s="136"/>
    </row>
    <row r="12" spans="1:22" s="21" customFormat="1" outlineLevel="1" x14ac:dyDescent="0.3">
      <c r="A12" s="3"/>
      <c r="B12" s="3" t="str">
        <f t="shared" si="1"/>
        <v>Ausgrid</v>
      </c>
      <c r="C12" s="3" t="str">
        <f t="shared" si="1"/>
        <v>Residential</v>
      </c>
      <c r="D12" s="3" t="str">
        <f t="shared" si="1"/>
        <v>without CL</v>
      </c>
      <c r="E12" s="3" t="s">
        <v>23</v>
      </c>
      <c r="F12" s="41">
        <f t="array" ref="F12">IFERROR(INDEX(Usage!$B$5:$P$18,MATCH($B12,Usage!$B$5:$B$18,0),MATCH($C12&amp;$D12&amp;$E12&amp;"Total",Usage!$B$5:$S$5&amp;Usage!$B$6:$S$6&amp;Usage!$B$7:$S$7&amp;Usage!$B$13:$S$13,0)),0)</f>
        <v>3900</v>
      </c>
      <c r="G12" s="3" t="s">
        <v>82</v>
      </c>
      <c r="H12" s="89"/>
      <c r="I12" s="89">
        <f t="array" ref="I12">ROUND(IFERROR(INDEX('Detail inputs'!$B$3:$K$168,MATCH($B12&amp;$C12&amp;$E12&amp;$G12&amp;I$5,'Detail inputs'!$B$3:$B$168&amp;'Detail inputs'!$D$3:$D$168&amp;'Detail inputs'!$F$3:$F$168&amp;'Detail inputs'!$G$3:$G$168&amp;'Detail inputs'!$H$3:$H$168,0),MATCH(I$4,'Detail inputs'!$B$3:$K$3,0)),0)*SUM(I9:I11),2)</f>
        <v>0.82</v>
      </c>
      <c r="J12" s="89">
        <f>IF(AND(H12="",I12=""),"",H12+I12*$F12/1000)</f>
        <v>3.198</v>
      </c>
      <c r="K12" s="43">
        <f>IFERROR(J12/J13,"")</f>
        <v>4.7757716948165406E-2</v>
      </c>
      <c r="L12" s="43"/>
      <c r="M12" s="48">
        <f>IF(OR(J12=0,Q12=""),"",Q12/J12-1)</f>
        <v>0.1585365853658538</v>
      </c>
      <c r="N12" s="43"/>
      <c r="O12" s="89"/>
      <c r="P12" s="89">
        <f t="array" ref="P12">ROUND(IFERROR(INDEX('Detail inputs'!$B$3:$K$168,MATCH($B12&amp;$C12&amp;$E12&amp;$G12&amp;P$5,'Detail inputs'!$B$3:$B$168&amp;'Detail inputs'!$D$3:$D$168&amp;'Detail inputs'!$F$3:$F$168&amp;'Detail inputs'!$G$3:$G$168&amp;'Detail inputs'!$H$3:$H$168,0),MATCH(P$4,'Detail inputs'!$B$3:$K$3,0)),0)*SUM(P9:P11),2)</f>
        <v>0.95</v>
      </c>
      <c r="Q12" s="89">
        <f>IF(AND(O12="",P12=""),"",O12+P12*$F12/1000)</f>
        <v>3.7050000000000001</v>
      </c>
      <c r="R12" s="43">
        <f>IFERROR(Q12/Q13,"")</f>
        <v>4.9556598852373498E-2</v>
      </c>
      <c r="S12" s="136"/>
      <c r="T12" s="136"/>
    </row>
    <row r="13" spans="1:22" s="88" customFormat="1" x14ac:dyDescent="0.3">
      <c r="A13" s="77"/>
      <c r="B13" s="77" t="str">
        <f t="shared" si="1"/>
        <v>Ausgrid</v>
      </c>
      <c r="C13" s="77" t="str">
        <f t="shared" si="1"/>
        <v>Residential</v>
      </c>
      <c r="D13" s="77" t="str">
        <f t="shared" si="1"/>
        <v>without CL</v>
      </c>
      <c r="E13" s="3" t="s">
        <v>23</v>
      </c>
      <c r="F13" s="41">
        <f t="array" ref="F13">IFERROR(INDEX(Usage!$B$5:$P$18,MATCH($B13,Usage!$B$5:$B$18,0),MATCH($C13&amp;$D13&amp;$E13&amp;"Total",Usage!$B$5:$S$5&amp;Usage!$B$6:$S$6&amp;Usage!$B$7:$S$7&amp;Usage!$B$13:$S$13,0)),0)</f>
        <v>3900</v>
      </c>
      <c r="G13" s="77" t="s">
        <v>62</v>
      </c>
      <c r="H13" s="95"/>
      <c r="I13" s="95">
        <f t="array" ref="I13">INDEX('Key inputs'!$B$16:$N$40,MATCH($B13&amp;$C13&amp;$E13,'Key inputs'!$B$16:$B$40&amp;'Key inputs'!$C$16:$C$40&amp;'Key inputs'!$D$16:$D$40,0),MATCH($A$2&amp;I$4,'Key inputs'!$B$17:$N$17&amp;'Key inputs'!$B$18:$N$18,0))</f>
        <v>17.170000000000002</v>
      </c>
      <c r="J13" s="89">
        <f>IF(AND(H13="",I13=""),"",H13+I13*$F13/1000)</f>
        <v>66.962999999999994</v>
      </c>
      <c r="K13" s="87"/>
      <c r="M13" s="79">
        <f>IF(OR(J13=0,Q13=""),"",Q13/J13-1)</f>
        <v>0.11648223645894018</v>
      </c>
      <c r="O13" s="95"/>
      <c r="P13" s="95">
        <f t="array" ref="P13">INDEX('Key inputs'!$B$16:$N$40,MATCH($B13&amp;$C13&amp;$E13,'Key inputs'!$B$16:$B$40&amp;'Key inputs'!$C$16:$C$40&amp;'Key inputs'!$D$16:$D$40,0),MATCH($A$2&amp;P$4,'Key inputs'!$B$17:$N$17&amp;'Key inputs'!$B$18:$N$18,0))</f>
        <v>19.170000000000002</v>
      </c>
      <c r="Q13" s="89">
        <f>IF(AND(O13="",P13=""),"",O13+P13*$F13/1000)</f>
        <v>74.763000000000005</v>
      </c>
      <c r="R13" s="87"/>
      <c r="S13" s="136" t="b">
        <f>ROUND(I13,$T$5)=ROUND(SUM(I9:I12),$T$5)</f>
        <v>1</v>
      </c>
      <c r="T13" s="136" t="b">
        <f>ROUND(P13,$T$5)=ROUND(SUM(P9:P12),$T$5)</f>
        <v>1</v>
      </c>
      <c r="U13" s="95"/>
      <c r="V13" s="95"/>
    </row>
    <row r="14" spans="1:22" s="21" customFormat="1" outlineLevel="1" x14ac:dyDescent="0.3">
      <c r="A14" s="3"/>
      <c r="B14" s="3" t="str">
        <f t="shared" si="1"/>
        <v>Ausgrid</v>
      </c>
      <c r="C14" s="3" t="str">
        <f t="shared" si="1"/>
        <v>Residential</v>
      </c>
      <c r="D14" s="3" t="str">
        <f t="shared" si="1"/>
        <v>without CL</v>
      </c>
      <c r="E14" s="3"/>
      <c r="F14" s="41"/>
      <c r="G14" s="77" t="s">
        <v>42</v>
      </c>
      <c r="H14" s="95"/>
      <c r="I14" s="95"/>
      <c r="J14" s="95">
        <f>J13*GST</f>
        <v>6.6962999999999999</v>
      </c>
      <c r="K14" s="87"/>
      <c r="L14" s="88"/>
      <c r="M14" s="79"/>
      <c r="N14" s="88"/>
      <c r="O14" s="95"/>
      <c r="P14" s="95"/>
      <c r="Q14" s="95">
        <f>Q13*GST</f>
        <v>7.4763000000000011</v>
      </c>
      <c r="R14" s="75"/>
      <c r="S14" s="136"/>
      <c r="T14" s="136"/>
    </row>
    <row r="15" spans="1:22" s="21" customFormat="1" x14ac:dyDescent="0.3">
      <c r="A15" s="3"/>
      <c r="B15" s="3" t="str">
        <f t="shared" si="1"/>
        <v>Ausgrid</v>
      </c>
      <c r="C15" s="3" t="str">
        <f t="shared" si="1"/>
        <v>Residential</v>
      </c>
      <c r="D15" s="3" t="str">
        <f t="shared" si="1"/>
        <v>without CL</v>
      </c>
      <c r="E15" s="3"/>
      <c r="F15" s="41"/>
      <c r="G15" s="5" t="s">
        <v>90</v>
      </c>
      <c r="H15" s="94"/>
      <c r="I15" s="94"/>
      <c r="J15" s="94">
        <f>SUM(J13:J14)</f>
        <v>73.659299999999988</v>
      </c>
      <c r="K15" s="75"/>
      <c r="L15" s="27"/>
      <c r="M15" s="76">
        <f>IF(OR(J15=0,Q15=""),"",Q15/J15-1)</f>
        <v>0.11648223645894018</v>
      </c>
      <c r="N15" s="27"/>
      <c r="O15" s="94"/>
      <c r="P15" s="94"/>
      <c r="Q15" s="94">
        <f>SUM(Q13:Q14)</f>
        <v>82.2393</v>
      </c>
      <c r="R15" s="75"/>
      <c r="S15" s="136"/>
      <c r="T15" s="136"/>
    </row>
    <row r="16" spans="1:22" s="21" customFormat="1" x14ac:dyDescent="0.3">
      <c r="A16" s="3"/>
      <c r="B16" s="3"/>
      <c r="C16" s="3"/>
      <c r="D16" s="3"/>
      <c r="E16" s="3"/>
      <c r="F16" s="41"/>
      <c r="G16" s="3"/>
      <c r="H16" s="89"/>
      <c r="I16" s="89"/>
      <c r="J16" s="89"/>
      <c r="K16" s="43"/>
      <c r="M16" s="48"/>
      <c r="O16" s="89"/>
      <c r="P16" s="89"/>
      <c r="Q16" s="89"/>
      <c r="R16" s="43"/>
      <c r="S16" s="136"/>
      <c r="T16" s="136"/>
    </row>
    <row r="17" spans="1:22" s="21" customFormat="1" x14ac:dyDescent="0.3">
      <c r="A17" s="3"/>
      <c r="B17" s="5" t="s">
        <v>2</v>
      </c>
      <c r="C17" s="5" t="s">
        <v>6</v>
      </c>
      <c r="D17" s="5" t="s">
        <v>151</v>
      </c>
      <c r="E17" s="3"/>
      <c r="F17" s="41"/>
      <c r="G17" s="3"/>
      <c r="H17" s="89"/>
      <c r="I17" s="89"/>
      <c r="J17" s="89"/>
      <c r="K17" s="43"/>
      <c r="M17" s="48"/>
      <c r="O17" s="89"/>
      <c r="P17" s="89"/>
      <c r="Q17" s="89"/>
      <c r="R17" s="43"/>
      <c r="S17" s="136"/>
      <c r="T17" s="136"/>
    </row>
    <row r="18" spans="1:22" s="21" customFormat="1" outlineLevel="1" x14ac:dyDescent="0.3">
      <c r="A18" s="3"/>
      <c r="B18" s="3" t="str">
        <f t="shared" ref="B18:B29" si="2">B17</f>
        <v>Ausgrid</v>
      </c>
      <c r="C18" s="3" t="str">
        <f t="shared" ref="C18:C29" si="3">C17</f>
        <v>Residential</v>
      </c>
      <c r="D18" s="3" t="str">
        <f t="shared" ref="D18:D29" si="4">D17</f>
        <v>with CL</v>
      </c>
      <c r="E18" s="3" t="s">
        <v>23</v>
      </c>
      <c r="F18" s="41">
        <f t="array" ref="F18">IFERROR(INDEX(Usage!$B$5:$P$18,MATCH($B18,Usage!$B$5:$B$18,0),MATCH($C18&amp;$D18&amp;$E18&amp;"Total",Usage!$B$5:$S$5&amp;Usage!$B$6:$S$6&amp;Usage!$B$7:$S$7&amp;Usage!$B$13:$S$13,0)),0)</f>
        <v>4800</v>
      </c>
      <c r="G18" s="3" t="s">
        <v>62</v>
      </c>
      <c r="H18" s="89"/>
      <c r="I18" s="89">
        <f>I13</f>
        <v>17.170000000000002</v>
      </c>
      <c r="J18" s="89">
        <f t="shared" ref="J18:J28" si="5">IF(AND(H18="",I18=""),"",H18+I18*$F18/1000)</f>
        <v>82.416000000000011</v>
      </c>
      <c r="K18" s="43"/>
      <c r="M18" s="48">
        <f>IF(OR(J18=0,Q18=""),"",Q18/J18-1)</f>
        <v>0.11648223645894018</v>
      </c>
      <c r="O18" s="89"/>
      <c r="P18" s="89">
        <f>P13</f>
        <v>19.170000000000002</v>
      </c>
      <c r="Q18" s="89">
        <f t="shared" ref="Q18:Q28" si="6">IF(AND(O18="",P18=""),"",O18+P18*$F18/1000)</f>
        <v>92.01600000000002</v>
      </c>
      <c r="R18" s="43"/>
      <c r="S18" s="136"/>
      <c r="T18" s="136"/>
    </row>
    <row r="19" spans="1:22" s="21" customFormat="1" outlineLevel="1" x14ac:dyDescent="0.3">
      <c r="A19" s="3"/>
      <c r="B19" s="3" t="str">
        <f t="shared" si="2"/>
        <v>Ausgrid</v>
      </c>
      <c r="C19" s="3" t="str">
        <f t="shared" si="3"/>
        <v>Residential</v>
      </c>
      <c r="D19" s="3" t="str">
        <f t="shared" si="4"/>
        <v>with CL</v>
      </c>
      <c r="E19" s="3" t="s">
        <v>16</v>
      </c>
      <c r="F19" s="41">
        <f t="array" ref="F19">IFERROR(INDEX(Usage!$B$5:$P$18,MATCH($B19,Usage!$B$5:$B$18,0),MATCH($C19&amp;$D19&amp;$E19,Usage!$B$5:$S$5&amp;Usage!$B$6:$S$6&amp;Usage!$B$7:$S$7,0)),0)</f>
        <v>1340</v>
      </c>
      <c r="G19" s="3" t="s">
        <v>83</v>
      </c>
      <c r="H19" s="89"/>
      <c r="I19" s="89">
        <f t="array" ref="I19">IFERROR(INDEX('Detail inputs'!$B$3:$K$168,MATCH($B19&amp;$G19&amp;I$5,'Detail inputs'!$B$3:$B$168&amp;'Detail inputs'!$G$3:$G$168&amp;'Detail inputs'!$H$3:$H$168,0),MATCH(I$4,'Detail inputs'!$B$3:$K$3,0)),0)</f>
        <v>4.95</v>
      </c>
      <c r="J19" s="89">
        <f t="shared" si="5"/>
        <v>6.633</v>
      </c>
      <c r="K19" s="43">
        <f>IFERROR(J19/J23,"")</f>
        <v>0.28745644599303138</v>
      </c>
      <c r="L19" s="43"/>
      <c r="M19" s="48">
        <f t="shared" ref="M19:M29" si="7">IF(OR(J19=0,Q19=""),"",Q19/J19-1)</f>
        <v>-0.14747474747474765</v>
      </c>
      <c r="N19" s="43"/>
      <c r="O19" s="89"/>
      <c r="P19" s="89">
        <f t="array" ref="P19">IFERROR(INDEX('Detail inputs'!$B$3:$K$168,MATCH($B19&amp;$G19&amp;P$5,'Detail inputs'!$B$3:$B$168&amp;'Detail inputs'!$G$3:$G$168&amp;'Detail inputs'!$H$3:$H$168,0),MATCH(P$4,'Detail inputs'!$B$3:$K$3,0)),0)</f>
        <v>4.22</v>
      </c>
      <c r="Q19" s="89">
        <f t="shared" si="6"/>
        <v>5.6547999999999989</v>
      </c>
      <c r="R19" s="43">
        <f>IFERROR(Q19/Q23,"")</f>
        <v>0.21956295525494274</v>
      </c>
      <c r="S19" s="136"/>
      <c r="T19" s="136"/>
    </row>
    <row r="20" spans="1:22" s="21" customFormat="1" outlineLevel="1" x14ac:dyDescent="0.3">
      <c r="A20" s="3"/>
      <c r="B20" s="3" t="str">
        <f t="shared" si="2"/>
        <v>Ausgrid</v>
      </c>
      <c r="C20" s="3" t="str">
        <f t="shared" si="3"/>
        <v>Residential</v>
      </c>
      <c r="D20" s="3" t="str">
        <f t="shared" si="4"/>
        <v>with CL</v>
      </c>
      <c r="E20" s="3" t="s">
        <v>16</v>
      </c>
      <c r="F20" s="41">
        <f t="array" ref="F20">IFERROR(INDEX(Usage!$B$5:$P$18,MATCH($B20,Usage!$B$5:$B$18,0),MATCH($C20&amp;$D20&amp;$E20,Usage!$B$5:$S$5&amp;Usage!$B$6:$S$6&amp;Usage!$B$7:$S$7,0)),0)</f>
        <v>1340</v>
      </c>
      <c r="G20" s="3" t="s">
        <v>84</v>
      </c>
      <c r="H20" s="89"/>
      <c r="I20" s="89">
        <f t="array" ref="I20">IFERROR(INDEX('Detail inputs'!$B$3:$K$168,MATCH($B20&amp;$G20&amp;I$5,'Detail inputs'!$B$3:$B$168&amp;'Detail inputs'!$G$3:$G$168&amp;'Detail inputs'!$H$3:$H$168,0),MATCH(I$4,'Detail inputs'!$B$3:$K$3,0)),0)</f>
        <v>9.31</v>
      </c>
      <c r="J20" s="89">
        <f t="shared" si="5"/>
        <v>12.475400000000002</v>
      </c>
      <c r="K20" s="43">
        <f>IFERROR(J20/J23,"")</f>
        <v>0.54065040650406515</v>
      </c>
      <c r="L20" s="43"/>
      <c r="M20" s="48">
        <f t="shared" si="7"/>
        <v>0.23737916219119204</v>
      </c>
      <c r="N20" s="43"/>
      <c r="O20" s="89"/>
      <c r="P20" s="89">
        <f t="array" ref="P20">IFERROR(INDEX('Detail inputs'!$B$3:$K$168,MATCH($B20&amp;$G20&amp;P$5,'Detail inputs'!$B$3:$B$168&amp;'Detail inputs'!$G$3:$G$168&amp;'Detail inputs'!$H$3:$H$168,0),MATCH(P$4,'Detail inputs'!$B$3:$K$3,0)),0)</f>
        <v>11.52</v>
      </c>
      <c r="Q20" s="89">
        <f t="shared" si="6"/>
        <v>15.4368</v>
      </c>
      <c r="R20" s="43">
        <f>IFERROR(Q20/Q23,"")</f>
        <v>0.59937565036420393</v>
      </c>
      <c r="S20" s="136"/>
      <c r="T20" s="136"/>
    </row>
    <row r="21" spans="1:22" s="21" customFormat="1" outlineLevel="1" x14ac:dyDescent="0.3">
      <c r="A21" s="3"/>
      <c r="B21" s="3" t="str">
        <f t="shared" si="2"/>
        <v>Ausgrid</v>
      </c>
      <c r="C21" s="3" t="str">
        <f t="shared" si="3"/>
        <v>Residential</v>
      </c>
      <c r="D21" s="3" t="str">
        <f t="shared" si="4"/>
        <v>with CL</v>
      </c>
      <c r="E21" s="3" t="s">
        <v>16</v>
      </c>
      <c r="F21" s="41">
        <f t="array" ref="F21">IFERROR(INDEX(Usage!$B$5:$P$18,MATCH($B21,Usage!$B$5:$B$18,0),MATCH($C21&amp;$D21&amp;$E21,Usage!$B$5:$S$5&amp;Usage!$B$6:$S$6&amp;Usage!$B$7:$S$7,0)),0)</f>
        <v>1340</v>
      </c>
      <c r="G21" s="3" t="s">
        <v>85</v>
      </c>
      <c r="H21" s="89"/>
      <c r="I21" s="89">
        <f t="array" ref="I21">IFERROR(INDEX('Detail inputs'!$B$3:$K$168,MATCH($B21&amp;$G21&amp;I$5,'Detail inputs'!$B$3:$B$168&amp;'Detail inputs'!$G$3:$G$168&amp;'Detail inputs'!$H$3:$H$168,0),MATCH(I$4,'Detail inputs'!$B$3:$K$3,0)),0)</f>
        <v>2.09</v>
      </c>
      <c r="J21" s="89">
        <f t="shared" si="5"/>
        <v>2.8005999999999998</v>
      </c>
      <c r="K21" s="43">
        <f>IFERROR(J21/J23,"")</f>
        <v>0.1213704994192799</v>
      </c>
      <c r="L21" s="43"/>
      <c r="M21" s="48">
        <f t="shared" si="7"/>
        <v>0.1866028708133971</v>
      </c>
      <c r="N21" s="43"/>
      <c r="O21" s="89"/>
      <c r="P21" s="89">
        <f t="array" ref="P21">IFERROR(INDEX('Detail inputs'!$B$3:$K$168,MATCH($B21&amp;$G21&amp;P$5,'Detail inputs'!$B$3:$B$168&amp;'Detail inputs'!$G$3:$G$168&amp;'Detail inputs'!$H$3:$H$168,0),MATCH(P$4,'Detail inputs'!$B$3:$K$3,0)),0)</f>
        <v>2.48</v>
      </c>
      <c r="Q21" s="89">
        <f t="shared" si="6"/>
        <v>3.3231999999999999</v>
      </c>
      <c r="R21" s="43">
        <f>IFERROR(Q21/Q23,"")</f>
        <v>0.12903225806451613</v>
      </c>
      <c r="S21" s="136"/>
      <c r="T21" s="136"/>
    </row>
    <row r="22" spans="1:22" s="21" customFormat="1" outlineLevel="1" x14ac:dyDescent="0.3">
      <c r="A22" s="3"/>
      <c r="B22" s="3" t="str">
        <f t="shared" si="2"/>
        <v>Ausgrid</v>
      </c>
      <c r="C22" s="3" t="str">
        <f t="shared" si="3"/>
        <v>Residential</v>
      </c>
      <c r="D22" s="3" t="str">
        <f t="shared" si="4"/>
        <v>with CL</v>
      </c>
      <c r="E22" s="3" t="s">
        <v>16</v>
      </c>
      <c r="F22" s="41">
        <f t="array" ref="F22">IFERROR(INDEX(Usage!$B$5:$P$18,MATCH($B22,Usage!$B$5:$B$18,0),MATCH($C22&amp;$D22&amp;$E22,Usage!$B$5:$S$5&amp;Usage!$B$6:$S$6&amp;Usage!$B$7:$S$7,0)),0)</f>
        <v>1340</v>
      </c>
      <c r="G22" s="3" t="s">
        <v>82</v>
      </c>
      <c r="H22" s="89"/>
      <c r="I22" s="89">
        <f t="array" ref="I22">ROUND(IFERROR(INDEX('Detail inputs'!$B$3:$K$168,MATCH($B22&amp;$C22&amp;$E22&amp;$G22&amp;I$5,'Detail inputs'!$B$3:$B$168&amp;'Detail inputs'!$D$3:$D$168&amp;'Detail inputs'!$F$3:$F$168&amp;'Detail inputs'!$G$3:$G$168&amp;'Detail inputs'!$H$3:$H$168,0),MATCH(I$4,'Detail inputs'!$B$3:$K$3,0)),0)*SUM(I19:I21),2)</f>
        <v>0.87</v>
      </c>
      <c r="J22" s="89">
        <f t="shared" si="5"/>
        <v>1.1657999999999999</v>
      </c>
      <c r="K22" s="43">
        <f>IFERROR(J22/J23,"")</f>
        <v>5.0522648083623695E-2</v>
      </c>
      <c r="L22" s="43"/>
      <c r="M22" s="48">
        <f t="shared" si="7"/>
        <v>0.14942528735632199</v>
      </c>
      <c r="N22" s="43"/>
      <c r="O22" s="89"/>
      <c r="P22" s="89">
        <f t="array" ref="P22">ROUND(IFERROR(INDEX('Detail inputs'!$B$3:$K$168,MATCH($B22&amp;$C22&amp;$E22&amp;$G22&amp;P$5,'Detail inputs'!$B$3:$B$168&amp;'Detail inputs'!$D$3:$D$168&amp;'Detail inputs'!$F$3:$F$168&amp;'Detail inputs'!$G$3:$G$168&amp;'Detail inputs'!$H$3:$H$168,0),MATCH(P$4,'Detail inputs'!$B$3:$K$3,0)),0)*SUM(P19:P21),2)</f>
        <v>1</v>
      </c>
      <c r="Q22" s="89">
        <f t="shared" si="6"/>
        <v>1.34</v>
      </c>
      <c r="R22" s="43">
        <f>IFERROR(Q22/Q23,"")</f>
        <v>5.2029136316337155E-2</v>
      </c>
      <c r="S22" s="136"/>
      <c r="T22" s="136"/>
    </row>
    <row r="23" spans="1:22" s="21" customFormat="1" outlineLevel="1" x14ac:dyDescent="0.3">
      <c r="A23" s="3"/>
      <c r="B23" s="3" t="str">
        <f t="shared" si="2"/>
        <v>Ausgrid</v>
      </c>
      <c r="C23" s="3" t="str">
        <f t="shared" si="3"/>
        <v>Residential</v>
      </c>
      <c r="D23" s="3" t="str">
        <f t="shared" si="4"/>
        <v>with CL</v>
      </c>
      <c r="E23" s="3" t="s">
        <v>16</v>
      </c>
      <c r="F23" s="41">
        <f t="array" ref="F23">IFERROR(INDEX(Usage!$B$5:$P$18,MATCH($B23,Usage!$B$5:$B$18,0),MATCH($C23&amp;$D23&amp;$E23,Usage!$B$5:$S$5&amp;Usage!$B$6:$S$6&amp;Usage!$B$7:$S$7,0)),0)</f>
        <v>1340</v>
      </c>
      <c r="G23" s="3" t="s">
        <v>62</v>
      </c>
      <c r="H23" s="95"/>
      <c r="I23" s="95">
        <f t="array" ref="I23">INDEX('Key inputs'!$B$16:$N$40,MATCH($B23&amp;$C23&amp;$E23,'Key inputs'!$B$16:$B$40&amp;'Key inputs'!$C$16:$C$40&amp;'Key inputs'!$D$16:$D$40,0),MATCH($A$2&amp;I$4,'Key inputs'!$B$17:$N$17&amp;'Key inputs'!$B$18:$N$18,0))</f>
        <v>17.22</v>
      </c>
      <c r="J23" s="89">
        <f t="shared" si="5"/>
        <v>23.0748</v>
      </c>
      <c r="K23" s="87"/>
      <c r="L23" s="88"/>
      <c r="M23" s="79">
        <f t="shared" si="7"/>
        <v>0.11614401858304291</v>
      </c>
      <c r="N23" s="88"/>
      <c r="O23" s="95"/>
      <c r="P23" s="95">
        <f t="array" ref="P23">INDEX('Key inputs'!$B$16:$N$40,MATCH($B23&amp;$C23&amp;$E23,'Key inputs'!$B$16:$B$40&amp;'Key inputs'!$C$16:$C$40&amp;'Key inputs'!$D$16:$D$40,0),MATCH($A$2&amp;P$4,'Key inputs'!$B$17:$N$17&amp;'Key inputs'!$B$18:$N$18,0))</f>
        <v>19.22</v>
      </c>
      <c r="Q23" s="89">
        <f t="shared" si="6"/>
        <v>25.754799999999999</v>
      </c>
      <c r="R23" s="87"/>
      <c r="S23" s="136" t="b">
        <f>ROUND(I23,$T$5)=ROUND(SUM(I19:I22),$T$5)</f>
        <v>1</v>
      </c>
      <c r="T23" s="136" t="b">
        <f>ROUND(P23,$T$5)=ROUND(SUM(P19:P22),$T$5)</f>
        <v>1</v>
      </c>
      <c r="U23" s="95"/>
      <c r="V23" s="95"/>
    </row>
    <row r="24" spans="1:22" s="21" customFormat="1" outlineLevel="1" x14ac:dyDescent="0.3">
      <c r="A24" s="3"/>
      <c r="B24" s="3" t="str">
        <f t="shared" si="2"/>
        <v>Ausgrid</v>
      </c>
      <c r="C24" s="3" t="str">
        <f t="shared" si="3"/>
        <v>Residential</v>
      </c>
      <c r="D24" s="3" t="str">
        <f t="shared" si="4"/>
        <v>with CL</v>
      </c>
      <c r="E24" s="3" t="s">
        <v>17</v>
      </c>
      <c r="F24" s="41">
        <f t="array" ref="F24">IFERROR(INDEX(Usage!$B$5:$P$18,MATCH($B24,Usage!$B$5:$B$18,0),MATCH($C24&amp;$D24&amp;$E24,Usage!$B$5:$S$5&amp;Usage!$B$6:$S$6&amp;Usage!$B$7:$S$7,0)),0)</f>
        <v>660</v>
      </c>
      <c r="G24" s="3" t="s">
        <v>83</v>
      </c>
      <c r="H24" s="89"/>
      <c r="I24" s="89">
        <f t="array" ref="I24">IFERROR(INDEX('Detail inputs'!$B$3:$K$168,MATCH($B24&amp;$G24&amp;I$5,'Detail inputs'!$B$3:$B$168&amp;'Detail inputs'!$G$3:$G$168&amp;'Detail inputs'!$H$3:$H$168,0),MATCH(I$4,'Detail inputs'!$B$3:$K$3,0)),0)</f>
        <v>4.95</v>
      </c>
      <c r="J24" s="89">
        <f t="shared" si="5"/>
        <v>3.2669999999999999</v>
      </c>
      <c r="K24" s="43">
        <f>IFERROR(J24/J28,"")</f>
        <v>0.28745644599303138</v>
      </c>
      <c r="L24" s="43"/>
      <c r="M24" s="48">
        <f t="shared" si="7"/>
        <v>-0.14747474747474754</v>
      </c>
      <c r="N24" s="43"/>
      <c r="O24" s="89"/>
      <c r="P24" s="89">
        <f t="array" ref="P24">IFERROR(INDEX('Detail inputs'!$B$3:$K$168,MATCH($B24&amp;$G24&amp;P$5,'Detail inputs'!$B$3:$B$168&amp;'Detail inputs'!$G$3:$G$168&amp;'Detail inputs'!$H$3:$H$168,0),MATCH(P$4,'Detail inputs'!$B$3:$K$3,0)),0)</f>
        <v>4.22</v>
      </c>
      <c r="Q24" s="89">
        <f t="shared" si="6"/>
        <v>2.7851999999999997</v>
      </c>
      <c r="R24" s="43">
        <f>IFERROR(Q24/Q28,"")</f>
        <v>0.21956295525494277</v>
      </c>
      <c r="S24" s="136"/>
      <c r="T24" s="136"/>
    </row>
    <row r="25" spans="1:22" s="21" customFormat="1" outlineLevel="1" x14ac:dyDescent="0.3">
      <c r="A25" s="3"/>
      <c r="B25" s="3" t="str">
        <f t="shared" si="2"/>
        <v>Ausgrid</v>
      </c>
      <c r="C25" s="3" t="str">
        <f t="shared" si="3"/>
        <v>Residential</v>
      </c>
      <c r="D25" s="3" t="str">
        <f t="shared" si="4"/>
        <v>with CL</v>
      </c>
      <c r="E25" s="3" t="s">
        <v>17</v>
      </c>
      <c r="F25" s="41">
        <f t="array" ref="F25">IFERROR(INDEX(Usage!$B$5:$P$18,MATCH($B25,Usage!$B$5:$B$18,0),MATCH($C25&amp;$D25&amp;$E25,Usage!$B$5:$S$5&amp;Usage!$B$6:$S$6&amp;Usage!$B$7:$S$7,0)),0)</f>
        <v>660</v>
      </c>
      <c r="G25" s="3" t="s">
        <v>84</v>
      </c>
      <c r="H25" s="95"/>
      <c r="I25" s="95">
        <f t="array" ref="I25">IFERROR(INDEX('Detail inputs'!$B$3:$K$168,MATCH($B25&amp;$G25&amp;I$5,'Detail inputs'!$B$3:$B$168&amp;'Detail inputs'!$G$3:$G$168&amp;'Detail inputs'!$H$3:$H$168,0),MATCH(I$4,'Detail inputs'!$B$3:$K$3,0)),0)</f>
        <v>9.31</v>
      </c>
      <c r="J25" s="95">
        <f t="shared" si="5"/>
        <v>6.1446000000000005</v>
      </c>
      <c r="K25" s="87">
        <f>IFERROR(J25/J28,"")</f>
        <v>0.54065040650406515</v>
      </c>
      <c r="L25" s="87"/>
      <c r="M25" s="79">
        <f t="shared" si="7"/>
        <v>0.23737916219119226</v>
      </c>
      <c r="N25" s="87"/>
      <c r="O25" s="95"/>
      <c r="P25" s="95">
        <f t="array" ref="P25">IFERROR(INDEX('Detail inputs'!$B$3:$K$168,MATCH($B25&amp;$G25&amp;P$5,'Detail inputs'!$B$3:$B$168&amp;'Detail inputs'!$G$3:$G$168&amp;'Detail inputs'!$H$3:$H$168,0),MATCH(P$4,'Detail inputs'!$B$3:$K$3,0)),0)</f>
        <v>11.52</v>
      </c>
      <c r="Q25" s="95">
        <f t="shared" si="6"/>
        <v>7.6032000000000002</v>
      </c>
      <c r="R25" s="87">
        <f>IFERROR(Q25/Q28,"")</f>
        <v>0.59937565036420404</v>
      </c>
      <c r="S25" s="136"/>
      <c r="T25" s="136"/>
    </row>
    <row r="26" spans="1:22" s="21" customFormat="1" outlineLevel="1" x14ac:dyDescent="0.3">
      <c r="A26" s="3"/>
      <c r="B26" s="3" t="str">
        <f t="shared" si="2"/>
        <v>Ausgrid</v>
      </c>
      <c r="C26" s="3" t="str">
        <f t="shared" si="3"/>
        <v>Residential</v>
      </c>
      <c r="D26" s="3" t="str">
        <f t="shared" si="4"/>
        <v>with CL</v>
      </c>
      <c r="E26" s="3" t="s">
        <v>17</v>
      </c>
      <c r="F26" s="41">
        <f t="array" ref="F26">IFERROR(INDEX(Usage!$B$5:$P$18,MATCH($B26,Usage!$B$5:$B$18,0),MATCH($C26&amp;$D26&amp;$E26,Usage!$B$5:$S$5&amp;Usage!$B$6:$S$6&amp;Usage!$B$7:$S$7,0)),0)</f>
        <v>660</v>
      </c>
      <c r="G26" s="3" t="s">
        <v>85</v>
      </c>
      <c r="H26" s="95"/>
      <c r="I26" s="95">
        <f t="array" ref="I26">IFERROR(INDEX('Detail inputs'!$B$3:$K$168,MATCH($B26&amp;$G26&amp;I$5,'Detail inputs'!$B$3:$B$168&amp;'Detail inputs'!$G$3:$G$168&amp;'Detail inputs'!$H$3:$H$168,0),MATCH(I$4,'Detail inputs'!$B$3:$K$3,0)),0)</f>
        <v>2.09</v>
      </c>
      <c r="J26" s="95">
        <f t="shared" si="5"/>
        <v>1.3794</v>
      </c>
      <c r="K26" s="87">
        <f>IFERROR(J26/J28,"")</f>
        <v>0.12137049941927991</v>
      </c>
      <c r="L26" s="87"/>
      <c r="M26" s="79">
        <f t="shared" si="7"/>
        <v>0.1866028708133971</v>
      </c>
      <c r="N26" s="87"/>
      <c r="O26" s="95"/>
      <c r="P26" s="95">
        <f t="array" ref="P26">IFERROR(INDEX('Detail inputs'!$B$3:$K$168,MATCH($B26&amp;$G26&amp;P$5,'Detail inputs'!$B$3:$B$168&amp;'Detail inputs'!$G$3:$G$168&amp;'Detail inputs'!$H$3:$H$168,0),MATCH(P$4,'Detail inputs'!$B$3:$K$3,0)),0)</f>
        <v>2.48</v>
      </c>
      <c r="Q26" s="95">
        <f t="shared" si="6"/>
        <v>1.6368</v>
      </c>
      <c r="R26" s="87">
        <f>IFERROR(Q26/Q28,"")</f>
        <v>0.12903225806451615</v>
      </c>
      <c r="S26" s="136"/>
      <c r="T26" s="136"/>
    </row>
    <row r="27" spans="1:22" s="21" customFormat="1" outlineLevel="1" x14ac:dyDescent="0.3">
      <c r="A27" s="3"/>
      <c r="B27" s="3" t="str">
        <f t="shared" si="2"/>
        <v>Ausgrid</v>
      </c>
      <c r="C27" s="3" t="str">
        <f t="shared" si="3"/>
        <v>Residential</v>
      </c>
      <c r="D27" s="3" t="str">
        <f t="shared" si="4"/>
        <v>with CL</v>
      </c>
      <c r="E27" s="3" t="s">
        <v>17</v>
      </c>
      <c r="F27" s="41">
        <f t="array" ref="F27">IFERROR(INDEX(Usage!$B$5:$P$18,MATCH($B27,Usage!$B$5:$B$18,0),MATCH($C27&amp;$D27&amp;$E27,Usage!$B$5:$S$5&amp;Usage!$B$6:$S$6&amp;Usage!$B$7:$S$7,0)),0)</f>
        <v>660</v>
      </c>
      <c r="G27" s="3" t="s">
        <v>82</v>
      </c>
      <c r="H27" s="95"/>
      <c r="I27" s="89">
        <f t="array" ref="I27">ROUND(IFERROR(INDEX('Detail inputs'!$B$3:$K$168,MATCH($B27&amp;$C27&amp;$E27&amp;$G27&amp;I$5,'Detail inputs'!$B$3:$B$168&amp;'Detail inputs'!$D$3:$D$168&amp;'Detail inputs'!$F$3:$F$168&amp;'Detail inputs'!$G$3:$G$168&amp;'Detail inputs'!$H$3:$H$168,0),MATCH(I$4,'Detail inputs'!$B$3:$K$3,0)),0)*SUM(I24:I26),2)</f>
        <v>0.87</v>
      </c>
      <c r="J27" s="95">
        <f t="shared" si="5"/>
        <v>0.57420000000000004</v>
      </c>
      <c r="K27" s="87">
        <f>IFERROR(J27/J28,"")</f>
        <v>5.0522648083623702E-2</v>
      </c>
      <c r="L27" s="87"/>
      <c r="M27" s="79">
        <f t="shared" si="7"/>
        <v>0.14942528735632177</v>
      </c>
      <c r="N27" s="87"/>
      <c r="O27" s="95"/>
      <c r="P27" s="89">
        <f t="array" ref="P27">ROUND(IFERROR(INDEX('Detail inputs'!$B$3:$K$168,MATCH($B27&amp;$C27&amp;$E27&amp;$G27&amp;P$5,'Detail inputs'!$B$3:$B$168&amp;'Detail inputs'!$D$3:$D$168&amp;'Detail inputs'!$F$3:$F$168&amp;'Detail inputs'!$G$3:$G$168&amp;'Detail inputs'!$H$3:$H$168,0),MATCH(P$4,'Detail inputs'!$B$3:$K$3,0)),0)*SUM(P24:P26),2)</f>
        <v>1</v>
      </c>
      <c r="Q27" s="95">
        <f t="shared" si="6"/>
        <v>0.66</v>
      </c>
      <c r="R27" s="87">
        <f>IFERROR(Q27/Q28,"")</f>
        <v>5.2029136316337161E-2</v>
      </c>
      <c r="S27" s="136"/>
      <c r="T27" s="136"/>
    </row>
    <row r="28" spans="1:22" s="21" customFormat="1" outlineLevel="1" x14ac:dyDescent="0.3">
      <c r="A28" s="3"/>
      <c r="B28" s="3" t="str">
        <f t="shared" si="2"/>
        <v>Ausgrid</v>
      </c>
      <c r="C28" s="3" t="str">
        <f t="shared" si="3"/>
        <v>Residential</v>
      </c>
      <c r="D28" s="3" t="str">
        <f t="shared" si="4"/>
        <v>with CL</v>
      </c>
      <c r="E28" s="3" t="s">
        <v>17</v>
      </c>
      <c r="F28" s="41">
        <f t="array" ref="F28">IFERROR(INDEX(Usage!$B$5:$P$18,MATCH($B28,Usage!$B$5:$B$18,0),MATCH($C28&amp;$D28&amp;$E28,Usage!$B$5:$S$5&amp;Usage!$B$6:$S$6&amp;Usage!$B$7:$S$7,0)),0)</f>
        <v>660</v>
      </c>
      <c r="G28" s="3" t="s">
        <v>62</v>
      </c>
      <c r="H28" s="95"/>
      <c r="I28" s="95">
        <f t="array" ref="I28">INDEX('Key inputs'!$B$16:$N$40,MATCH($B28&amp;$C28&amp;$E28,'Key inputs'!$B$16:$B$40&amp;'Key inputs'!$C$16:$C$40&amp;'Key inputs'!$D$16:$D$40,0),MATCH($A$2&amp;I$4,'Key inputs'!$B$17:$N$17&amp;'Key inputs'!$B$18:$N$18,0))</f>
        <v>17.22</v>
      </c>
      <c r="J28" s="89">
        <f t="shared" si="5"/>
        <v>11.3652</v>
      </c>
      <c r="K28" s="87"/>
      <c r="L28" s="88"/>
      <c r="M28" s="79">
        <f t="shared" si="7"/>
        <v>0.11614401858304291</v>
      </c>
      <c r="N28" s="88"/>
      <c r="O28" s="95"/>
      <c r="P28" s="95">
        <f t="array" ref="P28">INDEX('Key inputs'!$B$16:$N$40,MATCH($B28&amp;$C28&amp;$E28,'Key inputs'!$B$16:$B$40&amp;'Key inputs'!$C$16:$C$40&amp;'Key inputs'!$D$16:$D$40,0),MATCH($A$2&amp;P$4,'Key inputs'!$B$17:$N$17&amp;'Key inputs'!$B$18:$N$18,0))</f>
        <v>19.22</v>
      </c>
      <c r="Q28" s="89">
        <f t="shared" si="6"/>
        <v>12.685199999999998</v>
      </c>
      <c r="R28" s="87"/>
      <c r="S28" s="136" t="b">
        <f>ROUND(I28,$T$5)=ROUND(SUM(I24:I27),$T$5)</f>
        <v>1</v>
      </c>
      <c r="T28" s="136" t="b">
        <f>ROUND(P28,$T$5)=ROUND(SUM(P24:P27),$T$5)</f>
        <v>1</v>
      </c>
      <c r="U28" s="95"/>
      <c r="V28" s="95"/>
    </row>
    <row r="29" spans="1:22" s="88" customFormat="1" x14ac:dyDescent="0.35">
      <c r="A29" s="77"/>
      <c r="B29" s="77" t="str">
        <f t="shared" si="2"/>
        <v>Ausgrid</v>
      </c>
      <c r="C29" s="77" t="str">
        <f t="shared" si="3"/>
        <v>Residential</v>
      </c>
      <c r="D29" s="77" t="str">
        <f t="shared" si="4"/>
        <v>with CL</v>
      </c>
      <c r="E29" s="77" t="s">
        <v>62</v>
      </c>
      <c r="F29" s="41">
        <f t="array" ref="F29">IFERROR(INDEX(Usage!$B$5:$P$18,MATCH($B29,Usage!$B$5:$B$18,0),MATCH($C29&amp;$D29&amp;$E29,Usage!$B$5:$S$5&amp;Usage!$B$6:$S$6&amp;Usage!$B$7:$S$7,0)),0)</f>
        <v>6800</v>
      </c>
      <c r="G29" s="77" t="s">
        <v>62</v>
      </c>
      <c r="H29" s="95"/>
      <c r="I29" s="95">
        <f>I18+I23+I28</f>
        <v>51.61</v>
      </c>
      <c r="J29" s="95">
        <f>J18+J23+J28</f>
        <v>116.85600000000001</v>
      </c>
      <c r="K29" s="87"/>
      <c r="M29" s="79">
        <f t="shared" si="7"/>
        <v>0.11638255630861916</v>
      </c>
      <c r="O29" s="95"/>
      <c r="P29" s="95">
        <f>P18+P23+P28</f>
        <v>57.61</v>
      </c>
      <c r="Q29" s="95">
        <f>Q18+Q23+Q28</f>
        <v>130.45600000000002</v>
      </c>
      <c r="R29" s="87"/>
    </row>
    <row r="30" spans="1:22" s="21" customFormat="1" outlineLevel="1" x14ac:dyDescent="0.35">
      <c r="A30" s="3"/>
      <c r="B30" s="3" t="str">
        <f t="shared" ref="B30:D31" si="8">B29</f>
        <v>Ausgrid</v>
      </c>
      <c r="C30" s="3" t="str">
        <f t="shared" si="8"/>
        <v>Residential</v>
      </c>
      <c r="D30" s="3" t="str">
        <f t="shared" si="8"/>
        <v>with CL</v>
      </c>
      <c r="E30" s="3"/>
      <c r="F30" s="41"/>
      <c r="G30" s="77" t="s">
        <v>42</v>
      </c>
      <c r="H30" s="95"/>
      <c r="I30" s="95"/>
      <c r="J30" s="95">
        <f>J29*GST</f>
        <v>11.685600000000001</v>
      </c>
      <c r="K30" s="87"/>
      <c r="L30" s="88"/>
      <c r="M30" s="79"/>
      <c r="N30" s="88"/>
      <c r="O30" s="95"/>
      <c r="P30" s="95"/>
      <c r="Q30" s="95">
        <f>Q29*GST</f>
        <v>13.045600000000002</v>
      </c>
      <c r="R30" s="75"/>
    </row>
    <row r="31" spans="1:22" s="21" customFormat="1" x14ac:dyDescent="0.35">
      <c r="A31" s="3"/>
      <c r="B31" s="3" t="str">
        <f t="shared" si="8"/>
        <v>Ausgrid</v>
      </c>
      <c r="C31" s="3" t="str">
        <f t="shared" si="8"/>
        <v>Residential</v>
      </c>
      <c r="D31" s="3" t="str">
        <f t="shared" si="8"/>
        <v>with CL</v>
      </c>
      <c r="E31" s="3"/>
      <c r="F31" s="41"/>
      <c r="G31" s="5" t="s">
        <v>90</v>
      </c>
      <c r="H31" s="94"/>
      <c r="I31" s="94"/>
      <c r="J31" s="94">
        <f>SUM(J29:J30)</f>
        <v>128.54160000000002</v>
      </c>
      <c r="K31" s="75"/>
      <c r="L31" s="27"/>
      <c r="M31" s="76">
        <f>IF(OR(J31=0,Q31=""),"",Q31/J31-1)</f>
        <v>0.11638255630861916</v>
      </c>
      <c r="N31" s="27"/>
      <c r="O31" s="94"/>
      <c r="P31" s="94"/>
      <c r="Q31" s="94">
        <f>SUM(Q29:Q30)</f>
        <v>143.50160000000002</v>
      </c>
      <c r="R31" s="75"/>
    </row>
    <row r="32" spans="1:22" s="21" customFormat="1" x14ac:dyDescent="0.35">
      <c r="A32" s="3"/>
      <c r="B32" s="3"/>
      <c r="C32" s="3"/>
      <c r="D32" s="3"/>
      <c r="E32" s="3"/>
      <c r="F32" s="41"/>
      <c r="G32" s="3"/>
      <c r="H32" s="89"/>
      <c r="I32" s="89"/>
      <c r="J32" s="89"/>
      <c r="K32" s="43"/>
      <c r="M32" s="48"/>
      <c r="O32" s="89"/>
      <c r="P32" s="89"/>
      <c r="Q32" s="89"/>
      <c r="R32" s="43"/>
    </row>
    <row r="33" spans="1:22" s="21" customFormat="1" x14ac:dyDescent="0.35">
      <c r="A33" s="3"/>
      <c r="B33" s="5" t="s">
        <v>2</v>
      </c>
      <c r="C33" s="5" t="s">
        <v>15</v>
      </c>
      <c r="D33" s="5" t="s">
        <v>150</v>
      </c>
      <c r="E33" s="3"/>
      <c r="F33" s="41"/>
      <c r="G33" s="3"/>
      <c r="H33" s="89"/>
      <c r="I33" s="89"/>
      <c r="J33" s="89"/>
      <c r="K33" s="43"/>
      <c r="M33" s="48"/>
      <c r="O33" s="89"/>
      <c r="P33" s="89"/>
      <c r="Q33" s="89"/>
      <c r="R33" s="43"/>
    </row>
    <row r="34" spans="1:22" s="21" customFormat="1" outlineLevel="1" x14ac:dyDescent="0.35">
      <c r="A34" s="3"/>
      <c r="B34" s="3" t="str">
        <f t="shared" ref="B34:D40" si="9">B33</f>
        <v>Ausgrid</v>
      </c>
      <c r="C34" s="3" t="str">
        <f t="shared" si="9"/>
        <v>Small business</v>
      </c>
      <c r="D34" s="3" t="str">
        <f t="shared" si="9"/>
        <v>without CL</v>
      </c>
      <c r="E34" s="3" t="s">
        <v>23</v>
      </c>
      <c r="F34" s="41">
        <f t="array" ref="F34">IFERROR(INDEX(Usage!$B$5:$P$18,MATCH($B34,Usage!$B$5:$B$18,0),MATCH($C34&amp;$D34&amp;$E34,Usage!$B$5:$S$5&amp;Usage!$B$6:$S$6&amp;Usage!$B$7:$S$7,0)),0)</f>
        <v>20000</v>
      </c>
      <c r="G34" s="3" t="s">
        <v>83</v>
      </c>
      <c r="H34" s="89"/>
      <c r="I34" s="89">
        <f t="array" ref="I34">IFERROR(INDEX('Detail inputs'!$B$3:$K$168,MATCH($B34&amp;$G34&amp;I$5,'Detail inputs'!$B$3:$B$168&amp;'Detail inputs'!$G$3:$G$168&amp;'Detail inputs'!$H$3:$H$168,0),MATCH(I$4,'Detail inputs'!$B$3:$K$3,0)),0)</f>
        <v>4.95</v>
      </c>
      <c r="J34" s="89">
        <f>IF(AND(H34="",I34=""),"",H34+I34*$F34/1000)</f>
        <v>99</v>
      </c>
      <c r="K34" s="43">
        <f>IFERROR(J34/J38,"")</f>
        <v>0.28829353523587647</v>
      </c>
      <c r="L34" s="43"/>
      <c r="M34" s="48">
        <f>IF(OR(J34=0,Q34=""),"",Q34/J34-1)</f>
        <v>-0.14747474747474743</v>
      </c>
      <c r="N34" s="43"/>
      <c r="O34" s="89"/>
      <c r="P34" s="89">
        <f t="array" ref="P34">IFERROR(INDEX('Detail inputs'!$B$3:$K$168,MATCH($B34&amp;$G34&amp;P$5,'Detail inputs'!$B$3:$B$168&amp;'Detail inputs'!$G$3:$G$168&amp;'Detail inputs'!$H$3:$H$168,0),MATCH(P$4,'Detail inputs'!$B$3:$K$3,0)),0)</f>
        <v>4.22</v>
      </c>
      <c r="Q34" s="89">
        <f>IF(AND(O34="",P34=""),"",O34+P34*$F34/1000)</f>
        <v>84.4</v>
      </c>
      <c r="R34" s="43">
        <f>IFERROR(Q34/Q38,"")</f>
        <v>0.22013562858633282</v>
      </c>
    </row>
    <row r="35" spans="1:22" s="21" customFormat="1" outlineLevel="1" x14ac:dyDescent="0.35">
      <c r="A35" s="3"/>
      <c r="B35" s="3" t="str">
        <f t="shared" si="9"/>
        <v>Ausgrid</v>
      </c>
      <c r="C35" s="3" t="str">
        <f t="shared" si="9"/>
        <v>Small business</v>
      </c>
      <c r="D35" s="3" t="str">
        <f t="shared" si="9"/>
        <v>without CL</v>
      </c>
      <c r="E35" s="3" t="s">
        <v>23</v>
      </c>
      <c r="F35" s="41">
        <f t="array" ref="F35">IFERROR(INDEX(Usage!$B$5:$P$18,MATCH($B35,Usage!$B$5:$B$18,0),MATCH($C35&amp;$D35&amp;$E35,Usage!$B$5:$S$5&amp;Usage!$B$6:$S$6&amp;Usage!$B$7:$S$7,0)),0)</f>
        <v>20000</v>
      </c>
      <c r="G35" s="3" t="s">
        <v>84</v>
      </c>
      <c r="H35" s="89"/>
      <c r="I35" s="89">
        <f t="array" ref="I35">IFERROR(INDEX('Detail inputs'!$B$3:$K$168,MATCH($B35&amp;$G35&amp;I$5,'Detail inputs'!$B$3:$B$168&amp;'Detail inputs'!$G$3:$G$168&amp;'Detail inputs'!$H$3:$H$168,0),MATCH(I$4,'Detail inputs'!$B$3:$K$3,0)),0)</f>
        <v>9.31</v>
      </c>
      <c r="J35" s="89">
        <f>IF(AND(H35="",I35=""),"",H35+I35*$F35/1000)</f>
        <v>186.2</v>
      </c>
      <c r="K35" s="43">
        <f>IFERROR(J35/J38,"")</f>
        <v>0.54222481071636563</v>
      </c>
      <c r="L35" s="43"/>
      <c r="M35" s="48">
        <f>IF(OR(J35=0,Q35=""),"",Q35/J35-1)</f>
        <v>0.23737916219119248</v>
      </c>
      <c r="N35" s="43"/>
      <c r="O35" s="89"/>
      <c r="P35" s="89">
        <f t="array" ref="P35">IFERROR(INDEX('Detail inputs'!$B$3:$K$168,MATCH($B35&amp;$G35&amp;P$5,'Detail inputs'!$B$3:$B$168&amp;'Detail inputs'!$G$3:$G$168&amp;'Detail inputs'!$H$3:$H$168,0),MATCH(P$4,'Detail inputs'!$B$3:$K$3,0)),0)</f>
        <v>11.52</v>
      </c>
      <c r="Q35" s="89">
        <f>IF(AND(O35="",P35=""),"",O35+P35*$F35/1000)</f>
        <v>230.4</v>
      </c>
      <c r="R35" s="43">
        <f>IFERROR(Q35/Q38,"")</f>
        <v>0.60093896713615025</v>
      </c>
    </row>
    <row r="36" spans="1:22" s="21" customFormat="1" outlineLevel="1" x14ac:dyDescent="0.35">
      <c r="A36" s="3"/>
      <c r="B36" s="3" t="str">
        <f t="shared" si="9"/>
        <v>Ausgrid</v>
      </c>
      <c r="C36" s="3" t="str">
        <f t="shared" si="9"/>
        <v>Small business</v>
      </c>
      <c r="D36" s="3" t="str">
        <f t="shared" si="9"/>
        <v>without CL</v>
      </c>
      <c r="E36" s="3" t="s">
        <v>23</v>
      </c>
      <c r="F36" s="41">
        <f t="array" ref="F36">IFERROR(INDEX(Usage!$B$5:$P$18,MATCH($B36,Usage!$B$5:$B$18,0),MATCH($C36&amp;$D36&amp;$E36,Usage!$B$5:$S$5&amp;Usage!$B$6:$S$6&amp;Usage!$B$7:$S$7,0)),0)</f>
        <v>20000</v>
      </c>
      <c r="G36" s="3" t="s">
        <v>85</v>
      </c>
      <c r="H36" s="89"/>
      <c r="I36" s="89">
        <f t="array" ref="I36">IFERROR(INDEX('Detail inputs'!$B$3:$K$168,MATCH($B36&amp;$G36&amp;I$5,'Detail inputs'!$B$3:$B$168&amp;'Detail inputs'!$G$3:$G$168&amp;'Detail inputs'!$H$3:$H$168,0),MATCH(I$4,'Detail inputs'!$B$3:$K$3,0)),0)</f>
        <v>2.09</v>
      </c>
      <c r="J36" s="89">
        <f>IF(AND(H36="",I36=""),"",H36+I36*$F36/1000)</f>
        <v>41.8</v>
      </c>
      <c r="K36" s="43">
        <f>IFERROR(J36/J38,"")</f>
        <v>0.1217239370995923</v>
      </c>
      <c r="L36" s="43"/>
      <c r="M36" s="48">
        <f>IF(OR(J36=0,Q36=""),"",Q36/J36-1)</f>
        <v>0.18660287081339733</v>
      </c>
      <c r="N36" s="43"/>
      <c r="O36" s="89"/>
      <c r="P36" s="89">
        <f t="array" ref="P36">IFERROR(INDEX('Detail inputs'!$B$3:$K$168,MATCH($B36&amp;$G36&amp;P$5,'Detail inputs'!$B$3:$B$168&amp;'Detail inputs'!$G$3:$G$168&amp;'Detail inputs'!$H$3:$H$168,0),MATCH(P$4,'Detail inputs'!$B$3:$K$3,0)),0)</f>
        <v>2.48</v>
      </c>
      <c r="Q36" s="89">
        <f>IF(AND(O36="",P36=""),"",O36+P36*$F36/1000)</f>
        <v>49.6</v>
      </c>
      <c r="R36" s="43">
        <f>IFERROR(Q36/Q38,"")</f>
        <v>0.12936880542514345</v>
      </c>
    </row>
    <row r="37" spans="1:22" s="21" customFormat="1" outlineLevel="1" x14ac:dyDescent="0.35">
      <c r="A37" s="3"/>
      <c r="B37" s="3" t="str">
        <f t="shared" si="9"/>
        <v>Ausgrid</v>
      </c>
      <c r="C37" s="3" t="str">
        <f t="shared" si="9"/>
        <v>Small business</v>
      </c>
      <c r="D37" s="3" t="str">
        <f t="shared" si="9"/>
        <v>without CL</v>
      </c>
      <c r="E37" s="3" t="s">
        <v>23</v>
      </c>
      <c r="F37" s="41">
        <f t="array" ref="F37">IFERROR(INDEX(Usage!$B$5:$P$18,MATCH($B37,Usage!$B$5:$B$18,0),MATCH($C37&amp;$D37&amp;$E37,Usage!$B$5:$S$5&amp;Usage!$B$6:$S$6&amp;Usage!$B$7:$S$7,0)),0)</f>
        <v>20000</v>
      </c>
      <c r="G37" s="3" t="s">
        <v>82</v>
      </c>
      <c r="H37" s="89"/>
      <c r="I37" s="89">
        <f t="array" ref="I37">ROUND(IFERROR(INDEX('Detail inputs'!$B$3:$K$168,MATCH($B37&amp;$C37&amp;$E37&amp;$G37&amp;I$5,'Detail inputs'!$B$3:$B$168&amp;'Detail inputs'!$D$3:$D$168&amp;'Detail inputs'!$F$3:$F$168&amp;'Detail inputs'!$G$3:$G$168&amp;'Detail inputs'!$H$3:$H$168,0),MATCH(I$4,'Detail inputs'!$B$3:$K$3,0)),0)*SUM(I34:I36),2)</f>
        <v>0.82</v>
      </c>
      <c r="J37" s="89">
        <f>IF(AND(H37="",I37=""),"",H37+I37*$F37/1000)</f>
        <v>16.399999999999999</v>
      </c>
      <c r="K37" s="43">
        <f>IFERROR(J37/J38,"")</f>
        <v>4.7757716948165399E-2</v>
      </c>
      <c r="L37" s="43"/>
      <c r="M37" s="48">
        <f>IF(OR(J37=0,Q37=""),"",Q37/J37-1)</f>
        <v>0.1585365853658538</v>
      </c>
      <c r="N37" s="43"/>
      <c r="O37" s="89"/>
      <c r="P37" s="89">
        <f t="array" ref="P37">ROUND(IFERROR(INDEX('Detail inputs'!$B$3:$K$168,MATCH($B37&amp;$C37&amp;$E37&amp;$G37&amp;P$5,'Detail inputs'!$B$3:$B$168&amp;'Detail inputs'!$D$3:$D$168&amp;'Detail inputs'!$F$3:$F$168&amp;'Detail inputs'!$G$3:$G$168&amp;'Detail inputs'!$H$3:$H$168,0),MATCH(P$4,'Detail inputs'!$B$3:$K$3,0)),0)*SUM(P34:P36),2)</f>
        <v>0.95</v>
      </c>
      <c r="Q37" s="89">
        <f>IF(AND(O37="",P37=""),"",O37+P37*$F37/1000)</f>
        <v>19</v>
      </c>
      <c r="R37" s="43">
        <f>IFERROR(Q37/Q38,"")</f>
        <v>4.9556598852373498E-2</v>
      </c>
    </row>
    <row r="38" spans="1:22" s="88" customFormat="1" x14ac:dyDescent="0.3">
      <c r="A38" s="77"/>
      <c r="B38" s="77" t="str">
        <f t="shared" si="9"/>
        <v>Ausgrid</v>
      </c>
      <c r="C38" s="77" t="str">
        <f t="shared" si="9"/>
        <v>Small business</v>
      </c>
      <c r="D38" s="77" t="str">
        <f t="shared" si="9"/>
        <v>without CL</v>
      </c>
      <c r="E38" s="3" t="s">
        <v>23</v>
      </c>
      <c r="F38" s="41">
        <f t="array" ref="F38">IFERROR(INDEX(Usage!$B$5:$P$18,MATCH($B38,Usage!$B$5:$B$18,0),MATCH($C38&amp;$D38&amp;$E38,Usage!$B$5:$S$5&amp;Usage!$B$6:$S$6&amp;Usage!$B$7:$S$7,0)),0)</f>
        <v>20000</v>
      </c>
      <c r="G38" s="77" t="s">
        <v>62</v>
      </c>
      <c r="H38" s="95"/>
      <c r="I38" s="95">
        <f t="array" ref="I38">INDEX('Key inputs'!$B$16:$N$40,MATCH($B38&amp;$C38&amp;$E38,'Key inputs'!$B$16:$B$40&amp;'Key inputs'!$C$16:$C$40&amp;'Key inputs'!$D$16:$D$40,0),MATCH($A$2&amp;I$4,'Key inputs'!$B$17:$N$17&amp;'Key inputs'!$B$18:$N$18,0))</f>
        <v>17.170000000000002</v>
      </c>
      <c r="J38" s="89">
        <f>IF(AND(H38="",I38=""),"",H38+I38*$F38/1000)</f>
        <v>343.40000000000003</v>
      </c>
      <c r="K38" s="87"/>
      <c r="M38" s="79">
        <f>IF(OR(J38=0,Q38=""),"",Q38/J38-1)</f>
        <v>0.11648223645893996</v>
      </c>
      <c r="O38" s="95"/>
      <c r="P38" s="95">
        <f t="array" ref="P38">INDEX('Key inputs'!$B$16:$N$40,MATCH($B38&amp;$C38&amp;$E38,'Key inputs'!$B$16:$B$40&amp;'Key inputs'!$C$16:$C$40&amp;'Key inputs'!$D$16:$D$40,0),MATCH($A$2&amp;P$4,'Key inputs'!$B$17:$N$17&amp;'Key inputs'!$B$18:$N$18,0))</f>
        <v>19.170000000000002</v>
      </c>
      <c r="Q38" s="89">
        <f>IF(AND(O38="",P38=""),"",O38+P38*$F38/1000)</f>
        <v>383.40000000000003</v>
      </c>
      <c r="R38" s="87"/>
      <c r="S38" s="136" t="b">
        <f>ROUND(I38,$T$5)=ROUND(SUM(I34:I37),$T$5)</f>
        <v>1</v>
      </c>
      <c r="T38" s="136" t="b">
        <f>ROUND(P38,$T$5)=ROUND(SUM(P34:P37),$T$5)</f>
        <v>1</v>
      </c>
      <c r="U38" s="95"/>
      <c r="V38" s="95"/>
    </row>
    <row r="39" spans="1:22" s="21" customFormat="1" outlineLevel="1" x14ac:dyDescent="0.35">
      <c r="A39" s="3"/>
      <c r="B39" s="3" t="str">
        <f t="shared" si="9"/>
        <v>Ausgrid</v>
      </c>
      <c r="C39" s="3" t="str">
        <f t="shared" si="9"/>
        <v>Small business</v>
      </c>
      <c r="D39" s="3" t="str">
        <f t="shared" si="9"/>
        <v>without CL</v>
      </c>
      <c r="E39" s="3"/>
      <c r="F39" s="41"/>
      <c r="G39" s="77" t="s">
        <v>42</v>
      </c>
      <c r="H39" s="95"/>
      <c r="I39" s="95"/>
      <c r="J39" s="95">
        <f>J38*GST</f>
        <v>34.340000000000003</v>
      </c>
      <c r="K39" s="87"/>
      <c r="L39" s="88"/>
      <c r="M39" s="79"/>
      <c r="N39" s="88"/>
      <c r="O39" s="95"/>
      <c r="P39" s="95"/>
      <c r="Q39" s="95">
        <f>Q38*GST</f>
        <v>38.340000000000003</v>
      </c>
      <c r="R39" s="43"/>
    </row>
    <row r="40" spans="1:22" s="21" customFormat="1" x14ac:dyDescent="0.35">
      <c r="A40" s="3"/>
      <c r="B40" s="3" t="str">
        <f t="shared" si="9"/>
        <v>Ausgrid</v>
      </c>
      <c r="C40" s="3" t="str">
        <f t="shared" si="9"/>
        <v>Small business</v>
      </c>
      <c r="D40" s="3" t="str">
        <f t="shared" si="9"/>
        <v>without CL</v>
      </c>
      <c r="E40" s="3"/>
      <c r="F40" s="41"/>
      <c r="G40" s="5" t="s">
        <v>90</v>
      </c>
      <c r="H40" s="94"/>
      <c r="I40" s="94"/>
      <c r="J40" s="94">
        <f>SUM(J38:J39)</f>
        <v>377.74</v>
      </c>
      <c r="K40" s="75"/>
      <c r="L40" s="27"/>
      <c r="M40" s="76">
        <f>IF(OR(J40=0,Q40=""),"",Q40/J40-1)</f>
        <v>0.11648223645893996</v>
      </c>
      <c r="N40" s="27"/>
      <c r="O40" s="94"/>
      <c r="P40" s="94"/>
      <c r="Q40" s="94">
        <f>SUM(Q38:Q39)</f>
        <v>421.74</v>
      </c>
      <c r="R40" s="43"/>
    </row>
    <row r="41" spans="1:22" s="21" customFormat="1" x14ac:dyDescent="0.35">
      <c r="A41" s="3"/>
      <c r="B41" s="3"/>
      <c r="C41" s="3"/>
      <c r="D41" s="3"/>
      <c r="E41" s="3"/>
      <c r="F41" s="41"/>
      <c r="G41" s="3"/>
      <c r="H41" s="89"/>
      <c r="I41" s="89"/>
      <c r="J41" s="89"/>
      <c r="K41" s="43"/>
      <c r="M41" s="48"/>
      <c r="O41" s="89"/>
      <c r="P41" s="89"/>
      <c r="Q41" s="89"/>
      <c r="R41" s="43"/>
    </row>
    <row r="42" spans="1:22" s="21" customFormat="1" x14ac:dyDescent="0.35">
      <c r="A42" s="3"/>
      <c r="B42" s="5" t="s">
        <v>4</v>
      </c>
      <c r="C42" s="5" t="s">
        <v>6</v>
      </c>
      <c r="D42" s="5" t="s">
        <v>150</v>
      </c>
      <c r="E42" s="3"/>
      <c r="F42" s="41"/>
      <c r="G42" s="3"/>
      <c r="H42" s="89"/>
      <c r="I42" s="89"/>
      <c r="J42" s="89"/>
      <c r="K42" s="43"/>
      <c r="M42" s="48"/>
      <c r="O42" s="89"/>
      <c r="P42" s="89"/>
      <c r="Q42" s="89"/>
      <c r="R42" s="43"/>
    </row>
    <row r="43" spans="1:22" s="21" customFormat="1" outlineLevel="1" x14ac:dyDescent="0.35">
      <c r="A43" s="3"/>
      <c r="B43" s="3" t="str">
        <f t="shared" ref="B43:D49" si="10">B42</f>
        <v>Endeavour</v>
      </c>
      <c r="C43" s="3" t="str">
        <f t="shared" si="10"/>
        <v>Residential</v>
      </c>
      <c r="D43" s="3" t="str">
        <f t="shared" si="10"/>
        <v>without CL</v>
      </c>
      <c r="E43" s="3" t="s">
        <v>23</v>
      </c>
      <c r="F43" s="41">
        <f t="array" ref="F43">IFERROR(INDEX(Usage!$B$5:$P$18,MATCH($B43,Usage!$B$5:$B$18,0),MATCH($C43&amp;$D43&amp;$E43&amp;"Total",Usage!$B$5:$S$5&amp;Usage!$B$6:$S$6&amp;Usage!$B$7:$S$7&amp;Usage!$B$13:$S$13,0)),0)</f>
        <v>4900</v>
      </c>
      <c r="G43" s="3" t="s">
        <v>83</v>
      </c>
      <c r="H43" s="89"/>
      <c r="I43" s="89">
        <f t="array" ref="I43">IFERROR(INDEX('Detail inputs'!$B$3:$K$168,MATCH($B43&amp;$G43&amp;I$5,'Detail inputs'!$B$3:$B$168&amp;'Detail inputs'!$G$3:$G$168&amp;'Detail inputs'!$H$3:$H$168,0),MATCH(I$4,'Detail inputs'!$B$3:$K$3,0)),0)</f>
        <v>4.95</v>
      </c>
      <c r="J43" s="89">
        <f>IF(AND(H43="",I43=""),"",H43+I43*$F43/1000)</f>
        <v>24.254999999999999</v>
      </c>
      <c r="K43" s="43">
        <f>IFERROR(J43/J47,"")</f>
        <v>0.28513824884792627</v>
      </c>
      <c r="L43" s="43"/>
      <c r="M43" s="48">
        <f>IF(OR(J43=0,Q43=""),"",Q43/J43-1)</f>
        <v>-0.14747474747474743</v>
      </c>
      <c r="N43" s="43"/>
      <c r="O43" s="89"/>
      <c r="P43" s="89">
        <f t="array" ref="P43">IFERROR(INDEX('Detail inputs'!$B$3:$K$168,MATCH($B43&amp;$G43&amp;P$5,'Detail inputs'!$B$3:$B$168&amp;'Detail inputs'!$G$3:$G$168&amp;'Detail inputs'!$H$3:$H$168,0),MATCH(P$4,'Detail inputs'!$B$3:$K$3,0)),0)</f>
        <v>4.22</v>
      </c>
      <c r="Q43" s="89">
        <f>IF(AND(O43="",P43=""),"",O43+P43*$F43/1000)</f>
        <v>20.678000000000001</v>
      </c>
      <c r="R43" s="43">
        <f>IFERROR(Q43/Q47,"")</f>
        <v>0.21853961677887107</v>
      </c>
    </row>
    <row r="44" spans="1:22" s="21" customFormat="1" outlineLevel="1" x14ac:dyDescent="0.35">
      <c r="A44" s="3"/>
      <c r="B44" s="3" t="str">
        <f t="shared" si="10"/>
        <v>Endeavour</v>
      </c>
      <c r="C44" s="3" t="str">
        <f t="shared" si="10"/>
        <v>Residential</v>
      </c>
      <c r="D44" s="3" t="str">
        <f t="shared" si="10"/>
        <v>without CL</v>
      </c>
      <c r="E44" s="3" t="s">
        <v>23</v>
      </c>
      <c r="F44" s="41">
        <f t="array" ref="F44">IFERROR(INDEX(Usage!$B$5:$P$18,MATCH($B44,Usage!$B$5:$B$18,0),MATCH($C44&amp;$D44&amp;$E44&amp;"Total",Usage!$B$5:$S$5&amp;Usage!$B$6:$S$6&amp;Usage!$B$7:$S$7&amp;Usage!$B$13:$S$13,0)),0)</f>
        <v>4900</v>
      </c>
      <c r="G44" s="3" t="s">
        <v>84</v>
      </c>
      <c r="H44" s="89"/>
      <c r="I44" s="89">
        <f t="array" ref="I44">IFERROR(INDEX('Detail inputs'!$B$3:$K$168,MATCH($B44&amp;$G44&amp;I$5,'Detail inputs'!$B$3:$B$168&amp;'Detail inputs'!$G$3:$G$168&amp;'Detail inputs'!$H$3:$H$168,0),MATCH(I$4,'Detail inputs'!$B$3:$K$3,0)),0)</f>
        <v>9.31</v>
      </c>
      <c r="J44" s="89">
        <f>IF(AND(H44="",I44=""),"",H44+I44*$F44/1000)</f>
        <v>45.619</v>
      </c>
      <c r="K44" s="43">
        <f>IFERROR(J44/J47,"")</f>
        <v>0.53629032258064524</v>
      </c>
      <c r="L44" s="43"/>
      <c r="M44" s="48">
        <f>IF(OR(J44=0,Q44=""),"",Q44/J44-1)</f>
        <v>0.23737916219119226</v>
      </c>
      <c r="N44" s="43"/>
      <c r="O44" s="89"/>
      <c r="P44" s="89">
        <f t="array" ref="P44">IFERROR(INDEX('Detail inputs'!$B$3:$K$168,MATCH($B44&amp;$G44&amp;P$5,'Detail inputs'!$B$3:$B$168&amp;'Detail inputs'!$G$3:$G$168&amp;'Detail inputs'!$H$3:$H$168,0),MATCH(P$4,'Detail inputs'!$B$3:$K$3,0)),0)</f>
        <v>11.52</v>
      </c>
      <c r="Q44" s="89">
        <f>IF(AND(O44="",P44=""),"",O44+P44*$F44/1000)</f>
        <v>56.448</v>
      </c>
      <c r="R44" s="43">
        <f>IFERROR(Q44/Q47,"")</f>
        <v>0.59658208182288974</v>
      </c>
    </row>
    <row r="45" spans="1:22" s="21" customFormat="1" outlineLevel="1" x14ac:dyDescent="0.35">
      <c r="A45" s="3"/>
      <c r="B45" s="3" t="str">
        <f t="shared" si="10"/>
        <v>Endeavour</v>
      </c>
      <c r="C45" s="3" t="str">
        <f t="shared" si="10"/>
        <v>Residential</v>
      </c>
      <c r="D45" s="3" t="str">
        <f t="shared" si="10"/>
        <v>without CL</v>
      </c>
      <c r="E45" s="3" t="s">
        <v>23</v>
      </c>
      <c r="F45" s="41">
        <f t="array" ref="F45">IFERROR(INDEX(Usage!$B$5:$P$18,MATCH($B45,Usage!$B$5:$B$18,0),MATCH($C45&amp;$D45&amp;$E45&amp;"Total",Usage!$B$5:$S$5&amp;Usage!$B$6:$S$6&amp;Usage!$B$7:$S$7&amp;Usage!$B$13:$S$13,0)),0)</f>
        <v>4900</v>
      </c>
      <c r="G45" s="3" t="s">
        <v>85</v>
      </c>
      <c r="H45" s="89"/>
      <c r="I45" s="89">
        <f t="array" ref="I45">IFERROR(INDEX('Detail inputs'!$B$3:$K$168,MATCH($B45&amp;$G45&amp;I$5,'Detail inputs'!$B$3:$B$168&amp;'Detail inputs'!$G$3:$G$168&amp;'Detail inputs'!$H$3:$H$168,0),MATCH(I$4,'Detail inputs'!$B$3:$K$3,0)),0)</f>
        <v>2.09</v>
      </c>
      <c r="J45" s="89">
        <f>IF(AND(H45="",I45=""),"",H45+I45*$F45/1000)</f>
        <v>10.241</v>
      </c>
      <c r="K45" s="43">
        <f>IFERROR(J45/J47,"")</f>
        <v>0.12039170506912443</v>
      </c>
      <c r="L45" s="43"/>
      <c r="M45" s="48">
        <f>IF(OR(J45=0,Q45=""),"",Q45/J45-1)</f>
        <v>0.1866028708133971</v>
      </c>
      <c r="N45" s="43"/>
      <c r="O45" s="89"/>
      <c r="P45" s="89">
        <f t="array" ref="P45">IFERROR(INDEX('Detail inputs'!$B$3:$K$168,MATCH($B45&amp;$G45&amp;P$5,'Detail inputs'!$B$3:$B$168&amp;'Detail inputs'!$G$3:$G$168&amp;'Detail inputs'!$H$3:$H$168,0),MATCH(P$4,'Detail inputs'!$B$3:$K$3,0)),0)</f>
        <v>2.48</v>
      </c>
      <c r="Q45" s="89">
        <f>IF(AND(O45="",P45=""),"",O45+P45*$F45/1000)</f>
        <v>12.151999999999999</v>
      </c>
      <c r="R45" s="43">
        <f>IFERROR(Q45/Q47,"")</f>
        <v>0.12843086483687208</v>
      </c>
    </row>
    <row r="46" spans="1:22" s="21" customFormat="1" outlineLevel="1" x14ac:dyDescent="0.35">
      <c r="A46" s="3"/>
      <c r="B46" s="3" t="str">
        <f t="shared" si="10"/>
        <v>Endeavour</v>
      </c>
      <c r="C46" s="3" t="str">
        <f t="shared" si="10"/>
        <v>Residential</v>
      </c>
      <c r="D46" s="3" t="str">
        <f t="shared" si="10"/>
        <v>without CL</v>
      </c>
      <c r="E46" s="3" t="s">
        <v>23</v>
      </c>
      <c r="F46" s="41">
        <f t="array" ref="F46">IFERROR(INDEX(Usage!$B$5:$P$18,MATCH($B46,Usage!$B$5:$B$18,0),MATCH($C46&amp;$D46&amp;$E46&amp;"Total",Usage!$B$5:$S$5&amp;Usage!$B$6:$S$6&amp;Usage!$B$7:$S$7&amp;Usage!$B$13:$S$13,0)),0)</f>
        <v>4900</v>
      </c>
      <c r="G46" s="3" t="s">
        <v>82</v>
      </c>
      <c r="H46" s="89"/>
      <c r="I46" s="89">
        <f t="array" ref="I46">ROUND(IFERROR(INDEX('Detail inputs'!$B$3:$K$168,MATCH($B46&amp;$C46&amp;$E46&amp;$G46&amp;I$5,'Detail inputs'!$B$3:$B$168&amp;'Detail inputs'!$D$3:$D$168&amp;'Detail inputs'!$F$3:$F$168&amp;'Detail inputs'!$G$3:$G$168&amp;'Detail inputs'!$H$3:$H$168,0),MATCH(I$4,'Detail inputs'!$B$3:$K$3,0)),0)*SUM(I43:I45),2)</f>
        <v>1.01</v>
      </c>
      <c r="J46" s="89">
        <f>IF(AND(H46="",I46=""),"",H46+I46*$F46/1000)</f>
        <v>4.9489999999999998</v>
      </c>
      <c r="K46" s="43">
        <f>IFERROR(J46/J47,"")</f>
        <v>5.8179723502304152E-2</v>
      </c>
      <c r="L46" s="43"/>
      <c r="M46" s="48">
        <f>IF(OR(J46=0,Q46=""),"",Q46/J46-1)</f>
        <v>7.9207920792079278E-2</v>
      </c>
      <c r="N46" s="43"/>
      <c r="O46" s="89"/>
      <c r="P46" s="89">
        <f t="array" ref="P46">ROUND(IFERROR(INDEX('Detail inputs'!$B$3:$K$168,MATCH($B46&amp;$C46&amp;$E46&amp;$G46&amp;P$5,'Detail inputs'!$B$3:$B$168&amp;'Detail inputs'!$D$3:$D$168&amp;'Detail inputs'!$F$3:$F$168&amp;'Detail inputs'!$G$3:$G$168&amp;'Detail inputs'!$H$3:$H$168,0),MATCH(P$4,'Detail inputs'!$B$3:$K$3,0)),0)*SUM(P43:P45),2)</f>
        <v>1.0900000000000001</v>
      </c>
      <c r="Q46" s="89">
        <f>IF(AND(O46="",P46=""),"",O46+P46*$F46/1000)</f>
        <v>5.3410000000000002</v>
      </c>
      <c r="R46" s="43">
        <f>IFERROR(Q46/Q47,"")</f>
        <v>5.6447436561367172E-2</v>
      </c>
    </row>
    <row r="47" spans="1:22" s="88" customFormat="1" x14ac:dyDescent="0.3">
      <c r="A47" s="77"/>
      <c r="B47" s="77" t="str">
        <f t="shared" si="10"/>
        <v>Endeavour</v>
      </c>
      <c r="C47" s="77" t="str">
        <f t="shared" si="10"/>
        <v>Residential</v>
      </c>
      <c r="D47" s="77" t="str">
        <f t="shared" si="10"/>
        <v>without CL</v>
      </c>
      <c r="E47" s="3" t="s">
        <v>23</v>
      </c>
      <c r="F47" s="41">
        <f t="array" ref="F47">IFERROR(INDEX(Usage!$B$5:$P$18,MATCH($B47,Usage!$B$5:$B$18,0),MATCH($C47&amp;$D47&amp;$E47&amp;"Total",Usage!$B$5:$S$5&amp;Usage!$B$6:$S$6&amp;Usage!$B$7:$S$7&amp;Usage!$B$13:$S$13,0)),0)</f>
        <v>4900</v>
      </c>
      <c r="G47" s="77" t="s">
        <v>62</v>
      </c>
      <c r="H47" s="95"/>
      <c r="I47" s="95">
        <f t="array" ref="I47">INDEX('Key inputs'!$B$16:$N$40,MATCH($B47&amp;$C47&amp;$E47,'Key inputs'!$B$16:$B$40&amp;'Key inputs'!$C$16:$C$40&amp;'Key inputs'!$D$16:$D$40,0),MATCH($A$2&amp;I$4,'Key inputs'!$B$17:$N$17&amp;'Key inputs'!$B$18:$N$18,0))</f>
        <v>17.36</v>
      </c>
      <c r="J47" s="89">
        <f>IF(AND(H47="",I47=""),"",H47+I47*$F47/1000)</f>
        <v>85.063999999999993</v>
      </c>
      <c r="K47" s="87"/>
      <c r="M47" s="79">
        <f>IF(OR(J47=0,Q47=""),"",Q47/J47-1)</f>
        <v>0.1123271889400923</v>
      </c>
      <c r="O47" s="95"/>
      <c r="P47" s="95">
        <f t="array" ref="P47">INDEX('Key inputs'!$B$16:$N$40,MATCH($B47&amp;$C47&amp;$E47,'Key inputs'!$B$16:$B$40&amp;'Key inputs'!$C$16:$C$40&amp;'Key inputs'!$D$16:$D$40,0),MATCH($A$2&amp;P$4,'Key inputs'!$B$17:$N$17&amp;'Key inputs'!$B$18:$N$18,0))</f>
        <v>19.309999999999999</v>
      </c>
      <c r="Q47" s="89">
        <f>IF(AND(O47="",P47=""),"",O47+P47*$F47/1000)</f>
        <v>94.619</v>
      </c>
      <c r="R47" s="87"/>
      <c r="S47" s="136" t="b">
        <f>ROUND(I47,$T$5)=ROUND(SUM(I43:I46),$T$5)</f>
        <v>1</v>
      </c>
      <c r="T47" s="136" t="b">
        <f>ROUND(P47,$T$5)=ROUND(SUM(P43:P46),$T$5)</f>
        <v>1</v>
      </c>
      <c r="U47" s="95"/>
      <c r="V47" s="95"/>
    </row>
    <row r="48" spans="1:22" s="21" customFormat="1" outlineLevel="1" x14ac:dyDescent="0.35">
      <c r="A48" s="3"/>
      <c r="B48" s="3" t="str">
        <f t="shared" si="10"/>
        <v>Endeavour</v>
      </c>
      <c r="C48" s="3" t="str">
        <f t="shared" si="10"/>
        <v>Residential</v>
      </c>
      <c r="D48" s="3" t="str">
        <f t="shared" si="10"/>
        <v>without CL</v>
      </c>
      <c r="E48" s="3"/>
      <c r="F48" s="41"/>
      <c r="G48" s="77" t="s">
        <v>42</v>
      </c>
      <c r="H48" s="95"/>
      <c r="I48" s="95"/>
      <c r="J48" s="95">
        <f>J47*GST</f>
        <v>8.5063999999999993</v>
      </c>
      <c r="K48" s="87"/>
      <c r="L48" s="88"/>
      <c r="M48" s="79"/>
      <c r="N48" s="88"/>
      <c r="O48" s="95"/>
      <c r="P48" s="95"/>
      <c r="Q48" s="95">
        <f>Q47*GST</f>
        <v>9.4619</v>
      </c>
      <c r="R48" s="75"/>
    </row>
    <row r="49" spans="1:22" s="21" customFormat="1" x14ac:dyDescent="0.35">
      <c r="A49" s="3"/>
      <c r="B49" s="3" t="str">
        <f t="shared" si="10"/>
        <v>Endeavour</v>
      </c>
      <c r="C49" s="3" t="str">
        <f t="shared" si="10"/>
        <v>Residential</v>
      </c>
      <c r="D49" s="3" t="str">
        <f t="shared" si="10"/>
        <v>without CL</v>
      </c>
      <c r="E49" s="3"/>
      <c r="F49" s="41"/>
      <c r="G49" s="5" t="s">
        <v>90</v>
      </c>
      <c r="H49" s="94"/>
      <c r="I49" s="94"/>
      <c r="J49" s="94">
        <f>SUM(J47:J48)</f>
        <v>93.570399999999992</v>
      </c>
      <c r="K49" s="75"/>
      <c r="L49" s="27"/>
      <c r="M49" s="76">
        <f>IF(OR(J49=0,Q49=""),"",Q49/J49-1)</f>
        <v>0.1123271889400923</v>
      </c>
      <c r="N49" s="27"/>
      <c r="O49" s="94"/>
      <c r="P49" s="94"/>
      <c r="Q49" s="94">
        <f>SUM(Q47:Q48)</f>
        <v>104.0809</v>
      </c>
      <c r="R49" s="75"/>
    </row>
    <row r="50" spans="1:22" s="21" customFormat="1" x14ac:dyDescent="0.35">
      <c r="A50" s="3"/>
      <c r="B50" s="3"/>
      <c r="C50" s="3"/>
      <c r="D50" s="3"/>
      <c r="E50" s="3"/>
      <c r="F50" s="41"/>
      <c r="G50" s="3"/>
      <c r="H50" s="89"/>
      <c r="I50" s="89"/>
      <c r="J50" s="89"/>
      <c r="K50" s="43"/>
      <c r="M50" s="48"/>
      <c r="O50" s="89"/>
      <c r="P50" s="89"/>
      <c r="Q50" s="89"/>
      <c r="R50" s="43"/>
    </row>
    <row r="51" spans="1:22" s="21" customFormat="1" x14ac:dyDescent="0.35">
      <c r="A51" s="3"/>
      <c r="B51" s="5" t="s">
        <v>4</v>
      </c>
      <c r="C51" s="5" t="s">
        <v>6</v>
      </c>
      <c r="D51" s="5" t="s">
        <v>151</v>
      </c>
      <c r="E51" s="3"/>
      <c r="F51" s="41"/>
      <c r="G51" s="3"/>
      <c r="H51" s="89"/>
      <c r="I51" s="89"/>
      <c r="J51" s="89"/>
      <c r="K51" s="43"/>
      <c r="M51" s="48"/>
      <c r="O51" s="89"/>
      <c r="P51" s="89"/>
      <c r="Q51" s="89"/>
      <c r="R51" s="43"/>
    </row>
    <row r="52" spans="1:22" s="21" customFormat="1" outlineLevel="1" x14ac:dyDescent="0.35">
      <c r="A52" s="3"/>
      <c r="B52" s="3" t="str">
        <f t="shared" ref="B52:B63" si="11">B51</f>
        <v>Endeavour</v>
      </c>
      <c r="C52" s="3" t="str">
        <f t="shared" ref="C52:C63" si="12">C51</f>
        <v>Residential</v>
      </c>
      <c r="D52" s="3" t="str">
        <f t="shared" ref="D52:D63" si="13">D51</f>
        <v>with CL</v>
      </c>
      <c r="E52" s="3" t="s">
        <v>23</v>
      </c>
      <c r="F52" s="41">
        <f t="array" ref="F52">IFERROR(INDEX(Usage!$B$5:$P$18,MATCH($B52,Usage!$B$5:$B$18,0),MATCH($C52&amp;$D52&amp;$E52&amp;"Total",Usage!$B$5:$S$5&amp;Usage!$B$6:$S$6&amp;Usage!$B$7:$S$7&amp;Usage!$B$13:$S$13,0)),0)</f>
        <v>5200</v>
      </c>
      <c r="G52" s="3" t="s">
        <v>62</v>
      </c>
      <c r="H52" s="89"/>
      <c r="I52" s="89">
        <f>I47</f>
        <v>17.36</v>
      </c>
      <c r="J52" s="89">
        <f t="shared" ref="J52:J62" si="14">IF(AND(H52="",I52=""),"",H52+I52*$F52/1000)</f>
        <v>90.272000000000006</v>
      </c>
      <c r="K52" s="43"/>
      <c r="M52" s="48">
        <f>IF(OR(J52=0,Q52=""),"",Q52/J52-1)</f>
        <v>0.11232718894009208</v>
      </c>
      <c r="O52" s="89"/>
      <c r="P52" s="89">
        <f>P47</f>
        <v>19.309999999999999</v>
      </c>
      <c r="Q52" s="89">
        <f t="shared" ref="Q52:Q62" si="15">IF(AND(O52="",P52=""),"",O52+P52*$F52/1000)</f>
        <v>100.41200000000001</v>
      </c>
      <c r="R52" s="43"/>
    </row>
    <row r="53" spans="1:22" s="21" customFormat="1" outlineLevel="1" x14ac:dyDescent="0.35">
      <c r="A53" s="3"/>
      <c r="B53" s="3" t="str">
        <f t="shared" si="11"/>
        <v>Endeavour</v>
      </c>
      <c r="C53" s="3" t="str">
        <f t="shared" si="12"/>
        <v>Residential</v>
      </c>
      <c r="D53" s="3" t="str">
        <f t="shared" si="13"/>
        <v>with CL</v>
      </c>
      <c r="E53" s="3" t="s">
        <v>16</v>
      </c>
      <c r="F53" s="41">
        <f t="array" ref="F53">IFERROR(INDEX(Usage!$B$5:$P$18,MATCH($B53,Usage!$B$5:$B$18,0),MATCH($C53&amp;$D53&amp;$E53,Usage!$B$5:$S$5&amp;Usage!$B$6:$S$6&amp;Usage!$B$7:$S$7,0)),0)</f>
        <v>1474</v>
      </c>
      <c r="G53" s="3" t="s">
        <v>83</v>
      </c>
      <c r="H53" s="89"/>
      <c r="I53" s="89">
        <f t="array" ref="I53">IFERROR(INDEX('Detail inputs'!$B$3:$K$168,MATCH($B53&amp;$G53&amp;I$5,'Detail inputs'!$B$3:$B$168&amp;'Detail inputs'!$G$3:$G$168&amp;'Detail inputs'!$H$3:$H$168,0),MATCH(I$4,'Detail inputs'!$B$3:$K$3,0)),0)</f>
        <v>4.95</v>
      </c>
      <c r="J53" s="89">
        <f t="shared" si="14"/>
        <v>7.2963000000000005</v>
      </c>
      <c r="K53" s="43">
        <f>IFERROR(J53/J57,"")</f>
        <v>0.28513824884792632</v>
      </c>
      <c r="L53" s="43"/>
      <c r="M53" s="48">
        <f t="shared" ref="M53:M63" si="16">IF(OR(J53=0,Q53=""),"",Q53/J53-1)</f>
        <v>-0.14747474747474754</v>
      </c>
      <c r="N53" s="43"/>
      <c r="O53" s="89"/>
      <c r="P53" s="89">
        <f t="array" ref="P53">IFERROR(INDEX('Detail inputs'!$B$3:$K$168,MATCH($B53&amp;$G53&amp;P$5,'Detail inputs'!$B$3:$B$168&amp;'Detail inputs'!$G$3:$G$168&amp;'Detail inputs'!$H$3:$H$168,0),MATCH(P$4,'Detail inputs'!$B$3:$K$3,0)),0)</f>
        <v>4.22</v>
      </c>
      <c r="Q53" s="89">
        <f t="shared" si="15"/>
        <v>6.2202799999999998</v>
      </c>
      <c r="R53" s="43">
        <f>IFERROR(Q53/Q57,"")</f>
        <v>0.21853961677887104</v>
      </c>
    </row>
    <row r="54" spans="1:22" s="21" customFormat="1" outlineLevel="1" x14ac:dyDescent="0.35">
      <c r="A54" s="3"/>
      <c r="B54" s="3" t="str">
        <f t="shared" si="11"/>
        <v>Endeavour</v>
      </c>
      <c r="C54" s="3" t="str">
        <f t="shared" si="12"/>
        <v>Residential</v>
      </c>
      <c r="D54" s="3" t="str">
        <f t="shared" si="13"/>
        <v>with CL</v>
      </c>
      <c r="E54" s="3" t="s">
        <v>16</v>
      </c>
      <c r="F54" s="41">
        <f t="array" ref="F54">IFERROR(INDEX(Usage!$B$5:$P$18,MATCH($B54,Usage!$B$5:$B$18,0),MATCH($C54&amp;$D54&amp;$E54,Usage!$B$5:$S$5&amp;Usage!$B$6:$S$6&amp;Usage!$B$7:$S$7,0)),0)</f>
        <v>1474</v>
      </c>
      <c r="G54" s="3" t="s">
        <v>84</v>
      </c>
      <c r="H54" s="89"/>
      <c r="I54" s="89">
        <f t="array" ref="I54">IFERROR(INDEX('Detail inputs'!$B$3:$K$168,MATCH($B54&amp;$G54&amp;I$5,'Detail inputs'!$B$3:$B$168&amp;'Detail inputs'!$G$3:$G$168&amp;'Detail inputs'!$H$3:$H$168,0),MATCH(I$4,'Detail inputs'!$B$3:$K$3,0)),0)</f>
        <v>9.31</v>
      </c>
      <c r="J54" s="89">
        <f t="shared" si="14"/>
        <v>13.722940000000001</v>
      </c>
      <c r="K54" s="43">
        <f>IFERROR(J54/J57,"")</f>
        <v>0.53629032258064524</v>
      </c>
      <c r="L54" s="43"/>
      <c r="M54" s="48">
        <f t="shared" si="16"/>
        <v>0.23737916219119226</v>
      </c>
      <c r="N54" s="43"/>
      <c r="O54" s="89"/>
      <c r="P54" s="89">
        <f t="array" ref="P54">IFERROR(INDEX('Detail inputs'!$B$3:$K$168,MATCH($B54&amp;$G54&amp;P$5,'Detail inputs'!$B$3:$B$168&amp;'Detail inputs'!$G$3:$G$168&amp;'Detail inputs'!$H$3:$H$168,0),MATCH(P$4,'Detail inputs'!$B$3:$K$3,0)),0)</f>
        <v>11.52</v>
      </c>
      <c r="Q54" s="89">
        <f t="shared" si="15"/>
        <v>16.98048</v>
      </c>
      <c r="R54" s="43">
        <f>IFERROR(Q54/Q57,"")</f>
        <v>0.59658208182288974</v>
      </c>
    </row>
    <row r="55" spans="1:22" s="21" customFormat="1" outlineLevel="1" x14ac:dyDescent="0.35">
      <c r="A55" s="3"/>
      <c r="B55" s="3" t="str">
        <f t="shared" si="11"/>
        <v>Endeavour</v>
      </c>
      <c r="C55" s="3" t="str">
        <f t="shared" si="12"/>
        <v>Residential</v>
      </c>
      <c r="D55" s="3" t="str">
        <f t="shared" si="13"/>
        <v>with CL</v>
      </c>
      <c r="E55" s="3" t="s">
        <v>16</v>
      </c>
      <c r="F55" s="41">
        <f t="array" ref="F55">IFERROR(INDEX(Usage!$B$5:$P$18,MATCH($B55,Usage!$B$5:$B$18,0),MATCH($C55&amp;$D55&amp;$E55,Usage!$B$5:$S$5&amp;Usage!$B$6:$S$6&amp;Usage!$B$7:$S$7,0)),0)</f>
        <v>1474</v>
      </c>
      <c r="G55" s="3" t="s">
        <v>85</v>
      </c>
      <c r="H55" s="89"/>
      <c r="I55" s="89">
        <f t="array" ref="I55">IFERROR(INDEX('Detail inputs'!$B$3:$K$168,MATCH($B55&amp;$G55&amp;I$5,'Detail inputs'!$B$3:$B$168&amp;'Detail inputs'!$G$3:$G$168&amp;'Detail inputs'!$H$3:$H$168,0),MATCH(I$4,'Detail inputs'!$B$3:$K$3,0)),0)</f>
        <v>2.09</v>
      </c>
      <c r="J55" s="89">
        <f t="shared" si="14"/>
        <v>3.08066</v>
      </c>
      <c r="K55" s="43">
        <f>IFERROR(J55/J57,"")</f>
        <v>0.12039170506912443</v>
      </c>
      <c r="L55" s="43"/>
      <c r="M55" s="48">
        <f t="shared" si="16"/>
        <v>0.1866028708133971</v>
      </c>
      <c r="N55" s="43"/>
      <c r="O55" s="89"/>
      <c r="P55" s="89">
        <f t="array" ref="P55">IFERROR(INDEX('Detail inputs'!$B$3:$K$168,MATCH($B55&amp;$G55&amp;P$5,'Detail inputs'!$B$3:$B$168&amp;'Detail inputs'!$G$3:$G$168&amp;'Detail inputs'!$H$3:$H$168,0),MATCH(P$4,'Detail inputs'!$B$3:$K$3,0)),0)</f>
        <v>2.48</v>
      </c>
      <c r="Q55" s="89">
        <f t="shared" si="15"/>
        <v>3.6555200000000001</v>
      </c>
      <c r="R55" s="43">
        <f>IFERROR(Q55/Q57,"")</f>
        <v>0.12843086483687211</v>
      </c>
    </row>
    <row r="56" spans="1:22" s="21" customFormat="1" outlineLevel="1" x14ac:dyDescent="0.35">
      <c r="A56" s="3"/>
      <c r="B56" s="3" t="str">
        <f t="shared" si="11"/>
        <v>Endeavour</v>
      </c>
      <c r="C56" s="3" t="str">
        <f t="shared" si="12"/>
        <v>Residential</v>
      </c>
      <c r="D56" s="3" t="str">
        <f t="shared" si="13"/>
        <v>with CL</v>
      </c>
      <c r="E56" s="3" t="s">
        <v>16</v>
      </c>
      <c r="F56" s="41">
        <f t="array" ref="F56">IFERROR(INDEX(Usage!$B$5:$P$18,MATCH($B56,Usage!$B$5:$B$18,0),MATCH($C56&amp;$D56&amp;$E56,Usage!$B$5:$S$5&amp;Usage!$B$6:$S$6&amp;Usage!$B$7:$S$7,0)),0)</f>
        <v>1474</v>
      </c>
      <c r="G56" s="3" t="s">
        <v>82</v>
      </c>
      <c r="H56" s="89"/>
      <c r="I56" s="89">
        <f t="array" ref="I56">ROUND(IFERROR(INDEX('Detail inputs'!$B$3:$K$168,MATCH($B56&amp;$C56&amp;$E56&amp;$G56&amp;I$5,'Detail inputs'!$B$3:$B$168&amp;'Detail inputs'!$D$3:$D$168&amp;'Detail inputs'!$F$3:$F$168&amp;'Detail inputs'!$G$3:$G$168&amp;'Detail inputs'!$H$3:$H$168,0),MATCH(I$4,'Detail inputs'!$B$3:$K$3,0)),0)*SUM(I53:I55),2)</f>
        <v>1.01</v>
      </c>
      <c r="J56" s="89">
        <f t="shared" si="14"/>
        <v>1.48874</v>
      </c>
      <c r="K56" s="43">
        <f>IFERROR(J56/J57,"")</f>
        <v>5.8179723502304152E-2</v>
      </c>
      <c r="L56" s="43"/>
      <c r="M56" s="48">
        <f t="shared" si="16"/>
        <v>7.9207920792079278E-2</v>
      </c>
      <c r="N56" s="43"/>
      <c r="O56" s="89"/>
      <c r="P56" s="89">
        <f t="array" ref="P56">ROUND(IFERROR(INDEX('Detail inputs'!$B$3:$K$168,MATCH($B56&amp;$C56&amp;$E56&amp;$G56&amp;P$5,'Detail inputs'!$B$3:$B$168&amp;'Detail inputs'!$D$3:$D$168&amp;'Detail inputs'!$F$3:$F$168&amp;'Detail inputs'!$G$3:$G$168&amp;'Detail inputs'!$H$3:$H$168,0),MATCH(P$4,'Detail inputs'!$B$3:$K$3,0)),0)*SUM(P53:P55),2)</f>
        <v>1.0900000000000001</v>
      </c>
      <c r="Q56" s="89">
        <f t="shared" si="15"/>
        <v>1.60666</v>
      </c>
      <c r="R56" s="43">
        <f>IFERROR(Q56/Q57,"")</f>
        <v>5.6447436561367165E-2</v>
      </c>
    </row>
    <row r="57" spans="1:22" s="21" customFormat="1" outlineLevel="1" x14ac:dyDescent="0.3">
      <c r="A57" s="3"/>
      <c r="B57" s="3" t="str">
        <f t="shared" si="11"/>
        <v>Endeavour</v>
      </c>
      <c r="C57" s="3" t="str">
        <f t="shared" si="12"/>
        <v>Residential</v>
      </c>
      <c r="D57" s="3" t="str">
        <f t="shared" si="13"/>
        <v>with CL</v>
      </c>
      <c r="E57" s="3" t="s">
        <v>16</v>
      </c>
      <c r="F57" s="41">
        <f t="array" ref="F57">IFERROR(INDEX(Usage!$B$5:$P$18,MATCH($B57,Usage!$B$5:$B$18,0),MATCH($C57&amp;$D57&amp;$E57,Usage!$B$5:$S$5&amp;Usage!$B$6:$S$6&amp;Usage!$B$7:$S$7,0)),0)</f>
        <v>1474</v>
      </c>
      <c r="G57" s="3" t="s">
        <v>62</v>
      </c>
      <c r="H57" s="95"/>
      <c r="I57" s="95">
        <f t="array" ref="I57">INDEX('Key inputs'!$B$16:$N$40,MATCH($B57&amp;$C57&amp;$E57,'Key inputs'!$B$16:$B$40&amp;'Key inputs'!$C$16:$C$40&amp;'Key inputs'!$D$16:$D$40,0),MATCH($A$2&amp;I$4,'Key inputs'!$B$17:$N$17&amp;'Key inputs'!$B$18:$N$18,0))</f>
        <v>17.36</v>
      </c>
      <c r="J57" s="89">
        <f t="shared" si="14"/>
        <v>25.588639999999998</v>
      </c>
      <c r="K57" s="87"/>
      <c r="L57" s="88"/>
      <c r="M57" s="79">
        <f t="shared" si="16"/>
        <v>0.1123271889400923</v>
      </c>
      <c r="N57" s="88"/>
      <c r="O57" s="95"/>
      <c r="P57" s="95">
        <f t="array" ref="P57">INDEX('Key inputs'!$B$16:$N$40,MATCH($B57&amp;$C57&amp;$E57,'Key inputs'!$B$16:$B$40&amp;'Key inputs'!$C$16:$C$40&amp;'Key inputs'!$D$16:$D$40,0),MATCH($A$2&amp;P$4,'Key inputs'!$B$17:$N$17&amp;'Key inputs'!$B$18:$N$18,0))</f>
        <v>19.309999999999999</v>
      </c>
      <c r="Q57" s="89">
        <f t="shared" si="15"/>
        <v>28.46294</v>
      </c>
      <c r="R57" s="87"/>
      <c r="S57" s="136" t="b">
        <f>ROUND(I57,$T$5)=ROUND(SUM(I53:I56),$T$5)</f>
        <v>1</v>
      </c>
      <c r="T57" s="136" t="b">
        <f>ROUND(P57,$T$5)=ROUND(SUM(P53:P56),$T$5)</f>
        <v>1</v>
      </c>
      <c r="U57" s="95"/>
      <c r="V57" s="95"/>
    </row>
    <row r="58" spans="1:22" s="21" customFormat="1" outlineLevel="1" x14ac:dyDescent="0.35">
      <c r="A58" s="3"/>
      <c r="B58" s="3" t="str">
        <f t="shared" si="11"/>
        <v>Endeavour</v>
      </c>
      <c r="C58" s="3" t="str">
        <f t="shared" si="12"/>
        <v>Residential</v>
      </c>
      <c r="D58" s="3" t="str">
        <f t="shared" si="13"/>
        <v>with CL</v>
      </c>
      <c r="E58" s="3" t="s">
        <v>17</v>
      </c>
      <c r="F58" s="41">
        <f t="array" ref="F58">IFERROR(INDEX(Usage!$B$5:$P$18,MATCH($B58,Usage!$B$5:$B$18,0),MATCH($C58&amp;$D58&amp;$E58,Usage!$B$5:$S$5&amp;Usage!$B$6:$S$6&amp;Usage!$B$7:$S$7,0)),0)</f>
        <v>726</v>
      </c>
      <c r="G58" s="3" t="s">
        <v>83</v>
      </c>
      <c r="H58" s="89"/>
      <c r="I58" s="89">
        <f t="array" ref="I58">IFERROR(INDEX('Detail inputs'!$B$3:$K$168,MATCH($B58&amp;$G58&amp;I$5,'Detail inputs'!$B$3:$B$168&amp;'Detail inputs'!$G$3:$G$168&amp;'Detail inputs'!$H$3:$H$168,0),MATCH(I$4,'Detail inputs'!$B$3:$K$3,0)),0)</f>
        <v>4.95</v>
      </c>
      <c r="J58" s="89">
        <f t="shared" si="14"/>
        <v>3.5937000000000001</v>
      </c>
      <c r="K58" s="43">
        <f>IFERROR(J58/J62,"")</f>
        <v>0.28513824884792632</v>
      </c>
      <c r="L58" s="43"/>
      <c r="M58" s="48">
        <f t="shared" si="16"/>
        <v>-0.14747474747474754</v>
      </c>
      <c r="N58" s="43"/>
      <c r="O58" s="89"/>
      <c r="P58" s="89">
        <f t="array" ref="P58">IFERROR(INDEX('Detail inputs'!$B$3:$K$168,MATCH($B58&amp;$G58&amp;P$5,'Detail inputs'!$B$3:$B$168&amp;'Detail inputs'!$G$3:$G$168&amp;'Detail inputs'!$H$3:$H$168,0),MATCH(P$4,'Detail inputs'!$B$3:$K$3,0)),0)</f>
        <v>4.22</v>
      </c>
      <c r="Q58" s="89">
        <f t="shared" si="15"/>
        <v>3.06372</v>
      </c>
      <c r="R58" s="43">
        <f>IFERROR(Q58/Q62,"")</f>
        <v>0.21853961677887104</v>
      </c>
    </row>
    <row r="59" spans="1:22" s="21" customFormat="1" outlineLevel="1" x14ac:dyDescent="0.35">
      <c r="A59" s="3"/>
      <c r="B59" s="3" t="str">
        <f t="shared" si="11"/>
        <v>Endeavour</v>
      </c>
      <c r="C59" s="3" t="str">
        <f t="shared" si="12"/>
        <v>Residential</v>
      </c>
      <c r="D59" s="3" t="str">
        <f t="shared" si="13"/>
        <v>with CL</v>
      </c>
      <c r="E59" s="3" t="s">
        <v>17</v>
      </c>
      <c r="F59" s="41">
        <f t="array" ref="F59">IFERROR(INDEX(Usage!$B$5:$P$18,MATCH($B59,Usage!$B$5:$B$18,0),MATCH($C59&amp;$D59&amp;$E59,Usage!$B$5:$S$5&amp;Usage!$B$6:$S$6&amp;Usage!$B$7:$S$7,0)),0)</f>
        <v>726</v>
      </c>
      <c r="G59" s="3" t="s">
        <v>84</v>
      </c>
      <c r="H59" s="95"/>
      <c r="I59" s="95">
        <f t="array" ref="I59">IFERROR(INDEX('Detail inputs'!$B$3:$K$168,MATCH($B59&amp;$G59&amp;I$5,'Detail inputs'!$B$3:$B$168&amp;'Detail inputs'!$G$3:$G$168&amp;'Detail inputs'!$H$3:$H$168,0),MATCH(I$4,'Detail inputs'!$B$3:$K$3,0)),0)</f>
        <v>9.31</v>
      </c>
      <c r="J59" s="95">
        <f t="shared" si="14"/>
        <v>6.7590600000000007</v>
      </c>
      <c r="K59" s="87">
        <f>IFERROR(J59/J62,"")</f>
        <v>0.53629032258064524</v>
      </c>
      <c r="L59" s="87"/>
      <c r="M59" s="79">
        <f t="shared" si="16"/>
        <v>0.23737916219119226</v>
      </c>
      <c r="N59" s="87"/>
      <c r="O59" s="95"/>
      <c r="P59" s="95">
        <f t="array" ref="P59">IFERROR(INDEX('Detail inputs'!$B$3:$K$168,MATCH($B59&amp;$G59&amp;P$5,'Detail inputs'!$B$3:$B$168&amp;'Detail inputs'!$G$3:$G$168&amp;'Detail inputs'!$H$3:$H$168,0),MATCH(P$4,'Detail inputs'!$B$3:$K$3,0)),0)</f>
        <v>11.52</v>
      </c>
      <c r="Q59" s="95">
        <f t="shared" si="15"/>
        <v>8.3635200000000012</v>
      </c>
      <c r="R59" s="87">
        <f>IFERROR(Q59/Q62,"")</f>
        <v>0.59658208182288974</v>
      </c>
    </row>
    <row r="60" spans="1:22" s="21" customFormat="1" outlineLevel="1" x14ac:dyDescent="0.35">
      <c r="A60" s="3"/>
      <c r="B60" s="3" t="str">
        <f t="shared" si="11"/>
        <v>Endeavour</v>
      </c>
      <c r="C60" s="3" t="str">
        <f t="shared" si="12"/>
        <v>Residential</v>
      </c>
      <c r="D60" s="3" t="str">
        <f t="shared" si="13"/>
        <v>with CL</v>
      </c>
      <c r="E60" s="3" t="s">
        <v>17</v>
      </c>
      <c r="F60" s="41">
        <f t="array" ref="F60">IFERROR(INDEX(Usage!$B$5:$P$18,MATCH($B60,Usage!$B$5:$B$18,0),MATCH($C60&amp;$D60&amp;$E60,Usage!$B$5:$S$5&amp;Usage!$B$6:$S$6&amp;Usage!$B$7:$S$7,0)),0)</f>
        <v>726</v>
      </c>
      <c r="G60" s="3" t="s">
        <v>85</v>
      </c>
      <c r="H60" s="95"/>
      <c r="I60" s="95">
        <f t="array" ref="I60">IFERROR(INDEX('Detail inputs'!$B$3:$K$168,MATCH($B60&amp;$G60&amp;I$5,'Detail inputs'!$B$3:$B$168&amp;'Detail inputs'!$G$3:$G$168&amp;'Detail inputs'!$H$3:$H$168,0),MATCH(I$4,'Detail inputs'!$B$3:$K$3,0)),0)</f>
        <v>2.09</v>
      </c>
      <c r="J60" s="95">
        <f t="shared" si="14"/>
        <v>1.5173399999999999</v>
      </c>
      <c r="K60" s="87">
        <f>IFERROR(J60/J62,"")</f>
        <v>0.12039170506912443</v>
      </c>
      <c r="L60" s="87"/>
      <c r="M60" s="79">
        <f t="shared" si="16"/>
        <v>0.18660287081339733</v>
      </c>
      <c r="N60" s="87"/>
      <c r="O60" s="95"/>
      <c r="P60" s="95">
        <f t="array" ref="P60">IFERROR(INDEX('Detail inputs'!$B$3:$K$168,MATCH($B60&amp;$G60&amp;P$5,'Detail inputs'!$B$3:$B$168&amp;'Detail inputs'!$G$3:$G$168&amp;'Detail inputs'!$H$3:$H$168,0),MATCH(P$4,'Detail inputs'!$B$3:$K$3,0)),0)</f>
        <v>2.48</v>
      </c>
      <c r="Q60" s="95">
        <f t="shared" si="15"/>
        <v>1.8004800000000001</v>
      </c>
      <c r="R60" s="87">
        <f>IFERROR(Q60/Q62,"")</f>
        <v>0.12843086483687211</v>
      </c>
    </row>
    <row r="61" spans="1:22" s="21" customFormat="1" outlineLevel="1" x14ac:dyDescent="0.35">
      <c r="A61" s="3"/>
      <c r="B61" s="3" t="str">
        <f t="shared" si="11"/>
        <v>Endeavour</v>
      </c>
      <c r="C61" s="3" t="str">
        <f t="shared" si="12"/>
        <v>Residential</v>
      </c>
      <c r="D61" s="3" t="str">
        <f t="shared" si="13"/>
        <v>with CL</v>
      </c>
      <c r="E61" s="3" t="s">
        <v>17</v>
      </c>
      <c r="F61" s="41">
        <f t="array" ref="F61">IFERROR(INDEX(Usage!$B$5:$P$18,MATCH($B61,Usage!$B$5:$B$18,0),MATCH($C61&amp;$D61&amp;$E61,Usage!$B$5:$S$5&amp;Usage!$B$6:$S$6&amp;Usage!$B$7:$S$7,0)),0)</f>
        <v>726</v>
      </c>
      <c r="G61" s="3" t="s">
        <v>82</v>
      </c>
      <c r="H61" s="95"/>
      <c r="I61" s="89">
        <f t="array" ref="I61">ROUND(IFERROR(INDEX('Detail inputs'!$B$3:$K$168,MATCH($B61&amp;$C61&amp;$E61&amp;$G61&amp;I$5,'Detail inputs'!$B$3:$B$168&amp;'Detail inputs'!$D$3:$D$168&amp;'Detail inputs'!$F$3:$F$168&amp;'Detail inputs'!$G$3:$G$168&amp;'Detail inputs'!$H$3:$H$168,0),MATCH(I$4,'Detail inputs'!$B$3:$K$3,0)),0)*SUM(I58:I60),2)</f>
        <v>1.01</v>
      </c>
      <c r="J61" s="95">
        <f t="shared" si="14"/>
        <v>0.73326000000000002</v>
      </c>
      <c r="K61" s="87">
        <f>IFERROR(J61/J62,"")</f>
        <v>5.8179723502304159E-2</v>
      </c>
      <c r="L61" s="87"/>
      <c r="M61" s="79">
        <f t="shared" si="16"/>
        <v>7.9207920792079278E-2</v>
      </c>
      <c r="N61" s="87"/>
      <c r="O61" s="95"/>
      <c r="P61" s="89">
        <f t="array" ref="P61">ROUND(IFERROR(INDEX('Detail inputs'!$B$3:$K$168,MATCH($B61&amp;$C61&amp;$E61&amp;$G61&amp;P$5,'Detail inputs'!$B$3:$B$168&amp;'Detail inputs'!$D$3:$D$168&amp;'Detail inputs'!$F$3:$F$168&amp;'Detail inputs'!$G$3:$G$168&amp;'Detail inputs'!$H$3:$H$168,0),MATCH(P$4,'Detail inputs'!$B$3:$K$3,0)),0)*SUM(P58:P60),2)</f>
        <v>1.0900000000000001</v>
      </c>
      <c r="Q61" s="95">
        <f t="shared" si="15"/>
        <v>0.79134000000000004</v>
      </c>
      <c r="R61" s="87">
        <f>IFERROR(Q61/Q62,"")</f>
        <v>5.6447436561367172E-2</v>
      </c>
    </row>
    <row r="62" spans="1:22" s="21" customFormat="1" outlineLevel="1" x14ac:dyDescent="0.3">
      <c r="A62" s="3"/>
      <c r="B62" s="3" t="str">
        <f t="shared" si="11"/>
        <v>Endeavour</v>
      </c>
      <c r="C62" s="3" t="str">
        <f t="shared" si="12"/>
        <v>Residential</v>
      </c>
      <c r="D62" s="3" t="str">
        <f t="shared" si="13"/>
        <v>with CL</v>
      </c>
      <c r="E62" s="3" t="s">
        <v>17</v>
      </c>
      <c r="F62" s="41">
        <f t="array" ref="F62">IFERROR(INDEX(Usage!$B$5:$P$18,MATCH($B62,Usage!$B$5:$B$18,0),MATCH($C62&amp;$D62&amp;$E62,Usage!$B$5:$S$5&amp;Usage!$B$6:$S$6&amp;Usage!$B$7:$S$7,0)),0)</f>
        <v>726</v>
      </c>
      <c r="G62" s="3" t="s">
        <v>62</v>
      </c>
      <c r="H62" s="95"/>
      <c r="I62" s="95">
        <f t="array" ref="I62">INDEX('Key inputs'!$B$16:$N$40,MATCH($B62&amp;$C62&amp;$E62,'Key inputs'!$B$16:$B$40&amp;'Key inputs'!$C$16:$C$40&amp;'Key inputs'!$D$16:$D$40,0),MATCH($A$2&amp;I$4,'Key inputs'!$B$17:$N$17&amp;'Key inputs'!$B$18:$N$18,0))</f>
        <v>17.36</v>
      </c>
      <c r="J62" s="89">
        <f t="shared" si="14"/>
        <v>12.603359999999999</v>
      </c>
      <c r="K62" s="87"/>
      <c r="L62" s="88"/>
      <c r="M62" s="79">
        <f t="shared" si="16"/>
        <v>0.1123271889400923</v>
      </c>
      <c r="N62" s="88"/>
      <c r="O62" s="95"/>
      <c r="P62" s="95">
        <f t="array" ref="P62">INDEX('Key inputs'!$B$16:$N$40,MATCH($B62&amp;$C62&amp;$E62,'Key inputs'!$B$16:$B$40&amp;'Key inputs'!$C$16:$C$40&amp;'Key inputs'!$D$16:$D$40,0),MATCH($A$2&amp;P$4,'Key inputs'!$B$17:$N$17&amp;'Key inputs'!$B$18:$N$18,0))</f>
        <v>19.309999999999999</v>
      </c>
      <c r="Q62" s="89">
        <f t="shared" si="15"/>
        <v>14.01906</v>
      </c>
      <c r="R62" s="87"/>
      <c r="S62" s="136" t="b">
        <f>ROUND(I62,$T$5)=ROUND(SUM(I58:I61),$T$5)</f>
        <v>1</v>
      </c>
      <c r="T62" s="136" t="b">
        <f>ROUND(P62,$T$5)=ROUND(SUM(P58:P61),$T$5)</f>
        <v>1</v>
      </c>
      <c r="U62" s="95"/>
      <c r="V62" s="95"/>
    </row>
    <row r="63" spans="1:22" s="88" customFormat="1" x14ac:dyDescent="0.3">
      <c r="A63" s="77"/>
      <c r="B63" s="77" t="str">
        <f t="shared" si="11"/>
        <v>Endeavour</v>
      </c>
      <c r="C63" s="77" t="str">
        <f t="shared" si="12"/>
        <v>Residential</v>
      </c>
      <c r="D63" s="77" t="str">
        <f t="shared" si="13"/>
        <v>with CL</v>
      </c>
      <c r="E63" s="77" t="s">
        <v>62</v>
      </c>
      <c r="F63" s="41">
        <f t="array" ref="F63">IFERROR(INDEX(Usage!$B$5:$P$18,MATCH($B63,Usage!$B$5:$B$18,0),MATCH($C63&amp;$D63&amp;$E63,Usage!$B$5:$S$5&amp;Usage!$B$6:$S$6&amp;Usage!$B$7:$S$7,0)),0)</f>
        <v>7400</v>
      </c>
      <c r="G63" s="77" t="s">
        <v>62</v>
      </c>
      <c r="H63" s="95"/>
      <c r="I63" s="95">
        <f>I52+I57+I62</f>
        <v>52.08</v>
      </c>
      <c r="J63" s="95">
        <f>J52+J57+J62</f>
        <v>128.464</v>
      </c>
      <c r="K63" s="87"/>
      <c r="M63" s="79">
        <f t="shared" si="16"/>
        <v>0.1123271889400923</v>
      </c>
      <c r="O63" s="95"/>
      <c r="P63" s="95">
        <f>P52+P57+P62</f>
        <v>57.929999999999993</v>
      </c>
      <c r="Q63" s="95">
        <f>Q52+Q57+Q62</f>
        <v>142.89400000000001</v>
      </c>
      <c r="R63" s="87"/>
      <c r="S63" s="136"/>
      <c r="T63" s="136"/>
      <c r="U63" s="95"/>
      <c r="V63" s="95"/>
    </row>
    <row r="64" spans="1:22" s="21" customFormat="1" outlineLevel="1" x14ac:dyDescent="0.35">
      <c r="A64" s="3"/>
      <c r="B64" s="3" t="str">
        <f t="shared" ref="B64:D65" si="17">B63</f>
        <v>Endeavour</v>
      </c>
      <c r="C64" s="3" t="str">
        <f t="shared" si="17"/>
        <v>Residential</v>
      </c>
      <c r="D64" s="3" t="str">
        <f t="shared" si="17"/>
        <v>with CL</v>
      </c>
      <c r="E64" s="3"/>
      <c r="F64" s="41"/>
      <c r="G64" s="77" t="s">
        <v>42</v>
      </c>
      <c r="H64" s="95"/>
      <c r="I64" s="95"/>
      <c r="J64" s="95">
        <f>J63*GST</f>
        <v>12.846400000000001</v>
      </c>
      <c r="K64" s="87"/>
      <c r="L64" s="88"/>
      <c r="M64" s="79"/>
      <c r="N64" s="88"/>
      <c r="O64" s="95"/>
      <c r="P64" s="95"/>
      <c r="Q64" s="95">
        <f>Q63*GST</f>
        <v>14.289400000000001</v>
      </c>
      <c r="R64" s="75"/>
    </row>
    <row r="65" spans="1:22" s="21" customFormat="1" x14ac:dyDescent="0.35">
      <c r="A65" s="3"/>
      <c r="B65" s="3" t="str">
        <f t="shared" si="17"/>
        <v>Endeavour</v>
      </c>
      <c r="C65" s="3" t="str">
        <f t="shared" si="17"/>
        <v>Residential</v>
      </c>
      <c r="D65" s="3" t="str">
        <f t="shared" si="17"/>
        <v>with CL</v>
      </c>
      <c r="E65" s="3"/>
      <c r="F65" s="41"/>
      <c r="G65" s="5" t="s">
        <v>90</v>
      </c>
      <c r="H65" s="94"/>
      <c r="I65" s="94"/>
      <c r="J65" s="94">
        <f>SUM(J63:J64)</f>
        <v>141.31039999999999</v>
      </c>
      <c r="K65" s="75"/>
      <c r="L65" s="27"/>
      <c r="M65" s="76">
        <f>IF(OR(J65=0,Q65=""),"",Q65/J65-1)</f>
        <v>0.1123271889400923</v>
      </c>
      <c r="N65" s="27"/>
      <c r="O65" s="94"/>
      <c r="P65" s="94"/>
      <c r="Q65" s="94">
        <f>SUM(Q63:Q64)</f>
        <v>157.18340000000001</v>
      </c>
      <c r="R65" s="75"/>
    </row>
    <row r="66" spans="1:22" s="21" customFormat="1" x14ac:dyDescent="0.35">
      <c r="A66" s="3"/>
      <c r="B66" s="3"/>
      <c r="C66" s="3"/>
      <c r="D66" s="3"/>
      <c r="E66" s="3"/>
      <c r="F66" s="41"/>
      <c r="G66" s="3"/>
      <c r="H66" s="89"/>
      <c r="I66" s="89"/>
      <c r="J66" s="89"/>
      <c r="K66" s="43"/>
      <c r="M66" s="48"/>
      <c r="O66" s="89"/>
      <c r="P66" s="89"/>
      <c r="Q66" s="89"/>
      <c r="R66" s="43"/>
    </row>
    <row r="67" spans="1:22" s="21" customFormat="1" x14ac:dyDescent="0.35">
      <c r="A67" s="3"/>
      <c r="B67" s="5" t="s">
        <v>4</v>
      </c>
      <c r="C67" s="5" t="s">
        <v>15</v>
      </c>
      <c r="D67" s="5" t="s">
        <v>150</v>
      </c>
      <c r="E67" s="3"/>
      <c r="F67" s="41"/>
      <c r="G67" s="3"/>
      <c r="H67" s="89"/>
      <c r="I67" s="89"/>
      <c r="J67" s="89"/>
      <c r="K67" s="43"/>
      <c r="M67" s="48"/>
      <c r="O67" s="89"/>
      <c r="P67" s="89"/>
      <c r="Q67" s="89"/>
      <c r="R67" s="43"/>
    </row>
    <row r="68" spans="1:22" s="21" customFormat="1" outlineLevel="1" x14ac:dyDescent="0.35">
      <c r="A68" s="3"/>
      <c r="B68" s="3" t="str">
        <f t="shared" ref="B68:D74" si="18">B67</f>
        <v>Endeavour</v>
      </c>
      <c r="C68" s="3" t="str">
        <f t="shared" si="18"/>
        <v>Small business</v>
      </c>
      <c r="D68" s="3" t="str">
        <f t="shared" si="18"/>
        <v>without CL</v>
      </c>
      <c r="E68" s="3" t="s">
        <v>23</v>
      </c>
      <c r="F68" s="41">
        <f t="array" ref="F68">IFERROR(INDEX(Usage!$B$5:$P$18,MATCH($B68,Usage!$B$5:$B$18,0),MATCH($C68&amp;$D68&amp;$E68,Usage!$B$5:$S$5&amp;Usage!$B$6:$S$6&amp;Usage!$B$7:$S$7,0)),0)</f>
        <v>20000</v>
      </c>
      <c r="G68" s="3" t="s">
        <v>83</v>
      </c>
      <c r="H68" s="89"/>
      <c r="I68" s="89">
        <f t="array" ref="I68">IFERROR(INDEX('Detail inputs'!$B$3:$K$168,MATCH($B68&amp;$G68&amp;I$5,'Detail inputs'!$B$3:$B$168&amp;'Detail inputs'!$G$3:$G$168&amp;'Detail inputs'!$H$3:$H$168,0),MATCH(I$4,'Detail inputs'!$B$3:$K$3,0)),0)</f>
        <v>4.95</v>
      </c>
      <c r="J68" s="89">
        <f>IF(AND(H68="",I68=""),"",H68+I68*$F68/1000)</f>
        <v>99</v>
      </c>
      <c r="K68" s="43">
        <f>IFERROR(J68/J72,"")</f>
        <v>0.28513824884792627</v>
      </c>
      <c r="L68" s="43"/>
      <c r="M68" s="48">
        <f>IF(OR(J68=0,Q68=""),"",Q68/J68-1)</f>
        <v>-0.14747474747474743</v>
      </c>
      <c r="N68" s="43"/>
      <c r="O68" s="89"/>
      <c r="P68" s="89">
        <f t="array" ref="P68">IFERROR(INDEX('Detail inputs'!$B$3:$K$168,MATCH($B68&amp;$G68&amp;P$5,'Detail inputs'!$B$3:$B$168&amp;'Detail inputs'!$G$3:$G$168&amp;'Detail inputs'!$H$3:$H$168,0),MATCH(P$4,'Detail inputs'!$B$3:$K$3,0)),0)</f>
        <v>4.22</v>
      </c>
      <c r="Q68" s="89">
        <f>IF(AND(O68="",P68=""),"",O68+P68*$F68/1000)</f>
        <v>84.4</v>
      </c>
      <c r="R68" s="43">
        <f>IFERROR(Q68/Q72,"")</f>
        <v>0.21853961677887107</v>
      </c>
    </row>
    <row r="69" spans="1:22" s="21" customFormat="1" outlineLevel="1" x14ac:dyDescent="0.35">
      <c r="A69" s="3"/>
      <c r="B69" s="3" t="str">
        <f t="shared" si="18"/>
        <v>Endeavour</v>
      </c>
      <c r="C69" s="3" t="str">
        <f t="shared" si="18"/>
        <v>Small business</v>
      </c>
      <c r="D69" s="3" t="str">
        <f t="shared" si="18"/>
        <v>without CL</v>
      </c>
      <c r="E69" s="3" t="s">
        <v>23</v>
      </c>
      <c r="F69" s="41">
        <f t="array" ref="F69">IFERROR(INDEX(Usage!$B$5:$P$18,MATCH($B69,Usage!$B$5:$B$18,0),MATCH($C69&amp;$D69&amp;$E69,Usage!$B$5:$S$5&amp;Usage!$B$6:$S$6&amp;Usage!$B$7:$S$7,0)),0)</f>
        <v>20000</v>
      </c>
      <c r="G69" s="3" t="s">
        <v>84</v>
      </c>
      <c r="H69" s="89"/>
      <c r="I69" s="89">
        <f t="array" ref="I69">IFERROR(INDEX('Detail inputs'!$B$3:$K$168,MATCH($B69&amp;$G69&amp;I$5,'Detail inputs'!$B$3:$B$168&amp;'Detail inputs'!$G$3:$G$168&amp;'Detail inputs'!$H$3:$H$168,0),MATCH(I$4,'Detail inputs'!$B$3:$K$3,0)),0)</f>
        <v>9.31</v>
      </c>
      <c r="J69" s="89">
        <f>IF(AND(H69="",I69=""),"",H69+I69*$F69/1000)</f>
        <v>186.2</v>
      </c>
      <c r="K69" s="43">
        <f>IFERROR(J69/J72,"")</f>
        <v>0.53629032258064513</v>
      </c>
      <c r="L69" s="43"/>
      <c r="M69" s="48">
        <f>IF(OR(J69=0,Q69=""),"",Q69/J69-1)</f>
        <v>0.23737916219119248</v>
      </c>
      <c r="N69" s="43"/>
      <c r="O69" s="89"/>
      <c r="P69" s="89">
        <f t="array" ref="P69">IFERROR(INDEX('Detail inputs'!$B$3:$K$168,MATCH($B69&amp;$G69&amp;P$5,'Detail inputs'!$B$3:$B$168&amp;'Detail inputs'!$G$3:$G$168&amp;'Detail inputs'!$H$3:$H$168,0),MATCH(P$4,'Detail inputs'!$B$3:$K$3,0)),0)</f>
        <v>11.52</v>
      </c>
      <c r="Q69" s="89">
        <f>IF(AND(O69="",P69=""),"",O69+P69*$F69/1000)</f>
        <v>230.4</v>
      </c>
      <c r="R69" s="43">
        <f>IFERROR(Q69/Q72,"")</f>
        <v>0.59658208182288974</v>
      </c>
    </row>
    <row r="70" spans="1:22" s="21" customFormat="1" outlineLevel="1" x14ac:dyDescent="0.35">
      <c r="A70" s="3"/>
      <c r="B70" s="3" t="str">
        <f t="shared" si="18"/>
        <v>Endeavour</v>
      </c>
      <c r="C70" s="3" t="str">
        <f t="shared" si="18"/>
        <v>Small business</v>
      </c>
      <c r="D70" s="3" t="str">
        <f t="shared" si="18"/>
        <v>without CL</v>
      </c>
      <c r="E70" s="3" t="s">
        <v>23</v>
      </c>
      <c r="F70" s="41">
        <f t="array" ref="F70">IFERROR(INDEX(Usage!$B$5:$P$18,MATCH($B70,Usage!$B$5:$B$18,0),MATCH($C70&amp;$D70&amp;$E70,Usage!$B$5:$S$5&amp;Usage!$B$6:$S$6&amp;Usage!$B$7:$S$7,0)),0)</f>
        <v>20000</v>
      </c>
      <c r="G70" s="3" t="s">
        <v>85</v>
      </c>
      <c r="H70" s="89"/>
      <c r="I70" s="89">
        <f t="array" ref="I70">IFERROR(INDEX('Detail inputs'!$B$3:$K$168,MATCH($B70&amp;$G70&amp;I$5,'Detail inputs'!$B$3:$B$168&amp;'Detail inputs'!$G$3:$G$168&amp;'Detail inputs'!$H$3:$H$168,0),MATCH(I$4,'Detail inputs'!$B$3:$K$3,0)),0)</f>
        <v>2.09</v>
      </c>
      <c r="J70" s="89">
        <f>IF(AND(H70="",I70=""),"",H70+I70*$F70/1000)</f>
        <v>41.8</v>
      </c>
      <c r="K70" s="43">
        <f>IFERROR(J70/J72,"")</f>
        <v>0.12039170506912442</v>
      </c>
      <c r="L70" s="43"/>
      <c r="M70" s="48">
        <f>IF(OR(J70=0,Q70=""),"",Q70/J70-1)</f>
        <v>0.18660287081339733</v>
      </c>
      <c r="N70" s="43"/>
      <c r="O70" s="89"/>
      <c r="P70" s="89">
        <f t="array" ref="P70">IFERROR(INDEX('Detail inputs'!$B$3:$K$168,MATCH($B70&amp;$G70&amp;P$5,'Detail inputs'!$B$3:$B$168&amp;'Detail inputs'!$G$3:$G$168&amp;'Detail inputs'!$H$3:$H$168,0),MATCH(P$4,'Detail inputs'!$B$3:$K$3,0)),0)</f>
        <v>2.48</v>
      </c>
      <c r="Q70" s="89">
        <f>IF(AND(O70="",P70=""),"",O70+P70*$F70/1000)</f>
        <v>49.6</v>
      </c>
      <c r="R70" s="43">
        <f>IFERROR(Q70/Q72,"")</f>
        <v>0.12843086483687211</v>
      </c>
    </row>
    <row r="71" spans="1:22" s="21" customFormat="1" outlineLevel="1" x14ac:dyDescent="0.35">
      <c r="A71" s="3"/>
      <c r="B71" s="3" t="str">
        <f t="shared" si="18"/>
        <v>Endeavour</v>
      </c>
      <c r="C71" s="3" t="str">
        <f t="shared" si="18"/>
        <v>Small business</v>
      </c>
      <c r="D71" s="3" t="str">
        <f t="shared" si="18"/>
        <v>without CL</v>
      </c>
      <c r="E71" s="3" t="s">
        <v>23</v>
      </c>
      <c r="F71" s="41">
        <f t="array" ref="F71">IFERROR(INDEX(Usage!$B$5:$P$18,MATCH($B71,Usage!$B$5:$B$18,0),MATCH($C71&amp;$D71&amp;$E71,Usage!$B$5:$S$5&amp;Usage!$B$6:$S$6&amp;Usage!$B$7:$S$7,0)),0)</f>
        <v>20000</v>
      </c>
      <c r="G71" s="3" t="s">
        <v>82</v>
      </c>
      <c r="H71" s="89"/>
      <c r="I71" s="89">
        <f t="array" ref="I71">ROUND(IFERROR(INDEX('Detail inputs'!$B$3:$K$168,MATCH($B71&amp;$C71&amp;$E71&amp;$G71&amp;I$5,'Detail inputs'!$B$3:$B$168&amp;'Detail inputs'!$D$3:$D$168&amp;'Detail inputs'!$F$3:$F$168&amp;'Detail inputs'!$G$3:$G$168&amp;'Detail inputs'!$H$3:$H$168,0),MATCH(I$4,'Detail inputs'!$B$3:$K$3,0)),0)*SUM(I68:I70),2)</f>
        <v>1.01</v>
      </c>
      <c r="J71" s="89">
        <f>IF(AND(H71="",I71=""),"",H71+I71*$F71/1000)</f>
        <v>20.2</v>
      </c>
      <c r="K71" s="43">
        <f>IFERROR(J71/J72,"")</f>
        <v>5.8179723502304145E-2</v>
      </c>
      <c r="L71" s="43"/>
      <c r="M71" s="48">
        <f>IF(OR(J71=0,Q71=""),"",Q71/J71-1)</f>
        <v>7.9207920792079278E-2</v>
      </c>
      <c r="N71" s="43"/>
      <c r="O71" s="89"/>
      <c r="P71" s="89">
        <f t="array" ref="P71">ROUND(IFERROR(INDEX('Detail inputs'!$B$3:$K$168,MATCH($B71&amp;$C71&amp;$E71&amp;$G71&amp;P$5,'Detail inputs'!$B$3:$B$168&amp;'Detail inputs'!$D$3:$D$168&amp;'Detail inputs'!$F$3:$F$168&amp;'Detail inputs'!$G$3:$G$168&amp;'Detail inputs'!$H$3:$H$168,0),MATCH(P$4,'Detail inputs'!$B$3:$K$3,0)),0)*SUM(P68:P70),2)</f>
        <v>1.0900000000000001</v>
      </c>
      <c r="Q71" s="89">
        <f>IF(AND(O71="",P71=""),"",O71+P71*$F71/1000)</f>
        <v>21.8</v>
      </c>
      <c r="R71" s="43">
        <f>IFERROR(Q71/Q72,"")</f>
        <v>5.6447436561367172E-2</v>
      </c>
    </row>
    <row r="72" spans="1:22" s="88" customFormat="1" x14ac:dyDescent="0.3">
      <c r="A72" s="77"/>
      <c r="B72" s="77" t="str">
        <f t="shared" si="18"/>
        <v>Endeavour</v>
      </c>
      <c r="C72" s="77" t="str">
        <f t="shared" si="18"/>
        <v>Small business</v>
      </c>
      <c r="D72" s="77" t="str">
        <f t="shared" si="18"/>
        <v>without CL</v>
      </c>
      <c r="E72" s="3" t="s">
        <v>23</v>
      </c>
      <c r="F72" s="41">
        <f t="array" ref="F72">IFERROR(INDEX(Usage!$B$5:$P$18,MATCH($B72,Usage!$B$5:$B$18,0),MATCH($C72&amp;$D72&amp;$E72,Usage!$B$5:$S$5&amp;Usage!$B$6:$S$6&amp;Usage!$B$7:$S$7,0)),0)</f>
        <v>20000</v>
      </c>
      <c r="G72" s="77" t="s">
        <v>62</v>
      </c>
      <c r="H72" s="95"/>
      <c r="I72" s="95">
        <f t="array" ref="I72">INDEX('Key inputs'!$B$16:$N$40,MATCH($B72&amp;$C72&amp;$E72,'Key inputs'!$B$16:$B$40&amp;'Key inputs'!$C$16:$C$40&amp;'Key inputs'!$D$16:$D$40,0),MATCH($A$2&amp;I$4,'Key inputs'!$B$17:$N$17&amp;'Key inputs'!$B$18:$N$18,0))</f>
        <v>17.36</v>
      </c>
      <c r="J72" s="89">
        <f>IF(AND(H72="",I72=""),"",H72+I72*$F72/1000)</f>
        <v>347.2</v>
      </c>
      <c r="K72" s="87"/>
      <c r="M72" s="79">
        <f>IF(OR(J72=0,Q72=""),"",Q72/J72-1)</f>
        <v>0.11232718894009208</v>
      </c>
      <c r="O72" s="95"/>
      <c r="P72" s="95">
        <f t="array" ref="P72">INDEX('Key inputs'!$B$16:$N$40,MATCH($B72&amp;$C72&amp;$E72,'Key inputs'!$B$16:$B$40&amp;'Key inputs'!$C$16:$C$40&amp;'Key inputs'!$D$16:$D$40,0),MATCH($A$2&amp;P$4,'Key inputs'!$B$17:$N$17&amp;'Key inputs'!$B$18:$N$18,0))</f>
        <v>19.309999999999999</v>
      </c>
      <c r="Q72" s="89">
        <f>IF(AND(O72="",P72=""),"",O72+P72*$F72/1000)</f>
        <v>386.2</v>
      </c>
      <c r="R72" s="87"/>
      <c r="S72" s="136" t="b">
        <f>ROUND(I72,$T$5)=ROUND(SUM(I68:I71),$T$5)</f>
        <v>1</v>
      </c>
      <c r="T72" s="136" t="b">
        <f>ROUND(P72,$T$5)=ROUND(SUM(P68:P71),$T$5)</f>
        <v>1</v>
      </c>
      <c r="U72" s="95"/>
      <c r="V72" s="95"/>
    </row>
    <row r="73" spans="1:22" s="21" customFormat="1" outlineLevel="1" x14ac:dyDescent="0.35">
      <c r="A73" s="3"/>
      <c r="B73" s="3" t="str">
        <f t="shared" si="18"/>
        <v>Endeavour</v>
      </c>
      <c r="C73" s="3" t="str">
        <f t="shared" si="18"/>
        <v>Small business</v>
      </c>
      <c r="D73" s="3" t="str">
        <f t="shared" si="18"/>
        <v>without CL</v>
      </c>
      <c r="E73" s="3"/>
      <c r="F73" s="41"/>
      <c r="G73" s="77" t="s">
        <v>42</v>
      </c>
      <c r="H73" s="95"/>
      <c r="I73" s="95"/>
      <c r="J73" s="95">
        <f>J72*GST</f>
        <v>34.72</v>
      </c>
      <c r="K73" s="87"/>
      <c r="L73" s="88"/>
      <c r="M73" s="79"/>
      <c r="N73" s="88"/>
      <c r="O73" s="95"/>
      <c r="P73" s="95"/>
      <c r="Q73" s="95">
        <f>Q72*GST</f>
        <v>38.620000000000005</v>
      </c>
      <c r="R73" s="75"/>
    </row>
    <row r="74" spans="1:22" s="21" customFormat="1" x14ac:dyDescent="0.35">
      <c r="A74" s="3"/>
      <c r="B74" s="3" t="str">
        <f t="shared" si="18"/>
        <v>Endeavour</v>
      </c>
      <c r="C74" s="3" t="str">
        <f t="shared" si="18"/>
        <v>Small business</v>
      </c>
      <c r="D74" s="3" t="str">
        <f t="shared" si="18"/>
        <v>without CL</v>
      </c>
      <c r="E74" s="3"/>
      <c r="F74" s="41"/>
      <c r="G74" s="5" t="s">
        <v>90</v>
      </c>
      <c r="H74" s="94"/>
      <c r="I74" s="94"/>
      <c r="J74" s="94">
        <f>SUM(J72:J73)</f>
        <v>381.91999999999996</v>
      </c>
      <c r="K74" s="75"/>
      <c r="L74" s="27"/>
      <c r="M74" s="76">
        <f>IF(OR(J74=0,Q74=""),"",Q74/J74-1)</f>
        <v>0.1123271889400923</v>
      </c>
      <c r="N74" s="27"/>
      <c r="O74" s="94"/>
      <c r="P74" s="94"/>
      <c r="Q74" s="94">
        <f>SUM(Q72:Q73)</f>
        <v>424.82</v>
      </c>
      <c r="R74" s="75"/>
    </row>
    <row r="75" spans="1:22" s="21" customFormat="1" x14ac:dyDescent="0.35">
      <c r="A75" s="3"/>
      <c r="B75" s="3"/>
      <c r="C75" s="3"/>
      <c r="D75" s="3"/>
      <c r="E75" s="3"/>
      <c r="F75" s="41"/>
      <c r="G75" s="3"/>
      <c r="H75" s="89"/>
      <c r="I75" s="89"/>
      <c r="J75" s="89"/>
      <c r="K75" s="43"/>
      <c r="M75" s="48"/>
      <c r="O75" s="89"/>
      <c r="P75" s="89"/>
      <c r="Q75" s="89"/>
      <c r="R75" s="43"/>
    </row>
    <row r="76" spans="1:22" s="21" customFormat="1" x14ac:dyDescent="0.35">
      <c r="A76" s="3"/>
      <c r="B76" s="5" t="s">
        <v>3</v>
      </c>
      <c r="C76" s="5" t="s">
        <v>6</v>
      </c>
      <c r="D76" s="5" t="s">
        <v>150</v>
      </c>
      <c r="E76" s="3"/>
      <c r="F76" s="41"/>
      <c r="G76" s="3"/>
      <c r="H76" s="89"/>
      <c r="I76" s="89"/>
      <c r="J76" s="89"/>
      <c r="K76" s="43"/>
      <c r="M76" s="48"/>
      <c r="O76" s="89"/>
      <c r="P76" s="89"/>
      <c r="Q76" s="89"/>
      <c r="R76" s="43"/>
    </row>
    <row r="77" spans="1:22" s="21" customFormat="1" outlineLevel="1" x14ac:dyDescent="0.35">
      <c r="A77" s="3"/>
      <c r="B77" s="3" t="str">
        <f t="shared" ref="B77:D83" si="19">B76</f>
        <v>Essential</v>
      </c>
      <c r="C77" s="3" t="str">
        <f t="shared" si="19"/>
        <v>Residential</v>
      </c>
      <c r="D77" s="3" t="str">
        <f t="shared" si="19"/>
        <v>without CL</v>
      </c>
      <c r="E77" s="3" t="s">
        <v>23</v>
      </c>
      <c r="F77" s="41">
        <f t="array" ref="F77">IFERROR(INDEX(Usage!$B$5:$P$18,MATCH($B77,Usage!$B$5:$B$18,0),MATCH($C77&amp;$D77&amp;$E77&amp;"Total",Usage!$B$5:$S$5&amp;Usage!$B$6:$S$6&amp;Usage!$B$7:$S$7&amp;Usage!$B$13:$S$13,0)),0)</f>
        <v>4600</v>
      </c>
      <c r="G77" s="3" t="s">
        <v>83</v>
      </c>
      <c r="H77" s="89"/>
      <c r="I77" s="89">
        <f t="array" ref="I77">IFERROR(INDEX('Detail inputs'!$B$3:$K$168,MATCH($B77&amp;$G77&amp;I$5,'Detail inputs'!$B$3:$B$168&amp;'Detail inputs'!$G$3:$G$168&amp;'Detail inputs'!$H$3:$H$168,0),MATCH(I$4,'Detail inputs'!$B$3:$K$3,0)),0)</f>
        <v>4.95</v>
      </c>
      <c r="J77" s="89">
        <f>IF(AND(H77="",I77=""),"",H77+I77*$F77/1000)</f>
        <v>22.77</v>
      </c>
      <c r="K77" s="43">
        <f>IFERROR(J77/J81,"")</f>
        <v>0.28695652173913044</v>
      </c>
      <c r="L77" s="43"/>
      <c r="M77" s="48">
        <f>IF(OR(J77=0,Q77=""),"",Q77/J77-1)</f>
        <v>-0.14747474747474754</v>
      </c>
      <c r="N77" s="43"/>
      <c r="O77" s="89"/>
      <c r="P77" s="89">
        <f t="array" ref="P77">IFERROR(INDEX('Detail inputs'!$B$3:$K$168,MATCH($B77&amp;$G77&amp;P$5,'Detail inputs'!$B$3:$B$168&amp;'Detail inputs'!$G$3:$G$168&amp;'Detail inputs'!$H$3:$H$168,0),MATCH(P$4,'Detail inputs'!$B$3:$K$3,0)),0)</f>
        <v>4.22</v>
      </c>
      <c r="Q77" s="89">
        <f>IF(AND(O77="",P77=""),"",O77+P77*$F77/1000)</f>
        <v>19.411999999999999</v>
      </c>
      <c r="R77" s="43">
        <f>IFERROR(Q77/Q81,"")</f>
        <v>0.22163865546218486</v>
      </c>
    </row>
    <row r="78" spans="1:22" s="21" customFormat="1" outlineLevel="1" x14ac:dyDescent="0.35">
      <c r="A78" s="3"/>
      <c r="B78" s="3" t="str">
        <f t="shared" si="19"/>
        <v>Essential</v>
      </c>
      <c r="C78" s="3" t="str">
        <f t="shared" si="19"/>
        <v>Residential</v>
      </c>
      <c r="D78" s="3" t="str">
        <f t="shared" si="19"/>
        <v>without CL</v>
      </c>
      <c r="E78" s="3" t="s">
        <v>23</v>
      </c>
      <c r="F78" s="41">
        <f t="array" ref="F78">IFERROR(INDEX(Usage!$B$5:$P$18,MATCH($B78,Usage!$B$5:$B$18,0),MATCH($C78&amp;$D78&amp;$E78&amp;"Total",Usage!$B$5:$S$5&amp;Usage!$B$6:$S$6&amp;Usage!$B$7:$S$7&amp;Usage!$B$13:$S$13,0)),0)</f>
        <v>4600</v>
      </c>
      <c r="G78" s="3" t="s">
        <v>84</v>
      </c>
      <c r="H78" s="89"/>
      <c r="I78" s="89">
        <f t="array" ref="I78">IFERROR(INDEX('Detail inputs'!$B$3:$K$168,MATCH($B78&amp;$G78&amp;I$5,'Detail inputs'!$B$3:$B$168&amp;'Detail inputs'!$G$3:$G$168&amp;'Detail inputs'!$H$3:$H$168,0),MATCH(I$4,'Detail inputs'!$B$3:$K$3,0)),0)</f>
        <v>9.31</v>
      </c>
      <c r="J78" s="89">
        <f>IF(AND(H78="",I78=""),"",H78+I78*$F78/1000)</f>
        <v>42.826000000000001</v>
      </c>
      <c r="K78" s="43">
        <f>IFERROR(J78/J81,"")</f>
        <v>0.53971014492753633</v>
      </c>
      <c r="L78" s="43"/>
      <c r="M78" s="48">
        <f>IF(OR(J78=0,Q78=""),"",Q78/J78-1)</f>
        <v>0.23737916219119226</v>
      </c>
      <c r="N78" s="43"/>
      <c r="O78" s="89"/>
      <c r="P78" s="89">
        <f t="array" ref="P78">IFERROR(INDEX('Detail inputs'!$B$3:$K$168,MATCH($B78&amp;$G78&amp;P$5,'Detail inputs'!$B$3:$B$168&amp;'Detail inputs'!$G$3:$G$168&amp;'Detail inputs'!$H$3:$H$168,0),MATCH(P$4,'Detail inputs'!$B$3:$K$3,0)),0)</f>
        <v>11.52</v>
      </c>
      <c r="Q78" s="89">
        <f>IF(AND(O78="",P78=""),"",O78+P78*$F78/1000)</f>
        <v>52.991999999999997</v>
      </c>
      <c r="R78" s="43">
        <f>IFERROR(Q78/Q81,"")</f>
        <v>0.60504201680672265</v>
      </c>
    </row>
    <row r="79" spans="1:22" s="21" customFormat="1" outlineLevel="1" x14ac:dyDescent="0.35">
      <c r="A79" s="3"/>
      <c r="B79" s="3" t="str">
        <f t="shared" si="19"/>
        <v>Essential</v>
      </c>
      <c r="C79" s="3" t="str">
        <f t="shared" si="19"/>
        <v>Residential</v>
      </c>
      <c r="D79" s="3" t="str">
        <f t="shared" si="19"/>
        <v>without CL</v>
      </c>
      <c r="E79" s="3" t="s">
        <v>23</v>
      </c>
      <c r="F79" s="41">
        <f t="array" ref="F79">IFERROR(INDEX(Usage!$B$5:$P$18,MATCH($B79,Usage!$B$5:$B$18,0),MATCH($C79&amp;$D79&amp;$E79&amp;"Total",Usage!$B$5:$S$5&amp;Usage!$B$6:$S$6&amp;Usage!$B$7:$S$7&amp;Usage!$B$13:$S$13,0)),0)</f>
        <v>4600</v>
      </c>
      <c r="G79" s="3" t="s">
        <v>85</v>
      </c>
      <c r="H79" s="89"/>
      <c r="I79" s="89">
        <f t="array" ref="I79">IFERROR(INDEX('Detail inputs'!$B$3:$K$168,MATCH($B79&amp;$G79&amp;I$5,'Detail inputs'!$B$3:$B$168&amp;'Detail inputs'!$G$3:$G$168&amp;'Detail inputs'!$H$3:$H$168,0),MATCH(I$4,'Detail inputs'!$B$3:$K$3,0)),0)</f>
        <v>2.09</v>
      </c>
      <c r="J79" s="89">
        <f>IF(AND(H79="",I79=""),"",H79+I79*$F79/1000)</f>
        <v>9.6140000000000008</v>
      </c>
      <c r="K79" s="43">
        <f>IFERROR(J79/J81,"")</f>
        <v>0.12115942028985509</v>
      </c>
      <c r="L79" s="43"/>
      <c r="M79" s="48">
        <f>IF(OR(J79=0,Q79=""),"",Q79/J79-1)</f>
        <v>0.18660287081339688</v>
      </c>
      <c r="N79" s="43"/>
      <c r="O79" s="89"/>
      <c r="P79" s="89">
        <f t="array" ref="P79">IFERROR(INDEX('Detail inputs'!$B$3:$K$168,MATCH($B79&amp;$G79&amp;P$5,'Detail inputs'!$B$3:$B$168&amp;'Detail inputs'!$G$3:$G$168&amp;'Detail inputs'!$H$3:$H$168,0),MATCH(P$4,'Detail inputs'!$B$3:$K$3,0)),0)</f>
        <v>2.48</v>
      </c>
      <c r="Q79" s="89">
        <f>IF(AND(O79="",P79=""),"",O79+P79*$F79/1000)</f>
        <v>11.407999999999999</v>
      </c>
      <c r="R79" s="43">
        <f>IFERROR(Q79/Q81,"")</f>
        <v>0.13025210084033612</v>
      </c>
    </row>
    <row r="80" spans="1:22" s="21" customFormat="1" outlineLevel="1" x14ac:dyDescent="0.35">
      <c r="A80" s="3"/>
      <c r="B80" s="3" t="str">
        <f t="shared" si="19"/>
        <v>Essential</v>
      </c>
      <c r="C80" s="3" t="str">
        <f t="shared" si="19"/>
        <v>Residential</v>
      </c>
      <c r="D80" s="3" t="str">
        <f t="shared" si="19"/>
        <v>without CL</v>
      </c>
      <c r="E80" s="3" t="s">
        <v>23</v>
      </c>
      <c r="F80" s="41">
        <f t="array" ref="F80">IFERROR(INDEX(Usage!$B$5:$P$18,MATCH($B80,Usage!$B$5:$B$18,0),MATCH($C80&amp;$D80&amp;$E80&amp;"Total",Usage!$B$5:$S$5&amp;Usage!$B$6:$S$6&amp;Usage!$B$7:$S$7&amp;Usage!$B$13:$S$13,0)),0)</f>
        <v>4600</v>
      </c>
      <c r="G80" s="3" t="s">
        <v>82</v>
      </c>
      <c r="H80" s="89"/>
      <c r="I80" s="89">
        <f t="array" ref="I80">ROUND(IFERROR(INDEX('Detail inputs'!$B$3:$K$168,MATCH($B80&amp;$C80&amp;$E80&amp;$G80&amp;I$5,'Detail inputs'!$B$3:$B$168&amp;'Detail inputs'!$D$3:$D$168&amp;'Detail inputs'!$F$3:$F$168&amp;'Detail inputs'!$G$3:$G$168&amp;'Detail inputs'!$H$3:$H$168,0),MATCH(I$4,'Detail inputs'!$B$3:$K$3,0)),0)*SUM(I77:I79),2)</f>
        <v>0.9</v>
      </c>
      <c r="J80" s="89">
        <f>IF(AND(H80="",I80=""),"",H80+I80*$F80/1000)</f>
        <v>4.1399999999999997</v>
      </c>
      <c r="K80" s="43">
        <f>IFERROR(J80/J81,"")</f>
        <v>5.2173913043478258E-2</v>
      </c>
      <c r="L80" s="43"/>
      <c r="M80" s="48">
        <f>IF(OR(J80=0,Q80=""),"",Q80/J80-1)</f>
        <v>-8.8888888888888906E-2</v>
      </c>
      <c r="N80" s="43"/>
      <c r="O80" s="89"/>
      <c r="P80" s="89">
        <f t="array" ref="P80">ROUND(IFERROR(INDEX('Detail inputs'!$B$3:$K$168,MATCH($B80&amp;$C80&amp;$E80&amp;$G80&amp;P$5,'Detail inputs'!$B$3:$B$168&amp;'Detail inputs'!$D$3:$D$168&amp;'Detail inputs'!$F$3:$F$168&amp;'Detail inputs'!$G$3:$G$168&amp;'Detail inputs'!$H$3:$H$168,0),MATCH(P$4,'Detail inputs'!$B$3:$K$3,0)),0)*SUM(P77:P79),2)</f>
        <v>0.82</v>
      </c>
      <c r="Q80" s="89">
        <f>IF(AND(O80="",P80=""),"",O80+P80*$F80/1000)</f>
        <v>3.7719999999999998</v>
      </c>
      <c r="R80" s="43">
        <f>IFERROR(Q80/Q81,"")</f>
        <v>4.3067226890756295E-2</v>
      </c>
    </row>
    <row r="81" spans="1:22" s="88" customFormat="1" x14ac:dyDescent="0.3">
      <c r="A81" s="77"/>
      <c r="B81" s="77" t="str">
        <f t="shared" si="19"/>
        <v>Essential</v>
      </c>
      <c r="C81" s="77" t="str">
        <f t="shared" si="19"/>
        <v>Residential</v>
      </c>
      <c r="D81" s="77" t="str">
        <f t="shared" si="19"/>
        <v>without CL</v>
      </c>
      <c r="E81" s="3" t="s">
        <v>23</v>
      </c>
      <c r="F81" s="41">
        <f t="array" ref="F81">IFERROR(INDEX(Usage!$B$5:$P$18,MATCH($B81,Usage!$B$5:$B$18,0),MATCH($C81&amp;$D81&amp;$E81&amp;"Total",Usage!$B$5:$S$5&amp;Usage!$B$6:$S$6&amp;Usage!$B$7:$S$7&amp;Usage!$B$13:$S$13,0)),0)</f>
        <v>4600</v>
      </c>
      <c r="G81" s="77" t="s">
        <v>62</v>
      </c>
      <c r="H81" s="95"/>
      <c r="I81" s="95">
        <f t="array" ref="I81">INDEX('Key inputs'!$B$16:$N$40,MATCH($B81&amp;$C81&amp;$E81,'Key inputs'!$B$16:$B$40&amp;'Key inputs'!$C$16:$C$40&amp;'Key inputs'!$D$16:$D$40,0),MATCH($A$2&amp;I$4,'Key inputs'!$B$17:$N$17&amp;'Key inputs'!$B$18:$N$18,0))</f>
        <v>17.25</v>
      </c>
      <c r="J81" s="89">
        <f>IF(AND(H81="",I81=""),"",H81+I81*$F81/1000)</f>
        <v>79.349999999999994</v>
      </c>
      <c r="K81" s="87"/>
      <c r="M81" s="79">
        <f>IF(OR(J81=0,Q81=""),"",Q81/J81-1)</f>
        <v>0.10376811594202917</v>
      </c>
      <c r="O81" s="95"/>
      <c r="P81" s="95">
        <f t="array" ref="P81">INDEX('Key inputs'!$B$16:$N$40,MATCH($B81&amp;$C81&amp;$E81,'Key inputs'!$B$16:$B$40&amp;'Key inputs'!$C$16:$C$40&amp;'Key inputs'!$D$16:$D$40,0),MATCH($A$2&amp;P$4,'Key inputs'!$B$17:$N$17&amp;'Key inputs'!$B$18:$N$18,0))</f>
        <v>19.04</v>
      </c>
      <c r="Q81" s="89">
        <f>IF(AND(O81="",P81=""),"",O81+P81*$F81/1000)</f>
        <v>87.584000000000003</v>
      </c>
      <c r="R81" s="87"/>
      <c r="S81" s="136" t="b">
        <f>ROUND(I81,$T$5)=ROUND(SUM(I77:I80),$T$5)</f>
        <v>1</v>
      </c>
      <c r="T81" s="136" t="b">
        <f>ROUND(P81,$T$5)=ROUND(SUM(P77:P80),$T$5)</f>
        <v>1</v>
      </c>
      <c r="U81" s="95"/>
      <c r="V81" s="95"/>
    </row>
    <row r="82" spans="1:22" s="21" customFormat="1" outlineLevel="1" x14ac:dyDescent="0.35">
      <c r="A82" s="3"/>
      <c r="B82" s="3" t="str">
        <f t="shared" si="19"/>
        <v>Essential</v>
      </c>
      <c r="C82" s="3" t="str">
        <f t="shared" si="19"/>
        <v>Residential</v>
      </c>
      <c r="D82" s="3" t="str">
        <f t="shared" si="19"/>
        <v>without CL</v>
      </c>
      <c r="E82" s="3"/>
      <c r="F82" s="41"/>
      <c r="G82" s="77" t="s">
        <v>42</v>
      </c>
      <c r="H82" s="95"/>
      <c r="I82" s="95"/>
      <c r="J82" s="95">
        <f>J81*GST</f>
        <v>7.9349999999999996</v>
      </c>
      <c r="K82" s="87"/>
      <c r="L82" s="88"/>
      <c r="M82" s="79"/>
      <c r="N82" s="88"/>
      <c r="O82" s="95"/>
      <c r="P82" s="95"/>
      <c r="Q82" s="95">
        <f>Q81*GST</f>
        <v>8.7584</v>
      </c>
      <c r="R82" s="75"/>
    </row>
    <row r="83" spans="1:22" s="21" customFormat="1" x14ac:dyDescent="0.35">
      <c r="A83" s="3"/>
      <c r="B83" s="3" t="str">
        <f t="shared" si="19"/>
        <v>Essential</v>
      </c>
      <c r="C83" s="3" t="str">
        <f t="shared" si="19"/>
        <v>Residential</v>
      </c>
      <c r="D83" s="3" t="str">
        <f t="shared" si="19"/>
        <v>without CL</v>
      </c>
      <c r="E83" s="3"/>
      <c r="F83" s="41"/>
      <c r="G83" s="5" t="s">
        <v>90</v>
      </c>
      <c r="H83" s="94"/>
      <c r="I83" s="94"/>
      <c r="J83" s="94">
        <f>SUM(J81:J82)</f>
        <v>87.284999999999997</v>
      </c>
      <c r="K83" s="75"/>
      <c r="L83" s="27"/>
      <c r="M83" s="76">
        <f>IF(OR(J83=0,Q83=""),"",Q83/J83-1)</f>
        <v>0.10376811594202895</v>
      </c>
      <c r="N83" s="27"/>
      <c r="O83" s="94"/>
      <c r="P83" s="94"/>
      <c r="Q83" s="94">
        <f>SUM(Q81:Q82)</f>
        <v>96.342399999999998</v>
      </c>
      <c r="R83" s="75"/>
    </row>
    <row r="84" spans="1:22" s="21" customFormat="1" x14ac:dyDescent="0.35">
      <c r="A84" s="3"/>
      <c r="B84" s="3"/>
      <c r="C84" s="3"/>
      <c r="D84" s="3"/>
      <c r="E84" s="3"/>
      <c r="F84" s="41"/>
      <c r="G84" s="3"/>
      <c r="H84" s="89"/>
      <c r="I84" s="89"/>
      <c r="J84" s="89"/>
      <c r="K84" s="43"/>
      <c r="M84" s="48"/>
      <c r="O84" s="89"/>
      <c r="P84" s="89"/>
      <c r="Q84" s="89"/>
      <c r="R84" s="43"/>
    </row>
    <row r="85" spans="1:22" s="21" customFormat="1" x14ac:dyDescent="0.35">
      <c r="A85" s="3"/>
      <c r="B85" s="5" t="s">
        <v>3</v>
      </c>
      <c r="C85" s="5" t="s">
        <v>6</v>
      </c>
      <c r="D85" s="5" t="s">
        <v>151</v>
      </c>
      <c r="E85" s="3"/>
      <c r="F85" s="41"/>
      <c r="G85" s="3"/>
      <c r="H85" s="89"/>
      <c r="I85" s="89"/>
      <c r="J85" s="89"/>
      <c r="K85" s="43"/>
      <c r="M85" s="48"/>
      <c r="O85" s="89"/>
      <c r="P85" s="89"/>
      <c r="Q85" s="89"/>
      <c r="R85" s="43"/>
    </row>
    <row r="86" spans="1:22" s="21" customFormat="1" outlineLevel="1" x14ac:dyDescent="0.35">
      <c r="A86" s="3"/>
      <c r="B86" s="3" t="str">
        <f t="shared" ref="B86:B97" si="20">B85</f>
        <v>Essential</v>
      </c>
      <c r="C86" s="3" t="str">
        <f t="shared" ref="C86:C97" si="21">C85</f>
        <v>Residential</v>
      </c>
      <c r="D86" s="3" t="str">
        <f t="shared" ref="D86:D97" si="22">D85</f>
        <v>with CL</v>
      </c>
      <c r="E86" s="3" t="s">
        <v>23</v>
      </c>
      <c r="F86" s="41">
        <f t="array" ref="F86">IFERROR(INDEX(Usage!$B$5:$P$18,MATCH($B86,Usage!$B$5:$B$18,0),MATCH($C86&amp;$D86&amp;$E86&amp;"Total",Usage!$B$5:$S$5&amp;Usage!$B$6:$S$6&amp;Usage!$B$7:$S$7&amp;Usage!$B$13:$S$13,0)),0)</f>
        <v>4600</v>
      </c>
      <c r="G86" s="3" t="s">
        <v>62</v>
      </c>
      <c r="H86" s="89"/>
      <c r="I86" s="89">
        <f>I81</f>
        <v>17.25</v>
      </c>
      <c r="J86" s="89">
        <f t="shared" ref="J86:J96" si="23">IF(AND(H86="",I86=""),"",H86+I86*$F86/1000)</f>
        <v>79.349999999999994</v>
      </c>
      <c r="K86" s="43"/>
      <c r="M86" s="48">
        <f>IF(OR(J86=0,Q86=""),"",Q86/J86-1)</f>
        <v>0.10376811594202917</v>
      </c>
      <c r="O86" s="89"/>
      <c r="P86" s="89">
        <f>P81</f>
        <v>19.04</v>
      </c>
      <c r="Q86" s="89">
        <f t="shared" ref="Q86:Q96" si="24">IF(AND(O86="",P86=""),"",O86+P86*$F86/1000)</f>
        <v>87.584000000000003</v>
      </c>
      <c r="R86" s="43"/>
    </row>
    <row r="87" spans="1:22" s="21" customFormat="1" outlineLevel="1" x14ac:dyDescent="0.35">
      <c r="A87" s="3"/>
      <c r="B87" s="3" t="str">
        <f t="shared" si="20"/>
        <v>Essential</v>
      </c>
      <c r="C87" s="3" t="str">
        <f t="shared" si="21"/>
        <v>Residential</v>
      </c>
      <c r="D87" s="3" t="str">
        <f t="shared" si="22"/>
        <v>with CL</v>
      </c>
      <c r="E87" s="3" t="s">
        <v>16</v>
      </c>
      <c r="F87" s="41">
        <f t="array" ref="F87">IFERROR(INDEX(Usage!$B$5:$P$18,MATCH($B87,Usage!$B$5:$B$18,0),MATCH($C87&amp;$D87&amp;$E87,Usage!$B$5:$S$5&amp;Usage!$B$6:$S$6&amp;Usage!$B$7:$S$7,0)),0)</f>
        <v>1540</v>
      </c>
      <c r="G87" s="3" t="s">
        <v>83</v>
      </c>
      <c r="H87" s="89"/>
      <c r="I87" s="89">
        <f t="array" ref="I87">IFERROR(INDEX('Detail inputs'!$B$3:$K$168,MATCH($B87&amp;$G87&amp;I$5,'Detail inputs'!$B$3:$B$168&amp;'Detail inputs'!$G$3:$G$168&amp;'Detail inputs'!$H$3:$H$168,0),MATCH(I$4,'Detail inputs'!$B$3:$K$3,0)),0)</f>
        <v>4.95</v>
      </c>
      <c r="J87" s="89">
        <f t="shared" si="23"/>
        <v>7.6230000000000002</v>
      </c>
      <c r="K87" s="43">
        <f>IFERROR(J87/J91,"")</f>
        <v>0.28695652173913044</v>
      </c>
      <c r="L87" s="43"/>
      <c r="M87" s="48">
        <f t="shared" ref="M87:M97" si="25">IF(OR(J87=0,Q87=""),"",Q87/J87-1)</f>
        <v>-0.14747474747474765</v>
      </c>
      <c r="N87" s="43"/>
      <c r="O87" s="89"/>
      <c r="P87" s="89">
        <f t="array" ref="P87">IFERROR(INDEX('Detail inputs'!$B$3:$K$168,MATCH($B87&amp;$G87&amp;P$5,'Detail inputs'!$B$3:$B$168&amp;'Detail inputs'!$G$3:$G$168&amp;'Detail inputs'!$H$3:$H$168,0),MATCH(P$4,'Detail inputs'!$B$3:$K$3,0)),0)</f>
        <v>4.22</v>
      </c>
      <c r="Q87" s="89">
        <f t="shared" si="24"/>
        <v>6.4987999999999992</v>
      </c>
      <c r="R87" s="43">
        <f>IFERROR(Q87/Q91,"")</f>
        <v>0.22163865546218484</v>
      </c>
    </row>
    <row r="88" spans="1:22" s="21" customFormat="1" outlineLevel="1" x14ac:dyDescent="0.35">
      <c r="A88" s="3"/>
      <c r="B88" s="3" t="str">
        <f t="shared" si="20"/>
        <v>Essential</v>
      </c>
      <c r="C88" s="3" t="str">
        <f t="shared" si="21"/>
        <v>Residential</v>
      </c>
      <c r="D88" s="3" t="str">
        <f t="shared" si="22"/>
        <v>with CL</v>
      </c>
      <c r="E88" s="3" t="s">
        <v>16</v>
      </c>
      <c r="F88" s="41">
        <f t="array" ref="F88">IFERROR(INDEX(Usage!$B$5:$P$18,MATCH($B88,Usage!$B$5:$B$18,0),MATCH($C88&amp;$D88&amp;$E88,Usage!$B$5:$S$5&amp;Usage!$B$6:$S$6&amp;Usage!$B$7:$S$7,0)),0)</f>
        <v>1540</v>
      </c>
      <c r="G88" s="3" t="s">
        <v>84</v>
      </c>
      <c r="H88" s="89"/>
      <c r="I88" s="89">
        <f t="array" ref="I88">IFERROR(INDEX('Detail inputs'!$B$3:$K$168,MATCH($B88&amp;$G88&amp;I$5,'Detail inputs'!$B$3:$B$168&amp;'Detail inputs'!$G$3:$G$168&amp;'Detail inputs'!$H$3:$H$168,0),MATCH(I$4,'Detail inputs'!$B$3:$K$3,0)),0)</f>
        <v>9.31</v>
      </c>
      <c r="J88" s="89">
        <f t="shared" si="23"/>
        <v>14.337400000000001</v>
      </c>
      <c r="K88" s="43">
        <f>IFERROR(J88/J91,"")</f>
        <v>0.53971014492753622</v>
      </c>
      <c r="L88" s="43"/>
      <c r="M88" s="48">
        <f t="shared" si="25"/>
        <v>0.23737916219119226</v>
      </c>
      <c r="N88" s="43"/>
      <c r="O88" s="89"/>
      <c r="P88" s="89">
        <f t="array" ref="P88">IFERROR(INDEX('Detail inputs'!$B$3:$K$168,MATCH($B88&amp;$G88&amp;P$5,'Detail inputs'!$B$3:$B$168&amp;'Detail inputs'!$G$3:$G$168&amp;'Detail inputs'!$H$3:$H$168,0),MATCH(P$4,'Detail inputs'!$B$3:$K$3,0)),0)</f>
        <v>11.52</v>
      </c>
      <c r="Q88" s="89">
        <f t="shared" si="24"/>
        <v>17.7408</v>
      </c>
      <c r="R88" s="43">
        <f>IFERROR(Q88/Q91,"")</f>
        <v>0.60504201680672265</v>
      </c>
    </row>
    <row r="89" spans="1:22" s="21" customFormat="1" outlineLevel="1" x14ac:dyDescent="0.35">
      <c r="A89" s="3"/>
      <c r="B89" s="3" t="str">
        <f t="shared" si="20"/>
        <v>Essential</v>
      </c>
      <c r="C89" s="3" t="str">
        <f t="shared" si="21"/>
        <v>Residential</v>
      </c>
      <c r="D89" s="3" t="str">
        <f t="shared" si="22"/>
        <v>with CL</v>
      </c>
      <c r="E89" s="3" t="s">
        <v>16</v>
      </c>
      <c r="F89" s="41">
        <f t="array" ref="F89">IFERROR(INDEX(Usage!$B$5:$P$18,MATCH($B89,Usage!$B$5:$B$18,0),MATCH($C89&amp;$D89&amp;$E89,Usage!$B$5:$S$5&amp;Usage!$B$6:$S$6&amp;Usage!$B$7:$S$7,0)),0)</f>
        <v>1540</v>
      </c>
      <c r="G89" s="3" t="s">
        <v>85</v>
      </c>
      <c r="H89" s="89"/>
      <c r="I89" s="89">
        <f t="array" ref="I89">IFERROR(INDEX('Detail inputs'!$B$3:$K$168,MATCH($B89&amp;$G89&amp;I$5,'Detail inputs'!$B$3:$B$168&amp;'Detail inputs'!$G$3:$G$168&amp;'Detail inputs'!$H$3:$H$168,0),MATCH(I$4,'Detail inputs'!$B$3:$K$3,0)),0)</f>
        <v>2.09</v>
      </c>
      <c r="J89" s="89">
        <f t="shared" si="23"/>
        <v>3.2185999999999999</v>
      </c>
      <c r="K89" s="43">
        <f>IFERROR(J89/J91,"")</f>
        <v>0.12115942028985506</v>
      </c>
      <c r="L89" s="43"/>
      <c r="M89" s="48">
        <f t="shared" si="25"/>
        <v>0.1866028708133971</v>
      </c>
      <c r="N89" s="43"/>
      <c r="O89" s="89"/>
      <c r="P89" s="89">
        <f t="array" ref="P89">IFERROR(INDEX('Detail inputs'!$B$3:$K$168,MATCH($B89&amp;$G89&amp;P$5,'Detail inputs'!$B$3:$B$168&amp;'Detail inputs'!$G$3:$G$168&amp;'Detail inputs'!$H$3:$H$168,0),MATCH(P$4,'Detail inputs'!$B$3:$K$3,0)),0)</f>
        <v>2.48</v>
      </c>
      <c r="Q89" s="89">
        <f t="shared" si="24"/>
        <v>3.8191999999999999</v>
      </c>
      <c r="R89" s="43">
        <f>IFERROR(Q89/Q91,"")</f>
        <v>0.13025210084033614</v>
      </c>
    </row>
    <row r="90" spans="1:22" s="21" customFormat="1" outlineLevel="1" x14ac:dyDescent="0.35">
      <c r="A90" s="3"/>
      <c r="B90" s="3" t="str">
        <f t="shared" si="20"/>
        <v>Essential</v>
      </c>
      <c r="C90" s="3" t="str">
        <f t="shared" si="21"/>
        <v>Residential</v>
      </c>
      <c r="D90" s="3" t="str">
        <f t="shared" si="22"/>
        <v>with CL</v>
      </c>
      <c r="E90" s="3" t="s">
        <v>16</v>
      </c>
      <c r="F90" s="41">
        <f t="array" ref="F90">IFERROR(INDEX(Usage!$B$5:$P$18,MATCH($B90,Usage!$B$5:$B$18,0),MATCH($C90&amp;$D90&amp;$E90,Usage!$B$5:$S$5&amp;Usage!$B$6:$S$6&amp;Usage!$B$7:$S$7,0)),0)</f>
        <v>1540</v>
      </c>
      <c r="G90" s="3" t="s">
        <v>82</v>
      </c>
      <c r="H90" s="89"/>
      <c r="I90" s="89">
        <f t="array" ref="I90">ROUND(IFERROR(INDEX('Detail inputs'!$B$3:$K$168,MATCH($B90&amp;$C90&amp;$E90&amp;$G90&amp;I$5,'Detail inputs'!$B$3:$B$168&amp;'Detail inputs'!$D$3:$D$168&amp;'Detail inputs'!$F$3:$F$168&amp;'Detail inputs'!$G$3:$G$168&amp;'Detail inputs'!$H$3:$H$168,0),MATCH(I$4,'Detail inputs'!$B$3:$K$3,0)),0)*SUM(I87:I89),2)</f>
        <v>0.9</v>
      </c>
      <c r="J90" s="89">
        <f t="shared" si="23"/>
        <v>1.3859999999999999</v>
      </c>
      <c r="K90" s="43">
        <f>IFERROR(J90/J91,"")</f>
        <v>5.2173913043478251E-2</v>
      </c>
      <c r="L90" s="43"/>
      <c r="M90" s="48">
        <f t="shared" si="25"/>
        <v>-8.8888888888888906E-2</v>
      </c>
      <c r="N90" s="43"/>
      <c r="O90" s="89"/>
      <c r="P90" s="89">
        <f t="array" ref="P90">ROUND(IFERROR(INDEX('Detail inputs'!$B$3:$K$168,MATCH($B90&amp;$C90&amp;$E90&amp;$G90&amp;P$5,'Detail inputs'!$B$3:$B$168&amp;'Detail inputs'!$D$3:$D$168&amp;'Detail inputs'!$F$3:$F$168&amp;'Detail inputs'!$G$3:$G$168&amp;'Detail inputs'!$H$3:$H$168,0),MATCH(P$4,'Detail inputs'!$B$3:$K$3,0)),0)*SUM(P87:P89),2)</f>
        <v>0.82</v>
      </c>
      <c r="Q90" s="89">
        <f t="shared" si="24"/>
        <v>1.2627999999999999</v>
      </c>
      <c r="R90" s="43">
        <f>IFERROR(Q90/Q91,"")</f>
        <v>4.3067226890756302E-2</v>
      </c>
    </row>
    <row r="91" spans="1:22" s="21" customFormat="1" outlineLevel="1" x14ac:dyDescent="0.3">
      <c r="A91" s="3"/>
      <c r="B91" s="3" t="str">
        <f t="shared" si="20"/>
        <v>Essential</v>
      </c>
      <c r="C91" s="3" t="str">
        <f t="shared" si="21"/>
        <v>Residential</v>
      </c>
      <c r="D91" s="3" t="str">
        <f t="shared" si="22"/>
        <v>with CL</v>
      </c>
      <c r="E91" s="3" t="s">
        <v>16</v>
      </c>
      <c r="F91" s="41">
        <f t="array" ref="F91">IFERROR(INDEX(Usage!$B$5:$P$18,MATCH($B91,Usage!$B$5:$B$18,0),MATCH($C91&amp;$D91&amp;$E91,Usage!$B$5:$S$5&amp;Usage!$B$6:$S$6&amp;Usage!$B$7:$S$7,0)),0)</f>
        <v>1540</v>
      </c>
      <c r="G91" s="3" t="s">
        <v>62</v>
      </c>
      <c r="H91" s="95"/>
      <c r="I91" s="95">
        <f t="array" ref="I91">INDEX('Key inputs'!$B$16:$N$40,MATCH($B91&amp;$C91&amp;$E91,'Key inputs'!$B$16:$B$40&amp;'Key inputs'!$C$16:$C$40&amp;'Key inputs'!$D$16:$D$40,0),MATCH($A$2&amp;I$4,'Key inputs'!$B$17:$N$17&amp;'Key inputs'!$B$18:$N$18,0))</f>
        <v>17.25</v>
      </c>
      <c r="J91" s="89">
        <f t="shared" si="23"/>
        <v>26.565000000000001</v>
      </c>
      <c r="K91" s="87"/>
      <c r="L91" s="88"/>
      <c r="M91" s="79">
        <f t="shared" si="25"/>
        <v>0.10376811594202895</v>
      </c>
      <c r="N91" s="88"/>
      <c r="O91" s="95"/>
      <c r="P91" s="95">
        <f t="array" ref="P91">INDEX('Key inputs'!$B$16:$N$40,MATCH($B91&amp;$C91&amp;$E91,'Key inputs'!$B$16:$B$40&amp;'Key inputs'!$C$16:$C$40&amp;'Key inputs'!$D$16:$D$40,0),MATCH($A$2&amp;P$4,'Key inputs'!$B$17:$N$17&amp;'Key inputs'!$B$18:$N$18,0))</f>
        <v>19.04</v>
      </c>
      <c r="Q91" s="89">
        <f t="shared" si="24"/>
        <v>29.3216</v>
      </c>
      <c r="R91" s="87"/>
      <c r="S91" s="136" t="b">
        <f>ROUND(I91,$T$5)=ROUND(SUM(I87:I90),$T$5)</f>
        <v>1</v>
      </c>
      <c r="T91" s="136" t="b">
        <f>ROUND(P91,$T$5)=ROUND(SUM(P87:P90),$T$5)</f>
        <v>1</v>
      </c>
      <c r="U91" s="95"/>
      <c r="V91" s="95"/>
    </row>
    <row r="92" spans="1:22" s="21" customFormat="1" outlineLevel="1" x14ac:dyDescent="0.35">
      <c r="A92" s="3"/>
      <c r="B92" s="3" t="str">
        <f t="shared" si="20"/>
        <v>Essential</v>
      </c>
      <c r="C92" s="3" t="str">
        <f t="shared" si="21"/>
        <v>Residential</v>
      </c>
      <c r="D92" s="3" t="str">
        <f t="shared" si="22"/>
        <v>with CL</v>
      </c>
      <c r="E92" s="3" t="s">
        <v>17</v>
      </c>
      <c r="F92" s="41">
        <f t="array" ref="F92">IFERROR(INDEX(Usage!$B$5:$P$18,MATCH($B92,Usage!$B$5:$B$18,0),MATCH($C92&amp;$D92&amp;$E92,Usage!$B$5:$S$5&amp;Usage!$B$6:$S$6&amp;Usage!$B$7:$S$7,0)),0)</f>
        <v>460</v>
      </c>
      <c r="G92" s="3" t="s">
        <v>83</v>
      </c>
      <c r="H92" s="89"/>
      <c r="I92" s="89">
        <f t="array" ref="I92">IFERROR(INDEX('Detail inputs'!$B$3:$K$168,MATCH($B92&amp;$G92&amp;I$5,'Detail inputs'!$B$3:$B$168&amp;'Detail inputs'!$G$3:$G$168&amp;'Detail inputs'!$H$3:$H$168,0),MATCH(I$4,'Detail inputs'!$B$3:$K$3,0)),0)</f>
        <v>4.95</v>
      </c>
      <c r="J92" s="89">
        <f t="shared" si="23"/>
        <v>2.2770000000000001</v>
      </c>
      <c r="K92" s="43">
        <f>IFERROR(J92/J96,"")</f>
        <v>0.28695652173913044</v>
      </c>
      <c r="L92" s="43"/>
      <c r="M92" s="48">
        <f t="shared" si="25"/>
        <v>-0.14747474747474765</v>
      </c>
      <c r="N92" s="43"/>
      <c r="O92" s="89"/>
      <c r="P92" s="89">
        <f t="array" ref="P92">IFERROR(INDEX('Detail inputs'!$B$3:$K$168,MATCH($B92&amp;$G92&amp;P$5,'Detail inputs'!$B$3:$B$168&amp;'Detail inputs'!$G$3:$G$168&amp;'Detail inputs'!$H$3:$H$168,0),MATCH(P$4,'Detail inputs'!$B$3:$K$3,0)),0)</f>
        <v>4.22</v>
      </c>
      <c r="Q92" s="89">
        <f t="shared" si="24"/>
        <v>1.9411999999999998</v>
      </c>
      <c r="R92" s="43">
        <f>IFERROR(Q92/Q96,"")</f>
        <v>0.22163865546218486</v>
      </c>
    </row>
    <row r="93" spans="1:22" s="21" customFormat="1" outlineLevel="1" x14ac:dyDescent="0.35">
      <c r="A93" s="3"/>
      <c r="B93" s="3" t="str">
        <f t="shared" si="20"/>
        <v>Essential</v>
      </c>
      <c r="C93" s="3" t="str">
        <f t="shared" si="21"/>
        <v>Residential</v>
      </c>
      <c r="D93" s="3" t="str">
        <f t="shared" si="22"/>
        <v>with CL</v>
      </c>
      <c r="E93" s="3" t="s">
        <v>17</v>
      </c>
      <c r="F93" s="41">
        <f t="array" ref="F93">IFERROR(INDEX(Usage!$B$5:$P$18,MATCH($B93,Usage!$B$5:$B$18,0),MATCH($C93&amp;$D93&amp;$E93,Usage!$B$5:$S$5&amp;Usage!$B$6:$S$6&amp;Usage!$B$7:$S$7,0)),0)</f>
        <v>460</v>
      </c>
      <c r="G93" s="3" t="s">
        <v>84</v>
      </c>
      <c r="H93" s="95"/>
      <c r="I93" s="95">
        <f t="array" ref="I93">IFERROR(INDEX('Detail inputs'!$B$3:$K$168,MATCH($B93&amp;$G93&amp;I$5,'Detail inputs'!$B$3:$B$168&amp;'Detail inputs'!$G$3:$G$168&amp;'Detail inputs'!$H$3:$H$168,0),MATCH(I$4,'Detail inputs'!$B$3:$K$3,0)),0)</f>
        <v>9.31</v>
      </c>
      <c r="J93" s="95">
        <f t="shared" si="23"/>
        <v>4.2826000000000004</v>
      </c>
      <c r="K93" s="87">
        <f>IFERROR(J93/J96,"")</f>
        <v>0.53971014492753633</v>
      </c>
      <c r="L93" s="87"/>
      <c r="M93" s="79">
        <f t="shared" si="25"/>
        <v>0.23737916219119204</v>
      </c>
      <c r="N93" s="87"/>
      <c r="O93" s="95"/>
      <c r="P93" s="95">
        <f t="array" ref="P93">IFERROR(INDEX('Detail inputs'!$B$3:$K$168,MATCH($B93&amp;$G93&amp;P$5,'Detail inputs'!$B$3:$B$168&amp;'Detail inputs'!$G$3:$G$168&amp;'Detail inputs'!$H$3:$H$168,0),MATCH(P$4,'Detail inputs'!$B$3:$K$3,0)),0)</f>
        <v>11.52</v>
      </c>
      <c r="Q93" s="95">
        <f t="shared" si="24"/>
        <v>5.2991999999999999</v>
      </c>
      <c r="R93" s="87">
        <f>IFERROR(Q93/Q96,"")</f>
        <v>0.60504201680672265</v>
      </c>
    </row>
    <row r="94" spans="1:22" s="21" customFormat="1" outlineLevel="1" x14ac:dyDescent="0.35">
      <c r="A94" s="3"/>
      <c r="B94" s="3" t="str">
        <f t="shared" si="20"/>
        <v>Essential</v>
      </c>
      <c r="C94" s="3" t="str">
        <f t="shared" si="21"/>
        <v>Residential</v>
      </c>
      <c r="D94" s="3" t="str">
        <f t="shared" si="22"/>
        <v>with CL</v>
      </c>
      <c r="E94" s="3" t="s">
        <v>17</v>
      </c>
      <c r="F94" s="41">
        <f t="array" ref="F94">IFERROR(INDEX(Usage!$B$5:$P$18,MATCH($B94,Usage!$B$5:$B$18,0),MATCH($C94&amp;$D94&amp;$E94,Usage!$B$5:$S$5&amp;Usage!$B$6:$S$6&amp;Usage!$B$7:$S$7,0)),0)</f>
        <v>460</v>
      </c>
      <c r="G94" s="3" t="s">
        <v>85</v>
      </c>
      <c r="H94" s="95"/>
      <c r="I94" s="95">
        <f t="array" ref="I94">IFERROR(INDEX('Detail inputs'!$B$3:$K$168,MATCH($B94&amp;$G94&amp;I$5,'Detail inputs'!$B$3:$B$168&amp;'Detail inputs'!$G$3:$G$168&amp;'Detail inputs'!$H$3:$H$168,0),MATCH(I$4,'Detail inputs'!$B$3:$K$3,0)),0)</f>
        <v>2.09</v>
      </c>
      <c r="J94" s="95">
        <f t="shared" si="23"/>
        <v>0.96140000000000003</v>
      </c>
      <c r="K94" s="87">
        <f>IFERROR(J94/J96,"")</f>
        <v>0.12115942028985509</v>
      </c>
      <c r="L94" s="87"/>
      <c r="M94" s="79">
        <f t="shared" si="25"/>
        <v>0.1866028708133971</v>
      </c>
      <c r="N94" s="87"/>
      <c r="O94" s="95"/>
      <c r="P94" s="95">
        <f t="array" ref="P94">IFERROR(INDEX('Detail inputs'!$B$3:$K$168,MATCH($B94&amp;$G94&amp;P$5,'Detail inputs'!$B$3:$B$168&amp;'Detail inputs'!$G$3:$G$168&amp;'Detail inputs'!$H$3:$H$168,0),MATCH(P$4,'Detail inputs'!$B$3:$K$3,0)),0)</f>
        <v>2.48</v>
      </c>
      <c r="Q94" s="95">
        <f t="shared" si="24"/>
        <v>1.1408</v>
      </c>
      <c r="R94" s="87">
        <f>IFERROR(Q94/Q96,"")</f>
        <v>0.13025210084033614</v>
      </c>
    </row>
    <row r="95" spans="1:22" s="21" customFormat="1" outlineLevel="1" x14ac:dyDescent="0.35">
      <c r="A95" s="3"/>
      <c r="B95" s="3" t="str">
        <f t="shared" si="20"/>
        <v>Essential</v>
      </c>
      <c r="C95" s="3" t="str">
        <f t="shared" si="21"/>
        <v>Residential</v>
      </c>
      <c r="D95" s="3" t="str">
        <f t="shared" si="22"/>
        <v>with CL</v>
      </c>
      <c r="E95" s="3" t="s">
        <v>17</v>
      </c>
      <c r="F95" s="41">
        <f t="array" ref="F95">IFERROR(INDEX(Usage!$B$5:$P$18,MATCH($B95,Usage!$B$5:$B$18,0),MATCH($C95&amp;$D95&amp;$E95,Usage!$B$5:$S$5&amp;Usage!$B$6:$S$6&amp;Usage!$B$7:$S$7,0)),0)</f>
        <v>460</v>
      </c>
      <c r="G95" s="3" t="s">
        <v>82</v>
      </c>
      <c r="H95" s="95"/>
      <c r="I95" s="89">
        <f t="array" ref="I95">ROUND(IFERROR(INDEX('Detail inputs'!$B$3:$K$168,MATCH($B95&amp;$C95&amp;$E95&amp;$G95&amp;I$5,'Detail inputs'!$B$3:$B$168&amp;'Detail inputs'!$D$3:$D$168&amp;'Detail inputs'!$F$3:$F$168&amp;'Detail inputs'!$G$3:$G$168&amp;'Detail inputs'!$H$3:$H$168,0),MATCH(I$4,'Detail inputs'!$B$3:$K$3,0)),0)*SUM(I92:I94),2)</f>
        <v>0.9</v>
      </c>
      <c r="J95" s="95">
        <f t="shared" si="23"/>
        <v>0.41399999999999998</v>
      </c>
      <c r="K95" s="87">
        <f>IFERROR(J95/J96,"")</f>
        <v>5.2173913043478258E-2</v>
      </c>
      <c r="L95" s="87"/>
      <c r="M95" s="79">
        <f t="shared" si="25"/>
        <v>-8.8888888888888906E-2</v>
      </c>
      <c r="N95" s="87"/>
      <c r="O95" s="95"/>
      <c r="P95" s="89">
        <f t="array" ref="P95">ROUND(IFERROR(INDEX('Detail inputs'!$B$3:$K$168,MATCH($B95&amp;$C95&amp;$E95&amp;$G95&amp;P$5,'Detail inputs'!$B$3:$B$168&amp;'Detail inputs'!$D$3:$D$168&amp;'Detail inputs'!$F$3:$F$168&amp;'Detail inputs'!$G$3:$G$168&amp;'Detail inputs'!$H$3:$H$168,0),MATCH(P$4,'Detail inputs'!$B$3:$K$3,0)),0)*SUM(P92:P94),2)</f>
        <v>0.82</v>
      </c>
      <c r="Q95" s="95">
        <f t="shared" si="24"/>
        <v>0.37719999999999998</v>
      </c>
      <c r="R95" s="87">
        <f>IFERROR(Q95/Q96,"")</f>
        <v>4.3067226890756302E-2</v>
      </c>
    </row>
    <row r="96" spans="1:22" s="21" customFormat="1" outlineLevel="1" x14ac:dyDescent="0.3">
      <c r="A96" s="3"/>
      <c r="B96" s="3" t="str">
        <f t="shared" si="20"/>
        <v>Essential</v>
      </c>
      <c r="C96" s="3" t="str">
        <f t="shared" si="21"/>
        <v>Residential</v>
      </c>
      <c r="D96" s="3" t="str">
        <f t="shared" si="22"/>
        <v>with CL</v>
      </c>
      <c r="E96" s="3" t="s">
        <v>17</v>
      </c>
      <c r="F96" s="41">
        <f t="array" ref="F96">IFERROR(INDEX(Usage!$B$5:$P$18,MATCH($B96,Usage!$B$5:$B$18,0),MATCH($C96&amp;$D96&amp;$E96,Usage!$B$5:$S$5&amp;Usage!$B$6:$S$6&amp;Usage!$B$7:$S$7,0)),0)</f>
        <v>460</v>
      </c>
      <c r="G96" s="3" t="s">
        <v>62</v>
      </c>
      <c r="H96" s="95"/>
      <c r="I96" s="95">
        <f t="array" ref="I96">INDEX('Key inputs'!$B$16:$N$40,MATCH($B96&amp;$C96&amp;$E96,'Key inputs'!$B$16:$B$40&amp;'Key inputs'!$C$16:$C$40&amp;'Key inputs'!$D$16:$D$40,0),MATCH($A$2&amp;I$4,'Key inputs'!$B$17:$N$17&amp;'Key inputs'!$B$18:$N$18,0))</f>
        <v>17.25</v>
      </c>
      <c r="J96" s="89">
        <f t="shared" si="23"/>
        <v>7.9349999999999996</v>
      </c>
      <c r="K96" s="87"/>
      <c r="L96" s="88"/>
      <c r="M96" s="79">
        <f t="shared" si="25"/>
        <v>0.10376811594202895</v>
      </c>
      <c r="N96" s="88"/>
      <c r="O96" s="95"/>
      <c r="P96" s="95">
        <f t="array" ref="P96">INDEX('Key inputs'!$B$16:$N$40,MATCH($B96&amp;$C96&amp;$E96,'Key inputs'!$B$16:$B$40&amp;'Key inputs'!$C$16:$C$40&amp;'Key inputs'!$D$16:$D$40,0),MATCH($A$2&amp;P$4,'Key inputs'!$B$17:$N$17&amp;'Key inputs'!$B$18:$N$18,0))</f>
        <v>19.04</v>
      </c>
      <c r="Q96" s="89">
        <f t="shared" si="24"/>
        <v>8.7584</v>
      </c>
      <c r="R96" s="87"/>
      <c r="S96" s="136" t="b">
        <f>ROUND(I96,$T$5)=ROUND(SUM(I92:I95),$T$5)</f>
        <v>1</v>
      </c>
      <c r="T96" s="136" t="b">
        <f>ROUND(P96,$T$5)=ROUND(SUM(P92:P95),$T$5)</f>
        <v>1</v>
      </c>
      <c r="U96" s="95"/>
      <c r="V96" s="95"/>
    </row>
    <row r="97" spans="1:22" s="88" customFormat="1" x14ac:dyDescent="0.35">
      <c r="A97" s="77"/>
      <c r="B97" s="77" t="str">
        <f t="shared" si="20"/>
        <v>Essential</v>
      </c>
      <c r="C97" s="77" t="str">
        <f t="shared" si="21"/>
        <v>Residential</v>
      </c>
      <c r="D97" s="77" t="str">
        <f t="shared" si="22"/>
        <v>with CL</v>
      </c>
      <c r="E97" s="77" t="s">
        <v>62</v>
      </c>
      <c r="F97" s="41">
        <f t="array" ref="F97">IFERROR(INDEX(Usage!$B$5:$P$18,MATCH($B97,Usage!$B$5:$B$18,0),MATCH($C97&amp;$D97&amp;$E97,Usage!$B$5:$S$5&amp;Usage!$B$6:$S$6&amp;Usage!$B$7:$S$7,0)),0)</f>
        <v>6600</v>
      </c>
      <c r="G97" s="77" t="s">
        <v>62</v>
      </c>
      <c r="H97" s="95"/>
      <c r="I97" s="95">
        <f>I86+I91+I96</f>
        <v>51.75</v>
      </c>
      <c r="J97" s="95">
        <f>J86+J91+J96</f>
        <v>113.85</v>
      </c>
      <c r="K97" s="87"/>
      <c r="M97" s="79">
        <f t="shared" si="25"/>
        <v>0.10376811594202895</v>
      </c>
      <c r="O97" s="95"/>
      <c r="P97" s="95">
        <f>P86+P91+P96</f>
        <v>57.12</v>
      </c>
      <c r="Q97" s="95">
        <f>Q86+Q91+Q96</f>
        <v>125.664</v>
      </c>
      <c r="R97" s="87"/>
    </row>
    <row r="98" spans="1:22" s="21" customFormat="1" outlineLevel="1" x14ac:dyDescent="0.35">
      <c r="A98" s="3"/>
      <c r="B98" s="3" t="str">
        <f t="shared" ref="B98:D99" si="26">B97</f>
        <v>Essential</v>
      </c>
      <c r="C98" s="3" t="str">
        <f t="shared" si="26"/>
        <v>Residential</v>
      </c>
      <c r="D98" s="3" t="str">
        <f t="shared" si="26"/>
        <v>with CL</v>
      </c>
      <c r="E98" s="3"/>
      <c r="F98" s="41"/>
      <c r="G98" s="77" t="s">
        <v>42</v>
      </c>
      <c r="H98" s="95"/>
      <c r="I98" s="95"/>
      <c r="J98" s="95">
        <f>J97*GST</f>
        <v>11.385</v>
      </c>
      <c r="K98" s="87"/>
      <c r="L98" s="88"/>
      <c r="M98" s="79"/>
      <c r="N98" s="88"/>
      <c r="O98" s="95"/>
      <c r="P98" s="95"/>
      <c r="Q98" s="95">
        <f>Q97*GST</f>
        <v>12.566400000000002</v>
      </c>
      <c r="R98" s="75"/>
    </row>
    <row r="99" spans="1:22" s="21" customFormat="1" x14ac:dyDescent="0.35">
      <c r="A99" s="3"/>
      <c r="B99" s="3" t="str">
        <f t="shared" si="26"/>
        <v>Essential</v>
      </c>
      <c r="C99" s="3" t="str">
        <f t="shared" si="26"/>
        <v>Residential</v>
      </c>
      <c r="D99" s="3" t="str">
        <f t="shared" si="26"/>
        <v>with CL</v>
      </c>
      <c r="E99" s="3"/>
      <c r="F99" s="41"/>
      <c r="G99" s="5" t="s">
        <v>90</v>
      </c>
      <c r="H99" s="94"/>
      <c r="I99" s="94"/>
      <c r="J99" s="94">
        <f>SUM(J97:J98)</f>
        <v>125.235</v>
      </c>
      <c r="K99" s="75"/>
      <c r="L99" s="27"/>
      <c r="M99" s="76">
        <f>IF(OR(J99=0,Q99=""),"",Q99/J99-1)</f>
        <v>0.10376811594202895</v>
      </c>
      <c r="N99" s="27"/>
      <c r="O99" s="94"/>
      <c r="P99" s="94"/>
      <c r="Q99" s="94">
        <f>SUM(Q97:Q98)</f>
        <v>138.2304</v>
      </c>
      <c r="R99" s="75"/>
    </row>
    <row r="100" spans="1:22" s="21" customFormat="1" x14ac:dyDescent="0.35">
      <c r="A100" s="3"/>
      <c r="B100" s="3"/>
      <c r="C100" s="3"/>
      <c r="D100" s="3"/>
      <c r="E100" s="3"/>
      <c r="F100" s="41"/>
      <c r="G100" s="3"/>
      <c r="H100" s="89"/>
      <c r="I100" s="89"/>
      <c r="J100" s="89"/>
      <c r="K100" s="43"/>
      <c r="M100" s="48"/>
      <c r="O100" s="89"/>
      <c r="P100" s="89"/>
      <c r="Q100" s="89"/>
      <c r="R100" s="43"/>
    </row>
    <row r="101" spans="1:22" s="21" customFormat="1" x14ac:dyDescent="0.35">
      <c r="A101" s="3"/>
      <c r="B101" s="5" t="s">
        <v>3</v>
      </c>
      <c r="C101" s="5" t="s">
        <v>15</v>
      </c>
      <c r="D101" s="5" t="s">
        <v>150</v>
      </c>
      <c r="E101" s="3"/>
      <c r="F101" s="41"/>
      <c r="G101" s="3"/>
      <c r="H101" s="89"/>
      <c r="I101" s="89"/>
      <c r="J101" s="89"/>
      <c r="K101" s="43"/>
      <c r="M101" s="48"/>
      <c r="O101" s="89"/>
      <c r="P101" s="89"/>
      <c r="Q101" s="89"/>
      <c r="R101" s="43"/>
    </row>
    <row r="102" spans="1:22" s="21" customFormat="1" outlineLevel="1" x14ac:dyDescent="0.35">
      <c r="A102" s="3"/>
      <c r="B102" s="3" t="str">
        <f t="shared" ref="B102:D108" si="27">B101</f>
        <v>Essential</v>
      </c>
      <c r="C102" s="3" t="str">
        <f t="shared" si="27"/>
        <v>Small business</v>
      </c>
      <c r="D102" s="3" t="str">
        <f t="shared" si="27"/>
        <v>without CL</v>
      </c>
      <c r="E102" s="3" t="s">
        <v>23</v>
      </c>
      <c r="F102" s="41">
        <f t="array" ref="F102">IFERROR(INDEX(Usage!$B$5:$P$18,MATCH($B102,Usage!$B$5:$B$18,0),MATCH($C102&amp;$D102&amp;$E102,Usage!$B$5:$S$5&amp;Usage!$B$6:$S$6&amp;Usage!$B$7:$S$7,0)),0)</f>
        <v>20000</v>
      </c>
      <c r="G102" s="3" t="s">
        <v>83</v>
      </c>
      <c r="H102" s="89"/>
      <c r="I102" s="89">
        <f t="array" ref="I102">IFERROR(INDEX('Detail inputs'!$B$3:$K$168,MATCH($B102&amp;$G102&amp;I$5,'Detail inputs'!$B$3:$B$168&amp;'Detail inputs'!$G$3:$G$168&amp;'Detail inputs'!$H$3:$H$168,0),MATCH(I$4,'Detail inputs'!$B$3:$K$3,0)),0)</f>
        <v>4.95</v>
      </c>
      <c r="J102" s="89">
        <f>IF(AND(H102="",I102=""),"",H102+I102*$F102/1000)</f>
        <v>99</v>
      </c>
      <c r="K102" s="43">
        <f>IFERROR(J102/J106,"")</f>
        <v>0.28695652173913044</v>
      </c>
      <c r="L102" s="43"/>
      <c r="M102" s="48">
        <f>IF(OR(J102=0,Q102=""),"",Q102/J102-1)</f>
        <v>-0.14747474747474743</v>
      </c>
      <c r="N102" s="43"/>
      <c r="O102" s="89"/>
      <c r="P102" s="89">
        <f t="array" ref="P102">IFERROR(INDEX('Detail inputs'!$B$3:$K$168,MATCH($B102&amp;$G102&amp;P$5,'Detail inputs'!$B$3:$B$168&amp;'Detail inputs'!$G$3:$G$168&amp;'Detail inputs'!$H$3:$H$168,0),MATCH(P$4,'Detail inputs'!$B$3:$K$3,0)),0)</f>
        <v>4.22</v>
      </c>
      <c r="Q102" s="89">
        <f>IF(AND(O102="",P102=""),"",O102+P102*$F102/1000)</f>
        <v>84.4</v>
      </c>
      <c r="R102" s="43">
        <f>IFERROR(Q102/Q106,"")</f>
        <v>0.22163865546218489</v>
      </c>
    </row>
    <row r="103" spans="1:22" s="21" customFormat="1" outlineLevel="1" x14ac:dyDescent="0.35">
      <c r="A103" s="3"/>
      <c r="B103" s="3" t="str">
        <f t="shared" si="27"/>
        <v>Essential</v>
      </c>
      <c r="C103" s="3" t="str">
        <f t="shared" si="27"/>
        <v>Small business</v>
      </c>
      <c r="D103" s="3" t="str">
        <f t="shared" si="27"/>
        <v>without CL</v>
      </c>
      <c r="E103" s="3" t="s">
        <v>23</v>
      </c>
      <c r="F103" s="41">
        <f t="array" ref="F103">IFERROR(INDEX(Usage!$B$5:$P$18,MATCH($B103,Usage!$B$5:$B$18,0),MATCH($C103&amp;$D103&amp;$E103,Usage!$B$5:$S$5&amp;Usage!$B$6:$S$6&amp;Usage!$B$7:$S$7,0)),0)</f>
        <v>20000</v>
      </c>
      <c r="G103" s="3" t="s">
        <v>84</v>
      </c>
      <c r="H103" s="89"/>
      <c r="I103" s="89">
        <f t="array" ref="I103">IFERROR(INDEX('Detail inputs'!$B$3:$K$168,MATCH($B103&amp;$G103&amp;I$5,'Detail inputs'!$B$3:$B$168&amp;'Detail inputs'!$G$3:$G$168&amp;'Detail inputs'!$H$3:$H$168,0),MATCH(I$4,'Detail inputs'!$B$3:$K$3,0)),0)</f>
        <v>9.31</v>
      </c>
      <c r="J103" s="89">
        <f>IF(AND(H103="",I103=""),"",H103+I103*$F103/1000)</f>
        <v>186.2</v>
      </c>
      <c r="K103" s="43">
        <f>IFERROR(J103/J106,"")</f>
        <v>0.53971014492753622</v>
      </c>
      <c r="L103" s="43"/>
      <c r="M103" s="48">
        <f>IF(OR(J103=0,Q103=""),"",Q103/J103-1)</f>
        <v>0.23737916219119248</v>
      </c>
      <c r="N103" s="43"/>
      <c r="O103" s="89"/>
      <c r="P103" s="89">
        <f t="array" ref="P103">IFERROR(INDEX('Detail inputs'!$B$3:$K$168,MATCH($B103&amp;$G103&amp;P$5,'Detail inputs'!$B$3:$B$168&amp;'Detail inputs'!$G$3:$G$168&amp;'Detail inputs'!$H$3:$H$168,0),MATCH(P$4,'Detail inputs'!$B$3:$K$3,0)),0)</f>
        <v>11.52</v>
      </c>
      <c r="Q103" s="89">
        <f>IF(AND(O103="",P103=""),"",O103+P103*$F103/1000)</f>
        <v>230.4</v>
      </c>
      <c r="R103" s="43">
        <f>IFERROR(Q103/Q106,"")</f>
        <v>0.60504201680672265</v>
      </c>
    </row>
    <row r="104" spans="1:22" s="21" customFormat="1" outlineLevel="1" x14ac:dyDescent="0.35">
      <c r="A104" s="3"/>
      <c r="B104" s="3" t="str">
        <f t="shared" si="27"/>
        <v>Essential</v>
      </c>
      <c r="C104" s="3" t="str">
        <f t="shared" si="27"/>
        <v>Small business</v>
      </c>
      <c r="D104" s="3" t="str">
        <f t="shared" si="27"/>
        <v>without CL</v>
      </c>
      <c r="E104" s="3" t="s">
        <v>23</v>
      </c>
      <c r="F104" s="41">
        <f t="array" ref="F104">IFERROR(INDEX(Usage!$B$5:$P$18,MATCH($B104,Usage!$B$5:$B$18,0),MATCH($C104&amp;$D104&amp;$E104,Usage!$B$5:$S$5&amp;Usage!$B$6:$S$6&amp;Usage!$B$7:$S$7,0)),0)</f>
        <v>20000</v>
      </c>
      <c r="G104" s="3" t="s">
        <v>85</v>
      </c>
      <c r="H104" s="89"/>
      <c r="I104" s="89">
        <f t="array" ref="I104">IFERROR(INDEX('Detail inputs'!$B$3:$K$168,MATCH($B104&amp;$G104&amp;I$5,'Detail inputs'!$B$3:$B$168&amp;'Detail inputs'!$G$3:$G$168&amp;'Detail inputs'!$H$3:$H$168,0),MATCH(I$4,'Detail inputs'!$B$3:$K$3,0)),0)</f>
        <v>2.09</v>
      </c>
      <c r="J104" s="89">
        <f>IF(AND(H104="",I104=""),"",H104+I104*$F104/1000)</f>
        <v>41.8</v>
      </c>
      <c r="K104" s="43">
        <f>IFERROR(J104/J106,"")</f>
        <v>0.12115942028985506</v>
      </c>
      <c r="L104" s="43"/>
      <c r="M104" s="48">
        <f>IF(OR(J104=0,Q104=""),"",Q104/J104-1)</f>
        <v>0.18660287081339733</v>
      </c>
      <c r="N104" s="43"/>
      <c r="O104" s="89"/>
      <c r="P104" s="89">
        <f t="array" ref="P104">IFERROR(INDEX('Detail inputs'!$B$3:$K$168,MATCH($B104&amp;$G104&amp;P$5,'Detail inputs'!$B$3:$B$168&amp;'Detail inputs'!$G$3:$G$168&amp;'Detail inputs'!$H$3:$H$168,0),MATCH(P$4,'Detail inputs'!$B$3:$K$3,0)),0)</f>
        <v>2.48</v>
      </c>
      <c r="Q104" s="89">
        <f>IF(AND(O104="",P104=""),"",O104+P104*$F104/1000)</f>
        <v>49.6</v>
      </c>
      <c r="R104" s="43">
        <f>IFERROR(Q104/Q106,"")</f>
        <v>0.13025210084033614</v>
      </c>
    </row>
    <row r="105" spans="1:22" s="21" customFormat="1" outlineLevel="1" x14ac:dyDescent="0.35">
      <c r="A105" s="3"/>
      <c r="B105" s="3" t="str">
        <f t="shared" si="27"/>
        <v>Essential</v>
      </c>
      <c r="C105" s="3" t="str">
        <f t="shared" si="27"/>
        <v>Small business</v>
      </c>
      <c r="D105" s="3" t="str">
        <f t="shared" si="27"/>
        <v>without CL</v>
      </c>
      <c r="E105" s="3" t="s">
        <v>23</v>
      </c>
      <c r="F105" s="41">
        <f t="array" ref="F105">IFERROR(INDEX(Usage!$B$5:$P$18,MATCH($B105,Usage!$B$5:$B$18,0),MATCH($C105&amp;$D105&amp;$E105,Usage!$B$5:$S$5&amp;Usage!$B$6:$S$6&amp;Usage!$B$7:$S$7,0)),0)</f>
        <v>20000</v>
      </c>
      <c r="G105" s="3" t="s">
        <v>82</v>
      </c>
      <c r="H105" s="89"/>
      <c r="I105" s="89">
        <f t="array" ref="I105">ROUND(IFERROR(INDEX('Detail inputs'!$B$3:$K$168,MATCH($B105&amp;$C105&amp;$E105&amp;$G105&amp;I$5,'Detail inputs'!$B$3:$B$168&amp;'Detail inputs'!$D$3:$D$168&amp;'Detail inputs'!$F$3:$F$168&amp;'Detail inputs'!$G$3:$G$168&amp;'Detail inputs'!$H$3:$H$168,0),MATCH(I$4,'Detail inputs'!$B$3:$K$3,0)),0)*SUM(I102:I104),2)</f>
        <v>0.9</v>
      </c>
      <c r="J105" s="89">
        <f>IF(AND(H105="",I105=""),"",H105+I105*$F105/1000)</f>
        <v>18</v>
      </c>
      <c r="K105" s="43">
        <f>IFERROR(J105/J106,"")</f>
        <v>5.2173913043478258E-2</v>
      </c>
      <c r="L105" s="43"/>
      <c r="M105" s="48">
        <f>IF(OR(J105=0,Q105=""),"",Q105/J105-1)</f>
        <v>-8.8888888888889017E-2</v>
      </c>
      <c r="N105" s="43"/>
      <c r="O105" s="89"/>
      <c r="P105" s="89">
        <f t="array" ref="P105">ROUND(IFERROR(INDEX('Detail inputs'!$B$3:$K$168,MATCH($B105&amp;$C105&amp;$E105&amp;$G105&amp;P$5,'Detail inputs'!$B$3:$B$168&amp;'Detail inputs'!$D$3:$D$168&amp;'Detail inputs'!$F$3:$F$168&amp;'Detail inputs'!$G$3:$G$168&amp;'Detail inputs'!$H$3:$H$168,0),MATCH(P$4,'Detail inputs'!$B$3:$K$3,0)),0)*SUM(P102:P104),2)</f>
        <v>0.82</v>
      </c>
      <c r="Q105" s="89">
        <f>IF(AND(O105="",P105=""),"",O105+P105*$F105/1000)</f>
        <v>16.399999999999999</v>
      </c>
      <c r="R105" s="43">
        <f>IFERROR(Q105/Q106,"")</f>
        <v>4.3067226890756295E-2</v>
      </c>
    </row>
    <row r="106" spans="1:22" s="88" customFormat="1" x14ac:dyDescent="0.3">
      <c r="A106" s="77"/>
      <c r="B106" s="77" t="str">
        <f t="shared" si="27"/>
        <v>Essential</v>
      </c>
      <c r="C106" s="77" t="str">
        <f t="shared" si="27"/>
        <v>Small business</v>
      </c>
      <c r="D106" s="77" t="str">
        <f t="shared" si="27"/>
        <v>without CL</v>
      </c>
      <c r="E106" s="3" t="s">
        <v>23</v>
      </c>
      <c r="F106" s="41">
        <f t="array" ref="F106">IFERROR(INDEX(Usage!$B$5:$P$18,MATCH($B106,Usage!$B$5:$B$18,0),MATCH($C106&amp;$D106&amp;$E106,Usage!$B$5:$S$5&amp;Usage!$B$6:$S$6&amp;Usage!$B$7:$S$7,0)),0)</f>
        <v>20000</v>
      </c>
      <c r="G106" s="77" t="s">
        <v>62</v>
      </c>
      <c r="H106" s="95"/>
      <c r="I106" s="95">
        <f t="array" ref="I106">INDEX('Key inputs'!$B$16:$N$40,MATCH($B106&amp;$C106&amp;$E106,'Key inputs'!$B$16:$B$40&amp;'Key inputs'!$C$16:$C$40&amp;'Key inputs'!$D$16:$D$40,0),MATCH($A$2&amp;I$4,'Key inputs'!$B$17:$N$17&amp;'Key inputs'!$B$18:$N$18,0))</f>
        <v>17.25</v>
      </c>
      <c r="J106" s="89">
        <f>IF(AND(H106="",I106=""),"",H106+I106*$F106/1000)</f>
        <v>345</v>
      </c>
      <c r="K106" s="87"/>
      <c r="M106" s="79">
        <f>IF(OR(J106=0,Q106=""),"",Q106/J106-1)</f>
        <v>0.10376811594202895</v>
      </c>
      <c r="O106" s="95"/>
      <c r="P106" s="95">
        <f t="array" ref="P106">INDEX('Key inputs'!$B$16:$N$40,MATCH($B106&amp;$C106&amp;$E106,'Key inputs'!$B$16:$B$40&amp;'Key inputs'!$C$16:$C$40&amp;'Key inputs'!$D$16:$D$40,0),MATCH($A$2&amp;P$4,'Key inputs'!$B$17:$N$17&amp;'Key inputs'!$B$18:$N$18,0))</f>
        <v>19.04</v>
      </c>
      <c r="Q106" s="89">
        <f>IF(AND(O106="",P106=""),"",O106+P106*$F106/1000)</f>
        <v>380.8</v>
      </c>
      <c r="R106" s="87"/>
      <c r="S106" s="136" t="b">
        <f>ROUND(I106,$T$5)=ROUND(SUM(I102:I105),$T$5)</f>
        <v>1</v>
      </c>
      <c r="T106" s="136" t="b">
        <f>ROUND(P106,$T$5)=ROUND(SUM(P102:P105),$T$5)</f>
        <v>1</v>
      </c>
      <c r="U106" s="95"/>
      <c r="V106" s="95"/>
    </row>
    <row r="107" spans="1:22" s="21" customFormat="1" outlineLevel="1" x14ac:dyDescent="0.35">
      <c r="A107" s="3"/>
      <c r="B107" s="3" t="str">
        <f t="shared" si="27"/>
        <v>Essential</v>
      </c>
      <c r="C107" s="3" t="str">
        <f t="shared" si="27"/>
        <v>Small business</v>
      </c>
      <c r="D107" s="3" t="str">
        <f t="shared" si="27"/>
        <v>without CL</v>
      </c>
      <c r="E107" s="3"/>
      <c r="F107" s="41"/>
      <c r="G107" s="77" t="s">
        <v>42</v>
      </c>
      <c r="H107" s="95"/>
      <c r="I107" s="95"/>
      <c r="J107" s="95">
        <f>J106*GST</f>
        <v>34.5</v>
      </c>
      <c r="K107" s="87"/>
      <c r="L107" s="88"/>
      <c r="M107" s="79"/>
      <c r="N107" s="88"/>
      <c r="O107" s="95"/>
      <c r="P107" s="95"/>
      <c r="Q107" s="95">
        <f>Q106*GST</f>
        <v>38.080000000000005</v>
      </c>
      <c r="R107" s="75"/>
    </row>
    <row r="108" spans="1:22" s="21" customFormat="1" x14ac:dyDescent="0.35">
      <c r="A108" s="3"/>
      <c r="B108" s="3" t="str">
        <f t="shared" si="27"/>
        <v>Essential</v>
      </c>
      <c r="C108" s="3" t="str">
        <f t="shared" si="27"/>
        <v>Small business</v>
      </c>
      <c r="D108" s="3" t="str">
        <f t="shared" si="27"/>
        <v>without CL</v>
      </c>
      <c r="E108" s="3"/>
      <c r="F108" s="41"/>
      <c r="G108" s="5" t="s">
        <v>90</v>
      </c>
      <c r="H108" s="94"/>
      <c r="I108" s="94"/>
      <c r="J108" s="94">
        <f>SUM(J106:J107)</f>
        <v>379.5</v>
      </c>
      <c r="K108" s="75"/>
      <c r="L108" s="27"/>
      <c r="M108" s="76">
        <f>IF(OR(J108=0,Q108=""),"",Q108/J108-1)</f>
        <v>0.10376811594202895</v>
      </c>
      <c r="N108" s="27"/>
      <c r="O108" s="94"/>
      <c r="P108" s="94"/>
      <c r="Q108" s="94">
        <f>SUM(Q106:Q107)</f>
        <v>418.88</v>
      </c>
      <c r="R108" s="75"/>
    </row>
    <row r="109" spans="1:22" s="21" customFormat="1" x14ac:dyDescent="0.35">
      <c r="A109" s="3"/>
      <c r="B109" s="3"/>
      <c r="C109" s="3"/>
      <c r="D109" s="3"/>
      <c r="E109" s="3"/>
      <c r="F109" s="41"/>
      <c r="G109" s="3"/>
      <c r="H109" s="89"/>
      <c r="I109" s="89"/>
      <c r="J109" s="89"/>
      <c r="K109" s="43"/>
      <c r="M109" s="48"/>
      <c r="O109" s="89"/>
      <c r="P109" s="89"/>
      <c r="Q109" s="89"/>
      <c r="R109" s="43"/>
    </row>
    <row r="110" spans="1:22" s="21" customFormat="1" x14ac:dyDescent="0.35">
      <c r="A110" s="3"/>
      <c r="B110" s="5" t="s">
        <v>0</v>
      </c>
      <c r="C110" s="5" t="s">
        <v>6</v>
      </c>
      <c r="D110" s="5" t="s">
        <v>150</v>
      </c>
      <c r="E110" s="3"/>
      <c r="F110" s="41"/>
      <c r="G110" s="3"/>
      <c r="H110" s="89"/>
      <c r="I110" s="89"/>
      <c r="J110" s="89"/>
      <c r="K110" s="43"/>
      <c r="M110" s="48"/>
      <c r="O110" s="89"/>
      <c r="P110" s="89"/>
      <c r="Q110" s="89"/>
      <c r="R110" s="43"/>
    </row>
    <row r="111" spans="1:22" s="21" customFormat="1" outlineLevel="1" x14ac:dyDescent="0.35">
      <c r="A111" s="3"/>
      <c r="B111" s="3" t="str">
        <f t="shared" ref="B111:D116" si="28">B110</f>
        <v>Energex</v>
      </c>
      <c r="C111" s="3" t="str">
        <f t="shared" si="28"/>
        <v>Residential</v>
      </c>
      <c r="D111" s="3" t="str">
        <f t="shared" si="28"/>
        <v>without CL</v>
      </c>
      <c r="E111" s="3" t="s">
        <v>23</v>
      </c>
      <c r="F111" s="41">
        <f t="array" ref="F111">IFERROR(INDEX(Usage!$B$5:$P$18,MATCH($B111,Usage!$B$5:$B$18,0),MATCH($C111&amp;$D111&amp;$E111&amp;"Total",Usage!$B$5:$S$5&amp;Usage!$B$6:$S$6&amp;Usage!$B$7:$S$7&amp;Usage!$B$13:$S$13,0)),0)</f>
        <v>4600</v>
      </c>
      <c r="G111" s="3" t="s">
        <v>83</v>
      </c>
      <c r="H111" s="89"/>
      <c r="I111" s="89">
        <f t="array" ref="I111">IFERROR(INDEX('Detail inputs'!$B$3:$K$168,MATCH($B111&amp;$G111&amp;I$5,'Detail inputs'!$B$3:$B$168&amp;'Detail inputs'!$G$3:$G$168&amp;'Detail inputs'!$H$3:$H$168,0),MATCH(I$4,'Detail inputs'!$B$3:$K$3,0)),0)</f>
        <v>4.95</v>
      </c>
      <c r="J111" s="89">
        <f>IF(AND(H111="",I111=""),"",H111+I111*$F111/1000)</f>
        <v>22.77</v>
      </c>
      <c r="K111" s="43">
        <f>IFERROR(J111/J114,"")</f>
        <v>0.32781456953642385</v>
      </c>
      <c r="L111" s="43"/>
      <c r="M111" s="48">
        <f>IF(OR(J111=0,Q111=""),"",Q111/J111-1)</f>
        <v>-0.14747474747474754</v>
      </c>
      <c r="N111" s="43"/>
      <c r="O111" s="89"/>
      <c r="P111" s="89">
        <f t="array" ref="P111">IFERROR(INDEX('Detail inputs'!$B$3:$K$168,MATCH($B111&amp;$G111&amp;P$5,'Detail inputs'!$B$3:$B$168&amp;'Detail inputs'!$G$3:$G$168&amp;'Detail inputs'!$H$3:$H$168,0),MATCH(P$4,'Detail inputs'!$B$3:$K$3,0)),0)</f>
        <v>4.22</v>
      </c>
      <c r="Q111" s="89">
        <f>IF(AND(O111="",P111=""),"",O111+P111*$F111/1000)</f>
        <v>19.411999999999999</v>
      </c>
      <c r="R111" s="43">
        <f>IFERROR(Q111/Q114,"")</f>
        <v>0.25194029850746269</v>
      </c>
    </row>
    <row r="112" spans="1:22" s="21" customFormat="1" outlineLevel="1" x14ac:dyDescent="0.35">
      <c r="A112" s="3"/>
      <c r="B112" s="3" t="str">
        <f t="shared" si="28"/>
        <v>Energex</v>
      </c>
      <c r="C112" s="3" t="str">
        <f t="shared" si="28"/>
        <v>Residential</v>
      </c>
      <c r="D112" s="3" t="str">
        <f t="shared" si="28"/>
        <v>without CL</v>
      </c>
      <c r="E112" s="3" t="s">
        <v>23</v>
      </c>
      <c r="F112" s="41">
        <f t="array" ref="F112">IFERROR(INDEX(Usage!$B$5:$P$18,MATCH($B112,Usage!$B$5:$B$18,0),MATCH($C112&amp;$D112&amp;$E112&amp;"Total",Usage!$B$5:$S$5&amp;Usage!$B$6:$S$6&amp;Usage!$B$7:$S$7&amp;Usage!$B$13:$S$13,0)),0)</f>
        <v>4600</v>
      </c>
      <c r="G112" s="3" t="s">
        <v>84</v>
      </c>
      <c r="H112" s="89"/>
      <c r="I112" s="89">
        <f t="array" ref="I112">IFERROR(INDEX('Detail inputs'!$B$3:$K$168,MATCH($B112&amp;$G112&amp;I$5,'Detail inputs'!$B$3:$B$168&amp;'Detail inputs'!$G$3:$G$168&amp;'Detail inputs'!$H$3:$H$168,0),MATCH(I$4,'Detail inputs'!$B$3:$K$3,0)),0)</f>
        <v>9.31</v>
      </c>
      <c r="J112" s="89">
        <f>IF(AND(H112="",I112=""),"",H112+I112*$F112/1000)</f>
        <v>42.826000000000001</v>
      </c>
      <c r="K112" s="43">
        <f>IFERROR(J112/J114,"")</f>
        <v>0.61655629139072854</v>
      </c>
      <c r="L112" s="43"/>
      <c r="M112" s="48">
        <f>IF(OR(J112=0,Q112=""),"",Q112/J112-1)</f>
        <v>0.23737916219119226</v>
      </c>
      <c r="N112" s="43"/>
      <c r="O112" s="89"/>
      <c r="P112" s="89">
        <f t="array" ref="P112">IFERROR(INDEX('Detail inputs'!$B$3:$K$168,MATCH($B112&amp;$G112&amp;P$5,'Detail inputs'!$B$3:$B$168&amp;'Detail inputs'!$G$3:$G$168&amp;'Detail inputs'!$H$3:$H$168,0),MATCH(P$4,'Detail inputs'!$B$3:$K$3,0)),0)</f>
        <v>11.52</v>
      </c>
      <c r="Q112" s="89">
        <f>IF(AND(O112="",P112=""),"",O112+P112*$F112/1000)</f>
        <v>52.991999999999997</v>
      </c>
      <c r="R112" s="43">
        <f>IFERROR(Q112/Q114,"")</f>
        <v>0.6877611940298507</v>
      </c>
    </row>
    <row r="113" spans="1:22" s="21" customFormat="1" outlineLevel="1" x14ac:dyDescent="0.35">
      <c r="A113" s="3"/>
      <c r="B113" s="3" t="str">
        <f t="shared" si="28"/>
        <v>Energex</v>
      </c>
      <c r="C113" s="3" t="str">
        <f t="shared" si="28"/>
        <v>Residential</v>
      </c>
      <c r="D113" s="3" t="str">
        <f t="shared" si="28"/>
        <v>without CL</v>
      </c>
      <c r="E113" s="3" t="s">
        <v>23</v>
      </c>
      <c r="F113" s="41">
        <f t="array" ref="F113">IFERROR(INDEX(Usage!$B$5:$P$18,MATCH($B113,Usage!$B$5:$B$18,0),MATCH($C113&amp;$D113&amp;$E113&amp;"Total",Usage!$B$5:$S$5&amp;Usage!$B$6:$S$6&amp;Usage!$B$7:$S$7&amp;Usage!$B$13:$S$13,0)),0)</f>
        <v>4600</v>
      </c>
      <c r="G113" s="3" t="s">
        <v>82</v>
      </c>
      <c r="H113" s="89"/>
      <c r="I113" s="89">
        <f t="array" ref="I113">ROUND(IFERROR(INDEX('Detail inputs'!$B$3:$K$168,MATCH($B113&amp;$C113&amp;$E113&amp;$G113&amp;I$5,'Detail inputs'!$B$3:$B$168&amp;'Detail inputs'!$D$3:$D$168&amp;'Detail inputs'!$F$3:$F$168&amp;'Detail inputs'!$G$3:$G$168&amp;'Detail inputs'!$H$3:$H$168,0),MATCH(I$4,'Detail inputs'!$B$3:$K$3,0)),0)*SUM(I111:I112),2)</f>
        <v>0.84</v>
      </c>
      <c r="J113" s="89">
        <f>IF(AND(H113="",I113=""),"",H113+I113*$F113/1000)</f>
        <v>3.8639999999999999</v>
      </c>
      <c r="K113" s="43">
        <f>IFERROR(J113/J114,"")</f>
        <v>5.5629139072847687E-2</v>
      </c>
      <c r="L113" s="43"/>
      <c r="M113" s="48">
        <f>IF(OR(J113=0,Q113=""),"",Q113/J113-1)</f>
        <v>0.20238095238095233</v>
      </c>
      <c r="N113" s="43"/>
      <c r="O113" s="89"/>
      <c r="P113" s="89">
        <f t="array" ref="P113">ROUND(IFERROR(INDEX('Detail inputs'!$B$3:$K$168,MATCH($B113&amp;$C113&amp;$E113&amp;$G113&amp;P$5,'Detail inputs'!$B$3:$B$168&amp;'Detail inputs'!$D$3:$D$168&amp;'Detail inputs'!$F$3:$F$168&amp;'Detail inputs'!$G$3:$G$168&amp;'Detail inputs'!$H$3:$H$168,0),MATCH(P$4,'Detail inputs'!$B$3:$K$3,0)),0)*SUM(P111:P112),2)</f>
        <v>1.01</v>
      </c>
      <c r="Q113" s="89">
        <f>IF(AND(O113="",P113=""),"",O113+P113*$F113/1000)</f>
        <v>4.6459999999999999</v>
      </c>
      <c r="R113" s="43">
        <f>IFERROR(Q113/Q114,"")</f>
        <v>6.0298507462686571E-2</v>
      </c>
    </row>
    <row r="114" spans="1:22" s="88" customFormat="1" x14ac:dyDescent="0.3">
      <c r="A114" s="77"/>
      <c r="B114" s="77" t="str">
        <f t="shared" si="28"/>
        <v>Energex</v>
      </c>
      <c r="C114" s="77" t="str">
        <f t="shared" si="28"/>
        <v>Residential</v>
      </c>
      <c r="D114" s="77" t="str">
        <f t="shared" si="28"/>
        <v>without CL</v>
      </c>
      <c r="E114" s="3" t="s">
        <v>23</v>
      </c>
      <c r="F114" s="41">
        <f t="array" ref="F114">IFERROR(INDEX(Usage!$B$5:$P$18,MATCH($B114,Usage!$B$5:$B$18,0),MATCH($C114&amp;$D114&amp;$E114&amp;"Total",Usage!$B$5:$S$5&amp;Usage!$B$6:$S$6&amp;Usage!$B$7:$S$7&amp;Usage!$B$13:$S$13,0)),0)</f>
        <v>4600</v>
      </c>
      <c r="G114" s="77" t="s">
        <v>62</v>
      </c>
      <c r="H114" s="95"/>
      <c r="I114" s="95">
        <f t="array" ref="I114">INDEX('Key inputs'!$B$16:$N$40,MATCH($B114&amp;$C114&amp;$E114,'Key inputs'!$B$16:$B$40&amp;'Key inputs'!$C$16:$C$40&amp;'Key inputs'!$D$16:$D$40,0),MATCH($A$2&amp;I$4,'Key inputs'!$B$17:$N$17&amp;'Key inputs'!$B$18:$N$18,0))</f>
        <v>15.1</v>
      </c>
      <c r="J114" s="89">
        <f>IF(AND(H114="",I114=""),"",H114+I114*$F114/1000)</f>
        <v>69.459999999999994</v>
      </c>
      <c r="K114" s="87"/>
      <c r="M114" s="79">
        <f>IF(OR(J114=0,Q114=""),"",Q114/J114-1)</f>
        <v>0.10927152317880795</v>
      </c>
      <c r="O114" s="95"/>
      <c r="P114" s="95">
        <f t="array" ref="P114">INDEX('Key inputs'!$B$16:$N$40,MATCH($B114&amp;$C114&amp;$E114,'Key inputs'!$B$16:$B$40&amp;'Key inputs'!$C$16:$C$40&amp;'Key inputs'!$D$16:$D$40,0),MATCH($A$2&amp;P$4,'Key inputs'!$B$17:$N$17&amp;'Key inputs'!$B$18:$N$18,0))</f>
        <v>16.75</v>
      </c>
      <c r="Q114" s="89">
        <f>IF(AND(O114="",P114=""),"",O114+P114*$F114/1000)</f>
        <v>77.05</v>
      </c>
      <c r="R114" s="87"/>
      <c r="S114" s="136" t="b">
        <f>ROUND(I114,$T$5)=ROUND(SUM(I111:I113),$T$5)</f>
        <v>1</v>
      </c>
      <c r="T114" s="136" t="b">
        <f>ROUND(P114,$T$5)=ROUND(SUM(P111:P113),$T$5)</f>
        <v>1</v>
      </c>
      <c r="U114" s="95"/>
      <c r="V114" s="95"/>
    </row>
    <row r="115" spans="1:22" s="21" customFormat="1" outlineLevel="1" x14ac:dyDescent="0.35">
      <c r="A115" s="3"/>
      <c r="B115" s="3" t="str">
        <f t="shared" si="28"/>
        <v>Energex</v>
      </c>
      <c r="C115" s="3" t="str">
        <f t="shared" si="28"/>
        <v>Residential</v>
      </c>
      <c r="D115" s="3" t="str">
        <f t="shared" si="28"/>
        <v>without CL</v>
      </c>
      <c r="E115" s="3"/>
      <c r="F115" s="41"/>
      <c r="G115" s="77" t="s">
        <v>42</v>
      </c>
      <c r="H115" s="95"/>
      <c r="I115" s="95"/>
      <c r="J115" s="95">
        <f>J114*GST</f>
        <v>6.9459999999999997</v>
      </c>
      <c r="K115" s="87"/>
      <c r="L115" s="88"/>
      <c r="M115" s="79"/>
      <c r="N115" s="88"/>
      <c r="O115" s="95"/>
      <c r="P115" s="95"/>
      <c r="Q115" s="95">
        <f>Q114*GST</f>
        <v>7.7050000000000001</v>
      </c>
      <c r="R115" s="75"/>
    </row>
    <row r="116" spans="1:22" s="21" customFormat="1" x14ac:dyDescent="0.35">
      <c r="A116" s="3"/>
      <c r="B116" s="3" t="str">
        <f t="shared" si="28"/>
        <v>Energex</v>
      </c>
      <c r="C116" s="3" t="str">
        <f t="shared" si="28"/>
        <v>Residential</v>
      </c>
      <c r="D116" s="3" t="str">
        <f t="shared" si="28"/>
        <v>without CL</v>
      </c>
      <c r="E116" s="3"/>
      <c r="F116" s="41"/>
      <c r="G116" s="5" t="s">
        <v>90</v>
      </c>
      <c r="H116" s="94"/>
      <c r="I116" s="94"/>
      <c r="J116" s="94">
        <f>SUM(J114:J115)</f>
        <v>76.405999999999992</v>
      </c>
      <c r="K116" s="75"/>
      <c r="L116" s="27"/>
      <c r="M116" s="76">
        <f>IF(OR(J116=0,Q116=""),"",Q116/J116-1)</f>
        <v>0.10927152317880795</v>
      </c>
      <c r="N116" s="27"/>
      <c r="O116" s="94"/>
      <c r="P116" s="94"/>
      <c r="Q116" s="94">
        <f>SUM(Q114:Q115)</f>
        <v>84.754999999999995</v>
      </c>
      <c r="R116" s="75"/>
    </row>
    <row r="117" spans="1:22" s="21" customFormat="1" x14ac:dyDescent="0.35">
      <c r="A117" s="3"/>
      <c r="B117" s="3"/>
      <c r="C117" s="3"/>
      <c r="D117" s="3"/>
      <c r="E117" s="3"/>
      <c r="F117" s="41"/>
      <c r="G117" s="3"/>
      <c r="H117" s="89"/>
      <c r="I117" s="89"/>
      <c r="J117" s="89"/>
      <c r="K117" s="43"/>
      <c r="M117" s="48"/>
      <c r="O117" s="89"/>
      <c r="P117" s="89"/>
      <c r="Q117" s="89"/>
      <c r="R117" s="43"/>
    </row>
    <row r="118" spans="1:22" s="21" customFormat="1" x14ac:dyDescent="0.35">
      <c r="A118" s="3"/>
      <c r="B118" s="5" t="s">
        <v>0</v>
      </c>
      <c r="C118" s="5" t="s">
        <v>6</v>
      </c>
      <c r="D118" s="5" t="s">
        <v>151</v>
      </c>
      <c r="E118" s="3"/>
      <c r="F118" s="41"/>
      <c r="G118" s="3"/>
      <c r="H118" s="89"/>
      <c r="I118" s="89"/>
      <c r="J118" s="89"/>
      <c r="K118" s="43"/>
      <c r="M118" s="48"/>
      <c r="O118" s="89"/>
      <c r="P118" s="89"/>
      <c r="Q118" s="89"/>
      <c r="R118" s="43"/>
    </row>
    <row r="119" spans="1:22" s="21" customFormat="1" outlineLevel="1" x14ac:dyDescent="0.35">
      <c r="A119" s="3"/>
      <c r="B119" s="3" t="str">
        <f t="shared" ref="B119:B128" si="29">B118</f>
        <v>Energex</v>
      </c>
      <c r="C119" s="3" t="str">
        <f t="shared" ref="C119:C128" si="30">C118</f>
        <v>Residential</v>
      </c>
      <c r="D119" s="3" t="str">
        <f t="shared" ref="D119:D128" si="31">D118</f>
        <v>with CL</v>
      </c>
      <c r="E119" s="3" t="s">
        <v>23</v>
      </c>
      <c r="F119" s="41">
        <f t="array" ref="F119">IFERROR(INDEX(Usage!$B$5:$P$18,MATCH($B119,Usage!$B$5:$B$18,0),MATCH($C119&amp;$D119&amp;$E119&amp;"Total",Usage!$B$5:$S$5&amp;Usage!$B$6:$S$6&amp;Usage!$B$7:$S$7&amp;Usage!$B$13:$S$13,0)),0)</f>
        <v>4400</v>
      </c>
      <c r="G119" s="3" t="s">
        <v>62</v>
      </c>
      <c r="H119" s="89"/>
      <c r="I119" s="89">
        <f>I114</f>
        <v>15.1</v>
      </c>
      <c r="J119" s="89">
        <f t="shared" ref="J119:J127" si="32">IF(AND(H119="",I119=""),"",H119+I119*$F119/1000)</f>
        <v>66.44</v>
      </c>
      <c r="K119" s="43"/>
      <c r="M119" s="48">
        <f t="shared" ref="M119:M128" si="33">IF(OR(J119=0,Q119=""),"",Q119/J119-1)</f>
        <v>0.10927152317880795</v>
      </c>
      <c r="O119" s="89"/>
      <c r="P119" s="89">
        <f>P114</f>
        <v>16.75</v>
      </c>
      <c r="Q119" s="89">
        <f t="shared" ref="Q119:Q127" si="34">IF(AND(O119="",P119=""),"",O119+P119*$F119/1000)</f>
        <v>73.7</v>
      </c>
      <c r="R119" s="43"/>
    </row>
    <row r="120" spans="1:22" s="21" customFormat="1" outlineLevel="1" x14ac:dyDescent="0.35">
      <c r="A120" s="3"/>
      <c r="B120" s="3" t="str">
        <f t="shared" si="29"/>
        <v>Energex</v>
      </c>
      <c r="C120" s="3" t="str">
        <f t="shared" si="30"/>
        <v>Residential</v>
      </c>
      <c r="D120" s="3" t="str">
        <f t="shared" si="31"/>
        <v>with CL</v>
      </c>
      <c r="E120" s="3" t="s">
        <v>16</v>
      </c>
      <c r="F120" s="41">
        <f t="array" ref="F120">IFERROR(INDEX(Usage!$B$5:$P$18,MATCH($B120,Usage!$B$5:$B$18,0),MATCH($C120&amp;$D120&amp;$E120,Usage!$B$5:$S$5&amp;Usage!$B$6:$S$6&amp;Usage!$B$7:$S$7,0)),0)</f>
        <v>551</v>
      </c>
      <c r="G120" s="3" t="s">
        <v>83</v>
      </c>
      <c r="H120" s="89"/>
      <c r="I120" s="89">
        <f t="array" ref="I120">IFERROR(INDEX('Detail inputs'!$B$3:$K$168,MATCH($B120&amp;$G120&amp;I$5,'Detail inputs'!$B$3:$B$168&amp;'Detail inputs'!$G$3:$G$168&amp;'Detail inputs'!$H$3:$H$168,0),MATCH(I$4,'Detail inputs'!$B$3:$K$3,0)),0)</f>
        <v>4.95</v>
      </c>
      <c r="J120" s="89">
        <f t="shared" si="32"/>
        <v>2.7274500000000002</v>
      </c>
      <c r="K120" s="43">
        <f>IFERROR(J120/J123,"")</f>
        <v>0.32781456953642385</v>
      </c>
      <c r="L120" s="43"/>
      <c r="M120" s="48">
        <f t="shared" si="33"/>
        <v>-0.14747474747474754</v>
      </c>
      <c r="N120" s="43"/>
      <c r="O120" s="89"/>
      <c r="P120" s="89">
        <f t="array" ref="P120">IFERROR(INDEX('Detail inputs'!$B$3:$K$168,MATCH($B120&amp;$G120&amp;P$5,'Detail inputs'!$B$3:$B$168&amp;'Detail inputs'!$G$3:$G$168&amp;'Detail inputs'!$H$3:$H$168,0),MATCH(P$4,'Detail inputs'!$B$3:$K$3,0)),0)</f>
        <v>4.22</v>
      </c>
      <c r="Q120" s="89">
        <f t="shared" si="34"/>
        <v>2.3252199999999998</v>
      </c>
      <c r="R120" s="43">
        <f>IFERROR(Q120/Q124,"")</f>
        <v>0.40845070422535207</v>
      </c>
    </row>
    <row r="121" spans="1:22" s="21" customFormat="1" outlineLevel="1" x14ac:dyDescent="0.35">
      <c r="A121" s="3"/>
      <c r="B121" s="3" t="str">
        <f t="shared" si="29"/>
        <v>Energex</v>
      </c>
      <c r="C121" s="3" t="str">
        <f t="shared" si="30"/>
        <v>Residential</v>
      </c>
      <c r="D121" s="3" t="str">
        <f t="shared" si="31"/>
        <v>with CL</v>
      </c>
      <c r="E121" s="3" t="s">
        <v>16</v>
      </c>
      <c r="F121" s="41">
        <f t="array" ref="F121">IFERROR(INDEX(Usage!$B$5:$P$18,MATCH($B121,Usage!$B$5:$B$18,0),MATCH($C121&amp;$D121&amp;$E121,Usage!$B$5:$S$5&amp;Usage!$B$6:$S$6&amp;Usage!$B$7:$S$7,0)),0)</f>
        <v>551</v>
      </c>
      <c r="G121" s="3" t="s">
        <v>84</v>
      </c>
      <c r="H121" s="89"/>
      <c r="I121" s="89">
        <f t="array" ref="I121">IFERROR(INDEX('Detail inputs'!$B$3:$K$168,MATCH($B121&amp;$G121&amp;I$5,'Detail inputs'!$B$3:$B$168&amp;'Detail inputs'!$G$3:$G$168&amp;'Detail inputs'!$H$3:$H$168,0),MATCH(I$4,'Detail inputs'!$B$3:$K$3,0)),0)</f>
        <v>9.31</v>
      </c>
      <c r="J121" s="89">
        <f t="shared" si="32"/>
        <v>5.12981</v>
      </c>
      <c r="K121" s="43">
        <f>IFERROR(J121/J123,"")</f>
        <v>0.61655629139072843</v>
      </c>
      <c r="L121" s="43"/>
      <c r="M121" s="48">
        <f t="shared" si="33"/>
        <v>0.23737916219119226</v>
      </c>
      <c r="N121" s="43"/>
      <c r="O121" s="89"/>
      <c r="P121" s="89">
        <f t="array" ref="P121">IFERROR(INDEX('Detail inputs'!$B$3:$K$168,MATCH($B121&amp;$G121&amp;P$5,'Detail inputs'!$B$3:$B$168&amp;'Detail inputs'!$G$3:$G$168&amp;'Detail inputs'!$H$3:$H$168,0),MATCH(P$4,'Detail inputs'!$B$3:$K$3,0)),0)</f>
        <v>11.52</v>
      </c>
      <c r="Q121" s="89">
        <f t="shared" si="34"/>
        <v>6.3475199999999994</v>
      </c>
      <c r="R121" s="43">
        <f>IFERROR(Q121/Q123,"")</f>
        <v>0.6877611940298507</v>
      </c>
    </row>
    <row r="122" spans="1:22" s="21" customFormat="1" outlineLevel="1" x14ac:dyDescent="0.35">
      <c r="A122" s="3"/>
      <c r="B122" s="3" t="str">
        <f t="shared" si="29"/>
        <v>Energex</v>
      </c>
      <c r="C122" s="3" t="str">
        <f t="shared" si="30"/>
        <v>Residential</v>
      </c>
      <c r="D122" s="3" t="str">
        <f t="shared" si="31"/>
        <v>with CL</v>
      </c>
      <c r="E122" s="3" t="s">
        <v>16</v>
      </c>
      <c r="F122" s="41">
        <f t="array" ref="F122">IFERROR(INDEX(Usage!$B$5:$P$18,MATCH($B122,Usage!$B$5:$B$18,0),MATCH($C122&amp;$D122&amp;$E122,Usage!$B$5:$S$5&amp;Usage!$B$6:$S$6&amp;Usage!$B$7:$S$7,0)),0)</f>
        <v>551</v>
      </c>
      <c r="G122" s="3" t="s">
        <v>82</v>
      </c>
      <c r="H122" s="89"/>
      <c r="I122" s="89">
        <f t="array" ref="I122">ROUND(IFERROR(INDEX('Detail inputs'!$B$3:$K$168,MATCH($B122&amp;$C122&amp;$E122&amp;$G122&amp;I$5,'Detail inputs'!$B$3:$B$168&amp;'Detail inputs'!$D$3:$D$168&amp;'Detail inputs'!$F$3:$F$168&amp;'Detail inputs'!$G$3:$G$168&amp;'Detail inputs'!$H$3:$H$168,0),MATCH(I$4,'Detail inputs'!$B$3:$K$3,0)),0)*SUM(I120:I121),2)</f>
        <v>0.84</v>
      </c>
      <c r="J122" s="89">
        <f t="shared" si="32"/>
        <v>0.46283999999999997</v>
      </c>
      <c r="K122" s="43">
        <f>IFERROR(J122/J123,"")</f>
        <v>5.562913907284768E-2</v>
      </c>
      <c r="L122" s="43"/>
      <c r="M122" s="48">
        <f t="shared" si="33"/>
        <v>0.20238095238095233</v>
      </c>
      <c r="N122" s="43"/>
      <c r="O122" s="89"/>
      <c r="P122" s="89">
        <f t="array" ref="P122">ROUND(IFERROR(INDEX('Detail inputs'!$B$3:$K$168,MATCH($B122&amp;$C122&amp;$E122&amp;$G122&amp;P$5,'Detail inputs'!$B$3:$B$168&amp;'Detail inputs'!$D$3:$D$168&amp;'Detail inputs'!$F$3:$F$168&amp;'Detail inputs'!$G$3:$G$168&amp;'Detail inputs'!$H$3:$H$168,0),MATCH(P$4,'Detail inputs'!$B$3:$K$3,0)),0)*SUM(P120:P121),2)</f>
        <v>1.01</v>
      </c>
      <c r="Q122" s="89">
        <f t="shared" si="34"/>
        <v>0.55650999999999995</v>
      </c>
      <c r="R122" s="43">
        <f>IFERROR(Q122/Q123,"")</f>
        <v>6.0298507462686557E-2</v>
      </c>
    </row>
    <row r="123" spans="1:22" s="21" customFormat="1" outlineLevel="1" x14ac:dyDescent="0.3">
      <c r="A123" s="3"/>
      <c r="B123" s="3" t="str">
        <f t="shared" si="29"/>
        <v>Energex</v>
      </c>
      <c r="C123" s="3" t="str">
        <f t="shared" si="30"/>
        <v>Residential</v>
      </c>
      <c r="D123" s="3" t="str">
        <f t="shared" si="31"/>
        <v>with CL</v>
      </c>
      <c r="E123" s="3" t="s">
        <v>16</v>
      </c>
      <c r="F123" s="41">
        <f t="array" ref="F123">IFERROR(INDEX(Usage!$B$5:$P$18,MATCH($B123,Usage!$B$5:$B$18,0),MATCH($C123&amp;$D123&amp;$E123,Usage!$B$5:$S$5&amp;Usage!$B$6:$S$6&amp;Usage!$B$7:$S$7,0)),0)</f>
        <v>551</v>
      </c>
      <c r="G123" s="3" t="s">
        <v>62</v>
      </c>
      <c r="H123" s="95"/>
      <c r="I123" s="95">
        <f t="array" ref="I123">INDEX('Key inputs'!$B$16:$N$40,MATCH($B123&amp;$C123&amp;$E123,'Key inputs'!$B$16:$B$40&amp;'Key inputs'!$C$16:$C$40&amp;'Key inputs'!$D$16:$D$40,0),MATCH($A$2&amp;I$4,'Key inputs'!$B$17:$N$17&amp;'Key inputs'!$B$18:$N$18,0))</f>
        <v>15.1</v>
      </c>
      <c r="J123" s="89">
        <f t="shared" si="32"/>
        <v>8.3201000000000001</v>
      </c>
      <c r="K123" s="87"/>
      <c r="L123" s="88"/>
      <c r="M123" s="48">
        <f t="shared" si="33"/>
        <v>0.10927152317880795</v>
      </c>
      <c r="N123" s="88"/>
      <c r="O123" s="95"/>
      <c r="P123" s="95">
        <f t="array" ref="P123">INDEX('Key inputs'!$B$16:$N$40,MATCH($B123&amp;$C123&amp;$E123,'Key inputs'!$B$16:$B$40&amp;'Key inputs'!$C$16:$C$40&amp;'Key inputs'!$D$16:$D$40,0),MATCH($A$2&amp;P$4,'Key inputs'!$B$17:$N$17&amp;'Key inputs'!$B$18:$N$18,0))</f>
        <v>16.75</v>
      </c>
      <c r="Q123" s="89">
        <f t="shared" si="34"/>
        <v>9.2292500000000004</v>
      </c>
      <c r="R123" s="87"/>
      <c r="S123" s="136" t="b">
        <f>ROUND(I123,$T$5)=ROUND(SUM(I120:I122),$T$5)</f>
        <v>1</v>
      </c>
      <c r="T123" s="136" t="b">
        <f>ROUND(P123,$T$5)=ROUND(SUM(P120:P122),$T$5)</f>
        <v>1</v>
      </c>
      <c r="U123" s="95"/>
      <c r="V123" s="95"/>
    </row>
    <row r="124" spans="1:22" s="21" customFormat="1" outlineLevel="1" x14ac:dyDescent="0.35">
      <c r="A124" s="3"/>
      <c r="B124" s="3" t="str">
        <f t="shared" si="29"/>
        <v>Energex</v>
      </c>
      <c r="C124" s="3" t="str">
        <f t="shared" si="30"/>
        <v>Residential</v>
      </c>
      <c r="D124" s="3" t="str">
        <f t="shared" si="31"/>
        <v>with CL</v>
      </c>
      <c r="E124" s="3" t="s">
        <v>17</v>
      </c>
      <c r="F124" s="41">
        <f t="array" ref="F124">IFERROR(INDEX(Usage!$B$5:$P$18,MATCH($B124,Usage!$B$5:$B$18,0),MATCH($C124&amp;$D124&amp;$E124,Usage!$B$5:$S$5&amp;Usage!$B$6:$S$6&amp;Usage!$B$7:$S$7,0)),0)</f>
        <v>1349</v>
      </c>
      <c r="G124" s="3" t="s">
        <v>83</v>
      </c>
      <c r="H124" s="89"/>
      <c r="I124" s="89">
        <f t="array" ref="I124">IFERROR(INDEX('Detail inputs'!$B$3:$K$168,MATCH($B124&amp;$G124&amp;I$5,'Detail inputs'!$B$3:$B$168&amp;'Detail inputs'!$G$3:$G$168&amp;'Detail inputs'!$H$3:$H$168,0),MATCH(I$4,'Detail inputs'!$B$3:$K$3,0)),0)</f>
        <v>4.95</v>
      </c>
      <c r="J124" s="89">
        <f t="shared" si="32"/>
        <v>6.6775500000000001</v>
      </c>
      <c r="K124" s="43">
        <f>IFERROR(J124/J127,"")</f>
        <v>0.32781456953642391</v>
      </c>
      <c r="L124" s="43"/>
      <c r="M124" s="48">
        <f t="shared" si="33"/>
        <v>-0.14747474747474754</v>
      </c>
      <c r="N124" s="43"/>
      <c r="O124" s="89"/>
      <c r="P124" s="89">
        <f t="array" ref="P124">IFERROR(INDEX('Detail inputs'!$B$3:$K$168,MATCH($B124&amp;$G124&amp;P$5,'Detail inputs'!$B$3:$B$168&amp;'Detail inputs'!$G$3:$G$168&amp;'Detail inputs'!$H$3:$H$168,0),MATCH(P$4,'Detail inputs'!$B$3:$K$3,0)),0)</f>
        <v>4.22</v>
      </c>
      <c r="Q124" s="89">
        <f t="shared" si="34"/>
        <v>5.69278</v>
      </c>
      <c r="R124" s="43">
        <f>IFERROR(Q124/Q128,"")</f>
        <v>5.3947216299455113E-2</v>
      </c>
    </row>
    <row r="125" spans="1:22" s="21" customFormat="1" outlineLevel="1" x14ac:dyDescent="0.35">
      <c r="A125" s="3"/>
      <c r="B125" s="3" t="str">
        <f t="shared" si="29"/>
        <v>Energex</v>
      </c>
      <c r="C125" s="3" t="str">
        <f t="shared" si="30"/>
        <v>Residential</v>
      </c>
      <c r="D125" s="3" t="str">
        <f t="shared" si="31"/>
        <v>with CL</v>
      </c>
      <c r="E125" s="3" t="s">
        <v>17</v>
      </c>
      <c r="F125" s="41">
        <f t="array" ref="F125">IFERROR(INDEX(Usage!$B$5:$P$18,MATCH($B125,Usage!$B$5:$B$18,0),MATCH($C125&amp;$D125&amp;$E125,Usage!$B$5:$S$5&amp;Usage!$B$6:$S$6&amp;Usage!$B$7:$S$7,0)),0)</f>
        <v>1349</v>
      </c>
      <c r="G125" s="3" t="s">
        <v>84</v>
      </c>
      <c r="H125" s="95"/>
      <c r="I125" s="89">
        <f t="array" ref="I125">IFERROR(INDEX('Detail inputs'!$B$3:$K$168,MATCH($B125&amp;$G125&amp;I$5,'Detail inputs'!$B$3:$B$168&amp;'Detail inputs'!$G$3:$G$168&amp;'Detail inputs'!$H$3:$H$168,0),MATCH(I$4,'Detail inputs'!$B$3:$K$3,0)),0)</f>
        <v>9.31</v>
      </c>
      <c r="J125" s="95">
        <f t="shared" si="32"/>
        <v>12.559190000000001</v>
      </c>
      <c r="K125" s="87">
        <f>IFERROR(J125/J127,"")</f>
        <v>0.61655629139072854</v>
      </c>
      <c r="L125" s="87"/>
      <c r="M125" s="48">
        <f t="shared" si="33"/>
        <v>0.23737916219119204</v>
      </c>
      <c r="N125" s="87"/>
      <c r="O125" s="95"/>
      <c r="P125" s="89">
        <f t="array" ref="P125">IFERROR(INDEX('Detail inputs'!$B$3:$K$168,MATCH($B125&amp;$G125&amp;P$5,'Detail inputs'!$B$3:$B$168&amp;'Detail inputs'!$G$3:$G$168&amp;'Detail inputs'!$H$3:$H$168,0),MATCH(P$4,'Detail inputs'!$B$3:$K$3,0)),0)</f>
        <v>11.52</v>
      </c>
      <c r="Q125" s="95">
        <f t="shared" si="34"/>
        <v>15.540479999999999</v>
      </c>
      <c r="R125" s="87">
        <f>IFERROR(Q125/Q127,"")</f>
        <v>0.6877611940298507</v>
      </c>
    </row>
    <row r="126" spans="1:22" s="21" customFormat="1" outlineLevel="1" x14ac:dyDescent="0.35">
      <c r="A126" s="3"/>
      <c r="B126" s="3" t="str">
        <f t="shared" si="29"/>
        <v>Energex</v>
      </c>
      <c r="C126" s="3" t="str">
        <f t="shared" si="30"/>
        <v>Residential</v>
      </c>
      <c r="D126" s="3" t="str">
        <f t="shared" si="31"/>
        <v>with CL</v>
      </c>
      <c r="E126" s="3" t="s">
        <v>17</v>
      </c>
      <c r="F126" s="41">
        <f t="array" ref="F126">IFERROR(INDEX(Usage!$B$5:$P$18,MATCH($B126,Usage!$B$5:$B$18,0),MATCH($C126&amp;$D126&amp;$E126,Usage!$B$5:$S$5&amp;Usage!$B$6:$S$6&amp;Usage!$B$7:$S$7,0)),0)</f>
        <v>1349</v>
      </c>
      <c r="G126" s="3" t="s">
        <v>82</v>
      </c>
      <c r="H126" s="95"/>
      <c r="I126" s="89">
        <f t="array" ref="I126">ROUND(IFERROR(INDEX('Detail inputs'!$B$3:$K$168,MATCH($B126&amp;$C126&amp;$E126&amp;$G126&amp;I$5,'Detail inputs'!$B$3:$B$168&amp;'Detail inputs'!$D$3:$D$168&amp;'Detail inputs'!$F$3:$F$168&amp;'Detail inputs'!$G$3:$G$168&amp;'Detail inputs'!$H$3:$H$168,0),MATCH(I$4,'Detail inputs'!$B$3:$K$3,0)),0)*SUM(I124:I125),2)</f>
        <v>0.84</v>
      </c>
      <c r="J126" s="95">
        <f t="shared" si="32"/>
        <v>1.1331599999999999</v>
      </c>
      <c r="K126" s="87">
        <f>IFERROR(J126/J127,"")</f>
        <v>5.5629139072847687E-2</v>
      </c>
      <c r="L126" s="87"/>
      <c r="M126" s="48">
        <f t="shared" si="33"/>
        <v>0.20238095238095233</v>
      </c>
      <c r="N126" s="87"/>
      <c r="O126" s="95"/>
      <c r="P126" s="89">
        <f t="array" ref="P126">ROUND(IFERROR(INDEX('Detail inputs'!$B$3:$K$168,MATCH($B126&amp;$C126&amp;$E126&amp;$G126&amp;P$5,'Detail inputs'!$B$3:$B$168&amp;'Detail inputs'!$D$3:$D$168&amp;'Detail inputs'!$F$3:$F$168&amp;'Detail inputs'!$G$3:$G$168&amp;'Detail inputs'!$H$3:$H$168,0),MATCH(P$4,'Detail inputs'!$B$3:$K$3,0)),0)*SUM(P124:P125),2)</f>
        <v>1.01</v>
      </c>
      <c r="Q126" s="95">
        <f t="shared" si="34"/>
        <v>1.36249</v>
      </c>
      <c r="R126" s="87">
        <f>IFERROR(Q126/Q127,"")</f>
        <v>6.0298507462686571E-2</v>
      </c>
    </row>
    <row r="127" spans="1:22" s="21" customFormat="1" outlineLevel="1" x14ac:dyDescent="0.3">
      <c r="A127" s="3"/>
      <c r="B127" s="3" t="str">
        <f t="shared" si="29"/>
        <v>Energex</v>
      </c>
      <c r="C127" s="3" t="str">
        <f t="shared" si="30"/>
        <v>Residential</v>
      </c>
      <c r="D127" s="3" t="str">
        <f t="shared" si="31"/>
        <v>with CL</v>
      </c>
      <c r="E127" s="3" t="s">
        <v>17</v>
      </c>
      <c r="F127" s="41">
        <f t="array" ref="F127">IFERROR(INDEX(Usage!$B$5:$P$18,MATCH($B127,Usage!$B$5:$B$18,0),MATCH($C127&amp;$D127&amp;$E127,Usage!$B$5:$S$5&amp;Usage!$B$6:$S$6&amp;Usage!$B$7:$S$7,0)),0)</f>
        <v>1349</v>
      </c>
      <c r="G127" s="3" t="s">
        <v>62</v>
      </c>
      <c r="H127" s="95"/>
      <c r="I127" s="95">
        <f t="array" ref="I127">INDEX('Key inputs'!$B$16:$N$40,MATCH($B127&amp;$C127&amp;$E127,'Key inputs'!$B$16:$B$40&amp;'Key inputs'!$C$16:$C$40&amp;'Key inputs'!$D$16:$D$40,0),MATCH($A$2&amp;I$4,'Key inputs'!$B$17:$N$17&amp;'Key inputs'!$B$18:$N$18,0))</f>
        <v>15.1</v>
      </c>
      <c r="J127" s="89">
        <f t="shared" si="32"/>
        <v>20.369899999999998</v>
      </c>
      <c r="K127" s="87"/>
      <c r="L127" s="88"/>
      <c r="M127" s="48">
        <f t="shared" si="33"/>
        <v>0.10927152317880795</v>
      </c>
      <c r="N127" s="88"/>
      <c r="O127" s="95"/>
      <c r="P127" s="95">
        <f t="array" ref="P127">INDEX('Key inputs'!$B$16:$N$40,MATCH($B127&amp;$C127&amp;$E127,'Key inputs'!$B$16:$B$40&amp;'Key inputs'!$C$16:$C$40&amp;'Key inputs'!$D$16:$D$40,0),MATCH($A$2&amp;P$4,'Key inputs'!$B$17:$N$17&amp;'Key inputs'!$B$18:$N$18,0))</f>
        <v>16.75</v>
      </c>
      <c r="Q127" s="89">
        <f t="shared" si="34"/>
        <v>22.595749999999999</v>
      </c>
      <c r="R127" s="87"/>
      <c r="S127" s="136" t="b">
        <f>ROUND(I127,$T$5)=ROUND(SUM(I124:I126),$T$5)</f>
        <v>1</v>
      </c>
      <c r="T127" s="136" t="b">
        <f>ROUND(P127,$T$5)=ROUND(SUM(P124:P126),$T$5)</f>
        <v>1</v>
      </c>
      <c r="U127" s="95"/>
      <c r="V127" s="95"/>
    </row>
    <row r="128" spans="1:22" s="88" customFormat="1" x14ac:dyDescent="0.35">
      <c r="A128" s="77"/>
      <c r="B128" s="77" t="str">
        <f t="shared" si="29"/>
        <v>Energex</v>
      </c>
      <c r="C128" s="77" t="str">
        <f t="shared" si="30"/>
        <v>Residential</v>
      </c>
      <c r="D128" s="77" t="str">
        <f t="shared" si="31"/>
        <v>with CL</v>
      </c>
      <c r="E128" s="77" t="s">
        <v>62</v>
      </c>
      <c r="F128" s="41">
        <f t="array" ref="F128">IFERROR(INDEX(Usage!$B$5:$P$18,MATCH($B128,Usage!$B$5:$B$18,0),MATCH($C128&amp;$D128&amp;$E128,Usage!$B$5:$S$5&amp;Usage!$B$6:$S$6&amp;Usage!$B$7:$S$7,0)),0)</f>
        <v>6300</v>
      </c>
      <c r="G128" s="77" t="s">
        <v>62</v>
      </c>
      <c r="H128" s="95"/>
      <c r="I128" s="95">
        <f>I119+I123+I127</f>
        <v>45.3</v>
      </c>
      <c r="J128" s="95">
        <f>J119+J123+J127</f>
        <v>95.13</v>
      </c>
      <c r="K128" s="87"/>
      <c r="M128" s="48">
        <f t="shared" si="33"/>
        <v>0.10927152317880795</v>
      </c>
      <c r="O128" s="95"/>
      <c r="P128" s="95">
        <f>P119+P123+P127</f>
        <v>50.25</v>
      </c>
      <c r="Q128" s="95">
        <f>Q119+Q123+Q127</f>
        <v>105.52499999999999</v>
      </c>
      <c r="R128" s="87"/>
    </row>
    <row r="129" spans="1:22" s="21" customFormat="1" outlineLevel="1" x14ac:dyDescent="0.35">
      <c r="A129" s="3"/>
      <c r="B129" s="3" t="str">
        <f t="shared" ref="B129:D130" si="35">B128</f>
        <v>Energex</v>
      </c>
      <c r="C129" s="3" t="str">
        <f t="shared" si="35"/>
        <v>Residential</v>
      </c>
      <c r="D129" s="3" t="str">
        <f t="shared" si="35"/>
        <v>with CL</v>
      </c>
      <c r="E129" s="3"/>
      <c r="F129" s="41"/>
      <c r="G129" s="77" t="s">
        <v>42</v>
      </c>
      <c r="H129" s="95"/>
      <c r="I129" s="95"/>
      <c r="J129" s="95">
        <f>J128*GST</f>
        <v>9.5129999999999999</v>
      </c>
      <c r="K129" s="87"/>
      <c r="L129" s="88"/>
      <c r="M129" s="79"/>
      <c r="N129" s="88"/>
      <c r="O129" s="95"/>
      <c r="P129" s="95"/>
      <c r="Q129" s="95">
        <f>Q128*GST</f>
        <v>10.5525</v>
      </c>
      <c r="R129" s="75"/>
    </row>
    <row r="130" spans="1:22" s="21" customFormat="1" x14ac:dyDescent="0.35">
      <c r="A130" s="3"/>
      <c r="B130" s="3" t="str">
        <f t="shared" si="35"/>
        <v>Energex</v>
      </c>
      <c r="C130" s="3" t="str">
        <f t="shared" si="35"/>
        <v>Residential</v>
      </c>
      <c r="D130" s="3" t="str">
        <f t="shared" si="35"/>
        <v>with CL</v>
      </c>
      <c r="E130" s="3"/>
      <c r="F130" s="41"/>
      <c r="G130" s="5" t="s">
        <v>90</v>
      </c>
      <c r="H130" s="94"/>
      <c r="I130" s="94"/>
      <c r="J130" s="94">
        <f>SUM(J128:J129)</f>
        <v>104.643</v>
      </c>
      <c r="K130" s="75"/>
      <c r="L130" s="27"/>
      <c r="M130" s="76">
        <f>IF(OR(J130=0,Q130=""),"",Q130/J130-1)</f>
        <v>0.10927152317880773</v>
      </c>
      <c r="N130" s="27"/>
      <c r="O130" s="94"/>
      <c r="P130" s="94"/>
      <c r="Q130" s="94">
        <f>SUM(Q128:Q129)</f>
        <v>116.07749999999999</v>
      </c>
      <c r="R130" s="75"/>
    </row>
    <row r="131" spans="1:22" s="21" customFormat="1" x14ac:dyDescent="0.35">
      <c r="A131" s="3"/>
      <c r="B131" s="3"/>
      <c r="C131" s="3"/>
      <c r="D131" s="3"/>
      <c r="E131" s="3"/>
      <c r="F131" s="41"/>
      <c r="G131" s="3"/>
      <c r="H131" s="89"/>
      <c r="I131" s="89"/>
      <c r="J131" s="89"/>
      <c r="K131" s="43"/>
      <c r="M131" s="48"/>
      <c r="O131" s="89"/>
      <c r="P131" s="89"/>
      <c r="Q131" s="89"/>
      <c r="R131" s="43"/>
    </row>
    <row r="132" spans="1:22" s="21" customFormat="1" x14ac:dyDescent="0.35">
      <c r="A132" s="3"/>
      <c r="B132" s="5" t="s">
        <v>0</v>
      </c>
      <c r="C132" s="5" t="s">
        <v>15</v>
      </c>
      <c r="D132" s="5" t="s">
        <v>150</v>
      </c>
      <c r="E132" s="3"/>
      <c r="F132" s="41"/>
      <c r="G132" s="3"/>
      <c r="H132" s="89"/>
      <c r="I132" s="89"/>
      <c r="J132" s="89"/>
      <c r="K132" s="43"/>
      <c r="M132" s="48"/>
      <c r="O132" s="89"/>
      <c r="P132" s="89"/>
      <c r="Q132" s="89"/>
      <c r="R132" s="43"/>
    </row>
    <row r="133" spans="1:22" s="21" customFormat="1" outlineLevel="1" x14ac:dyDescent="0.35">
      <c r="A133" s="3"/>
      <c r="B133" s="3" t="str">
        <f t="shared" ref="B133:D138" si="36">B132</f>
        <v>Energex</v>
      </c>
      <c r="C133" s="3" t="str">
        <f t="shared" si="36"/>
        <v>Small business</v>
      </c>
      <c r="D133" s="3" t="str">
        <f t="shared" si="36"/>
        <v>without CL</v>
      </c>
      <c r="E133" s="3" t="s">
        <v>23</v>
      </c>
      <c r="F133" s="41">
        <f t="array" ref="F133">IFERROR(INDEX(Usage!$B$5:$P$18,MATCH($B133,Usage!$B$5:$B$18,0),MATCH($C133&amp;$D133&amp;$E133,Usage!$B$5:$S$5&amp;Usage!$B$6:$S$6&amp;Usage!$B$7:$S$7,0)),0)</f>
        <v>20000</v>
      </c>
      <c r="G133" s="3" t="s">
        <v>83</v>
      </c>
      <c r="H133" s="89"/>
      <c r="I133" s="89">
        <f t="array" ref="I133">IFERROR(INDEX('Detail inputs'!$B$3:$K$168,MATCH($B133&amp;$G133&amp;I$5,'Detail inputs'!$B$3:$B$168&amp;'Detail inputs'!$G$3:$G$168&amp;'Detail inputs'!$H$3:$H$168,0),MATCH(I$4,'Detail inputs'!$B$3:$K$3,0)),0)</f>
        <v>4.95</v>
      </c>
      <c r="J133" s="89">
        <f>IF(AND(H133="",I133=""),"",H133+I133*$F133/1000)</f>
        <v>99</v>
      </c>
      <c r="K133" s="43">
        <f>IFERROR(J133/J136,"")</f>
        <v>0.32781456953642385</v>
      </c>
      <c r="L133" s="43"/>
      <c r="M133" s="48">
        <f>IF(OR(J133=0,Q133=""),"",Q133/J133-1)</f>
        <v>-0.14747474747474743</v>
      </c>
      <c r="N133" s="43"/>
      <c r="O133" s="89"/>
      <c r="P133" s="89">
        <f t="array" ref="P133">IFERROR(INDEX('Detail inputs'!$B$3:$K$168,MATCH($B133&amp;$G133&amp;P$5,'Detail inputs'!$B$3:$B$168&amp;'Detail inputs'!$G$3:$G$168&amp;'Detail inputs'!$H$3:$H$168,0),MATCH(P$4,'Detail inputs'!$B$3:$K$3,0)),0)</f>
        <v>4.22</v>
      </c>
      <c r="Q133" s="89">
        <f>IF(AND(O133="",P133=""),"",O133+P133*$F133/1000)</f>
        <v>84.4</v>
      </c>
      <c r="R133" s="43">
        <f>IFERROR(Q133/Q136,"")</f>
        <v>0.25194029850746269</v>
      </c>
    </row>
    <row r="134" spans="1:22" s="21" customFormat="1" outlineLevel="1" x14ac:dyDescent="0.35">
      <c r="A134" s="3"/>
      <c r="B134" s="3" t="str">
        <f t="shared" si="36"/>
        <v>Energex</v>
      </c>
      <c r="C134" s="3" t="str">
        <f t="shared" si="36"/>
        <v>Small business</v>
      </c>
      <c r="D134" s="3" t="str">
        <f t="shared" si="36"/>
        <v>without CL</v>
      </c>
      <c r="E134" s="3" t="s">
        <v>23</v>
      </c>
      <c r="F134" s="41">
        <f t="array" ref="F134">IFERROR(INDEX(Usage!$B$5:$P$18,MATCH($B134,Usage!$B$5:$B$18,0),MATCH($C134&amp;$D134&amp;$E134,Usage!$B$5:$S$5&amp;Usage!$B$6:$S$6&amp;Usage!$B$7:$S$7,0)),0)</f>
        <v>20000</v>
      </c>
      <c r="G134" s="3" t="s">
        <v>84</v>
      </c>
      <c r="H134" s="89"/>
      <c r="I134" s="89">
        <f t="array" ref="I134">IFERROR(INDEX('Detail inputs'!$B$3:$K$168,MATCH($B134&amp;$G134&amp;I$5,'Detail inputs'!$B$3:$B$168&amp;'Detail inputs'!$G$3:$G$168&amp;'Detail inputs'!$H$3:$H$168,0),MATCH(I$4,'Detail inputs'!$B$3:$K$3,0)),0)</f>
        <v>9.31</v>
      </c>
      <c r="J134" s="89">
        <f>IF(AND(H134="",I134=""),"",H134+I134*$F134/1000)</f>
        <v>186.2</v>
      </c>
      <c r="K134" s="43">
        <f>IFERROR(J134/J136,"")</f>
        <v>0.61655629139072843</v>
      </c>
      <c r="L134" s="43"/>
      <c r="M134" s="48">
        <f>IF(OR(J134=0,Q134=""),"",Q134/J134-1)</f>
        <v>0.23737916219119248</v>
      </c>
      <c r="N134" s="43"/>
      <c r="O134" s="89"/>
      <c r="P134" s="89">
        <f t="array" ref="P134">IFERROR(INDEX('Detail inputs'!$B$3:$K$168,MATCH($B134&amp;$G134&amp;P$5,'Detail inputs'!$B$3:$B$168&amp;'Detail inputs'!$G$3:$G$168&amp;'Detail inputs'!$H$3:$H$168,0),MATCH(P$4,'Detail inputs'!$B$3:$K$3,0)),0)</f>
        <v>11.52</v>
      </c>
      <c r="Q134" s="89">
        <f>IF(AND(O134="",P134=""),"",O134+P134*$F134/1000)</f>
        <v>230.4</v>
      </c>
      <c r="R134" s="43">
        <f>IFERROR(Q134/Q136,"")</f>
        <v>0.68776119402985081</v>
      </c>
    </row>
    <row r="135" spans="1:22" s="21" customFormat="1" outlineLevel="1" x14ac:dyDescent="0.35">
      <c r="A135" s="3"/>
      <c r="B135" s="3" t="str">
        <f t="shared" si="36"/>
        <v>Energex</v>
      </c>
      <c r="C135" s="3" t="str">
        <f t="shared" si="36"/>
        <v>Small business</v>
      </c>
      <c r="D135" s="3" t="str">
        <f t="shared" si="36"/>
        <v>without CL</v>
      </c>
      <c r="E135" s="3" t="s">
        <v>23</v>
      </c>
      <c r="F135" s="41">
        <f t="array" ref="F135">IFERROR(INDEX(Usage!$B$5:$P$18,MATCH($B135,Usage!$B$5:$B$18,0),MATCH($C135&amp;$D135&amp;$E135,Usage!$B$5:$S$5&amp;Usage!$B$6:$S$6&amp;Usage!$B$7:$S$7,0)),0)</f>
        <v>20000</v>
      </c>
      <c r="G135" s="3" t="s">
        <v>82</v>
      </c>
      <c r="H135" s="89"/>
      <c r="I135" s="89">
        <f t="array" ref="I135">ROUND(IFERROR(INDEX('Detail inputs'!$B$3:$K$168,MATCH($B135&amp;$C135&amp;$E135&amp;$G135&amp;I$5,'Detail inputs'!$B$3:$B$168&amp;'Detail inputs'!$D$3:$D$168&amp;'Detail inputs'!$F$3:$F$168&amp;'Detail inputs'!$G$3:$G$168&amp;'Detail inputs'!$H$3:$H$168,0),MATCH(I$4,'Detail inputs'!$B$3:$K$3,0)),0)*SUM(I133:I134),2)</f>
        <v>0.84</v>
      </c>
      <c r="J135" s="89">
        <f>IF(AND(H135="",I135=""),"",H135+I135*$F135/1000)</f>
        <v>16.8</v>
      </c>
      <c r="K135" s="43">
        <f>IFERROR(J135/J136,"")</f>
        <v>5.5629139072847687E-2</v>
      </c>
      <c r="L135" s="43"/>
      <c r="M135" s="48">
        <f>IF(OR(J135=0,Q135=""),"",Q135/J135-1)</f>
        <v>0.20238095238095233</v>
      </c>
      <c r="N135" s="43"/>
      <c r="O135" s="89"/>
      <c r="P135" s="89">
        <f t="array" ref="P135">ROUND(IFERROR(INDEX('Detail inputs'!$B$3:$K$168,MATCH($B135&amp;$C135&amp;$E135&amp;$G135&amp;P$5,'Detail inputs'!$B$3:$B$168&amp;'Detail inputs'!$D$3:$D$168&amp;'Detail inputs'!$F$3:$F$168&amp;'Detail inputs'!$G$3:$G$168&amp;'Detail inputs'!$H$3:$H$168,0),MATCH(P$4,'Detail inputs'!$B$3:$K$3,0)),0)*SUM(P133:P134),2)</f>
        <v>1.01</v>
      </c>
      <c r="Q135" s="89">
        <f>IF(AND(O135="",P135=""),"",O135+P135*$F135/1000)</f>
        <v>20.2</v>
      </c>
      <c r="R135" s="43">
        <f>IFERROR(Q135/Q136,"")</f>
        <v>6.0298507462686564E-2</v>
      </c>
    </row>
    <row r="136" spans="1:22" s="88" customFormat="1" x14ac:dyDescent="0.3">
      <c r="A136" s="77"/>
      <c r="B136" s="77" t="str">
        <f t="shared" si="36"/>
        <v>Energex</v>
      </c>
      <c r="C136" s="77" t="str">
        <f t="shared" si="36"/>
        <v>Small business</v>
      </c>
      <c r="D136" s="77" t="str">
        <f t="shared" si="36"/>
        <v>without CL</v>
      </c>
      <c r="E136" s="3" t="s">
        <v>23</v>
      </c>
      <c r="F136" s="41">
        <f t="array" ref="F136">IFERROR(INDEX(Usage!$B$5:$P$18,MATCH($B136,Usage!$B$5:$B$18,0),MATCH($C136&amp;$D136&amp;$E136,Usage!$B$5:$S$5&amp;Usage!$B$6:$S$6&amp;Usage!$B$7:$S$7,0)),0)</f>
        <v>20000</v>
      </c>
      <c r="G136" s="77" t="s">
        <v>62</v>
      </c>
      <c r="H136" s="95"/>
      <c r="I136" s="95">
        <f t="array" ref="I136">INDEX('Key inputs'!$B$16:$N$40,MATCH($B136&amp;$C136&amp;$E136,'Key inputs'!$B$16:$B$40&amp;'Key inputs'!$C$16:$C$40&amp;'Key inputs'!$D$16:$D$40,0),MATCH($A$2&amp;I$4,'Key inputs'!$B$17:$N$17&amp;'Key inputs'!$B$18:$N$18,0))</f>
        <v>15.1</v>
      </c>
      <c r="J136" s="89">
        <f>IF(AND(H136="",I136=""),"",H136+I136*$F136/1000)</f>
        <v>302</v>
      </c>
      <c r="K136" s="87"/>
      <c r="M136" s="79">
        <f>IF(OR(J136=0,Q136=""),"",Q136/J136-1)</f>
        <v>0.10927152317880795</v>
      </c>
      <c r="O136" s="95"/>
      <c r="P136" s="95">
        <f t="array" ref="P136">INDEX('Key inputs'!$B$16:$N$40,MATCH($B136&amp;$C136&amp;$E136,'Key inputs'!$B$16:$B$40&amp;'Key inputs'!$C$16:$C$40&amp;'Key inputs'!$D$16:$D$40,0),MATCH($A$2&amp;P$4,'Key inputs'!$B$17:$N$17&amp;'Key inputs'!$B$18:$N$18,0))</f>
        <v>16.75</v>
      </c>
      <c r="Q136" s="89">
        <f>IF(AND(O136="",P136=""),"",O136+P136*$F136/1000)</f>
        <v>335</v>
      </c>
      <c r="R136" s="87"/>
      <c r="S136" s="136" t="b">
        <f>ROUND(I136,$T$5)=ROUND(SUM(I133:I135),$T$5)</f>
        <v>1</v>
      </c>
      <c r="T136" s="136" t="b">
        <f>ROUND(P136,$T$5)=ROUND(SUM(P133:P135),$T$5)</f>
        <v>1</v>
      </c>
      <c r="U136" s="95"/>
      <c r="V136" s="95"/>
    </row>
    <row r="137" spans="1:22" s="21" customFormat="1" outlineLevel="1" x14ac:dyDescent="0.35">
      <c r="A137" s="3"/>
      <c r="B137" s="3" t="str">
        <f t="shared" si="36"/>
        <v>Energex</v>
      </c>
      <c r="C137" s="3" t="str">
        <f t="shared" si="36"/>
        <v>Small business</v>
      </c>
      <c r="D137" s="3" t="str">
        <f t="shared" si="36"/>
        <v>without CL</v>
      </c>
      <c r="E137" s="3"/>
      <c r="F137" s="41"/>
      <c r="G137" s="77" t="s">
        <v>42</v>
      </c>
      <c r="H137" s="95"/>
      <c r="I137" s="95"/>
      <c r="J137" s="95">
        <f>J136*GST</f>
        <v>30.200000000000003</v>
      </c>
      <c r="K137" s="87"/>
      <c r="L137" s="88"/>
      <c r="M137" s="79"/>
      <c r="N137" s="88"/>
      <c r="O137" s="95"/>
      <c r="P137" s="95"/>
      <c r="Q137" s="95">
        <f>Q136*GST</f>
        <v>33.5</v>
      </c>
      <c r="R137" s="75"/>
    </row>
    <row r="138" spans="1:22" s="21" customFormat="1" x14ac:dyDescent="0.35">
      <c r="A138" s="3"/>
      <c r="B138" s="3" t="str">
        <f t="shared" si="36"/>
        <v>Energex</v>
      </c>
      <c r="C138" s="3" t="str">
        <f t="shared" si="36"/>
        <v>Small business</v>
      </c>
      <c r="D138" s="3" t="str">
        <f t="shared" si="36"/>
        <v>without CL</v>
      </c>
      <c r="E138" s="3"/>
      <c r="F138" s="41"/>
      <c r="G138" s="5" t="s">
        <v>90</v>
      </c>
      <c r="H138" s="94"/>
      <c r="I138" s="94"/>
      <c r="J138" s="94">
        <f>SUM(J136:J137)</f>
        <v>332.2</v>
      </c>
      <c r="K138" s="75"/>
      <c r="L138" s="27"/>
      <c r="M138" s="76">
        <f>IF(OR(J138=0,Q138=""),"",Q138/J138-1)</f>
        <v>0.10927152317880795</v>
      </c>
      <c r="N138" s="27"/>
      <c r="O138" s="94"/>
      <c r="P138" s="94"/>
      <c r="Q138" s="94">
        <f>SUM(Q136:Q137)</f>
        <v>368.5</v>
      </c>
      <c r="R138" s="75"/>
    </row>
    <row r="139" spans="1:22" s="21" customFormat="1" x14ac:dyDescent="0.35">
      <c r="A139" s="3"/>
      <c r="B139" s="3"/>
      <c r="C139" s="3"/>
      <c r="D139" s="3"/>
      <c r="E139" s="3"/>
      <c r="F139" s="41"/>
      <c r="G139" s="3"/>
      <c r="H139" s="89"/>
      <c r="I139" s="89"/>
      <c r="J139" s="89"/>
      <c r="K139" s="43"/>
      <c r="M139" s="48"/>
      <c r="O139" s="89"/>
      <c r="P139" s="89"/>
      <c r="Q139" s="89"/>
      <c r="R139" s="43"/>
    </row>
    <row r="140" spans="1:22" s="21" customFormat="1" x14ac:dyDescent="0.35">
      <c r="A140" s="3"/>
      <c r="B140" s="5" t="s">
        <v>5</v>
      </c>
      <c r="C140" s="5" t="s">
        <v>6</v>
      </c>
      <c r="D140" s="5" t="s">
        <v>150</v>
      </c>
      <c r="E140" s="3"/>
      <c r="F140" s="41"/>
      <c r="G140" s="3"/>
      <c r="H140" s="89"/>
      <c r="I140" s="89"/>
      <c r="J140" s="89"/>
      <c r="K140" s="43"/>
      <c r="M140" s="48"/>
      <c r="O140" s="89"/>
      <c r="P140" s="89"/>
      <c r="Q140" s="89"/>
      <c r="R140" s="43"/>
    </row>
    <row r="141" spans="1:22" s="21" customFormat="1" outlineLevel="1" x14ac:dyDescent="0.35">
      <c r="A141" s="3"/>
      <c r="B141" s="3" t="str">
        <f t="shared" ref="B141:D147" si="37">B140</f>
        <v>SAPN</v>
      </c>
      <c r="C141" s="3" t="str">
        <f t="shared" si="37"/>
        <v>Residential</v>
      </c>
      <c r="D141" s="3" t="str">
        <f t="shared" si="37"/>
        <v>without CL</v>
      </c>
      <c r="E141" s="3" t="s">
        <v>23</v>
      </c>
      <c r="F141" s="41">
        <f t="array" ref="F141">IFERROR(INDEX(Usage!$B$5:$P$18,MATCH($B141,Usage!$B$5:$B$18,0),MATCH($C141&amp;$D141&amp;$E141&amp;"Total",Usage!$B$5:$S$5&amp;Usage!$B$6:$S$6&amp;Usage!$B$7:$S$7&amp;Usage!$B$13:$S$13,0)),0)</f>
        <v>4000</v>
      </c>
      <c r="G141" s="3" t="s">
        <v>83</v>
      </c>
      <c r="H141" s="89"/>
      <c r="I141" s="89">
        <f t="array" ref="I141">IFERROR(INDEX('Detail inputs'!$B$3:$K$168,MATCH($B141&amp;$G141&amp;I$5,'Detail inputs'!$B$3:$B$168&amp;'Detail inputs'!$G$3:$G$168&amp;'Detail inputs'!$H$3:$H$168,0),MATCH(I$4,'Detail inputs'!$B$3:$K$3,0)),0)</f>
        <v>4.95</v>
      </c>
      <c r="J141" s="89">
        <f>IF(AND(H141="",I141=""),"",H141+I141*$F141/1000)</f>
        <v>19.8</v>
      </c>
      <c r="K141" s="43">
        <f>IFERROR(J141/J145,"")</f>
        <v>0.2665589660743134</v>
      </c>
      <c r="L141" s="43"/>
      <c r="M141" s="48">
        <f>IF(OR(J141=0,Q141=""),"",Q141/J141-1)</f>
        <v>-0.14747474747474754</v>
      </c>
      <c r="N141" s="43"/>
      <c r="O141" s="89"/>
      <c r="P141" s="89">
        <f t="array" ref="P141">IFERROR(INDEX('Detail inputs'!$B$3:$K$168,MATCH($B141&amp;$G141&amp;P$5,'Detail inputs'!$B$3:$B$168&amp;'Detail inputs'!$G$3:$G$168&amp;'Detail inputs'!$H$3:$H$168,0),MATCH(P$4,'Detail inputs'!$B$3:$K$3,0)),0)</f>
        <v>4.22</v>
      </c>
      <c r="Q141" s="89">
        <f>IF(AND(O141="",P141=""),"",O141+P141*$F141/1000)</f>
        <v>16.88</v>
      </c>
      <c r="R141" s="43">
        <f>IFERROR(Q141/Q145,"")</f>
        <v>0.20696419813634132</v>
      </c>
    </row>
    <row r="142" spans="1:22" s="21" customFormat="1" outlineLevel="1" x14ac:dyDescent="0.35">
      <c r="A142" s="3"/>
      <c r="B142" s="3" t="str">
        <f t="shared" si="37"/>
        <v>SAPN</v>
      </c>
      <c r="C142" s="3" t="str">
        <f t="shared" si="37"/>
        <v>Residential</v>
      </c>
      <c r="D142" s="3" t="str">
        <f t="shared" si="37"/>
        <v>without CL</v>
      </c>
      <c r="E142" s="3" t="s">
        <v>23</v>
      </c>
      <c r="F142" s="41">
        <f t="array" ref="F142">IFERROR(INDEX(Usage!$B$5:$P$18,MATCH($B142,Usage!$B$5:$B$18,0),MATCH($C142&amp;$D142&amp;$E142&amp;"Total",Usage!$B$5:$S$5&amp;Usage!$B$6:$S$6&amp;Usage!$B$7:$S$7&amp;Usage!$B$13:$S$13,0)),0)</f>
        <v>4000</v>
      </c>
      <c r="G142" s="3" t="s">
        <v>84</v>
      </c>
      <c r="H142" s="89"/>
      <c r="I142" s="89">
        <f t="array" ref="I142">IFERROR(INDEX('Detail inputs'!$B$3:$K$168,MATCH($B142&amp;$G142&amp;I$5,'Detail inputs'!$B$3:$B$168&amp;'Detail inputs'!$G$3:$G$168&amp;'Detail inputs'!$H$3:$H$168,0),MATCH(I$4,'Detail inputs'!$B$3:$K$3,0)),0)</f>
        <v>9.31</v>
      </c>
      <c r="J142" s="89">
        <f>IF(AND(H142="",I142=""),"",H142+I142*$F142/1000)</f>
        <v>37.24</v>
      </c>
      <c r="K142" s="43">
        <f>IFERROR(J142/J145,"")</f>
        <v>0.50134625740441574</v>
      </c>
      <c r="L142" s="43"/>
      <c r="M142" s="48">
        <f>IF(OR(J142=0,Q142=""),"",Q142/J142-1)</f>
        <v>0.23737916219119226</v>
      </c>
      <c r="N142" s="43"/>
      <c r="O142" s="89"/>
      <c r="P142" s="89">
        <f t="array" ref="P142">IFERROR(INDEX('Detail inputs'!$B$3:$K$168,MATCH($B142&amp;$G142&amp;P$5,'Detail inputs'!$B$3:$B$168&amp;'Detail inputs'!$G$3:$G$168&amp;'Detail inputs'!$H$3:$H$168,0),MATCH(P$4,'Detail inputs'!$B$3:$K$3,0)),0)</f>
        <v>11.52</v>
      </c>
      <c r="Q142" s="89">
        <f>IF(AND(O142="",P142=""),"",O142+P142*$F142/1000)</f>
        <v>46.08</v>
      </c>
      <c r="R142" s="43">
        <f>IFERROR(Q142/Q145,"")</f>
        <v>0.56498283472290334</v>
      </c>
    </row>
    <row r="143" spans="1:22" s="21" customFormat="1" outlineLevel="1" x14ac:dyDescent="0.35">
      <c r="A143" s="3"/>
      <c r="B143" s="3" t="str">
        <f t="shared" si="37"/>
        <v>SAPN</v>
      </c>
      <c r="C143" s="3" t="str">
        <f t="shared" si="37"/>
        <v>Residential</v>
      </c>
      <c r="D143" s="3" t="str">
        <f t="shared" si="37"/>
        <v>without CL</v>
      </c>
      <c r="E143" s="3" t="s">
        <v>23</v>
      </c>
      <c r="F143" s="41">
        <f t="array" ref="F143">IFERROR(INDEX(Usage!$B$5:$P$18,MATCH($B143,Usage!$B$5:$B$18,0),MATCH($C143&amp;$D143&amp;$E143&amp;"Total",Usage!$B$5:$S$5&amp;Usage!$B$6:$S$6&amp;Usage!$B$7:$S$7&amp;Usage!$B$13:$S$13,0)),0)</f>
        <v>4000</v>
      </c>
      <c r="G143" s="3" t="s">
        <v>89</v>
      </c>
      <c r="H143" s="89"/>
      <c r="I143" s="89">
        <f t="array" ref="I143">IFERROR(INDEX('Detail inputs'!$B$3:$K$168,MATCH($B143&amp;$G143&amp;I$5,'Detail inputs'!$B$3:$B$168&amp;'Detail inputs'!$G$3:$G$168&amp;'Detail inputs'!$H$3:$H$168,0),MATCH(I$4,'Detail inputs'!$B$3:$K$3,0)),0)</f>
        <v>2.5</v>
      </c>
      <c r="J143" s="89">
        <f>IF(AND(H143="",I143=""),"",H143+I143*$F143/1000)</f>
        <v>10</v>
      </c>
      <c r="K143" s="43">
        <f>IFERROR(J143/J145,"")</f>
        <v>0.13462574044157244</v>
      </c>
      <c r="L143" s="43"/>
      <c r="M143" s="48">
        <f>IF(OR(J143=0,Q143=""),"",Q143/J143-1)</f>
        <v>0</v>
      </c>
      <c r="N143" s="43"/>
      <c r="O143" s="89"/>
      <c r="P143" s="89">
        <f t="array" ref="P143">IFERROR(INDEX('Detail inputs'!$B$3:$K$168,MATCH($B143&amp;$G143&amp;P$5,'Detail inputs'!$B$3:$B$168&amp;'Detail inputs'!$G$3:$G$168&amp;'Detail inputs'!$H$3:$H$168,0),MATCH(P$4,'Detail inputs'!$B$3:$K$3,0)),0)</f>
        <v>2.5</v>
      </c>
      <c r="Q143" s="89">
        <f>IF(AND(O143="",P143=""),"",O143+P143*$F143/1000)</f>
        <v>10</v>
      </c>
      <c r="R143" s="43">
        <f>IFERROR(Q143/Q145,"")</f>
        <v>0.12260912211868563</v>
      </c>
    </row>
    <row r="144" spans="1:22" s="21" customFormat="1" outlineLevel="1" x14ac:dyDescent="0.35">
      <c r="A144" s="3"/>
      <c r="B144" s="3" t="str">
        <f t="shared" si="37"/>
        <v>SAPN</v>
      </c>
      <c r="C144" s="3" t="str">
        <f t="shared" si="37"/>
        <v>Residential</v>
      </c>
      <c r="D144" s="3" t="str">
        <f t="shared" si="37"/>
        <v>without CL</v>
      </c>
      <c r="E144" s="3" t="s">
        <v>23</v>
      </c>
      <c r="F144" s="41">
        <f t="array" ref="F144">IFERROR(INDEX(Usage!$B$5:$P$18,MATCH($B144,Usage!$B$5:$B$18,0),MATCH($C144&amp;$D144&amp;$E144&amp;"Total",Usage!$B$5:$S$5&amp;Usage!$B$6:$S$6&amp;Usage!$B$7:$S$7&amp;Usage!$B$13:$S$13,0)),0)</f>
        <v>4000</v>
      </c>
      <c r="G144" s="3" t="s">
        <v>82</v>
      </c>
      <c r="H144" s="89"/>
      <c r="I144" s="89">
        <f t="array" ref="I144">ROUND(IFERROR(INDEX('Detail inputs'!$B$3:$K$168,MATCH($B144&amp;$C144&amp;$E144&amp;$G144&amp;I$5,'Detail inputs'!$B$3:$B$168&amp;'Detail inputs'!$D$3:$D$168&amp;'Detail inputs'!$F$3:$F$168&amp;'Detail inputs'!$G$3:$G$168&amp;'Detail inputs'!$H$3:$H$168,0),MATCH(I$4,'Detail inputs'!$B$3:$K$3,0)),0)*SUM(I141:I143),2)</f>
        <v>1.81</v>
      </c>
      <c r="J144" s="89">
        <f>IF(AND(H144="",I144=""),"",H144+I144*$F144/1000)</f>
        <v>7.24</v>
      </c>
      <c r="K144" s="43">
        <f>IFERROR(J144/J145,"")</f>
        <v>9.7469036079698437E-2</v>
      </c>
      <c r="L144" s="43"/>
      <c r="M144" s="48">
        <f>IF(OR(J144=0,Q144=""),"",Q144/J144-1)</f>
        <v>0.18784530386740328</v>
      </c>
      <c r="N144" s="43"/>
      <c r="O144" s="89"/>
      <c r="P144" s="89">
        <f t="array" ref="P144">ROUND(IFERROR(INDEX('Detail inputs'!$B$3:$K$168,MATCH($B144&amp;$C144&amp;$E144&amp;$G144&amp;P$5,'Detail inputs'!$B$3:$B$168&amp;'Detail inputs'!$D$3:$D$168&amp;'Detail inputs'!$F$3:$F$168&amp;'Detail inputs'!$G$3:$G$168&amp;'Detail inputs'!$H$3:$H$168,0),MATCH(P$4,'Detail inputs'!$B$3:$K$3,0)),0)*SUM(P141:P143),2)</f>
        <v>2.15</v>
      </c>
      <c r="Q144" s="89">
        <f>IF(AND(O144="",P144=""),"",O144+P144*$F144/1000)</f>
        <v>8.6</v>
      </c>
      <c r="R144" s="43">
        <f>IFERROR(Q144/Q145,"")</f>
        <v>0.10544384502206963</v>
      </c>
    </row>
    <row r="145" spans="1:22" s="88" customFormat="1" x14ac:dyDescent="0.3">
      <c r="A145" s="77"/>
      <c r="B145" s="77" t="str">
        <f t="shared" si="37"/>
        <v>SAPN</v>
      </c>
      <c r="C145" s="77" t="str">
        <f t="shared" si="37"/>
        <v>Residential</v>
      </c>
      <c r="D145" s="77" t="str">
        <f t="shared" si="37"/>
        <v>without CL</v>
      </c>
      <c r="E145" s="3" t="s">
        <v>23</v>
      </c>
      <c r="F145" s="41">
        <f t="array" ref="F145">IFERROR(INDEX(Usage!$B$5:$P$18,MATCH($B145,Usage!$B$5:$B$18,0),MATCH($C145&amp;$D145&amp;$E145&amp;"Total",Usage!$B$5:$S$5&amp;Usage!$B$6:$S$6&amp;Usage!$B$7:$S$7&amp;Usage!$B$13:$S$13,0)),0)</f>
        <v>4000</v>
      </c>
      <c r="G145" s="77" t="s">
        <v>62</v>
      </c>
      <c r="H145" s="95"/>
      <c r="I145" s="95">
        <f t="array" ref="I145">INDEX('Key inputs'!$B$16:$N$40,MATCH($B145&amp;$C145&amp;$E145,'Key inputs'!$B$16:$B$40&amp;'Key inputs'!$C$16:$C$40&amp;'Key inputs'!$D$16:$D$40,0),MATCH($A$2&amp;I$4,'Key inputs'!$B$17:$N$17&amp;'Key inputs'!$B$18:$N$18,0))</f>
        <v>18.57</v>
      </c>
      <c r="J145" s="89">
        <f>IF(AND(H145="",I145=""),"",H145+I145*$F145/1000)</f>
        <v>74.28</v>
      </c>
      <c r="K145" s="87"/>
      <c r="M145" s="79">
        <f>IF(OR(J145=0,Q145=""),"",Q145/J145-1)</f>
        <v>9.8007539041464753E-2</v>
      </c>
      <c r="O145" s="95"/>
      <c r="P145" s="95">
        <f t="array" ref="P145">INDEX('Key inputs'!$B$16:$N$40,MATCH($B145&amp;$C145&amp;$E145,'Key inputs'!$B$16:$B$40&amp;'Key inputs'!$C$16:$C$40&amp;'Key inputs'!$D$16:$D$40,0),MATCH($A$2&amp;P$4,'Key inputs'!$B$17:$N$17&amp;'Key inputs'!$B$18:$N$18,0))</f>
        <v>20.39</v>
      </c>
      <c r="Q145" s="89">
        <f>IF(AND(O145="",P145=""),"",O145+P145*$F145/1000)</f>
        <v>81.56</v>
      </c>
      <c r="R145" s="87"/>
      <c r="S145" s="136" t="b">
        <f>ROUND(I145,$T$5)=ROUND(SUM(I141:I144),$T$5)</f>
        <v>1</v>
      </c>
      <c r="T145" s="136" t="b">
        <f>ROUND(P145,$T$5)=ROUND(SUM(P141:P144),$T$5)</f>
        <v>1</v>
      </c>
      <c r="U145" s="95"/>
      <c r="V145" s="95"/>
    </row>
    <row r="146" spans="1:22" s="21" customFormat="1" outlineLevel="1" x14ac:dyDescent="0.35">
      <c r="A146" s="3"/>
      <c r="B146" s="3" t="str">
        <f t="shared" si="37"/>
        <v>SAPN</v>
      </c>
      <c r="C146" s="3" t="str">
        <f t="shared" si="37"/>
        <v>Residential</v>
      </c>
      <c r="D146" s="3" t="str">
        <f t="shared" si="37"/>
        <v>without CL</v>
      </c>
      <c r="E146" s="3"/>
      <c r="F146" s="41"/>
      <c r="G146" s="77" t="s">
        <v>42</v>
      </c>
      <c r="H146" s="95"/>
      <c r="I146" s="95"/>
      <c r="J146" s="95">
        <f>J145*GST</f>
        <v>7.4280000000000008</v>
      </c>
      <c r="K146" s="87"/>
      <c r="L146" s="88"/>
      <c r="M146" s="79"/>
      <c r="N146" s="88"/>
      <c r="O146" s="95"/>
      <c r="P146" s="95"/>
      <c r="Q146" s="95">
        <f>Q145*GST</f>
        <v>8.1560000000000006</v>
      </c>
      <c r="R146" s="75"/>
    </row>
    <row r="147" spans="1:22" s="21" customFormat="1" x14ac:dyDescent="0.35">
      <c r="A147" s="3"/>
      <c r="B147" s="3" t="str">
        <f t="shared" si="37"/>
        <v>SAPN</v>
      </c>
      <c r="C147" s="3" t="str">
        <f t="shared" si="37"/>
        <v>Residential</v>
      </c>
      <c r="D147" s="3" t="str">
        <f t="shared" si="37"/>
        <v>without CL</v>
      </c>
      <c r="E147" s="3"/>
      <c r="F147" s="41"/>
      <c r="G147" s="5" t="s">
        <v>90</v>
      </c>
      <c r="H147" s="94"/>
      <c r="I147" s="94"/>
      <c r="J147" s="94">
        <f>SUM(J145:J146)</f>
        <v>81.707999999999998</v>
      </c>
      <c r="K147" s="75"/>
      <c r="L147" s="27"/>
      <c r="M147" s="76">
        <f>IF(OR(J147=0,Q147=""),"",Q147/J147-1)</f>
        <v>9.8007539041464753E-2</v>
      </c>
      <c r="N147" s="27"/>
      <c r="O147" s="94"/>
      <c r="P147" s="94"/>
      <c r="Q147" s="94">
        <f>SUM(Q145:Q146)</f>
        <v>89.716000000000008</v>
      </c>
      <c r="R147" s="75"/>
    </row>
    <row r="148" spans="1:22" s="21" customFormat="1" x14ac:dyDescent="0.35">
      <c r="A148" s="3"/>
      <c r="B148" s="3"/>
      <c r="C148" s="3"/>
      <c r="D148" s="3"/>
      <c r="E148" s="3"/>
      <c r="F148" s="41"/>
      <c r="G148" s="3"/>
      <c r="H148" s="89"/>
      <c r="I148" s="89"/>
      <c r="J148" s="89"/>
      <c r="K148" s="43"/>
      <c r="M148" s="48"/>
      <c r="O148" s="89"/>
      <c r="P148" s="89"/>
      <c r="Q148" s="89"/>
      <c r="R148" s="43"/>
    </row>
    <row r="149" spans="1:22" s="21" customFormat="1" x14ac:dyDescent="0.35">
      <c r="A149" s="3"/>
      <c r="B149" s="5" t="s">
        <v>5</v>
      </c>
      <c r="C149" s="5" t="s">
        <v>6</v>
      </c>
      <c r="D149" s="5" t="s">
        <v>151</v>
      </c>
      <c r="E149" s="3"/>
      <c r="F149" s="41"/>
      <c r="G149" s="3"/>
      <c r="H149" s="89"/>
      <c r="I149" s="89"/>
      <c r="J149" s="89"/>
      <c r="K149" s="43"/>
      <c r="M149" s="48"/>
      <c r="O149" s="89"/>
      <c r="P149" s="89"/>
      <c r="Q149" s="89"/>
      <c r="R149" s="43"/>
    </row>
    <row r="150" spans="1:22" s="21" customFormat="1" outlineLevel="1" x14ac:dyDescent="0.35">
      <c r="A150" s="3"/>
      <c r="B150" s="3" t="str">
        <f t="shared" ref="B150:B156" si="38">B149</f>
        <v>SAPN</v>
      </c>
      <c r="C150" s="3" t="str">
        <f t="shared" ref="C150:C156" si="39">C149</f>
        <v>Residential</v>
      </c>
      <c r="D150" s="3" t="str">
        <f t="shared" ref="D150:D156" si="40">D149</f>
        <v>with CL</v>
      </c>
      <c r="E150" s="3" t="s">
        <v>23</v>
      </c>
      <c r="F150" s="41">
        <f t="array" ref="F150">IFERROR(INDEX(Usage!$B$5:$P$18,MATCH($B150,Usage!$B$5:$B$18,0),MATCH($C150&amp;$D150&amp;$E150&amp;"Total",Usage!$B$5:$S$5&amp;Usage!$B$6:$S$6&amp;Usage!$B$7:$S$7&amp;Usage!$B$13:$S$13,0)),0)</f>
        <v>4200</v>
      </c>
      <c r="G150" s="3" t="s">
        <v>62</v>
      </c>
      <c r="H150" s="89"/>
      <c r="I150" s="89">
        <f>I145</f>
        <v>18.57</v>
      </c>
      <c r="J150" s="89">
        <f t="shared" ref="J150:J155" si="41">IF(AND(H150="",I150=""),"",H150+I150*$F150/1000)</f>
        <v>77.994</v>
      </c>
      <c r="K150" s="43"/>
      <c r="M150" s="48">
        <f>IF(OR(J150=0,Q150=""),"",Q150/J150-1)</f>
        <v>9.8007539041464753E-2</v>
      </c>
      <c r="O150" s="89"/>
      <c r="P150" s="89">
        <f>P145</f>
        <v>20.39</v>
      </c>
      <c r="Q150" s="89">
        <f t="shared" ref="Q150:Q155" si="42">IF(AND(O150="",P150=""),"",O150+P150*$F150/1000)</f>
        <v>85.638000000000005</v>
      </c>
      <c r="R150" s="43"/>
    </row>
    <row r="151" spans="1:22" s="21" customFormat="1" outlineLevel="1" x14ac:dyDescent="0.35">
      <c r="A151" s="3"/>
      <c r="B151" s="3" t="str">
        <f t="shared" si="38"/>
        <v>SAPN</v>
      </c>
      <c r="C151" s="3" t="str">
        <f t="shared" si="39"/>
        <v>Residential</v>
      </c>
      <c r="D151" s="3" t="str">
        <f t="shared" si="40"/>
        <v>with CL</v>
      </c>
      <c r="E151" s="3" t="s">
        <v>16</v>
      </c>
      <c r="F151" s="41">
        <f t="array" ref="F151">IFERROR(INDEX(Usage!$B$5:$P$18,MATCH($B151,Usage!$B$5:$B$18,0),MATCH($C151&amp;$D151&amp;$E151,Usage!$B$5:$S$5&amp;Usage!$B$6:$S$6&amp;Usage!$B$7:$S$7,0)),0)</f>
        <v>1800</v>
      </c>
      <c r="G151" s="3" t="s">
        <v>83</v>
      </c>
      <c r="H151" s="89"/>
      <c r="I151" s="89">
        <f t="array" ref="I151">IFERROR(INDEX('Detail inputs'!$B$3:$K$168,MATCH($B151&amp;$G151&amp;I$5,'Detail inputs'!$B$3:$B$168&amp;'Detail inputs'!$G$3:$G$168&amp;'Detail inputs'!$H$3:$H$168,0),MATCH(I$4,'Detail inputs'!$B$3:$K$3,0)),0)</f>
        <v>4.95</v>
      </c>
      <c r="J151" s="89">
        <f t="shared" si="41"/>
        <v>8.91</v>
      </c>
      <c r="K151" s="43">
        <f>IFERROR(J151/J155,"")</f>
        <v>0.2665589660743134</v>
      </c>
      <c r="L151" s="43"/>
      <c r="M151" s="48">
        <f t="shared" ref="M151:M156" si="43">IF(OR(J151=0,Q151=""),"",Q151/J151-1)</f>
        <v>-0.14747474747474743</v>
      </c>
      <c r="N151" s="43"/>
      <c r="O151" s="89"/>
      <c r="P151" s="89">
        <f t="array" ref="P151">IFERROR(INDEX('Detail inputs'!$B$3:$K$168,MATCH($B151&amp;$G151&amp;P$5,'Detail inputs'!$B$3:$B$168&amp;'Detail inputs'!$G$3:$G$168&amp;'Detail inputs'!$H$3:$H$168,0),MATCH(P$4,'Detail inputs'!$B$3:$K$3,0)),0)</f>
        <v>4.22</v>
      </c>
      <c r="Q151" s="89">
        <f t="shared" si="42"/>
        <v>7.5960000000000001</v>
      </c>
      <c r="R151" s="43">
        <f>IFERROR(Q151/Q155,"")</f>
        <v>0.20696419813634134</v>
      </c>
    </row>
    <row r="152" spans="1:22" s="21" customFormat="1" outlineLevel="1" x14ac:dyDescent="0.35">
      <c r="A152" s="3"/>
      <c r="B152" s="3" t="str">
        <f t="shared" si="38"/>
        <v>SAPN</v>
      </c>
      <c r="C152" s="3" t="str">
        <f t="shared" si="39"/>
        <v>Residential</v>
      </c>
      <c r="D152" s="3" t="str">
        <f t="shared" si="40"/>
        <v>with CL</v>
      </c>
      <c r="E152" s="3" t="s">
        <v>16</v>
      </c>
      <c r="F152" s="41">
        <f t="array" ref="F152">IFERROR(INDEX(Usage!$B$5:$P$18,MATCH($B152,Usage!$B$5:$B$18,0),MATCH($C152&amp;$D152&amp;$E152,Usage!$B$5:$S$5&amp;Usage!$B$6:$S$6&amp;Usage!$B$7:$S$7,0)),0)</f>
        <v>1800</v>
      </c>
      <c r="G152" s="3" t="s">
        <v>84</v>
      </c>
      <c r="H152" s="89"/>
      <c r="I152" s="89">
        <f t="array" ref="I152">IFERROR(INDEX('Detail inputs'!$B$3:$K$168,MATCH($B152&amp;$G152&amp;I$5,'Detail inputs'!$B$3:$B$168&amp;'Detail inputs'!$G$3:$G$168&amp;'Detail inputs'!$H$3:$H$168,0),MATCH(I$4,'Detail inputs'!$B$3:$K$3,0)),0)</f>
        <v>9.31</v>
      </c>
      <c r="J152" s="89">
        <f t="shared" si="41"/>
        <v>16.757999999999999</v>
      </c>
      <c r="K152" s="43">
        <f>IFERROR(J152/J155,"")</f>
        <v>0.50134625740441563</v>
      </c>
      <c r="L152" s="43"/>
      <c r="M152" s="48">
        <f t="shared" si="43"/>
        <v>0.23737916219119226</v>
      </c>
      <c r="N152" s="43"/>
      <c r="O152" s="89"/>
      <c r="P152" s="89">
        <f t="array" ref="P152">IFERROR(INDEX('Detail inputs'!$B$3:$K$168,MATCH($B152&amp;$G152&amp;P$5,'Detail inputs'!$B$3:$B$168&amp;'Detail inputs'!$G$3:$G$168&amp;'Detail inputs'!$H$3:$H$168,0),MATCH(P$4,'Detail inputs'!$B$3:$K$3,0)),0)</f>
        <v>11.52</v>
      </c>
      <c r="Q152" s="89">
        <f t="shared" si="42"/>
        <v>20.736000000000001</v>
      </c>
      <c r="R152" s="43">
        <f>IFERROR(Q152/Q155,"")</f>
        <v>0.56498283472290345</v>
      </c>
    </row>
    <row r="153" spans="1:22" s="21" customFormat="1" outlineLevel="1" x14ac:dyDescent="0.35">
      <c r="A153" s="3"/>
      <c r="B153" s="3" t="str">
        <f t="shared" si="38"/>
        <v>SAPN</v>
      </c>
      <c r="C153" s="3" t="str">
        <f t="shared" si="39"/>
        <v>Residential</v>
      </c>
      <c r="D153" s="3" t="str">
        <f t="shared" si="40"/>
        <v>with CL</v>
      </c>
      <c r="E153" s="3" t="s">
        <v>16</v>
      </c>
      <c r="F153" s="41">
        <f t="array" ref="F153">IFERROR(INDEX(Usage!$B$5:$P$18,MATCH($B153,Usage!$B$5:$B$18,0),MATCH($C153&amp;$D153&amp;$E153,Usage!$B$5:$S$5&amp;Usage!$B$6:$S$6&amp;Usage!$B$7:$S$7,0)),0)</f>
        <v>1800</v>
      </c>
      <c r="G153" s="3" t="s">
        <v>89</v>
      </c>
      <c r="H153" s="89"/>
      <c r="I153" s="89">
        <f t="array" ref="I153">IFERROR(INDEX('Detail inputs'!$B$3:$K$168,MATCH($B153&amp;$G153&amp;I$5,'Detail inputs'!$B$3:$B$168&amp;'Detail inputs'!$G$3:$G$168&amp;'Detail inputs'!$H$3:$H$168,0),MATCH(I$4,'Detail inputs'!$B$3:$K$3,0)),0)</f>
        <v>2.5</v>
      </c>
      <c r="J153" s="89">
        <f t="shared" si="41"/>
        <v>4.5</v>
      </c>
      <c r="K153" s="43">
        <f>IFERROR(J153/J155,"")</f>
        <v>0.13462574044157241</v>
      </c>
      <c r="L153" s="43"/>
      <c r="M153" s="48">
        <f t="shared" si="43"/>
        <v>0</v>
      </c>
      <c r="N153" s="43"/>
      <c r="O153" s="89"/>
      <c r="P153" s="89">
        <f t="array" ref="P153">IFERROR(INDEX('Detail inputs'!$B$3:$K$168,MATCH($B153&amp;$G153&amp;P$5,'Detail inputs'!$B$3:$B$168&amp;'Detail inputs'!$G$3:$G$168&amp;'Detail inputs'!$H$3:$H$168,0),MATCH(P$4,'Detail inputs'!$B$3:$K$3,0)),0)</f>
        <v>2.5</v>
      </c>
      <c r="Q153" s="89">
        <f t="shared" si="42"/>
        <v>4.5</v>
      </c>
      <c r="R153" s="43">
        <f>IFERROR(Q153/Q155,"")</f>
        <v>0.12260912211868563</v>
      </c>
    </row>
    <row r="154" spans="1:22" s="21" customFormat="1" outlineLevel="1" x14ac:dyDescent="0.35">
      <c r="A154" s="3"/>
      <c r="B154" s="3" t="str">
        <f t="shared" si="38"/>
        <v>SAPN</v>
      </c>
      <c r="C154" s="3" t="str">
        <f t="shared" si="39"/>
        <v>Residential</v>
      </c>
      <c r="D154" s="3" t="str">
        <f t="shared" si="40"/>
        <v>with CL</v>
      </c>
      <c r="E154" s="3" t="s">
        <v>16</v>
      </c>
      <c r="F154" s="41">
        <f t="array" ref="F154">IFERROR(INDEX(Usage!$B$5:$P$18,MATCH($B154,Usage!$B$5:$B$18,0),MATCH($C154&amp;$D154&amp;$E154,Usage!$B$5:$S$5&amp;Usage!$B$6:$S$6&amp;Usage!$B$7:$S$7,0)),0)</f>
        <v>1800</v>
      </c>
      <c r="G154" s="3" t="s">
        <v>82</v>
      </c>
      <c r="H154" s="89"/>
      <c r="I154" s="89">
        <f t="array" ref="I154">ROUND(IFERROR(INDEX('Detail inputs'!$B$3:$K$168,MATCH($B154&amp;$C154&amp;$E154&amp;$G154&amp;I$5,'Detail inputs'!$B$3:$B$168&amp;'Detail inputs'!$D$3:$D$168&amp;'Detail inputs'!$F$3:$F$168&amp;'Detail inputs'!$G$3:$G$168&amp;'Detail inputs'!$H$3:$H$168,0),MATCH(I$4,'Detail inputs'!$B$3:$K$3,0)),0)*SUM(I151:I153),2)</f>
        <v>1.81</v>
      </c>
      <c r="J154" s="89">
        <f t="shared" si="41"/>
        <v>3.258</v>
      </c>
      <c r="K154" s="43">
        <f>IFERROR(J154/J155,"")</f>
        <v>9.7469036079698437E-2</v>
      </c>
      <c r="L154" s="43"/>
      <c r="M154" s="48">
        <f t="shared" si="43"/>
        <v>0.18784530386740328</v>
      </c>
      <c r="N154" s="43"/>
      <c r="O154" s="89"/>
      <c r="P154" s="89">
        <f t="array" ref="P154">ROUND(IFERROR(INDEX('Detail inputs'!$B$3:$K$168,MATCH($B154&amp;$C154&amp;$E154&amp;$G154&amp;P$5,'Detail inputs'!$B$3:$B$168&amp;'Detail inputs'!$D$3:$D$168&amp;'Detail inputs'!$F$3:$F$168&amp;'Detail inputs'!$G$3:$G$168&amp;'Detail inputs'!$H$3:$H$168,0),MATCH(P$4,'Detail inputs'!$B$3:$K$3,0)),0)*SUM(P151:P153),2)</f>
        <v>2.15</v>
      </c>
      <c r="Q154" s="89">
        <f t="shared" si="42"/>
        <v>3.87</v>
      </c>
      <c r="R154" s="43">
        <f>IFERROR(Q154/Q155,"")</f>
        <v>0.10544384502206965</v>
      </c>
    </row>
    <row r="155" spans="1:22" s="21" customFormat="1" outlineLevel="1" x14ac:dyDescent="0.3">
      <c r="A155" s="3"/>
      <c r="B155" s="3" t="str">
        <f t="shared" si="38"/>
        <v>SAPN</v>
      </c>
      <c r="C155" s="3" t="str">
        <f t="shared" si="39"/>
        <v>Residential</v>
      </c>
      <c r="D155" s="3" t="str">
        <f t="shared" si="40"/>
        <v>with CL</v>
      </c>
      <c r="E155" s="3" t="s">
        <v>16</v>
      </c>
      <c r="F155" s="41">
        <f t="array" ref="F155">IFERROR(INDEX(Usage!$B$5:$P$18,MATCH($B155,Usage!$B$5:$B$18,0),MATCH($C155&amp;$D155&amp;$E155,Usage!$B$5:$S$5&amp;Usage!$B$6:$S$6&amp;Usage!$B$7:$S$7,0)),0)</f>
        <v>1800</v>
      </c>
      <c r="G155" s="3" t="s">
        <v>62</v>
      </c>
      <c r="H155" s="95"/>
      <c r="I155" s="95">
        <f t="array" ref="I155">INDEX('Key inputs'!$B$16:$N$40,MATCH($B155&amp;$C155&amp;$E155,'Key inputs'!$B$16:$B$40&amp;'Key inputs'!$C$16:$C$40&amp;'Key inputs'!$D$16:$D$40,0),MATCH($A$2&amp;I$4,'Key inputs'!$B$17:$N$17&amp;'Key inputs'!$B$18:$N$18,0))</f>
        <v>18.57</v>
      </c>
      <c r="J155" s="89">
        <f t="shared" si="41"/>
        <v>33.426000000000002</v>
      </c>
      <c r="K155" s="87"/>
      <c r="L155" s="88"/>
      <c r="M155" s="79">
        <f t="shared" si="43"/>
        <v>9.8007539041464531E-2</v>
      </c>
      <c r="N155" s="88"/>
      <c r="O155" s="95"/>
      <c r="P155" s="95">
        <f t="array" ref="P155">INDEX('Key inputs'!$B$16:$N$40,MATCH($B155&amp;$C155&amp;$E155,'Key inputs'!$B$16:$B$40&amp;'Key inputs'!$C$16:$C$40&amp;'Key inputs'!$D$16:$D$40,0),MATCH($A$2&amp;P$4,'Key inputs'!$B$17:$N$17&amp;'Key inputs'!$B$18:$N$18,0))</f>
        <v>20.39</v>
      </c>
      <c r="Q155" s="89">
        <f t="shared" si="42"/>
        <v>36.701999999999998</v>
      </c>
      <c r="R155" s="87"/>
      <c r="S155" s="136" t="b">
        <f>ROUND(I155,$T$5)=ROUND(SUM(I151:I154),$T$5)</f>
        <v>1</v>
      </c>
      <c r="T155" s="136" t="b">
        <f>ROUND(P155,$T$5)=ROUND(SUM(P151:P154),$T$5)</f>
        <v>1</v>
      </c>
      <c r="U155" s="95"/>
      <c r="V155" s="95"/>
    </row>
    <row r="156" spans="1:22" s="88" customFormat="1" x14ac:dyDescent="0.35">
      <c r="A156" s="77"/>
      <c r="B156" s="77" t="str">
        <f t="shared" si="38"/>
        <v>SAPN</v>
      </c>
      <c r="C156" s="77" t="str">
        <f t="shared" si="39"/>
        <v>Residential</v>
      </c>
      <c r="D156" s="77" t="str">
        <f t="shared" si="40"/>
        <v>with CL</v>
      </c>
      <c r="E156" s="77" t="s">
        <v>62</v>
      </c>
      <c r="F156" s="41">
        <f t="array" ref="F156">IFERROR(INDEX(Usage!$B$5:$P$18,MATCH($B156,Usage!$B$5:$B$18,0),MATCH($C156&amp;$D156&amp;$E156,Usage!$B$5:$S$5&amp;Usage!$B$6:$S$6&amp;Usage!$B$7:$S$7,0)),0)</f>
        <v>6000</v>
      </c>
      <c r="G156" s="77" t="s">
        <v>62</v>
      </c>
      <c r="H156" s="95"/>
      <c r="I156" s="95">
        <f>I150+I155</f>
        <v>37.14</v>
      </c>
      <c r="J156" s="95">
        <f>J150+J155</f>
        <v>111.42</v>
      </c>
      <c r="K156" s="87"/>
      <c r="M156" s="79">
        <f t="shared" si="43"/>
        <v>9.8007539041464753E-2</v>
      </c>
      <c r="O156" s="95"/>
      <c r="P156" s="95">
        <f>P150+P155</f>
        <v>40.78</v>
      </c>
      <c r="Q156" s="95">
        <f>Q150+Q155</f>
        <v>122.34</v>
      </c>
      <c r="R156" s="87"/>
    </row>
    <row r="157" spans="1:22" s="21" customFormat="1" outlineLevel="1" x14ac:dyDescent="0.35">
      <c r="A157" s="3"/>
      <c r="B157" s="3" t="str">
        <f t="shared" ref="B157:D158" si="44">B156</f>
        <v>SAPN</v>
      </c>
      <c r="C157" s="3" t="str">
        <f t="shared" si="44"/>
        <v>Residential</v>
      </c>
      <c r="D157" s="3" t="str">
        <f t="shared" si="44"/>
        <v>with CL</v>
      </c>
      <c r="E157" s="3"/>
      <c r="F157" s="41"/>
      <c r="G157" s="77" t="s">
        <v>42</v>
      </c>
      <c r="H157" s="95"/>
      <c r="I157" s="95"/>
      <c r="J157" s="95">
        <f>J156*GST</f>
        <v>11.142000000000001</v>
      </c>
      <c r="K157" s="87"/>
      <c r="L157" s="88"/>
      <c r="M157" s="79"/>
      <c r="N157" s="88"/>
      <c r="O157" s="95"/>
      <c r="P157" s="95"/>
      <c r="Q157" s="95">
        <f>Q156*GST</f>
        <v>12.234000000000002</v>
      </c>
      <c r="R157" s="87"/>
    </row>
    <row r="158" spans="1:22" s="21" customFormat="1" x14ac:dyDescent="0.35">
      <c r="A158" s="3"/>
      <c r="B158" s="3" t="str">
        <f t="shared" si="44"/>
        <v>SAPN</v>
      </c>
      <c r="C158" s="3" t="str">
        <f t="shared" si="44"/>
        <v>Residential</v>
      </c>
      <c r="D158" s="3" t="str">
        <f t="shared" si="44"/>
        <v>with CL</v>
      </c>
      <c r="E158" s="3"/>
      <c r="F158" s="41"/>
      <c r="G158" s="5" t="s">
        <v>90</v>
      </c>
      <c r="H158" s="94"/>
      <c r="I158" s="94"/>
      <c r="J158" s="94">
        <f>SUM(J156:J157)</f>
        <v>122.562</v>
      </c>
      <c r="K158" s="75"/>
      <c r="L158" s="27"/>
      <c r="M158" s="76">
        <f>IF(OR(J158=0,Q158=""),"",Q158/J158-1)</f>
        <v>9.8007539041464753E-2</v>
      </c>
      <c r="N158" s="27"/>
      <c r="O158" s="94"/>
      <c r="P158" s="94"/>
      <c r="Q158" s="94">
        <f>SUM(Q156:Q157)</f>
        <v>134.57400000000001</v>
      </c>
      <c r="R158" s="87"/>
    </row>
    <row r="159" spans="1:22" s="21" customFormat="1" x14ac:dyDescent="0.35">
      <c r="A159" s="3"/>
      <c r="B159" s="3"/>
      <c r="C159" s="3"/>
      <c r="D159" s="3"/>
      <c r="E159" s="3"/>
      <c r="F159" s="41"/>
      <c r="G159" s="3"/>
      <c r="H159" s="89"/>
      <c r="I159" s="89"/>
      <c r="J159" s="89"/>
      <c r="K159" s="87"/>
      <c r="M159" s="48"/>
      <c r="O159" s="89"/>
      <c r="P159" s="89"/>
      <c r="Q159" s="89"/>
      <c r="R159" s="87"/>
    </row>
    <row r="160" spans="1:22" s="21" customFormat="1" x14ac:dyDescent="0.35">
      <c r="A160" s="3"/>
      <c r="B160" s="5" t="s">
        <v>5</v>
      </c>
      <c r="C160" s="5" t="s">
        <v>15</v>
      </c>
      <c r="D160" s="5" t="s">
        <v>150</v>
      </c>
      <c r="E160" s="3"/>
      <c r="F160" s="41"/>
      <c r="G160" s="3"/>
      <c r="H160" s="89"/>
      <c r="I160" s="89"/>
      <c r="J160" s="89"/>
      <c r="K160" s="87"/>
      <c r="M160" s="48"/>
      <c r="O160" s="89"/>
      <c r="P160" s="89"/>
      <c r="Q160" s="89"/>
      <c r="R160" s="87"/>
    </row>
    <row r="161" spans="1:22" s="21" customFormat="1" outlineLevel="1" x14ac:dyDescent="0.35">
      <c r="A161" s="3"/>
      <c r="B161" s="3" t="str">
        <f t="shared" ref="B161:D167" si="45">B160</f>
        <v>SAPN</v>
      </c>
      <c r="C161" s="3" t="str">
        <f t="shared" si="45"/>
        <v>Small business</v>
      </c>
      <c r="D161" s="3" t="str">
        <f t="shared" si="45"/>
        <v>without CL</v>
      </c>
      <c r="E161" s="3" t="s">
        <v>23</v>
      </c>
      <c r="F161" s="41">
        <f t="array" ref="F161">IFERROR(INDEX(Usage!$B$5:$P$18,MATCH($B161,Usage!$B$5:$B$18,0),MATCH($C161&amp;$D161&amp;$E161,Usage!$B$5:$S$5&amp;Usage!$B$6:$S$6&amp;Usage!$B$7:$S$7,0)),0)</f>
        <v>20000</v>
      </c>
      <c r="G161" s="3" t="s">
        <v>83</v>
      </c>
      <c r="H161" s="89"/>
      <c r="I161" s="89">
        <f t="array" ref="I161">IFERROR(INDEX('Detail inputs'!$B$3:$K$168,MATCH($B161&amp;$G161&amp;I$5,'Detail inputs'!$B$3:$B$168&amp;'Detail inputs'!$G$3:$G$168&amp;'Detail inputs'!$H$3:$H$168,0),MATCH(I$4,'Detail inputs'!$B$3:$K$3,0)),0)</f>
        <v>4.95</v>
      </c>
      <c r="J161" s="89">
        <f>IF(AND(H161="",I161=""),"",H161+I161*$F161/1000)</f>
        <v>99</v>
      </c>
      <c r="K161" s="43">
        <f>IFERROR(J161/J165,"")</f>
        <v>0.26655896607431345</v>
      </c>
      <c r="L161" s="43"/>
      <c r="M161" s="48">
        <f>IF(OR(J161=0,Q161=""),"",Q161/J161-1)</f>
        <v>-0.14747474747474743</v>
      </c>
      <c r="N161" s="43"/>
      <c r="O161" s="89"/>
      <c r="P161" s="89">
        <f t="array" ref="P161">IFERROR(INDEX('Detail inputs'!$B$3:$K$168,MATCH($B161&amp;$G161&amp;P$5,'Detail inputs'!$B$3:$B$168&amp;'Detail inputs'!$G$3:$G$168&amp;'Detail inputs'!$H$3:$H$168,0),MATCH(P$4,'Detail inputs'!$B$3:$K$3,0)),0)</f>
        <v>4.22</v>
      </c>
      <c r="Q161" s="89">
        <f>IF(AND(O161="",P161=""),"",O161+P161*$F161/1000)</f>
        <v>84.4</v>
      </c>
      <c r="R161" s="43">
        <f>IFERROR(Q161/Q165,"")</f>
        <v>0.20696419813634134</v>
      </c>
    </row>
    <row r="162" spans="1:22" s="21" customFormat="1" outlineLevel="1" x14ac:dyDescent="0.35">
      <c r="A162" s="3"/>
      <c r="B162" s="3" t="str">
        <f t="shared" si="45"/>
        <v>SAPN</v>
      </c>
      <c r="C162" s="3" t="str">
        <f t="shared" si="45"/>
        <v>Small business</v>
      </c>
      <c r="D162" s="3" t="str">
        <f t="shared" si="45"/>
        <v>without CL</v>
      </c>
      <c r="E162" s="3" t="s">
        <v>23</v>
      </c>
      <c r="F162" s="41">
        <f t="array" ref="F162">IFERROR(INDEX(Usage!$B$5:$P$18,MATCH($B162,Usage!$B$5:$B$18,0),MATCH($C162&amp;$D162&amp;$E162,Usage!$B$5:$S$5&amp;Usage!$B$6:$S$6&amp;Usage!$B$7:$S$7,0)),0)</f>
        <v>20000</v>
      </c>
      <c r="G162" s="3" t="s">
        <v>84</v>
      </c>
      <c r="H162" s="89"/>
      <c r="I162" s="89">
        <f t="array" ref="I162">IFERROR(INDEX('Detail inputs'!$B$3:$K$168,MATCH($B162&amp;$G162&amp;I$5,'Detail inputs'!$B$3:$B$168&amp;'Detail inputs'!$G$3:$G$168&amp;'Detail inputs'!$H$3:$H$168,0),MATCH(I$4,'Detail inputs'!$B$3:$K$3,0)),0)</f>
        <v>9.31</v>
      </c>
      <c r="J162" s="89">
        <f>IF(AND(H162="",I162=""),"",H162+I162*$F162/1000)</f>
        <v>186.2</v>
      </c>
      <c r="K162" s="43">
        <f>IFERROR(J162/J165,"")</f>
        <v>0.50134625740441574</v>
      </c>
      <c r="L162" s="43"/>
      <c r="M162" s="48">
        <f>IF(OR(J162=0,Q162=""),"",Q162/J162-1)</f>
        <v>0.23737916219119248</v>
      </c>
      <c r="N162" s="43"/>
      <c r="O162" s="89"/>
      <c r="P162" s="89">
        <f t="array" ref="P162">IFERROR(INDEX('Detail inputs'!$B$3:$K$168,MATCH($B162&amp;$G162&amp;P$5,'Detail inputs'!$B$3:$B$168&amp;'Detail inputs'!$G$3:$G$168&amp;'Detail inputs'!$H$3:$H$168,0),MATCH(P$4,'Detail inputs'!$B$3:$K$3,0)),0)</f>
        <v>11.52</v>
      </c>
      <c r="Q162" s="89">
        <f>IF(AND(O162="",P162=""),"",O162+P162*$F162/1000)</f>
        <v>230.4</v>
      </c>
      <c r="R162" s="43">
        <f>IFERROR(Q162/Q165,"")</f>
        <v>0.56498283472290334</v>
      </c>
    </row>
    <row r="163" spans="1:22" s="21" customFormat="1" outlineLevel="1" x14ac:dyDescent="0.35">
      <c r="A163" s="3"/>
      <c r="B163" s="3" t="str">
        <f t="shared" si="45"/>
        <v>SAPN</v>
      </c>
      <c r="C163" s="3" t="str">
        <f t="shared" si="45"/>
        <v>Small business</v>
      </c>
      <c r="D163" s="3" t="str">
        <f t="shared" si="45"/>
        <v>without CL</v>
      </c>
      <c r="E163" s="3" t="s">
        <v>23</v>
      </c>
      <c r="F163" s="41">
        <f t="array" ref="F163">IFERROR(INDEX(Usage!$B$5:$P$18,MATCH($B163,Usage!$B$5:$B$18,0),MATCH($C163&amp;$D163&amp;$E163,Usage!$B$5:$S$5&amp;Usage!$B$6:$S$6&amp;Usage!$B$7:$S$7,0)),0)</f>
        <v>20000</v>
      </c>
      <c r="G163" s="3" t="s">
        <v>89</v>
      </c>
      <c r="H163" s="89"/>
      <c r="I163" s="89">
        <f t="array" ref="I163">IFERROR(INDEX('Detail inputs'!$B$3:$K$168,MATCH($B163&amp;$G163&amp;I$5,'Detail inputs'!$B$3:$B$168&amp;'Detail inputs'!$G$3:$G$168&amp;'Detail inputs'!$H$3:$H$168,0),MATCH(I$4,'Detail inputs'!$B$3:$K$3,0)),0)</f>
        <v>2.5</v>
      </c>
      <c r="J163" s="89">
        <f>IF(AND(H163="",I163=""),"",H163+I163*$F163/1000)</f>
        <v>50</v>
      </c>
      <c r="K163" s="43">
        <f>IFERROR(J163/J165,"")</f>
        <v>0.13462574044157244</v>
      </c>
      <c r="L163" s="43"/>
      <c r="M163" s="48">
        <f>IF(OR(J163=0,Q163=""),"",Q163/J163-1)</f>
        <v>0</v>
      </c>
      <c r="N163" s="43"/>
      <c r="O163" s="89"/>
      <c r="P163" s="89">
        <f t="array" ref="P163">IFERROR(INDEX('Detail inputs'!$B$3:$K$168,MATCH($B163&amp;$G163&amp;P$5,'Detail inputs'!$B$3:$B$168&amp;'Detail inputs'!$G$3:$G$168&amp;'Detail inputs'!$H$3:$H$168,0),MATCH(P$4,'Detail inputs'!$B$3:$K$3,0)),0)</f>
        <v>2.5</v>
      </c>
      <c r="Q163" s="89">
        <f>IF(AND(O163="",P163=""),"",O163+P163*$F163/1000)</f>
        <v>50</v>
      </c>
      <c r="R163" s="43">
        <f>IFERROR(Q163/Q165,"")</f>
        <v>0.12260912211868563</v>
      </c>
    </row>
    <row r="164" spans="1:22" s="21" customFormat="1" outlineLevel="1" x14ac:dyDescent="0.35">
      <c r="A164" s="3"/>
      <c r="B164" s="3" t="str">
        <f t="shared" si="45"/>
        <v>SAPN</v>
      </c>
      <c r="C164" s="3" t="str">
        <f t="shared" si="45"/>
        <v>Small business</v>
      </c>
      <c r="D164" s="3" t="str">
        <f t="shared" si="45"/>
        <v>without CL</v>
      </c>
      <c r="E164" s="3" t="s">
        <v>23</v>
      </c>
      <c r="F164" s="41">
        <f t="array" ref="F164">IFERROR(INDEX(Usage!$B$5:$P$18,MATCH($B164,Usage!$B$5:$B$18,0),MATCH($C164&amp;$D164&amp;$E164,Usage!$B$5:$S$5&amp;Usage!$B$6:$S$6&amp;Usage!$B$7:$S$7,0)),0)</f>
        <v>20000</v>
      </c>
      <c r="G164" s="3" t="s">
        <v>82</v>
      </c>
      <c r="H164" s="89"/>
      <c r="I164" s="89">
        <f t="array" ref="I164">ROUND(IFERROR(INDEX('Detail inputs'!$B$3:$K$168,MATCH($B164&amp;$C164&amp;$E164&amp;$G164&amp;I$5,'Detail inputs'!$B$3:$B$168&amp;'Detail inputs'!$D$3:$D$168&amp;'Detail inputs'!$F$3:$F$168&amp;'Detail inputs'!$G$3:$G$168&amp;'Detail inputs'!$H$3:$H$168,0),MATCH(I$4,'Detail inputs'!$B$3:$K$3,0)),0)*SUM(I161:I163),2)</f>
        <v>1.81</v>
      </c>
      <c r="J164" s="89">
        <f>IF(AND(H164="",I164=""),"",H164+I164*$F164/1000)</f>
        <v>36.200000000000003</v>
      </c>
      <c r="K164" s="43">
        <f>IFERROR(J164/J165,"")</f>
        <v>9.7469036079698451E-2</v>
      </c>
      <c r="L164" s="43"/>
      <c r="M164" s="48">
        <f>IF(OR(J164=0,Q164=""),"",Q164/J164-1)</f>
        <v>0.18784530386740328</v>
      </c>
      <c r="N164" s="43"/>
      <c r="O164" s="89"/>
      <c r="P164" s="89">
        <f t="array" ref="P164">ROUND(IFERROR(INDEX('Detail inputs'!$B$3:$K$168,MATCH($B164&amp;$C164&amp;$E164&amp;$G164&amp;P$5,'Detail inputs'!$B$3:$B$168&amp;'Detail inputs'!$D$3:$D$168&amp;'Detail inputs'!$F$3:$F$168&amp;'Detail inputs'!$G$3:$G$168&amp;'Detail inputs'!$H$3:$H$168,0),MATCH(P$4,'Detail inputs'!$B$3:$K$3,0)),0)*SUM(P161:P163),2)</f>
        <v>2.15</v>
      </c>
      <c r="Q164" s="89">
        <f>IF(AND(O164="",P164=""),"",O164+P164*$F164/1000)</f>
        <v>43</v>
      </c>
      <c r="R164" s="43">
        <f>IFERROR(Q164/Q165,"")</f>
        <v>0.10544384502206963</v>
      </c>
    </row>
    <row r="165" spans="1:22" s="21" customFormat="1" x14ac:dyDescent="0.3">
      <c r="A165" s="3"/>
      <c r="B165" s="3" t="str">
        <f t="shared" si="45"/>
        <v>SAPN</v>
      </c>
      <c r="C165" s="3" t="str">
        <f t="shared" si="45"/>
        <v>Small business</v>
      </c>
      <c r="D165" s="3" t="str">
        <f t="shared" si="45"/>
        <v>without CL</v>
      </c>
      <c r="E165" s="3" t="s">
        <v>23</v>
      </c>
      <c r="F165" s="41">
        <f t="array" ref="F165">IFERROR(INDEX(Usage!$B$5:$P$18,MATCH($B165,Usage!$B$5:$B$18,0),MATCH($C165&amp;$D165&amp;$E165,Usage!$B$5:$S$5&amp;Usage!$B$6:$S$6&amp;Usage!$B$7:$S$7,0)),0)</f>
        <v>20000</v>
      </c>
      <c r="G165" s="77" t="s">
        <v>62</v>
      </c>
      <c r="H165" s="95"/>
      <c r="I165" s="95">
        <f t="array" ref="I165">INDEX('Key inputs'!$B$16:$N$40,MATCH($B165&amp;$C165&amp;$E165,'Key inputs'!$B$16:$B$40&amp;'Key inputs'!$C$16:$C$40&amp;'Key inputs'!$D$16:$D$40,0),MATCH($A$2&amp;I$4,'Key inputs'!$B$17:$N$17&amp;'Key inputs'!$B$18:$N$18,0))</f>
        <v>18.57</v>
      </c>
      <c r="J165" s="89">
        <f>IF(AND(H165="",I165=""),"",H165+I165*$F165/1000)</f>
        <v>371.4</v>
      </c>
      <c r="K165" s="87"/>
      <c r="L165" s="88"/>
      <c r="M165" s="79">
        <f>IF(OR(J165=0,Q165=""),"",Q165/J165-1)</f>
        <v>9.8007539041464753E-2</v>
      </c>
      <c r="N165" s="88"/>
      <c r="O165" s="95"/>
      <c r="P165" s="95">
        <f t="array" ref="P165">INDEX('Key inputs'!$B$16:$N$40,MATCH($B165&amp;$C165&amp;$E165,'Key inputs'!$B$16:$B$40&amp;'Key inputs'!$C$16:$C$40&amp;'Key inputs'!$D$16:$D$40,0),MATCH($A$2&amp;P$4,'Key inputs'!$B$17:$N$17&amp;'Key inputs'!$B$18:$N$18,0))</f>
        <v>20.39</v>
      </c>
      <c r="Q165" s="89">
        <f>IF(AND(O165="",P165=""),"",O165+P165*$F165/1000)</f>
        <v>407.8</v>
      </c>
      <c r="R165" s="43"/>
      <c r="S165" s="136" t="b">
        <f>ROUND(I165,$T$5)=ROUND(SUM(I161:I164),$T$5)</f>
        <v>1</v>
      </c>
      <c r="T165" s="136" t="b">
        <f>ROUND(P165,$T$5)=ROUND(SUM(P161:P164),$T$5)</f>
        <v>1</v>
      </c>
      <c r="U165" s="95"/>
      <c r="V165" s="95"/>
    </row>
    <row r="166" spans="1:22" s="21" customFormat="1" outlineLevel="1" x14ac:dyDescent="0.35">
      <c r="A166" s="3"/>
      <c r="B166" s="3" t="str">
        <f t="shared" si="45"/>
        <v>SAPN</v>
      </c>
      <c r="C166" s="3" t="str">
        <f t="shared" si="45"/>
        <v>Small business</v>
      </c>
      <c r="D166" s="3" t="str">
        <f t="shared" si="45"/>
        <v>without CL</v>
      </c>
      <c r="E166" s="3"/>
      <c r="G166" s="77" t="s">
        <v>42</v>
      </c>
      <c r="H166" s="95"/>
      <c r="I166" s="95"/>
      <c r="J166" s="95">
        <f>J165*GST</f>
        <v>37.14</v>
      </c>
      <c r="K166" s="87"/>
      <c r="L166" s="88"/>
      <c r="M166" s="79"/>
      <c r="N166" s="88"/>
      <c r="O166" s="95"/>
      <c r="P166" s="95"/>
      <c r="Q166" s="95">
        <f>Q165*GST</f>
        <v>40.78</v>
      </c>
      <c r="R166" s="43" t="str">
        <f>IFERROR(Q166/Q176,"")</f>
        <v/>
      </c>
    </row>
    <row r="167" spans="1:22" s="21" customFormat="1" x14ac:dyDescent="0.35">
      <c r="A167" s="3"/>
      <c r="B167" s="3" t="str">
        <f t="shared" si="45"/>
        <v>SAPN</v>
      </c>
      <c r="C167" s="3" t="str">
        <f t="shared" si="45"/>
        <v>Small business</v>
      </c>
      <c r="D167" s="3" t="str">
        <f t="shared" si="45"/>
        <v>without CL</v>
      </c>
      <c r="E167" s="3"/>
      <c r="G167" s="5" t="s">
        <v>90</v>
      </c>
      <c r="H167" s="94"/>
      <c r="I167" s="94"/>
      <c r="J167" s="94">
        <f>SUM(J165:J166)</f>
        <v>408.53999999999996</v>
      </c>
      <c r="K167" s="75"/>
      <c r="L167" s="27"/>
      <c r="M167" s="76">
        <f>IF(OR(J167=0,Q167=""),"",Q167/J167-1)</f>
        <v>9.8007539041464975E-2</v>
      </c>
      <c r="N167" s="27"/>
      <c r="O167" s="94"/>
      <c r="P167" s="94"/>
      <c r="Q167" s="94">
        <f>SUM(Q165:Q166)</f>
        <v>448.58000000000004</v>
      </c>
      <c r="R167" s="43" t="str">
        <f>IFERROR(Q167/Q176,"")</f>
        <v/>
      </c>
    </row>
    <row r="168" spans="1:22" s="21" customFormat="1" x14ac:dyDescent="0.35">
      <c r="A168" s="3"/>
      <c r="B168" s="3"/>
      <c r="C168" s="3"/>
      <c r="D168" s="3"/>
      <c r="E168" s="3"/>
      <c r="G168" s="3"/>
      <c r="H168" s="89"/>
      <c r="I168" s="89"/>
      <c r="J168" s="89"/>
      <c r="K168" s="43" t="str">
        <f>IFERROR(J168/J176,"")</f>
        <v/>
      </c>
      <c r="O168" s="89"/>
      <c r="P168" s="89"/>
      <c r="Q168" s="89"/>
      <c r="R168" s="43" t="str">
        <f>IFERROR(Q168/Q176,"")</f>
        <v/>
      </c>
    </row>
    <row r="169" spans="1:22" s="21" customFormat="1" x14ac:dyDescent="0.35">
      <c r="A169" s="3"/>
      <c r="B169" s="3"/>
      <c r="C169" s="3"/>
      <c r="D169" s="3"/>
      <c r="E169" s="3"/>
      <c r="G169" s="3"/>
      <c r="H169" s="89"/>
      <c r="I169" s="89"/>
      <c r="J169" s="89"/>
      <c r="K169" s="43" t="str">
        <f>IFERROR(J169/J176,"")</f>
        <v/>
      </c>
      <c r="O169" s="89"/>
      <c r="P169" s="89"/>
      <c r="Q169" s="89"/>
      <c r="R169" s="43" t="str">
        <f>IFERROR(Q169/Q176,"")</f>
        <v/>
      </c>
    </row>
    <row r="170" spans="1:22" s="21" customFormat="1" x14ac:dyDescent="0.35">
      <c r="A170" s="3"/>
      <c r="B170" s="3"/>
      <c r="C170" s="3"/>
      <c r="D170" s="3"/>
      <c r="E170" s="3"/>
      <c r="G170" s="3"/>
      <c r="H170" s="89"/>
      <c r="I170" s="89"/>
      <c r="J170" s="89"/>
      <c r="K170" s="43" t="str">
        <f>IFERROR(J170/J176,"")</f>
        <v/>
      </c>
      <c r="O170" s="89"/>
      <c r="P170" s="89"/>
      <c r="Q170" s="89"/>
      <c r="R170" s="43" t="str">
        <f>IFERROR(Q170/Q176,"")</f>
        <v/>
      </c>
    </row>
    <row r="171" spans="1:22" s="21" customFormat="1" x14ac:dyDescent="0.35">
      <c r="A171" s="3"/>
      <c r="B171" s="3"/>
      <c r="C171" s="3"/>
      <c r="D171" s="3"/>
      <c r="E171" s="3"/>
      <c r="G171" s="3"/>
      <c r="H171" s="89"/>
      <c r="I171" s="89"/>
      <c r="J171" s="89"/>
      <c r="K171" s="43" t="str">
        <f>IFERROR(J171/J176,"")</f>
        <v/>
      </c>
      <c r="O171" s="89"/>
      <c r="P171" s="89"/>
      <c r="Q171" s="89"/>
      <c r="R171" s="43" t="str">
        <f>IFERROR(Q171/Q176,"")</f>
        <v/>
      </c>
    </row>
    <row r="172" spans="1:22" s="21" customFormat="1" x14ac:dyDescent="0.35">
      <c r="A172" s="3"/>
      <c r="B172" s="3"/>
      <c r="C172" s="3"/>
      <c r="D172" s="3"/>
      <c r="E172" s="3"/>
      <c r="G172" s="3"/>
      <c r="H172" s="89"/>
      <c r="I172" s="89"/>
      <c r="J172" s="89"/>
      <c r="K172" s="43" t="str">
        <f>IFERROR(J172/J176,"")</f>
        <v/>
      </c>
      <c r="O172" s="89"/>
      <c r="P172" s="89"/>
      <c r="Q172" s="89"/>
      <c r="R172" s="43" t="str">
        <f>IFERROR(Q172/Q176,"")</f>
        <v/>
      </c>
    </row>
    <row r="173" spans="1:22" s="21" customFormat="1" x14ac:dyDescent="0.35">
      <c r="A173" s="3"/>
      <c r="B173" s="3"/>
      <c r="C173" s="3"/>
      <c r="D173" s="3"/>
      <c r="E173" s="3"/>
      <c r="G173" s="3"/>
      <c r="H173" s="89"/>
      <c r="I173" s="89"/>
      <c r="J173" s="89"/>
      <c r="K173" s="43" t="str">
        <f>IFERROR(J173/J176,"")</f>
        <v/>
      </c>
      <c r="O173" s="89"/>
      <c r="P173" s="89"/>
      <c r="Q173" s="89"/>
      <c r="R173" s="43" t="str">
        <f>IFERROR(Q173/Q176,"")</f>
        <v/>
      </c>
    </row>
    <row r="174" spans="1:22" s="21" customFormat="1" x14ac:dyDescent="0.35">
      <c r="A174" s="3"/>
      <c r="B174" s="3"/>
      <c r="C174" s="3"/>
      <c r="D174" s="3"/>
      <c r="E174" s="3"/>
      <c r="G174" s="3"/>
      <c r="H174" s="89"/>
      <c r="I174" s="89"/>
      <c r="J174" s="89"/>
      <c r="K174" s="43" t="str">
        <f>IFERROR(J174/J176,"")</f>
        <v/>
      </c>
      <c r="O174" s="89"/>
      <c r="P174" s="89"/>
      <c r="Q174" s="89"/>
      <c r="R174" s="43" t="str">
        <f>IFERROR(Q174/Q176,"")</f>
        <v/>
      </c>
    </row>
    <row r="175" spans="1:22" s="21" customFormat="1" x14ac:dyDescent="0.35">
      <c r="A175" s="3"/>
      <c r="B175" s="3"/>
      <c r="C175" s="3"/>
      <c r="D175" s="3"/>
      <c r="E175" s="3"/>
      <c r="G175" s="3"/>
      <c r="H175" s="89"/>
      <c r="I175" s="89"/>
      <c r="J175" s="89"/>
      <c r="K175" s="43" t="str">
        <f>IFERROR(J175/J176,"")</f>
        <v/>
      </c>
      <c r="O175" s="89"/>
      <c r="P175" s="89"/>
      <c r="Q175" s="89"/>
      <c r="R175" s="43" t="str">
        <f>IFERROR(Q175/Q176,"")</f>
        <v/>
      </c>
    </row>
    <row r="176" spans="1:22" s="21" customFormat="1" x14ac:dyDescent="0.35">
      <c r="A176" s="3"/>
      <c r="B176" s="3"/>
      <c r="C176" s="3"/>
      <c r="D176" s="3"/>
      <c r="E176" s="3"/>
      <c r="G176" s="3"/>
      <c r="H176" s="89"/>
      <c r="I176" s="89"/>
      <c r="J176" s="89"/>
      <c r="K176" s="75"/>
      <c r="O176" s="89"/>
      <c r="P176" s="89"/>
      <c r="Q176" s="89"/>
      <c r="R176" s="75"/>
    </row>
  </sheetData>
  <sheetProtection algorithmName="SHA-256" hashValue="KhK2OT4Kkidm5E3ZuKV5o6B0v4gr93RDLvTAyy2hIRw=" saltValue="wta3PThxStfsQYkLZBjOjw==" spinCount="100000" sheet="1" objects="1" scenarios="1"/>
  <mergeCells count="3">
    <mergeCell ref="H3:K3"/>
    <mergeCell ref="O3:R3"/>
    <mergeCell ref="A1:B1"/>
  </mergeCells>
  <conditionalFormatting sqref="B7:R12 B14:R22 B13:H13 J13:O13 Q13:R13 B24:R27 B23:H23 Q23:R23 B29:R37 B28:H28 Q28:R28 J23:O23 J28:O28 B39:R46 B38:H38 J38:O38 Q38:R38 B48:R56 B47:H47 Q47:R47 J47:O47 B58:R61 B57:H57 J57:O57 B63:R71 B62:H62 J62:O62 Q57:R57 Q62:R62 B73:R80 B72:H72 J72:O72 Q72:R72 B82:R90 B81:H81 Q81:R81 J81:O81 B92:R95 B91:H91 J91:O91 Q91:R91 B97:R105 B96:H96 Q96:R96 J96:O96 B107:R113 B106:H106 J106:O106 Q106:R106 B115:R122 B114:H114 Q114:R114 J114:O114 B124:R126 B123:H123 J123:O123 B128:R135 B127:H127 J127:O127 Q123:R123 Q127:R127 B137:R144 B136:H136 Q136:R136 J136:O136 B146:R154 B145:H145 J145:O145 Q145:R145 B156:R164 B155:H155 Q155:R155 J155:O155 B166:R200 B165:H165 J165:O165 Q165:R165">
    <cfRule type="expression" dxfId="87" priority="114">
      <formula>MOD(ROW(),2)=0</formula>
    </cfRule>
  </conditionalFormatting>
  <conditionalFormatting sqref="S7:T200">
    <cfRule type="cellIs" dxfId="86" priority="115" operator="equal">
      <formula>FALSE</formula>
    </cfRule>
    <cfRule type="cellIs" dxfId="85" priority="180" operator="equal">
      <formula>TRUE</formula>
    </cfRule>
  </conditionalFormatting>
  <conditionalFormatting sqref="B7:D200">
    <cfRule type="expression" dxfId="84" priority="181">
      <formula>AND(B7=B6,MOD(ROW(),2)=1)</formula>
    </cfRule>
    <cfRule type="expression" dxfId="83" priority="182">
      <formula>AND(B7=B6,MOD(ROW(),2)=0)</formula>
    </cfRule>
  </conditionalFormatting>
  <conditionalFormatting sqref="P165">
    <cfRule type="expression" dxfId="82" priority="1">
      <formula>MOD(ROW(),2)=0</formula>
    </cfRule>
  </conditionalFormatting>
  <conditionalFormatting sqref="I13">
    <cfRule type="expression" dxfId="81" priority="38">
      <formula>MOD(ROW(),2)=0</formula>
    </cfRule>
  </conditionalFormatting>
  <conditionalFormatting sqref="P13">
    <cfRule type="expression" dxfId="80" priority="37">
      <formula>MOD(ROW(),2)=0</formula>
    </cfRule>
  </conditionalFormatting>
  <conditionalFormatting sqref="P23">
    <cfRule type="expression" dxfId="79" priority="36">
      <formula>MOD(ROW(),2)=0</formula>
    </cfRule>
  </conditionalFormatting>
  <conditionalFormatting sqref="P28">
    <cfRule type="expression" dxfId="78" priority="35">
      <formula>MOD(ROW(),2)=0</formula>
    </cfRule>
  </conditionalFormatting>
  <conditionalFormatting sqref="I23">
    <cfRule type="expression" dxfId="77" priority="34">
      <formula>MOD(ROW(),2)=0</formula>
    </cfRule>
  </conditionalFormatting>
  <conditionalFormatting sqref="I28">
    <cfRule type="expression" dxfId="76" priority="33">
      <formula>MOD(ROW(),2)=0</formula>
    </cfRule>
  </conditionalFormatting>
  <conditionalFormatting sqref="I38">
    <cfRule type="expression" dxfId="75" priority="32">
      <formula>MOD(ROW(),2)=0</formula>
    </cfRule>
  </conditionalFormatting>
  <conditionalFormatting sqref="P38">
    <cfRule type="expression" dxfId="74" priority="31">
      <formula>MOD(ROW(),2)=0</formula>
    </cfRule>
  </conditionalFormatting>
  <conditionalFormatting sqref="P47">
    <cfRule type="expression" dxfId="73" priority="30">
      <formula>MOD(ROW(),2)=0</formula>
    </cfRule>
  </conditionalFormatting>
  <conditionalFormatting sqref="I47">
    <cfRule type="expression" dxfId="72" priority="29">
      <formula>MOD(ROW(),2)=0</formula>
    </cfRule>
  </conditionalFormatting>
  <conditionalFormatting sqref="I57">
    <cfRule type="expression" dxfId="71" priority="28">
      <formula>MOD(ROW(),2)=0</formula>
    </cfRule>
  </conditionalFormatting>
  <conditionalFormatting sqref="I62">
    <cfRule type="expression" dxfId="70" priority="27">
      <formula>MOD(ROW(),2)=0</formula>
    </cfRule>
  </conditionalFormatting>
  <conditionalFormatting sqref="P57">
    <cfRule type="expression" dxfId="69" priority="26">
      <formula>MOD(ROW(),2)=0</formula>
    </cfRule>
  </conditionalFormatting>
  <conditionalFormatting sqref="P62">
    <cfRule type="expression" dxfId="68" priority="25">
      <formula>MOD(ROW(),2)=0</formula>
    </cfRule>
  </conditionalFormatting>
  <conditionalFormatting sqref="I72">
    <cfRule type="expression" dxfId="67" priority="24">
      <formula>MOD(ROW(),2)=0</formula>
    </cfRule>
  </conditionalFormatting>
  <conditionalFormatting sqref="P72">
    <cfRule type="expression" dxfId="66" priority="23">
      <formula>MOD(ROW(),2)=0</formula>
    </cfRule>
  </conditionalFormatting>
  <conditionalFormatting sqref="P81">
    <cfRule type="expression" dxfId="65" priority="22">
      <formula>MOD(ROW(),2)=0</formula>
    </cfRule>
  </conditionalFormatting>
  <conditionalFormatting sqref="I81">
    <cfRule type="expression" dxfId="64" priority="21">
      <formula>MOD(ROW(),2)=0</formula>
    </cfRule>
  </conditionalFormatting>
  <conditionalFormatting sqref="I91">
    <cfRule type="expression" dxfId="63" priority="20">
      <formula>MOD(ROW(),2)=0</formula>
    </cfRule>
  </conditionalFormatting>
  <conditionalFormatting sqref="P91">
    <cfRule type="expression" dxfId="62" priority="19">
      <formula>MOD(ROW(),2)=0</formula>
    </cfRule>
  </conditionalFormatting>
  <conditionalFormatting sqref="P96">
    <cfRule type="expression" dxfId="61" priority="18">
      <formula>MOD(ROW(),2)=0</formula>
    </cfRule>
  </conditionalFormatting>
  <conditionalFormatting sqref="I96">
    <cfRule type="expression" dxfId="60" priority="17">
      <formula>MOD(ROW(),2)=0</formula>
    </cfRule>
  </conditionalFormatting>
  <conditionalFormatting sqref="I106">
    <cfRule type="expression" dxfId="59" priority="16">
      <formula>MOD(ROW(),2)=0</formula>
    </cfRule>
  </conditionalFormatting>
  <conditionalFormatting sqref="P106">
    <cfRule type="expression" dxfId="58" priority="15">
      <formula>MOD(ROW(),2)=0</formula>
    </cfRule>
  </conditionalFormatting>
  <conditionalFormatting sqref="P114">
    <cfRule type="expression" dxfId="57" priority="14">
      <formula>MOD(ROW(),2)=0</formula>
    </cfRule>
  </conditionalFormatting>
  <conditionalFormatting sqref="I114">
    <cfRule type="expression" dxfId="56" priority="13">
      <formula>MOD(ROW(),2)=0</formula>
    </cfRule>
  </conditionalFormatting>
  <conditionalFormatting sqref="I123">
    <cfRule type="expression" dxfId="55" priority="12">
      <formula>MOD(ROW(),2)=0</formula>
    </cfRule>
  </conditionalFormatting>
  <conditionalFormatting sqref="I127">
    <cfRule type="expression" dxfId="54" priority="11">
      <formula>MOD(ROW(),2)=0</formula>
    </cfRule>
  </conditionalFormatting>
  <conditionalFormatting sqref="P123">
    <cfRule type="expression" dxfId="53" priority="10">
      <formula>MOD(ROW(),2)=0</formula>
    </cfRule>
  </conditionalFormatting>
  <conditionalFormatting sqref="P127">
    <cfRule type="expression" dxfId="52" priority="9">
      <formula>MOD(ROW(),2)=0</formula>
    </cfRule>
  </conditionalFormatting>
  <conditionalFormatting sqref="P136">
    <cfRule type="expression" dxfId="51" priority="8">
      <formula>MOD(ROW(),2)=0</formula>
    </cfRule>
  </conditionalFormatting>
  <conditionalFormatting sqref="I136">
    <cfRule type="expression" dxfId="50" priority="7">
      <formula>MOD(ROW(),2)=0</formula>
    </cfRule>
  </conditionalFormatting>
  <conditionalFormatting sqref="I145">
    <cfRule type="expression" dxfId="49" priority="6">
      <formula>MOD(ROW(),2)=0</formula>
    </cfRule>
  </conditionalFormatting>
  <conditionalFormatting sqref="P145">
    <cfRule type="expression" dxfId="48" priority="5">
      <formula>MOD(ROW(),2)=0</formula>
    </cfRule>
  </conditionalFormatting>
  <conditionalFormatting sqref="P155">
    <cfRule type="expression" dxfId="47" priority="4">
      <formula>MOD(ROW(),2)=0</formula>
    </cfRule>
  </conditionalFormatting>
  <conditionalFormatting sqref="I155">
    <cfRule type="expression" dxfId="46" priority="3">
      <formula>MOD(ROW(),2)=0</formula>
    </cfRule>
  </conditionalFormatting>
  <conditionalFormatting sqref="I165">
    <cfRule type="expression" dxfId="45" priority="2">
      <formula>MOD(ROW(),2)=0</formula>
    </cfRule>
  </conditionalFormatting>
  <hyperlinks>
    <hyperlink ref="A1" location="Index!A1" display="&lt;&lt;Back to Index"/>
  </hyperlinks>
  <pageMargins left="0.7" right="0.7" top="0.75" bottom="0.75" header="0.3" footer="0.3"/>
  <pageSetup paperSize="9" orientation="portrait" r:id="rId1"/>
  <ignoredErrors>
    <ignoredError sqref="K23:N23 K57:N57 K91:N9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F9:F14"/>
  <sheetViews>
    <sheetView workbookViewId="0"/>
  </sheetViews>
  <sheetFormatPr defaultColWidth="8.81640625" defaultRowHeight="14.5" x14ac:dyDescent="0.35"/>
  <cols>
    <col min="1" max="16384" width="8.81640625" style="3"/>
  </cols>
  <sheetData>
    <row r="9" spans="6:6" ht="36" x14ac:dyDescent="0.35">
      <c r="F9" s="2" t="s">
        <v>188</v>
      </c>
    </row>
    <row r="10" spans="6:6" ht="36" x14ac:dyDescent="0.35">
      <c r="F10" s="2" t="str">
        <f>"DMO "&amp;FY</f>
        <v>DMO 2021-22</v>
      </c>
    </row>
    <row r="11" spans="6:6" ht="23.5" x14ac:dyDescent="0.35">
      <c r="F11" s="4"/>
    </row>
    <row r="12" spans="6:6" ht="23.5" x14ac:dyDescent="0.35">
      <c r="F12" s="4"/>
    </row>
    <row r="13" spans="6:6" x14ac:dyDescent="0.35">
      <c r="F13" s="5"/>
    </row>
    <row r="14" spans="6:6" x14ac:dyDescent="0.35">
      <c r="F14" s="5"/>
    </row>
  </sheetData>
  <sheetProtection algorithmName="SHA-256" hashValue="/Qw8NcA5KvkfHR39DjwR9naMe8cr8wYOpJcAYoPpVO0=" saltValue="yP4//yPCjm8JR/GuhQ7i6Q==" spinCount="100000" sheet="1" objects="1" scenarios="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U48"/>
  <sheetViews>
    <sheetView zoomScaleNormal="100" workbookViewId="0">
      <pane ySplit="2" topLeftCell="A3" activePane="bottomLeft" state="frozen"/>
      <selection pane="bottomLeft" sqref="A1:B1"/>
    </sheetView>
  </sheetViews>
  <sheetFormatPr defaultColWidth="8.81640625" defaultRowHeight="14.5" x14ac:dyDescent="0.35"/>
  <cols>
    <col min="1" max="1" width="1.81640625" style="3" customWidth="1"/>
    <col min="2" max="2" width="19.54296875" style="3" customWidth="1"/>
    <col min="3" max="3" width="19.81640625" style="3" bestFit="1" customWidth="1"/>
    <col min="4" max="4" width="9.1796875" style="21" customWidth="1"/>
    <col min="5" max="7" width="15.81640625" style="21" customWidth="1"/>
    <col min="8" max="14" width="15.81640625" style="3" customWidth="1"/>
    <col min="15" max="15" width="13.1796875" style="3" customWidth="1"/>
    <col min="16" max="16" width="14.1796875" style="3" customWidth="1"/>
    <col min="17" max="18" width="13.1796875" style="3" customWidth="1"/>
    <col min="19" max="16384" width="8.81640625" style="3"/>
  </cols>
  <sheetData>
    <row r="1" spans="1:18" ht="10.4" customHeight="1" x14ac:dyDescent="0.35">
      <c r="A1" s="274" t="s">
        <v>22</v>
      </c>
      <c r="B1" s="300"/>
      <c r="C1" s="21"/>
    </row>
    <row r="2" spans="1:18" s="14" customFormat="1" ht="22.5" customHeight="1" x14ac:dyDescent="0.35">
      <c r="A2" s="15" t="s">
        <v>145</v>
      </c>
      <c r="B2" s="15"/>
      <c r="C2" s="22"/>
      <c r="D2" s="22"/>
      <c r="E2" s="22"/>
      <c r="F2" s="22"/>
      <c r="G2" s="22"/>
    </row>
    <row r="3" spans="1:18" x14ac:dyDescent="0.35">
      <c r="B3" s="175" t="s">
        <v>153</v>
      </c>
    </row>
    <row r="4" spans="1:18" ht="15.5" x14ac:dyDescent="0.35">
      <c r="B4" s="38" t="s">
        <v>146</v>
      </c>
    </row>
    <row r="5" spans="1:18" x14ac:dyDescent="0.35">
      <c r="B5" s="12" t="s">
        <v>33</v>
      </c>
      <c r="C5" s="12" t="s">
        <v>32</v>
      </c>
      <c r="D5" s="25" t="s">
        <v>207</v>
      </c>
    </row>
    <row r="6" spans="1:18" x14ac:dyDescent="0.35">
      <c r="B6" s="3" t="s">
        <v>46</v>
      </c>
      <c r="C6" s="159" t="s">
        <v>197</v>
      </c>
      <c r="D6" s="3"/>
    </row>
    <row r="7" spans="1:18" x14ac:dyDescent="0.35">
      <c r="B7" s="3" t="s">
        <v>45</v>
      </c>
      <c r="C7" s="159" t="s">
        <v>19</v>
      </c>
      <c r="D7" s="3"/>
    </row>
    <row r="8" spans="1:18" x14ac:dyDescent="0.35">
      <c r="B8" s="3" t="s">
        <v>148</v>
      </c>
      <c r="C8" s="159" t="s">
        <v>213</v>
      </c>
      <c r="D8" s="3"/>
    </row>
    <row r="9" spans="1:18" x14ac:dyDescent="0.35">
      <c r="B9" s="3" t="str">
        <f>"CPI "&amp;FY&amp;" forecast"</f>
        <v>CPI 2021-22 forecast</v>
      </c>
      <c r="C9" s="170">
        <v>1.4999999999999999E-2</v>
      </c>
      <c r="D9" s="173" t="s">
        <v>212</v>
      </c>
    </row>
    <row r="10" spans="1:18" x14ac:dyDescent="0.35">
      <c r="B10" s="3" t="s">
        <v>35</v>
      </c>
      <c r="C10" s="159">
        <v>365</v>
      </c>
      <c r="D10" s="3"/>
    </row>
    <row r="11" spans="1:18" x14ac:dyDescent="0.35">
      <c r="B11" s="3" t="s">
        <v>42</v>
      </c>
      <c r="C11" s="160">
        <v>0.1</v>
      </c>
      <c r="D11" s="3"/>
    </row>
    <row r="12" spans="1:18" x14ac:dyDescent="0.35">
      <c r="B12" s="96"/>
      <c r="C12" s="96"/>
      <c r="D12" s="3"/>
    </row>
    <row r="13" spans="1:18" x14ac:dyDescent="0.35">
      <c r="B13" s="77"/>
      <c r="C13" s="160"/>
      <c r="D13" s="3"/>
    </row>
    <row r="14" spans="1:18" ht="15.5" x14ac:dyDescent="0.35">
      <c r="B14" s="38" t="s">
        <v>147</v>
      </c>
      <c r="C14" s="28"/>
      <c r="D14" s="3"/>
    </row>
    <row r="15" spans="1:18" s="5" customFormat="1" x14ac:dyDescent="0.35">
      <c r="B15" s="139" t="s">
        <v>98</v>
      </c>
      <c r="D15" s="27"/>
      <c r="E15" s="27"/>
      <c r="F15" s="27"/>
      <c r="G15" s="27"/>
    </row>
    <row r="16" spans="1:18" s="5" customFormat="1" x14ac:dyDescent="0.35">
      <c r="B16" s="12"/>
      <c r="C16" s="247"/>
      <c r="D16" s="12"/>
      <c r="E16" s="313" t="s">
        <v>64</v>
      </c>
      <c r="F16" s="315"/>
      <c r="G16" s="315"/>
      <c r="H16" s="314"/>
      <c r="I16" s="313" t="s">
        <v>68</v>
      </c>
      <c r="J16" s="314"/>
      <c r="K16" s="313" t="s">
        <v>70</v>
      </c>
      <c r="L16" s="314"/>
      <c r="M16" s="315" t="s">
        <v>71</v>
      </c>
      <c r="N16" s="315"/>
      <c r="O16" s="309" t="str">
        <f>"Source NUOS "&amp;PY</f>
        <v>Source NUOS 2020-21</v>
      </c>
      <c r="P16" s="309" t="str">
        <f>"Source NUOS "&amp;FY</f>
        <v>Source NUOS 2021-22</v>
      </c>
      <c r="Q16" s="309" t="str">
        <f>"Source ACS "&amp;PY</f>
        <v>Source ACS 2020-21</v>
      </c>
      <c r="R16" s="311" t="str">
        <f>"Source ACS "&amp;FY</f>
        <v>Source ACS 2021-22</v>
      </c>
    </row>
    <row r="17" spans="2:21" s="5" customFormat="1" ht="5.15" customHeight="1" x14ac:dyDescent="0.35">
      <c r="B17" s="109"/>
      <c r="C17" s="247"/>
      <c r="D17" s="109"/>
      <c r="E17" s="243" t="str">
        <f>E16</f>
        <v>NUOS</v>
      </c>
      <c r="F17" s="111" t="str">
        <f>E16</f>
        <v>NUOS</v>
      </c>
      <c r="G17" s="111" t="str">
        <f>E16</f>
        <v>NUOS</v>
      </c>
      <c r="H17" s="244" t="str">
        <f>E16</f>
        <v>NUOS</v>
      </c>
      <c r="I17" s="243" t="str">
        <f>I16</f>
        <v>ACS</v>
      </c>
      <c r="J17" s="244" t="str">
        <f>I16</f>
        <v>ACS</v>
      </c>
      <c r="K17" s="243" t="str">
        <f>K16</f>
        <v>Wholesale cost</v>
      </c>
      <c r="L17" s="244" t="str">
        <f>K16</f>
        <v>Wholesale cost</v>
      </c>
      <c r="M17" s="111" t="str">
        <f>M16</f>
        <v>Environmental cost</v>
      </c>
      <c r="N17" s="111" t="str">
        <f>M16</f>
        <v>Environmental cost</v>
      </c>
      <c r="O17" s="309"/>
      <c r="P17" s="310"/>
      <c r="Q17" s="310"/>
      <c r="R17" s="312"/>
    </row>
    <row r="18" spans="2:21" s="5" customFormat="1" x14ac:dyDescent="0.35">
      <c r="B18" s="12" t="s">
        <v>1</v>
      </c>
      <c r="C18" s="25" t="s">
        <v>40</v>
      </c>
      <c r="D18" s="25" t="s">
        <v>26</v>
      </c>
      <c r="E18" s="239" t="str">
        <f>PY</f>
        <v>2020-21</v>
      </c>
      <c r="F18" s="238" t="str">
        <f>FY</f>
        <v>2021-22</v>
      </c>
      <c r="G18" s="238" t="str">
        <f>PY</f>
        <v>2020-21</v>
      </c>
      <c r="H18" s="240" t="str">
        <f>FY</f>
        <v>2021-22</v>
      </c>
      <c r="I18" s="239" t="str">
        <f>PY</f>
        <v>2020-21</v>
      </c>
      <c r="J18" s="240" t="str">
        <f>FY</f>
        <v>2021-22</v>
      </c>
      <c r="K18" s="239" t="str">
        <f>PY</f>
        <v>2020-21</v>
      </c>
      <c r="L18" s="240" t="str">
        <f>FY</f>
        <v>2021-22</v>
      </c>
      <c r="M18" s="12" t="str">
        <f>PY</f>
        <v>2020-21</v>
      </c>
      <c r="N18" s="12" t="str">
        <f>FY</f>
        <v>2021-22</v>
      </c>
      <c r="O18" s="309"/>
      <c r="P18" s="310"/>
      <c r="Q18" s="310"/>
      <c r="R18" s="312"/>
    </row>
    <row r="19" spans="2:21" s="5" customFormat="1" x14ac:dyDescent="0.35">
      <c r="B19" s="247"/>
      <c r="C19" s="25"/>
      <c r="D19" s="25"/>
      <c r="E19" s="245" t="s">
        <v>50</v>
      </c>
      <c r="F19" s="247" t="s">
        <v>50</v>
      </c>
      <c r="G19" s="247" t="s">
        <v>51</v>
      </c>
      <c r="H19" s="246" t="s">
        <v>51</v>
      </c>
      <c r="I19" s="245" t="s">
        <v>50</v>
      </c>
      <c r="J19" s="246" t="s">
        <v>50</v>
      </c>
      <c r="K19" s="245" t="s">
        <v>51</v>
      </c>
      <c r="L19" s="246" t="s">
        <v>51</v>
      </c>
      <c r="M19" s="247" t="s">
        <v>51</v>
      </c>
      <c r="N19" s="247" t="s">
        <v>51</v>
      </c>
      <c r="O19" s="309"/>
      <c r="P19" s="310"/>
      <c r="Q19" s="310"/>
      <c r="R19" s="312"/>
    </row>
    <row r="20" spans="2:21" s="5" customFormat="1" x14ac:dyDescent="0.35">
      <c r="B20" s="12"/>
      <c r="C20" s="247"/>
      <c r="D20" s="12"/>
      <c r="E20" s="239" t="s">
        <v>196</v>
      </c>
      <c r="F20" s="238" t="s">
        <v>196</v>
      </c>
      <c r="G20" s="238" t="s">
        <v>48</v>
      </c>
      <c r="H20" s="240" t="s">
        <v>48</v>
      </c>
      <c r="I20" s="239" t="s">
        <v>196</v>
      </c>
      <c r="J20" s="240" t="s">
        <v>196</v>
      </c>
      <c r="K20" s="239" t="s">
        <v>48</v>
      </c>
      <c r="L20" s="240" t="s">
        <v>48</v>
      </c>
      <c r="M20" s="12" t="s">
        <v>48</v>
      </c>
      <c r="N20" s="12" t="s">
        <v>48</v>
      </c>
      <c r="O20" s="309"/>
      <c r="P20" s="310"/>
      <c r="Q20" s="310"/>
      <c r="R20" s="312"/>
      <c r="S20" s="3"/>
      <c r="T20" s="3"/>
    </row>
    <row r="21" spans="2:21" x14ac:dyDescent="0.35">
      <c r="B21" s="73" t="s">
        <v>2</v>
      </c>
      <c r="C21" s="73" t="s">
        <v>6</v>
      </c>
      <c r="D21" s="73" t="s">
        <v>23</v>
      </c>
      <c r="E21" s="257">
        <v>138.70766499999999</v>
      </c>
      <c r="F21" s="258">
        <f>38.9236*3.65</f>
        <v>142.07113999999999</v>
      </c>
      <c r="G21" s="259">
        <v>83.537999999999997</v>
      </c>
      <c r="H21" s="85">
        <f>8.654/100*1000</f>
        <v>86.54</v>
      </c>
      <c r="I21" s="257">
        <v>26.509999999999998</v>
      </c>
      <c r="J21" s="257">
        <f>15.05+11.41</f>
        <v>26.46</v>
      </c>
      <c r="K21" s="258">
        <v>111.06</v>
      </c>
      <c r="L21" s="258">
        <v>87.94</v>
      </c>
      <c r="M21" s="85">
        <v>17.170000000000002</v>
      </c>
      <c r="N21" s="85">
        <v>19.170000000000002</v>
      </c>
      <c r="O21" s="260" t="s">
        <v>204</v>
      </c>
      <c r="P21" s="173" t="s">
        <v>211</v>
      </c>
      <c r="Q21" s="261" t="s">
        <v>33</v>
      </c>
      <c r="R21" s="271" t="s">
        <v>211</v>
      </c>
      <c r="S21" s="73"/>
      <c r="T21" s="73"/>
      <c r="U21" s="272"/>
    </row>
    <row r="22" spans="2:21" x14ac:dyDescent="0.35">
      <c r="B22" s="73" t="s">
        <v>2</v>
      </c>
      <c r="C22" s="73" t="s">
        <v>6</v>
      </c>
      <c r="D22" s="73" t="s">
        <v>16</v>
      </c>
      <c r="E22" s="257">
        <v>0.56392500000000001</v>
      </c>
      <c r="F22" s="258">
        <f>0.1588*3.65</f>
        <v>0.57962000000000002</v>
      </c>
      <c r="G22" s="259">
        <v>18.407</v>
      </c>
      <c r="H22" s="85">
        <f>1.8073/100*1000</f>
        <v>18.073</v>
      </c>
      <c r="I22" s="257">
        <v>9.59</v>
      </c>
      <c r="J22" s="257">
        <f>8.36+0.96</f>
        <v>9.32</v>
      </c>
      <c r="K22" s="258">
        <v>74.02</v>
      </c>
      <c r="L22" s="258">
        <v>60.44</v>
      </c>
      <c r="M22" s="85">
        <v>17.22</v>
      </c>
      <c r="N22" s="85">
        <v>19.22</v>
      </c>
      <c r="O22" s="260" t="s">
        <v>204</v>
      </c>
      <c r="P22" s="173" t="s">
        <v>211</v>
      </c>
      <c r="Q22" s="261" t="s">
        <v>33</v>
      </c>
      <c r="R22" s="271" t="s">
        <v>211</v>
      </c>
      <c r="S22" s="73"/>
      <c r="T22" s="73"/>
      <c r="U22" s="272"/>
    </row>
    <row r="23" spans="2:21" x14ac:dyDescent="0.35">
      <c r="B23" s="73" t="s">
        <v>2</v>
      </c>
      <c r="C23" s="73" t="s">
        <v>6</v>
      </c>
      <c r="D23" s="73" t="s">
        <v>17</v>
      </c>
      <c r="E23" s="257">
        <v>41.303034999999994</v>
      </c>
      <c r="F23" s="258">
        <f>11.6309*3.65</f>
        <v>42.452784999999999</v>
      </c>
      <c r="G23" s="259">
        <v>47.652000000000001</v>
      </c>
      <c r="H23" s="85">
        <f>4.7632/100*1000</f>
        <v>47.631999999999998</v>
      </c>
      <c r="I23" s="257">
        <v>9.59</v>
      </c>
      <c r="J23" s="257">
        <f>8.36+0.96</f>
        <v>9.32</v>
      </c>
      <c r="K23" s="258">
        <v>72.11</v>
      </c>
      <c r="L23" s="258">
        <v>57.47</v>
      </c>
      <c r="M23" s="85">
        <v>17.22</v>
      </c>
      <c r="N23" s="85">
        <v>19.22</v>
      </c>
      <c r="O23" s="260" t="s">
        <v>204</v>
      </c>
      <c r="P23" s="173" t="s">
        <v>211</v>
      </c>
      <c r="Q23" s="261" t="s">
        <v>33</v>
      </c>
      <c r="R23" s="271" t="s">
        <v>211</v>
      </c>
      <c r="S23" s="73"/>
      <c r="T23" s="73"/>
      <c r="U23" s="272"/>
    </row>
    <row r="24" spans="2:21" x14ac:dyDescent="0.35">
      <c r="B24" s="73" t="s">
        <v>2</v>
      </c>
      <c r="C24" s="73" t="s">
        <v>15</v>
      </c>
      <c r="D24" s="73" t="s">
        <v>23</v>
      </c>
      <c r="E24" s="257">
        <v>455.69191499999999</v>
      </c>
      <c r="F24" s="258">
        <f>129.4497*3.65</f>
        <v>472.49140499999999</v>
      </c>
      <c r="G24" s="259">
        <v>75.991</v>
      </c>
      <c r="H24" s="85">
        <f>7.9316/100*1000</f>
        <v>79.316000000000003</v>
      </c>
      <c r="I24" s="257">
        <v>35.119999999999997</v>
      </c>
      <c r="J24" s="257">
        <f>23.02+11.78</f>
        <v>34.799999999999997</v>
      </c>
      <c r="K24" s="258">
        <f>K21</f>
        <v>111.06</v>
      </c>
      <c r="L24" s="258">
        <v>87.94</v>
      </c>
      <c r="M24" s="85">
        <v>17.170000000000002</v>
      </c>
      <c r="N24" s="85">
        <v>19.170000000000002</v>
      </c>
      <c r="O24" s="260" t="s">
        <v>204</v>
      </c>
      <c r="P24" s="173" t="s">
        <v>211</v>
      </c>
      <c r="Q24" s="261" t="s">
        <v>33</v>
      </c>
      <c r="R24" s="271" t="s">
        <v>211</v>
      </c>
      <c r="S24" s="73"/>
      <c r="T24" s="73"/>
      <c r="U24" s="272"/>
    </row>
    <row r="25" spans="2:21" x14ac:dyDescent="0.35">
      <c r="B25" s="73" t="s">
        <v>4</v>
      </c>
      <c r="C25" s="73" t="s">
        <v>6</v>
      </c>
      <c r="D25" s="73" t="s">
        <v>23</v>
      </c>
      <c r="E25" s="257">
        <f>38.75*3.65</f>
        <v>141.4375</v>
      </c>
      <c r="F25" s="258">
        <f>148.482</f>
        <v>148.482</v>
      </c>
      <c r="G25" s="259">
        <v>80.566000000000003</v>
      </c>
      <c r="H25" s="85">
        <f>8.0953/100*1000</f>
        <v>80.953000000000003</v>
      </c>
      <c r="I25" s="257">
        <v>19.7</v>
      </c>
      <c r="J25" s="257">
        <f>2.06+18.95</f>
        <v>21.009999999999998</v>
      </c>
      <c r="K25" s="258">
        <v>112.27</v>
      </c>
      <c r="L25" s="258">
        <v>88.27</v>
      </c>
      <c r="M25" s="85">
        <v>17.36</v>
      </c>
      <c r="N25" s="85">
        <v>19.309999999999999</v>
      </c>
      <c r="O25" s="262" t="s">
        <v>204</v>
      </c>
      <c r="P25" s="173" t="s">
        <v>211</v>
      </c>
      <c r="Q25" s="261" t="s">
        <v>33</v>
      </c>
      <c r="R25" s="173" t="s">
        <v>211</v>
      </c>
      <c r="S25" s="73"/>
      <c r="T25" s="73"/>
      <c r="U25" s="273"/>
    </row>
    <row r="26" spans="2:21" x14ac:dyDescent="0.35">
      <c r="B26" s="73" t="s">
        <v>4</v>
      </c>
      <c r="C26" s="73" t="s">
        <v>6</v>
      </c>
      <c r="D26" s="73" t="s">
        <v>16</v>
      </c>
      <c r="E26" s="257">
        <v>13.6145</v>
      </c>
      <c r="F26" s="258">
        <v>13.577999999999999</v>
      </c>
      <c r="G26" s="259">
        <v>15.167999999999999</v>
      </c>
      <c r="H26" s="85">
        <f>1.6184/100*1000</f>
        <v>16.184000000000001</v>
      </c>
      <c r="I26" s="257">
        <v>6.4499999999999993</v>
      </c>
      <c r="J26" s="257">
        <f>2.06+4.82</f>
        <v>6.8800000000000008</v>
      </c>
      <c r="K26" s="258">
        <v>103.92</v>
      </c>
      <c r="L26" s="258">
        <v>83.29</v>
      </c>
      <c r="M26" s="85">
        <f>M25</f>
        <v>17.36</v>
      </c>
      <c r="N26" s="85">
        <v>19.309999999999999</v>
      </c>
      <c r="O26" s="262" t="s">
        <v>204</v>
      </c>
      <c r="P26" s="173" t="s">
        <v>211</v>
      </c>
      <c r="Q26" s="261" t="s">
        <v>33</v>
      </c>
      <c r="R26" s="173" t="s">
        <v>211</v>
      </c>
      <c r="S26" s="73"/>
      <c r="T26" s="73"/>
      <c r="U26" s="272"/>
    </row>
    <row r="27" spans="2:21" x14ac:dyDescent="0.35">
      <c r="B27" s="73" t="s">
        <v>4</v>
      </c>
      <c r="C27" s="73" t="s">
        <v>6</v>
      </c>
      <c r="D27" s="73" t="s">
        <v>17</v>
      </c>
      <c r="E27" s="257">
        <v>13.6145</v>
      </c>
      <c r="F27" s="258">
        <v>13.577999999999999</v>
      </c>
      <c r="G27" s="259">
        <v>36.497</v>
      </c>
      <c r="H27" s="85">
        <f>3.7078/100*1000</f>
        <v>37.078000000000003</v>
      </c>
      <c r="I27" s="257">
        <v>6.4499999999999993</v>
      </c>
      <c r="J27" s="257">
        <f>2.06+4.82</f>
        <v>6.8800000000000008</v>
      </c>
      <c r="K27" s="258">
        <v>103.92</v>
      </c>
      <c r="L27" s="258">
        <v>83.29</v>
      </c>
      <c r="M27" s="85">
        <f>M26</f>
        <v>17.36</v>
      </c>
      <c r="N27" s="85">
        <v>19.309999999999999</v>
      </c>
      <c r="O27" s="262" t="s">
        <v>204</v>
      </c>
      <c r="P27" s="173" t="s">
        <v>211</v>
      </c>
      <c r="Q27" s="261" t="s">
        <v>33</v>
      </c>
      <c r="R27" s="173" t="s">
        <v>211</v>
      </c>
      <c r="S27" s="73"/>
      <c r="T27" s="73"/>
      <c r="U27" s="272"/>
    </row>
    <row r="28" spans="2:21" x14ac:dyDescent="0.35">
      <c r="B28" s="73" t="s">
        <v>4</v>
      </c>
      <c r="C28" s="73" t="s">
        <v>15</v>
      </c>
      <c r="D28" s="73" t="s">
        <v>23</v>
      </c>
      <c r="E28" s="257">
        <v>202.429</v>
      </c>
      <c r="F28" s="258">
        <f>212.5395</f>
        <v>212.5395</v>
      </c>
      <c r="G28" s="259">
        <v>84.177000000000007</v>
      </c>
      <c r="H28" s="85">
        <f>8.4755/100*1000</f>
        <v>84.754999999999995</v>
      </c>
      <c r="I28" s="257">
        <v>28.86</v>
      </c>
      <c r="J28" s="257">
        <f>2.06+28.73</f>
        <v>30.79</v>
      </c>
      <c r="K28" s="258">
        <f>K25</f>
        <v>112.27</v>
      </c>
      <c r="L28" s="258">
        <v>88.27</v>
      </c>
      <c r="M28" s="85">
        <v>17.36</v>
      </c>
      <c r="N28" s="85">
        <v>19.309999999999999</v>
      </c>
      <c r="O28" s="262" t="s">
        <v>204</v>
      </c>
      <c r="P28" s="173" t="s">
        <v>211</v>
      </c>
      <c r="Q28" s="261" t="s">
        <v>33</v>
      </c>
      <c r="R28" s="173" t="s">
        <v>211</v>
      </c>
      <c r="S28" s="73"/>
      <c r="T28" s="73"/>
      <c r="U28" s="272"/>
    </row>
    <row r="29" spans="2:21" x14ac:dyDescent="0.35">
      <c r="B29" s="73" t="s">
        <v>3</v>
      </c>
      <c r="C29" s="73" t="s">
        <v>6</v>
      </c>
      <c r="D29" s="73" t="s">
        <v>23</v>
      </c>
      <c r="E29" s="257">
        <v>305.14</v>
      </c>
      <c r="F29" s="258">
        <f>0.8788*365</f>
        <v>320.762</v>
      </c>
      <c r="G29" s="259">
        <v>104.989</v>
      </c>
      <c r="H29" s="85">
        <f>11.1022/100*1000</f>
        <v>111.02199999999999</v>
      </c>
      <c r="I29" s="257">
        <v>33.010000000000005</v>
      </c>
      <c r="J29" s="257">
        <f>23.99+10.05</f>
        <v>34.04</v>
      </c>
      <c r="K29" s="258">
        <v>103.5</v>
      </c>
      <c r="L29" s="258">
        <v>80.34</v>
      </c>
      <c r="M29" s="85">
        <v>17.25</v>
      </c>
      <c r="N29" s="85">
        <v>19.04</v>
      </c>
      <c r="O29" s="262" t="s">
        <v>195</v>
      </c>
      <c r="P29" s="270" t="s">
        <v>211</v>
      </c>
      <c r="Q29" s="262" t="s">
        <v>195</v>
      </c>
      <c r="R29" s="173" t="s">
        <v>211</v>
      </c>
      <c r="S29" s="73"/>
      <c r="T29" s="73"/>
      <c r="U29" s="272"/>
    </row>
    <row r="30" spans="2:21" x14ac:dyDescent="0.35">
      <c r="B30" s="73" t="s">
        <v>3</v>
      </c>
      <c r="C30" s="73" t="s">
        <v>6</v>
      </c>
      <c r="D30" s="73" t="s">
        <v>16</v>
      </c>
      <c r="E30" s="257">
        <v>32.996000000000002</v>
      </c>
      <c r="F30" s="258">
        <f>0.0935*365</f>
        <v>34.127499999999998</v>
      </c>
      <c r="G30" s="85">
        <v>22.288</v>
      </c>
      <c r="H30" s="85">
        <f>2.4856/100*1000</f>
        <v>24.855999999999998</v>
      </c>
      <c r="I30" s="257">
        <v>10.32</v>
      </c>
      <c r="J30" s="257">
        <f>6+4.58</f>
        <v>10.58</v>
      </c>
      <c r="K30" s="258">
        <v>87.9</v>
      </c>
      <c r="L30" s="258">
        <v>67.3</v>
      </c>
      <c r="M30" s="85">
        <f>M29</f>
        <v>17.25</v>
      </c>
      <c r="N30" s="85">
        <v>19.04</v>
      </c>
      <c r="O30" s="262" t="s">
        <v>195</v>
      </c>
      <c r="P30" s="270" t="s">
        <v>211</v>
      </c>
      <c r="Q30" s="262" t="s">
        <v>195</v>
      </c>
      <c r="R30" s="173" t="s">
        <v>211</v>
      </c>
      <c r="S30" s="73"/>
      <c r="T30" s="73"/>
      <c r="U30" s="272"/>
    </row>
    <row r="31" spans="2:21" x14ac:dyDescent="0.35">
      <c r="B31" s="73" t="s">
        <v>3</v>
      </c>
      <c r="C31" s="73" t="s">
        <v>6</v>
      </c>
      <c r="D31" s="73" t="s">
        <v>17</v>
      </c>
      <c r="E31" s="257">
        <v>32.996000000000002</v>
      </c>
      <c r="F31" s="258">
        <f>0.0935*365</f>
        <v>34.127499999999998</v>
      </c>
      <c r="G31" s="259">
        <v>47.561</v>
      </c>
      <c r="H31" s="85">
        <f>5.1517/100*1000</f>
        <v>51.517000000000003</v>
      </c>
      <c r="I31" s="257">
        <v>10.32</v>
      </c>
      <c r="J31" s="257">
        <f>6+4.58</f>
        <v>10.58</v>
      </c>
      <c r="K31" s="258">
        <v>87.9</v>
      </c>
      <c r="L31" s="258">
        <v>67.3</v>
      </c>
      <c r="M31" s="85">
        <f>M30</f>
        <v>17.25</v>
      </c>
      <c r="N31" s="85">
        <v>19.04</v>
      </c>
      <c r="O31" s="262" t="s">
        <v>195</v>
      </c>
      <c r="P31" s="270" t="s">
        <v>211</v>
      </c>
      <c r="Q31" s="262" t="s">
        <v>195</v>
      </c>
      <c r="R31" s="173" t="s">
        <v>211</v>
      </c>
      <c r="S31" s="73"/>
      <c r="T31" s="73"/>
      <c r="U31" s="272"/>
    </row>
    <row r="32" spans="2:21" x14ac:dyDescent="0.35">
      <c r="B32" s="73" t="s">
        <v>3</v>
      </c>
      <c r="C32" s="73" t="s">
        <v>15</v>
      </c>
      <c r="D32" s="73" t="s">
        <v>23</v>
      </c>
      <c r="E32" s="257">
        <v>305.14</v>
      </c>
      <c r="F32" s="258">
        <f>0.8788*365</f>
        <v>320.762</v>
      </c>
      <c r="G32" s="259">
        <v>145.08000000000001</v>
      </c>
      <c r="H32" s="85">
        <f>15.3007/100*1000</f>
        <v>153.00700000000001</v>
      </c>
      <c r="I32" s="257">
        <v>33.010000000000005</v>
      </c>
      <c r="J32" s="257">
        <f>23.99+10.05</f>
        <v>34.04</v>
      </c>
      <c r="K32" s="258">
        <f>K29</f>
        <v>103.5</v>
      </c>
      <c r="L32" s="258">
        <v>80.34</v>
      </c>
      <c r="M32" s="85">
        <v>17.25</v>
      </c>
      <c r="N32" s="85">
        <v>19.04</v>
      </c>
      <c r="O32" s="262" t="s">
        <v>195</v>
      </c>
      <c r="P32" s="270" t="s">
        <v>211</v>
      </c>
      <c r="Q32" s="262" t="s">
        <v>195</v>
      </c>
      <c r="R32" s="173" t="s">
        <v>211</v>
      </c>
      <c r="S32" s="73"/>
      <c r="T32" s="73"/>
      <c r="U32" s="272"/>
    </row>
    <row r="33" spans="2:21" x14ac:dyDescent="0.35">
      <c r="B33" s="73" t="s">
        <v>0</v>
      </c>
      <c r="C33" s="73" t="s">
        <v>6</v>
      </c>
      <c r="D33" s="73" t="s">
        <v>23</v>
      </c>
      <c r="E33" s="257">
        <f>0.511*365</f>
        <v>186.51500000000001</v>
      </c>
      <c r="F33" s="258">
        <f>0.514*365</f>
        <v>187.61</v>
      </c>
      <c r="G33" s="259">
        <v>80.319999999999993</v>
      </c>
      <c r="H33" s="85">
        <f>0.08468*1000</f>
        <v>84.68</v>
      </c>
      <c r="I33" s="257">
        <v>38.934550000000002</v>
      </c>
      <c r="J33" s="257">
        <f>0.10436*365</f>
        <v>38.0914</v>
      </c>
      <c r="K33" s="258">
        <v>91.49</v>
      </c>
      <c r="L33" s="258">
        <v>74.03</v>
      </c>
      <c r="M33" s="258">
        <v>15.1</v>
      </c>
      <c r="N33" s="85">
        <v>16.75</v>
      </c>
      <c r="O33" s="262" t="s">
        <v>193</v>
      </c>
      <c r="P33" s="270" t="s">
        <v>211</v>
      </c>
      <c r="Q33" s="262" t="s">
        <v>193</v>
      </c>
      <c r="R33" s="270" t="s">
        <v>211</v>
      </c>
      <c r="S33" s="73"/>
      <c r="T33" s="73"/>
      <c r="U33" s="262"/>
    </row>
    <row r="34" spans="2:21" x14ac:dyDescent="0.35">
      <c r="B34" s="73" t="s">
        <v>0</v>
      </c>
      <c r="C34" s="73" t="s">
        <v>6</v>
      </c>
      <c r="D34" s="73" t="s">
        <v>16</v>
      </c>
      <c r="E34" s="257">
        <v>0</v>
      </c>
      <c r="F34" s="258">
        <v>0</v>
      </c>
      <c r="G34" s="259">
        <v>37.89</v>
      </c>
      <c r="H34" s="85">
        <f>0.0392*1000</f>
        <v>39.199999999999996</v>
      </c>
      <c r="I34" s="257">
        <v>11.68365</v>
      </c>
      <c r="J34" s="257">
        <f>0.03041*365</f>
        <v>11.09965</v>
      </c>
      <c r="K34" s="258">
        <v>72.290000000000006</v>
      </c>
      <c r="L34" s="258">
        <v>58.84</v>
      </c>
      <c r="M34" s="258">
        <f>M33</f>
        <v>15.1</v>
      </c>
      <c r="N34" s="85">
        <v>16.75</v>
      </c>
      <c r="O34" s="262" t="s">
        <v>193</v>
      </c>
      <c r="P34" s="270" t="s">
        <v>211</v>
      </c>
      <c r="Q34" s="262" t="s">
        <v>193</v>
      </c>
      <c r="R34" s="270" t="s">
        <v>211</v>
      </c>
      <c r="S34" s="73"/>
      <c r="T34" s="73"/>
      <c r="U34" s="272"/>
    </row>
    <row r="35" spans="2:21" x14ac:dyDescent="0.35">
      <c r="B35" s="73" t="s">
        <v>0</v>
      </c>
      <c r="C35" s="73" t="s">
        <v>6</v>
      </c>
      <c r="D35" s="73" t="s">
        <v>17</v>
      </c>
      <c r="E35" s="257">
        <v>0</v>
      </c>
      <c r="F35" s="258">
        <v>0</v>
      </c>
      <c r="G35" s="259">
        <v>47.89</v>
      </c>
      <c r="H35" s="85">
        <f>0.0492*1000</f>
        <v>49.2</v>
      </c>
      <c r="I35" s="257">
        <v>11.68365</v>
      </c>
      <c r="J35" s="257">
        <f>0.03041*365</f>
        <v>11.09965</v>
      </c>
      <c r="K35" s="258">
        <v>74.06</v>
      </c>
      <c r="L35" s="258">
        <v>61.18</v>
      </c>
      <c r="M35" s="258">
        <f>M34</f>
        <v>15.1</v>
      </c>
      <c r="N35" s="85">
        <v>16.75</v>
      </c>
      <c r="O35" s="262" t="s">
        <v>193</v>
      </c>
      <c r="P35" s="270" t="s">
        <v>211</v>
      </c>
      <c r="Q35" s="262" t="s">
        <v>193</v>
      </c>
      <c r="R35" s="270" t="s">
        <v>211</v>
      </c>
      <c r="S35" s="73"/>
      <c r="T35" s="73"/>
      <c r="U35" s="272"/>
    </row>
    <row r="36" spans="2:21" x14ac:dyDescent="0.35">
      <c r="B36" s="73" t="s">
        <v>0</v>
      </c>
      <c r="C36" s="73" t="s">
        <v>15</v>
      </c>
      <c r="D36" s="73" t="s">
        <v>23</v>
      </c>
      <c r="E36" s="257">
        <v>251.48500000000001</v>
      </c>
      <c r="F36" s="258">
        <f>0.694*365</f>
        <v>253.30999999999997</v>
      </c>
      <c r="G36" s="259">
        <v>86.2</v>
      </c>
      <c r="H36" s="85">
        <f>0.09011*1000</f>
        <v>90.11</v>
      </c>
      <c r="I36" s="257">
        <v>38.934550000000002</v>
      </c>
      <c r="J36" s="257">
        <f>0.10436*365</f>
        <v>38.0914</v>
      </c>
      <c r="K36" s="258">
        <v>91.49</v>
      </c>
      <c r="L36" s="258">
        <v>74.03</v>
      </c>
      <c r="M36" s="258">
        <v>15.1</v>
      </c>
      <c r="N36" s="85">
        <v>16.75</v>
      </c>
      <c r="O36" s="262" t="s">
        <v>193</v>
      </c>
      <c r="P36" s="270" t="s">
        <v>211</v>
      </c>
      <c r="Q36" s="262" t="s">
        <v>193</v>
      </c>
      <c r="R36" s="270" t="s">
        <v>211</v>
      </c>
      <c r="S36" s="73"/>
      <c r="T36" s="73"/>
      <c r="U36" s="272"/>
    </row>
    <row r="37" spans="2:21" x14ac:dyDescent="0.35">
      <c r="B37" s="73" t="s">
        <v>5</v>
      </c>
      <c r="C37" s="73" t="s">
        <v>6</v>
      </c>
      <c r="D37" s="73" t="s">
        <v>23</v>
      </c>
      <c r="E37" s="257">
        <v>170</v>
      </c>
      <c r="F37" s="258">
        <f>0.4932*365</f>
        <v>180.018</v>
      </c>
      <c r="G37" s="259">
        <v>132.30000000000001</v>
      </c>
      <c r="H37" s="85">
        <f>0.1353*1000</f>
        <v>135.30000000000001</v>
      </c>
      <c r="I37" s="257">
        <v>22.98</v>
      </c>
      <c r="J37" s="257">
        <v>23.16</v>
      </c>
      <c r="K37" s="258">
        <v>154.12</v>
      </c>
      <c r="L37" s="258">
        <v>119.47</v>
      </c>
      <c r="M37" s="85">
        <v>18.57</v>
      </c>
      <c r="N37" s="85">
        <v>20.39</v>
      </c>
      <c r="O37" s="262" t="s">
        <v>193</v>
      </c>
      <c r="P37" s="173" t="s">
        <v>211</v>
      </c>
      <c r="Q37" s="263" t="s">
        <v>33</v>
      </c>
      <c r="R37" s="173" t="s">
        <v>211</v>
      </c>
      <c r="S37" s="73"/>
      <c r="T37" s="73"/>
      <c r="U37" s="273"/>
    </row>
    <row r="38" spans="2:21" x14ac:dyDescent="0.35">
      <c r="B38" s="73" t="s">
        <v>5</v>
      </c>
      <c r="C38" s="73" t="s">
        <v>6</v>
      </c>
      <c r="D38" s="73" t="s">
        <v>16</v>
      </c>
      <c r="E38" s="257">
        <v>0</v>
      </c>
      <c r="F38" s="258">
        <v>0</v>
      </c>
      <c r="G38" s="259">
        <v>71.599999999999994</v>
      </c>
      <c r="H38" s="85">
        <f>0.0678*1000</f>
        <v>67.8</v>
      </c>
      <c r="I38" s="257">
        <v>22.98</v>
      </c>
      <c r="J38" s="257">
        <v>23.16</v>
      </c>
      <c r="K38" s="258">
        <v>93.15</v>
      </c>
      <c r="L38" s="258">
        <v>72.819999999999993</v>
      </c>
      <c r="M38" s="85">
        <f>M37</f>
        <v>18.57</v>
      </c>
      <c r="N38" s="85">
        <v>20.39</v>
      </c>
      <c r="O38" s="262" t="s">
        <v>193</v>
      </c>
      <c r="P38" s="173" t="s">
        <v>211</v>
      </c>
      <c r="Q38" s="263" t="s">
        <v>33</v>
      </c>
      <c r="R38" s="173" t="s">
        <v>211</v>
      </c>
      <c r="S38" s="73"/>
      <c r="T38" s="73"/>
    </row>
    <row r="39" spans="2:21" x14ac:dyDescent="0.35">
      <c r="B39" s="73" t="s">
        <v>5</v>
      </c>
      <c r="C39" s="73" t="s">
        <v>15</v>
      </c>
      <c r="D39" s="73" t="s">
        <v>23</v>
      </c>
      <c r="E39" s="257">
        <v>185</v>
      </c>
      <c r="F39" s="258">
        <f>0.5616*365</f>
        <v>204.98400000000001</v>
      </c>
      <c r="G39" s="259">
        <v>131.4</v>
      </c>
      <c r="H39" s="85">
        <f>0.1499*1000</f>
        <v>149.9</v>
      </c>
      <c r="I39" s="257">
        <v>22.98</v>
      </c>
      <c r="J39" s="257">
        <v>23.16</v>
      </c>
      <c r="K39" s="258">
        <v>154.12</v>
      </c>
      <c r="L39" s="258">
        <v>119.47</v>
      </c>
      <c r="M39" s="85">
        <f>M38</f>
        <v>18.57</v>
      </c>
      <c r="N39" s="85">
        <v>20.39</v>
      </c>
      <c r="O39" s="262" t="s">
        <v>193</v>
      </c>
      <c r="P39" s="173" t="s">
        <v>211</v>
      </c>
      <c r="Q39" s="263" t="s">
        <v>33</v>
      </c>
      <c r="R39" s="173" t="s">
        <v>211</v>
      </c>
      <c r="S39" s="73"/>
      <c r="T39" s="73"/>
    </row>
    <row r="41" spans="2:21" x14ac:dyDescent="0.35">
      <c r="B41" s="136" t="s">
        <v>202</v>
      </c>
      <c r="C41" s="96"/>
      <c r="D41" s="96"/>
      <c r="E41" s="96"/>
      <c r="F41" s="96"/>
      <c r="G41" s="96"/>
      <c r="H41" s="96"/>
      <c r="I41" s="96"/>
      <c r="J41" s="96"/>
    </row>
    <row r="42" spans="2:21" x14ac:dyDescent="0.35">
      <c r="B42" s="136" t="s">
        <v>203</v>
      </c>
      <c r="C42" s="96"/>
      <c r="D42" s="96"/>
      <c r="E42" s="96"/>
      <c r="F42" s="96"/>
      <c r="G42" s="96"/>
      <c r="H42" s="96"/>
      <c r="I42" s="96"/>
      <c r="J42" s="96"/>
    </row>
    <row r="43" spans="2:21" x14ac:dyDescent="0.35">
      <c r="B43" s="96"/>
      <c r="C43" s="96"/>
      <c r="D43" s="96"/>
      <c r="E43" s="96"/>
      <c r="F43" s="96"/>
      <c r="G43" s="96"/>
      <c r="H43" s="96"/>
      <c r="I43" s="96"/>
      <c r="J43" s="96"/>
    </row>
    <row r="44" spans="2:21" x14ac:dyDescent="0.35">
      <c r="B44" s="96"/>
      <c r="C44" s="96"/>
      <c r="D44" s="96"/>
      <c r="E44" s="96"/>
      <c r="F44" s="96"/>
      <c r="G44" s="96"/>
      <c r="H44" s="96"/>
      <c r="I44" s="96"/>
      <c r="J44" s="96"/>
    </row>
    <row r="45" spans="2:21" x14ac:dyDescent="0.35">
      <c r="B45" s="96"/>
      <c r="C45" s="96"/>
      <c r="D45" s="96"/>
      <c r="E45" s="96"/>
      <c r="F45" s="96"/>
      <c r="G45" s="96"/>
      <c r="H45" s="96"/>
      <c r="I45" s="96"/>
      <c r="J45" s="96"/>
    </row>
    <row r="46" spans="2:21" x14ac:dyDescent="0.35">
      <c r="B46" s="96"/>
      <c r="C46" s="96"/>
      <c r="D46" s="96"/>
      <c r="E46" s="96"/>
      <c r="F46" s="96"/>
      <c r="G46" s="96"/>
      <c r="H46" s="96"/>
      <c r="I46" s="96"/>
      <c r="J46" s="96"/>
    </row>
    <row r="47" spans="2:21" x14ac:dyDescent="0.35">
      <c r="B47" s="96"/>
      <c r="C47" s="96"/>
      <c r="D47" s="96"/>
      <c r="E47" s="96"/>
      <c r="F47" s="96"/>
      <c r="G47" s="96"/>
      <c r="H47" s="96"/>
      <c r="I47" s="96"/>
      <c r="J47" s="96"/>
    </row>
    <row r="48" spans="2:21" x14ac:dyDescent="0.35">
      <c r="B48" s="96"/>
      <c r="C48" s="96"/>
      <c r="D48" s="96"/>
      <c r="E48" s="96"/>
      <c r="F48" s="96"/>
      <c r="G48" s="96"/>
      <c r="H48" s="96"/>
      <c r="I48" s="96"/>
      <c r="J48" s="96"/>
    </row>
  </sheetData>
  <sheetProtection algorithmName="SHA-256" hashValue="PrYfP/ZUBzMbIRPKgnyZ2xeAdSclgDQKtkVR7OVtUww=" saltValue="XR6jTXSIYYS9U/Vvm+YFcg==" spinCount="100000" sheet="1" objects="1" scenarios="1"/>
  <mergeCells count="9">
    <mergeCell ref="Q16:Q20"/>
    <mergeCell ref="R16:R20"/>
    <mergeCell ref="K16:L16"/>
    <mergeCell ref="M16:N16"/>
    <mergeCell ref="A1:B1"/>
    <mergeCell ref="E16:H16"/>
    <mergeCell ref="I16:J16"/>
    <mergeCell ref="O16:O20"/>
    <mergeCell ref="P16:P20"/>
  </mergeCells>
  <conditionalFormatting sqref="P21:P39 R25:R39 B21:N39">
    <cfRule type="expression" dxfId="44" priority="72">
      <formula>MOD(ROW(),2)=0</formula>
    </cfRule>
  </conditionalFormatting>
  <conditionalFormatting sqref="M39">
    <cfRule type="expression" dxfId="43" priority="68">
      <formula>MOD(ROW(),2)=0</formula>
    </cfRule>
  </conditionalFormatting>
  <conditionalFormatting sqref="K38 M38">
    <cfRule type="expression" dxfId="42" priority="69">
      <formula>MOD(ROW(),2)=0</formula>
    </cfRule>
  </conditionalFormatting>
  <conditionalFormatting sqref="J22:J39">
    <cfRule type="expression" dxfId="41" priority="67">
      <formula>MOD(ROW(),2)=0</formula>
    </cfRule>
  </conditionalFormatting>
  <conditionalFormatting sqref="L22:L39">
    <cfRule type="expression" dxfId="40" priority="65">
      <formula>MOD(ROW(),2)=0</formula>
    </cfRule>
  </conditionalFormatting>
  <conditionalFormatting sqref="N22:N39">
    <cfRule type="expression" dxfId="39" priority="64">
      <formula>MOD(ROW(),2)=0</formula>
    </cfRule>
  </conditionalFormatting>
  <conditionalFormatting sqref="O21">
    <cfRule type="expression" dxfId="38" priority="63">
      <formula>MOD(ROW(),2)=0</formula>
    </cfRule>
  </conditionalFormatting>
  <conditionalFormatting sqref="Q37:Q39">
    <cfRule type="expression" dxfId="37" priority="42">
      <formula>MOD(ROW(),2)=0</formula>
    </cfRule>
  </conditionalFormatting>
  <conditionalFormatting sqref="Q21:Q23">
    <cfRule type="expression" dxfId="36" priority="39">
      <formula>MOD(ROW(),2)=0</formula>
    </cfRule>
  </conditionalFormatting>
  <conditionalFormatting sqref="Q24">
    <cfRule type="expression" dxfId="35" priority="38">
      <formula>MOD(ROW(),2)=0</formula>
    </cfRule>
  </conditionalFormatting>
  <conditionalFormatting sqref="Q25:Q26">
    <cfRule type="expression" dxfId="34" priority="37">
      <formula>MOD(ROW(),2)=0</formula>
    </cfRule>
  </conditionalFormatting>
  <conditionalFormatting sqref="Q27">
    <cfRule type="expression" dxfId="33" priority="36">
      <formula>MOD(ROW(),2)=0</formula>
    </cfRule>
  </conditionalFormatting>
  <conditionalFormatting sqref="Q28">
    <cfRule type="expression" dxfId="32" priority="35">
      <formula>MOD(ROW(),2)=0</formula>
    </cfRule>
  </conditionalFormatting>
  <conditionalFormatting sqref="R21:R24">
    <cfRule type="expression" dxfId="31" priority="32">
      <formula>MOD(ROW(),2)=0</formula>
    </cfRule>
  </conditionalFormatting>
  <conditionalFormatting sqref="U33">
    <cfRule type="expression" dxfId="30" priority="30">
      <formula>MOD(ROW(),2)=0</formula>
    </cfRule>
  </conditionalFormatting>
  <conditionalFormatting sqref="U37">
    <cfRule type="expression" dxfId="29" priority="29">
      <formula>MOD(ROW(),2)=0</formula>
    </cfRule>
  </conditionalFormatting>
  <conditionalFormatting sqref="U25">
    <cfRule type="expression" dxfId="28" priority="28">
      <formula>MOD(ROW(),2)=0</formula>
    </cfRule>
  </conditionalFormatting>
  <conditionalFormatting sqref="O25">
    <cfRule type="expression" dxfId="27" priority="27">
      <formula>MOD(ROW(),2)=0</formula>
    </cfRule>
  </conditionalFormatting>
  <conditionalFormatting sqref="O26">
    <cfRule type="expression" dxfId="26" priority="26">
      <formula>MOD(ROW(),2)=0</formula>
    </cfRule>
  </conditionalFormatting>
  <conditionalFormatting sqref="O27">
    <cfRule type="expression" dxfId="25" priority="25">
      <formula>MOD(ROW(),2)=0</formula>
    </cfRule>
  </conditionalFormatting>
  <conditionalFormatting sqref="O28">
    <cfRule type="expression" dxfId="24" priority="24">
      <formula>MOD(ROW(),2)=0</formula>
    </cfRule>
  </conditionalFormatting>
  <conditionalFormatting sqref="O29">
    <cfRule type="expression" dxfId="23" priority="23">
      <formula>MOD(ROW(),2)=0</formula>
    </cfRule>
  </conditionalFormatting>
  <conditionalFormatting sqref="O30">
    <cfRule type="expression" dxfId="22" priority="22">
      <formula>MOD(ROW(),2)=0</formula>
    </cfRule>
  </conditionalFormatting>
  <conditionalFormatting sqref="O31">
    <cfRule type="expression" dxfId="21" priority="21">
      <formula>MOD(ROW(),2)=0</formula>
    </cfRule>
  </conditionalFormatting>
  <conditionalFormatting sqref="O32">
    <cfRule type="expression" dxfId="20" priority="20">
      <formula>MOD(ROW(),2)=0</formula>
    </cfRule>
  </conditionalFormatting>
  <conditionalFormatting sqref="O33">
    <cfRule type="expression" dxfId="19" priority="19">
      <formula>MOD(ROW(),2)=0</formula>
    </cfRule>
  </conditionalFormatting>
  <conditionalFormatting sqref="O34">
    <cfRule type="expression" dxfId="18" priority="18">
      <formula>MOD(ROW(),2)=0</formula>
    </cfRule>
  </conditionalFormatting>
  <conditionalFormatting sqref="O35">
    <cfRule type="expression" dxfId="17" priority="17">
      <formula>MOD(ROW(),2)=0</formula>
    </cfRule>
  </conditionalFormatting>
  <conditionalFormatting sqref="O36">
    <cfRule type="expression" dxfId="16" priority="16">
      <formula>MOD(ROW(),2)=0</formula>
    </cfRule>
  </conditionalFormatting>
  <conditionalFormatting sqref="O37">
    <cfRule type="expression" dxfId="15" priority="15">
      <formula>MOD(ROW(),2)=0</formula>
    </cfRule>
  </conditionalFormatting>
  <conditionalFormatting sqref="O38">
    <cfRule type="expression" dxfId="14" priority="14">
      <formula>MOD(ROW(),2)=0</formula>
    </cfRule>
  </conditionalFormatting>
  <conditionalFormatting sqref="O39">
    <cfRule type="expression" dxfId="13" priority="13">
      <formula>MOD(ROW(),2)=0</formula>
    </cfRule>
  </conditionalFormatting>
  <conditionalFormatting sqref="Q32">
    <cfRule type="expression" dxfId="12" priority="12">
      <formula>MOD(ROW(),2)=0</formula>
    </cfRule>
  </conditionalFormatting>
  <conditionalFormatting sqref="Q31">
    <cfRule type="expression" dxfId="11" priority="11">
      <formula>MOD(ROW(),2)=0</formula>
    </cfRule>
  </conditionalFormatting>
  <conditionalFormatting sqref="Q30">
    <cfRule type="expression" dxfId="10" priority="10">
      <formula>MOD(ROW(),2)=0</formula>
    </cfRule>
  </conditionalFormatting>
  <conditionalFormatting sqref="Q29">
    <cfRule type="expression" dxfId="9" priority="9">
      <formula>MOD(ROW(),2)=0</formula>
    </cfRule>
  </conditionalFormatting>
  <conditionalFormatting sqref="Q33">
    <cfRule type="expression" dxfId="8" priority="8">
      <formula>MOD(ROW(),2)=0</formula>
    </cfRule>
  </conditionalFormatting>
  <conditionalFormatting sqref="Q34">
    <cfRule type="expression" dxfId="7" priority="7">
      <formula>MOD(ROW(),2)=0</formula>
    </cfRule>
  </conditionalFormatting>
  <conditionalFormatting sqref="Q35">
    <cfRule type="expression" dxfId="6" priority="6">
      <formula>MOD(ROW(),2)=0</formula>
    </cfRule>
  </conditionalFormatting>
  <conditionalFormatting sqref="Q36">
    <cfRule type="expression" dxfId="5" priority="5">
      <formula>MOD(ROW(),2)=0</formula>
    </cfRule>
  </conditionalFormatting>
  <conditionalFormatting sqref="O22">
    <cfRule type="expression" dxfId="4" priority="4">
      <formula>MOD(ROW(),2)=0</formula>
    </cfRule>
  </conditionalFormatting>
  <conditionalFormatting sqref="O23">
    <cfRule type="expression" dxfId="3" priority="3">
      <formula>MOD(ROW(),2)=0</formula>
    </cfRule>
  </conditionalFormatting>
  <conditionalFormatting sqref="O24">
    <cfRule type="expression" dxfId="2" priority="2">
      <formula>MOD(ROW(),2)=0</formula>
    </cfRule>
  </conditionalFormatting>
  <dataValidations disablePrompts="1" count="1">
    <dataValidation type="list" allowBlank="1" showInputMessage="1" showErrorMessage="1" sqref="C13">
      <formula1>"Yes,No"</formula1>
    </dataValidation>
  </dataValidations>
  <hyperlinks>
    <hyperlink ref="A1" location="Index!A1" display="&lt;&lt;Back to Index"/>
    <hyperlink ref="D9" r:id="rId1"/>
    <hyperlink ref="P21:P23" r:id="rId2" location="page=47" display="Indicative"/>
    <hyperlink ref="P37" r:id="rId3"/>
    <hyperlink ref="R25" r:id="rId4"/>
    <hyperlink ref="P25" r:id="rId5"/>
    <hyperlink ref="P29" r:id="rId6"/>
    <hyperlink ref="R29" r:id="rId7"/>
    <hyperlink ref="P33" r:id="rId8"/>
    <hyperlink ref="O25" r:id="rId9"/>
    <hyperlink ref="O26" r:id="rId10"/>
    <hyperlink ref="O27" r:id="rId11"/>
    <hyperlink ref="O28" r:id="rId12"/>
    <hyperlink ref="O29" r:id="rId13"/>
    <hyperlink ref="O30" r:id="rId14"/>
    <hyperlink ref="O31" r:id="rId15"/>
    <hyperlink ref="O32" r:id="rId16"/>
    <hyperlink ref="O33" r:id="rId17"/>
    <hyperlink ref="O34" r:id="rId18"/>
    <hyperlink ref="O35" r:id="rId19"/>
    <hyperlink ref="O36" r:id="rId20"/>
    <hyperlink ref="O37" r:id="rId21" location="page=28"/>
    <hyperlink ref="O38" r:id="rId22" location="page=28"/>
    <hyperlink ref="O39" r:id="rId23" location="page=28"/>
    <hyperlink ref="Q32" r:id="rId24"/>
    <hyperlink ref="Q31" r:id="rId25"/>
    <hyperlink ref="Q30" r:id="rId26"/>
    <hyperlink ref="Q29" r:id="rId27"/>
    <hyperlink ref="Q33" r:id="rId28"/>
    <hyperlink ref="Q34" r:id="rId29"/>
    <hyperlink ref="Q35" r:id="rId30"/>
    <hyperlink ref="Q36" r:id="rId31"/>
    <hyperlink ref="O21" r:id="rId32" location="page=47"/>
    <hyperlink ref="O22" r:id="rId33" location="page=47"/>
    <hyperlink ref="O23" r:id="rId34" location="page=47"/>
    <hyperlink ref="O24" r:id="rId35" location="page=47"/>
    <hyperlink ref="P38" r:id="rId36"/>
    <hyperlink ref="P39" r:id="rId37"/>
    <hyperlink ref="R37" r:id="rId38"/>
    <hyperlink ref="R38:R39" r:id="rId39" display="2021-22 APP (as submitted)"/>
    <hyperlink ref="P34:P36" r:id="rId40" display="2021-22 APP (as submitted)"/>
    <hyperlink ref="R33:R36" r:id="rId41" display="2021-22 APP (as submitted)"/>
    <hyperlink ref="P21" r:id="rId42"/>
    <hyperlink ref="P22:P24" r:id="rId43" location="page=47" display="Indicative"/>
    <hyperlink ref="P26:P28" r:id="rId44" display="2021-22 APP (as submitted)"/>
    <hyperlink ref="P30:P32" r:id="rId45" display="2021-22 APP (as submitted)"/>
    <hyperlink ref="R21" r:id="rId46"/>
    <hyperlink ref="R22:R24" r:id="rId47" display="2021-22 APP (as submitted)"/>
    <hyperlink ref="R26:R28" r:id="rId48" display="2021-22 APP (as submitted)"/>
    <hyperlink ref="R30:R32" r:id="rId49" display="2021-22 APP (as submitted)"/>
  </hyperlinks>
  <pageMargins left="0.7" right="0.7" top="0.75" bottom="0.75" header="0.3" footer="0.3"/>
  <pageSetup paperSize="9" orientation="portrait" r:id="rId50"/>
  <ignoredErrors>
    <ignoredError sqref="L17:L18 M18:N18 M17:N17 F18:J18 M29:M30 J17:K17 M33:M35 M37:M39" formula="1"/>
  </ignoredErrors>
  <legacyDrawing r:id="rId5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8"/>
  <sheetViews>
    <sheetView workbookViewId="0">
      <selection sqref="A1:B1"/>
    </sheetView>
  </sheetViews>
  <sheetFormatPr defaultColWidth="8.81640625" defaultRowHeight="14.5" x14ac:dyDescent="0.35"/>
  <cols>
    <col min="1" max="1" width="1.81640625" style="3" customWidth="1"/>
    <col min="2" max="2" width="30.81640625" style="23" bestFit="1" customWidth="1"/>
    <col min="3" max="3" width="13.1796875" style="23" customWidth="1"/>
    <col min="4" max="4" width="0.81640625" style="23" customWidth="1"/>
    <col min="5" max="5" width="13.1796875" style="23" customWidth="1"/>
    <col min="6" max="7" width="13.1796875" style="23" hidden="1" customWidth="1"/>
    <col min="8" max="11" width="13.1796875" style="23" customWidth="1"/>
    <col min="12" max="12" width="0.81640625" style="23" customWidth="1"/>
    <col min="13" max="13" width="13.1796875" style="23" customWidth="1"/>
    <col min="14" max="16384" width="8.81640625" style="3"/>
  </cols>
  <sheetData>
    <row r="1" spans="1:13" ht="10.4" customHeight="1" x14ac:dyDescent="0.35">
      <c r="A1" s="274" t="s">
        <v>22</v>
      </c>
      <c r="B1" s="300"/>
    </row>
    <row r="2" spans="1:13" s="14" customFormat="1" ht="22.5" customHeight="1" x14ac:dyDescent="0.35">
      <c r="A2" s="15" t="s">
        <v>28</v>
      </c>
      <c r="B2" s="30"/>
      <c r="C2" s="24"/>
      <c r="D2" s="24"/>
      <c r="E2" s="24"/>
      <c r="F2" s="24"/>
      <c r="G2" s="24"/>
      <c r="H2" s="24"/>
      <c r="I2" s="24"/>
      <c r="J2" s="24"/>
      <c r="K2" s="24"/>
      <c r="L2" s="24"/>
      <c r="M2" s="24"/>
    </row>
    <row r="3" spans="1:13" s="5" customFormat="1" x14ac:dyDescent="0.35">
      <c r="B3" s="45"/>
      <c r="C3" s="21"/>
      <c r="D3" s="21"/>
      <c r="E3" s="21"/>
      <c r="F3" s="21"/>
      <c r="G3" s="21"/>
      <c r="H3" s="21"/>
      <c r="I3" s="21"/>
      <c r="J3" s="21"/>
      <c r="K3" s="21"/>
      <c r="L3" s="21"/>
      <c r="M3" s="21"/>
    </row>
    <row r="4" spans="1:13" s="5" customFormat="1" hidden="1" x14ac:dyDescent="0.35">
      <c r="B4" s="45"/>
      <c r="C4" s="21" t="str">
        <f>$C$9</f>
        <v>2020-21</v>
      </c>
      <c r="D4" s="21"/>
      <c r="E4" s="21" t="str">
        <f t="shared" ref="E4:K4" si="0">$C$9</f>
        <v>2020-21</v>
      </c>
      <c r="F4" s="21" t="str">
        <f t="shared" si="0"/>
        <v>2020-21</v>
      </c>
      <c r="G4" s="21"/>
      <c r="H4" s="21" t="str">
        <f t="shared" si="0"/>
        <v>2020-21</v>
      </c>
      <c r="I4" s="21" t="str">
        <f t="shared" si="0"/>
        <v>2020-21</v>
      </c>
      <c r="J4" s="21" t="str">
        <f t="shared" si="0"/>
        <v>2020-21</v>
      </c>
      <c r="K4" s="21" t="str">
        <f t="shared" si="0"/>
        <v>2020-21</v>
      </c>
      <c r="L4" s="21"/>
      <c r="M4" s="21" t="str">
        <f>$C$9</f>
        <v>2020-21</v>
      </c>
    </row>
    <row r="5" spans="1:13" s="5" customFormat="1" hidden="1" x14ac:dyDescent="0.35">
      <c r="B5" s="45"/>
      <c r="C5" s="21" t="str">
        <f>$C$10</f>
        <v>Residential</v>
      </c>
      <c r="D5" s="21"/>
      <c r="E5" s="21" t="str">
        <f t="shared" ref="E5:K5" si="1">$E$10</f>
        <v>Residential</v>
      </c>
      <c r="F5" s="21" t="str">
        <f t="shared" si="1"/>
        <v>Residential</v>
      </c>
      <c r="G5" s="21"/>
      <c r="H5" s="21" t="str">
        <f t="shared" si="1"/>
        <v>Residential</v>
      </c>
      <c r="I5" s="21" t="str">
        <f t="shared" si="1"/>
        <v>Residential</v>
      </c>
      <c r="J5" s="21" t="str">
        <f t="shared" si="1"/>
        <v>Residential</v>
      </c>
      <c r="K5" s="21" t="str">
        <f t="shared" si="1"/>
        <v>Residential</v>
      </c>
      <c r="L5" s="21"/>
      <c r="M5" s="21" t="str">
        <f>$M$10</f>
        <v>Small business</v>
      </c>
    </row>
    <row r="6" spans="1:13" s="5" customFormat="1" hidden="1" x14ac:dyDescent="0.35">
      <c r="B6" s="45"/>
      <c r="C6" s="21" t="str">
        <f>$C$11</f>
        <v>without CL</v>
      </c>
      <c r="D6" s="21"/>
      <c r="E6" s="21" t="str">
        <f t="shared" ref="E6:K6" si="2">$E$11</f>
        <v>with CL</v>
      </c>
      <c r="F6" s="21" t="str">
        <f t="shared" si="2"/>
        <v>with CL</v>
      </c>
      <c r="G6" s="21"/>
      <c r="H6" s="21" t="str">
        <f t="shared" si="2"/>
        <v>with CL</v>
      </c>
      <c r="I6" s="21" t="str">
        <f t="shared" si="2"/>
        <v>with CL</v>
      </c>
      <c r="J6" s="21" t="str">
        <f t="shared" si="2"/>
        <v>with CL</v>
      </c>
      <c r="K6" s="21" t="str">
        <f t="shared" si="2"/>
        <v>with CL</v>
      </c>
      <c r="L6" s="21"/>
      <c r="M6" s="21" t="str">
        <f>$M$11</f>
        <v>without CL</v>
      </c>
    </row>
    <row r="7" spans="1:13" s="5" customFormat="1" hidden="1" x14ac:dyDescent="0.35">
      <c r="B7" s="45"/>
      <c r="C7" s="21" t="str">
        <f>$C$12</f>
        <v>Flat rate</v>
      </c>
      <c r="D7" s="21"/>
      <c r="E7" s="21" t="str">
        <f>$E$12</f>
        <v>Flat rate</v>
      </c>
      <c r="F7" s="21" t="str">
        <f>$F$12</f>
        <v>CL</v>
      </c>
      <c r="G7" s="21"/>
      <c r="H7" s="21" t="str">
        <f>$H$13</f>
        <v>CL1</v>
      </c>
      <c r="I7" s="21" t="str">
        <f>$I$13</f>
        <v>CL2</v>
      </c>
      <c r="J7" s="21" t="str">
        <f>$F$12</f>
        <v>CL</v>
      </c>
      <c r="K7" s="21" t="str">
        <f>K12</f>
        <v>Total</v>
      </c>
      <c r="L7" s="21"/>
      <c r="M7" s="21" t="str">
        <f>$M$12</f>
        <v>Flat rate</v>
      </c>
    </row>
    <row r="8" spans="1:13" s="5" customFormat="1" hidden="1" x14ac:dyDescent="0.35">
      <c r="B8" s="45"/>
      <c r="C8" s="21" t="str">
        <f>$A$2</f>
        <v>Usage</v>
      </c>
      <c r="D8" s="21"/>
      <c r="E8" s="21" t="str">
        <f>$A$2</f>
        <v>Usage</v>
      </c>
      <c r="F8" s="21" t="s">
        <v>63</v>
      </c>
      <c r="G8" s="21" t="s">
        <v>99</v>
      </c>
      <c r="H8" s="21" t="str">
        <f>$A$2</f>
        <v>Usage</v>
      </c>
      <c r="I8" s="21" t="str">
        <f>$A$2</f>
        <v>Usage</v>
      </c>
      <c r="J8" s="21" t="str">
        <f>$A$2</f>
        <v>Usage</v>
      </c>
      <c r="K8" s="21" t="str">
        <f>$A$2</f>
        <v>Usage</v>
      </c>
      <c r="L8" s="21"/>
      <c r="M8" s="21" t="str">
        <f>$A$2</f>
        <v>Usage</v>
      </c>
    </row>
    <row r="9" spans="1:13" ht="20.149999999999999" hidden="1" customHeight="1" x14ac:dyDescent="0.35">
      <c r="B9" s="44"/>
      <c r="C9" s="316" t="str">
        <f>PY</f>
        <v>2020-21</v>
      </c>
      <c r="D9" s="316"/>
      <c r="E9" s="316"/>
      <c r="F9" s="316"/>
      <c r="G9" s="316"/>
      <c r="H9" s="316"/>
      <c r="I9" s="316"/>
      <c r="J9" s="316"/>
      <c r="K9" s="316"/>
      <c r="L9" s="316"/>
      <c r="M9" s="316"/>
    </row>
    <row r="10" spans="1:13" ht="20.149999999999999" customHeight="1" x14ac:dyDescent="0.3">
      <c r="B10" s="317" t="s">
        <v>1</v>
      </c>
      <c r="C10" s="250" t="s">
        <v>6</v>
      </c>
      <c r="D10" s="80"/>
      <c r="E10" s="321" t="s">
        <v>6</v>
      </c>
      <c r="F10" s="321"/>
      <c r="G10" s="321"/>
      <c r="H10" s="321"/>
      <c r="I10" s="321"/>
      <c r="J10" s="321"/>
      <c r="K10" s="321"/>
      <c r="L10" s="81"/>
      <c r="M10" s="219" t="s">
        <v>15</v>
      </c>
    </row>
    <row r="11" spans="1:13" ht="27.65" customHeight="1" x14ac:dyDescent="0.35">
      <c r="B11" s="317"/>
      <c r="C11" s="248" t="s">
        <v>150</v>
      </c>
      <c r="D11" s="82"/>
      <c r="E11" s="318" t="s">
        <v>151</v>
      </c>
      <c r="F11" s="318"/>
      <c r="G11" s="318"/>
      <c r="H11" s="318"/>
      <c r="I11" s="318"/>
      <c r="J11" s="318"/>
      <c r="K11" s="318"/>
      <c r="L11" s="82"/>
      <c r="M11" s="218" t="s">
        <v>150</v>
      </c>
    </row>
    <row r="12" spans="1:13" ht="20.149999999999999" customHeight="1" x14ac:dyDescent="0.35">
      <c r="B12" s="317"/>
      <c r="C12" s="249" t="s">
        <v>23</v>
      </c>
      <c r="D12" s="82"/>
      <c r="E12" s="249" t="s">
        <v>23</v>
      </c>
      <c r="F12" s="319" t="s">
        <v>18</v>
      </c>
      <c r="G12" s="319"/>
      <c r="H12" s="319"/>
      <c r="I12" s="319"/>
      <c r="J12" s="319"/>
      <c r="K12" s="319" t="s">
        <v>62</v>
      </c>
      <c r="L12" s="82"/>
      <c r="M12" s="82" t="s">
        <v>23</v>
      </c>
    </row>
    <row r="13" spans="1:13" s="164" customFormat="1" ht="20.149999999999999" customHeight="1" x14ac:dyDescent="0.35">
      <c r="B13" s="317"/>
      <c r="C13" s="165" t="s">
        <v>62</v>
      </c>
      <c r="D13" s="165"/>
      <c r="E13" s="165" t="s">
        <v>62</v>
      </c>
      <c r="F13" s="165" t="s">
        <v>198</v>
      </c>
      <c r="G13" s="165" t="s">
        <v>199</v>
      </c>
      <c r="H13" s="165" t="s">
        <v>16</v>
      </c>
      <c r="I13" s="165" t="s">
        <v>17</v>
      </c>
      <c r="J13" s="165" t="s">
        <v>62</v>
      </c>
      <c r="K13" s="320"/>
      <c r="L13" s="165"/>
      <c r="M13" s="165" t="s">
        <v>62</v>
      </c>
    </row>
    <row r="14" spans="1:13" ht="20.149999999999999" customHeight="1" x14ac:dyDescent="0.35">
      <c r="B14" s="83" t="s">
        <v>2</v>
      </c>
      <c r="C14" s="84">
        <f t="array" ref="C14">INDEX('Detail inputs'!$D$3:$K$148,MATCH(C$5&amp;C$6&amp;C$7&amp;$B14&amp;C$8,'Detail inputs'!$D$3:$D$148&amp;'Detail inputs'!$E$3:$E$148&amp;'Detail inputs'!$F$3:$F$148&amp;'Detail inputs'!$B$3:$B$148&amp;'Detail inputs'!$G$3:$G$148,0),MATCH(C$4,'Detail inputs'!$D$3:$K$3,0))</f>
        <v>3900</v>
      </c>
      <c r="D14" s="85"/>
      <c r="E14" s="84">
        <f t="array" ref="E14">INDEX('Detail inputs'!$D$3:$K$148,MATCH(E$5&amp;E$6&amp;E$7&amp;$B14&amp;E$8,'Detail inputs'!$D$3:$D$148&amp;'Detail inputs'!$E$3:$E$148&amp;'Detail inputs'!$F$3:$F$148&amp;'Detail inputs'!$B$3:$B$148&amp;'Detail inputs'!$G$3:$G$148,0),MATCH(E$4,'Detail inputs'!$D$3:$K$3,0))</f>
        <v>4800</v>
      </c>
      <c r="F14" s="86">
        <f t="array" ref="F14">IFERROR(INDEX('Detail inputs'!$D$3:$K$148,MATCH(F$5&amp;F$6&amp;F$7&amp;$B14&amp;F$8,'Detail inputs'!$D$3:$D$148&amp;'Detail inputs'!$E$3:$E$148&amp;'Detail inputs'!$F$3:$F$148&amp;'Detail inputs'!$B$3:$B$148&amp;'Detail inputs'!$G$3:$G$148,0),MATCH(F$4,'Detail inputs'!$D$3:$K$3,0)),0)</f>
        <v>0.67</v>
      </c>
      <c r="G14" s="86">
        <f>1-F14</f>
        <v>0.32999999999999996</v>
      </c>
      <c r="H14" s="84">
        <f>F14*J14</f>
        <v>1340</v>
      </c>
      <c r="I14" s="84">
        <f>J14-H14</f>
        <v>660</v>
      </c>
      <c r="J14" s="84">
        <f t="array" ref="J14">IFERROR(INDEX('Detail inputs'!$D$3:$K$148,MATCH(J$5&amp;J$6&amp;J$7&amp;$B14&amp;$A$2,'Detail inputs'!$D$3:$D$148&amp;'Detail inputs'!$E$3:$E$148&amp;'Detail inputs'!$F$3:$F$148&amp;'Detail inputs'!$B$3:$B$148&amp;'Detail inputs'!$G$3:$G$148,0),MATCH(J$4,'Detail inputs'!$D$3:$K$3,0)),0)</f>
        <v>2000</v>
      </c>
      <c r="K14" s="84">
        <f>E14+J14</f>
        <v>6800</v>
      </c>
      <c r="L14" s="85"/>
      <c r="M14" s="84">
        <v>20000</v>
      </c>
    </row>
    <row r="15" spans="1:13" ht="20.149999999999999" customHeight="1" x14ac:dyDescent="0.35">
      <c r="B15" s="83" t="s">
        <v>4</v>
      </c>
      <c r="C15" s="84">
        <f t="array" ref="C15">INDEX('Detail inputs'!$D$3:$K$148,MATCH(C$5&amp;C$6&amp;C$7&amp;$B15&amp;C$8,'Detail inputs'!$D$3:$D$148&amp;'Detail inputs'!$E$3:$E$148&amp;'Detail inputs'!$F$3:$F$148&amp;'Detail inputs'!$B$3:$B$148&amp;'Detail inputs'!$G$3:$G$148,0),MATCH(C$4,'Detail inputs'!$D$3:$K$3,0))</f>
        <v>4900</v>
      </c>
      <c r="D15" s="85"/>
      <c r="E15" s="84">
        <f t="array" ref="E15">INDEX('Detail inputs'!$D$3:$K$148,MATCH(E$5&amp;E$6&amp;E$7&amp;$B15&amp;E$8,'Detail inputs'!$D$3:$D$148&amp;'Detail inputs'!$E$3:$E$148&amp;'Detail inputs'!$F$3:$F$148&amp;'Detail inputs'!$B$3:$B$148&amp;'Detail inputs'!$G$3:$G$148,0),MATCH(E$4,'Detail inputs'!$D$3:$K$3,0))</f>
        <v>5200</v>
      </c>
      <c r="F15" s="86">
        <f t="array" ref="F15">IFERROR(INDEX('Detail inputs'!$D$3:$K$148,MATCH(F$5&amp;F$6&amp;F$7&amp;$B15&amp;F$8,'Detail inputs'!$D$3:$D$148&amp;'Detail inputs'!$E$3:$E$148&amp;'Detail inputs'!$F$3:$F$148&amp;'Detail inputs'!$B$3:$B$148&amp;'Detail inputs'!$G$3:$G$148,0),MATCH(F$4,'Detail inputs'!$D$3:$K$3,0)),0)</f>
        <v>0.67</v>
      </c>
      <c r="G15" s="86">
        <f>1-F15</f>
        <v>0.32999999999999996</v>
      </c>
      <c r="H15" s="84">
        <f>F15*J15</f>
        <v>1474</v>
      </c>
      <c r="I15" s="84">
        <f>J15-H15</f>
        <v>726</v>
      </c>
      <c r="J15" s="84">
        <f t="array" ref="J15">IFERROR(INDEX('Detail inputs'!$D$3:$K$148,MATCH(J$5&amp;J$6&amp;J$7&amp;$B15&amp;$A$2,'Detail inputs'!$D$3:$D$148&amp;'Detail inputs'!$E$3:$E$148&amp;'Detail inputs'!$F$3:$F$148&amp;'Detail inputs'!$B$3:$B$148&amp;'Detail inputs'!$G$3:$G$148,0),MATCH(J$4,'Detail inputs'!$D$3:$K$3,0)),0)</f>
        <v>2200</v>
      </c>
      <c r="K15" s="84">
        <f>E15+J15</f>
        <v>7400</v>
      </c>
      <c r="L15" s="85"/>
      <c r="M15" s="84">
        <v>20000</v>
      </c>
    </row>
    <row r="16" spans="1:13" ht="20.149999999999999" customHeight="1" x14ac:dyDescent="0.35">
      <c r="B16" s="83" t="s">
        <v>0</v>
      </c>
      <c r="C16" s="84">
        <f t="array" ref="C16">INDEX('Detail inputs'!$D$3:$K$148,MATCH(C$5&amp;C$6&amp;C$7&amp;$B16&amp;C$8,'Detail inputs'!$D$3:$D$148&amp;'Detail inputs'!$E$3:$E$148&amp;'Detail inputs'!$F$3:$F$148&amp;'Detail inputs'!$B$3:$B$148&amp;'Detail inputs'!$G$3:$G$148,0),MATCH(C$4,'Detail inputs'!$D$3:$K$3,0))</f>
        <v>4600</v>
      </c>
      <c r="D16" s="85"/>
      <c r="E16" s="84">
        <f t="array" ref="E16">INDEX('Detail inputs'!$D$3:$K$148,MATCH(E$5&amp;E$6&amp;E$7&amp;$B16&amp;E$8,'Detail inputs'!$D$3:$D$148&amp;'Detail inputs'!$E$3:$E$148&amp;'Detail inputs'!$F$3:$F$148&amp;'Detail inputs'!$B$3:$B$148&amp;'Detail inputs'!$G$3:$G$148,0),MATCH(E$4,'Detail inputs'!$D$3:$K$3,0))</f>
        <v>4400</v>
      </c>
      <c r="F16" s="86">
        <f t="array" ref="F16">IFERROR(INDEX('Detail inputs'!$D$3:$K$148,MATCH(F$5&amp;F$6&amp;F$7&amp;$B16&amp;F$8,'Detail inputs'!$D$3:$D$148&amp;'Detail inputs'!$E$3:$E$148&amp;'Detail inputs'!$F$3:$F$148&amp;'Detail inputs'!$B$3:$B$148&amp;'Detail inputs'!$G$3:$G$148,0),MATCH(F$4,'Detail inputs'!$D$3:$K$3,0)),0)</f>
        <v>0.28999999999999998</v>
      </c>
      <c r="G16" s="86">
        <f>1-F16</f>
        <v>0.71</v>
      </c>
      <c r="H16" s="84">
        <f>F16*J16</f>
        <v>551</v>
      </c>
      <c r="I16" s="84">
        <f>J16-H16</f>
        <v>1349</v>
      </c>
      <c r="J16" s="84">
        <f t="array" ref="J16">IFERROR(INDEX('Detail inputs'!$D$3:$K$148,MATCH(J$5&amp;J$6&amp;J$7&amp;$B16&amp;$A$2,'Detail inputs'!$D$3:$D$148&amp;'Detail inputs'!$E$3:$E$148&amp;'Detail inputs'!$F$3:$F$148&amp;'Detail inputs'!$B$3:$B$148&amp;'Detail inputs'!$G$3:$G$148,0),MATCH(J$4,'Detail inputs'!$D$3:$K$3,0)),0)</f>
        <v>1900</v>
      </c>
      <c r="K16" s="84">
        <f>E16+J16</f>
        <v>6300</v>
      </c>
      <c r="L16" s="85"/>
      <c r="M16" s="84">
        <v>20000</v>
      </c>
    </row>
    <row r="17" spans="2:13" ht="20.149999999999999" customHeight="1" x14ac:dyDescent="0.35">
      <c r="B17" s="83" t="s">
        <v>3</v>
      </c>
      <c r="C17" s="84">
        <f t="array" ref="C17">INDEX('Detail inputs'!$D$3:$K$148,MATCH(C$5&amp;C$6&amp;C$7&amp;$B17&amp;C$8,'Detail inputs'!$D$3:$D$148&amp;'Detail inputs'!$E$3:$E$148&amp;'Detail inputs'!$F$3:$F$148&amp;'Detail inputs'!$B$3:$B$148&amp;'Detail inputs'!$G$3:$G$148,0),MATCH(C$4,'Detail inputs'!$D$3:$K$3,0))</f>
        <v>4600</v>
      </c>
      <c r="D17" s="85"/>
      <c r="E17" s="84">
        <f t="array" ref="E17">INDEX('Detail inputs'!$D$3:$K$148,MATCH(E$5&amp;E$6&amp;E$7&amp;$B17&amp;E$8,'Detail inputs'!$D$3:$D$148&amp;'Detail inputs'!$E$3:$E$148&amp;'Detail inputs'!$F$3:$F$148&amp;'Detail inputs'!$B$3:$B$148&amp;'Detail inputs'!$G$3:$G$148,0),MATCH(E$4,'Detail inputs'!$D$3:$K$3,0))</f>
        <v>4600</v>
      </c>
      <c r="F17" s="86">
        <f t="array" ref="F17">IFERROR(INDEX('Detail inputs'!$D$3:$K$148,MATCH(F$5&amp;F$6&amp;F$7&amp;$B17&amp;F$8,'Detail inputs'!$D$3:$D$148&amp;'Detail inputs'!$E$3:$E$148&amp;'Detail inputs'!$F$3:$F$148&amp;'Detail inputs'!$B$3:$B$148&amp;'Detail inputs'!$G$3:$G$148,0),MATCH(F$4,'Detail inputs'!$D$3:$K$3,0)),0)</f>
        <v>0.77</v>
      </c>
      <c r="G17" s="86">
        <f>1-F17</f>
        <v>0.22999999999999998</v>
      </c>
      <c r="H17" s="84">
        <f>F17*J17</f>
        <v>1540</v>
      </c>
      <c r="I17" s="84">
        <f>J17-H17</f>
        <v>460</v>
      </c>
      <c r="J17" s="84">
        <f t="array" ref="J17">IFERROR(INDEX('Detail inputs'!$D$3:$K$148,MATCH(J$5&amp;J$6&amp;J$7&amp;$B17&amp;$A$2,'Detail inputs'!$D$3:$D$148&amp;'Detail inputs'!$E$3:$E$148&amp;'Detail inputs'!$F$3:$F$148&amp;'Detail inputs'!$B$3:$B$148&amp;'Detail inputs'!$G$3:$G$148,0),MATCH(J$4,'Detail inputs'!$D$3:$K$3,0)),0)</f>
        <v>2000</v>
      </c>
      <c r="K17" s="84">
        <f>E17+J17</f>
        <v>6600</v>
      </c>
      <c r="L17" s="85"/>
      <c r="M17" s="84">
        <v>20000</v>
      </c>
    </row>
    <row r="18" spans="2:13" ht="20.149999999999999" customHeight="1" x14ac:dyDescent="0.35">
      <c r="B18" s="83" t="s">
        <v>5</v>
      </c>
      <c r="C18" s="84">
        <f t="array" ref="C18">INDEX('Detail inputs'!$D$3:$K$148,MATCH(C$5&amp;C$6&amp;C$7&amp;$B18&amp;C$8,'Detail inputs'!$D$3:$D$148&amp;'Detail inputs'!$E$3:$E$148&amp;'Detail inputs'!$F$3:$F$148&amp;'Detail inputs'!$B$3:$B$148&amp;'Detail inputs'!$G$3:$G$148,0),MATCH(C$4,'Detail inputs'!$D$3:$K$3,0))</f>
        <v>4000</v>
      </c>
      <c r="D18" s="85"/>
      <c r="E18" s="84">
        <f t="array" ref="E18">INDEX('Detail inputs'!$D$3:$K$148,MATCH(E$5&amp;E$6&amp;E$7&amp;$B18&amp;E$8,'Detail inputs'!$D$3:$D$148&amp;'Detail inputs'!$E$3:$E$148&amp;'Detail inputs'!$F$3:$F$148&amp;'Detail inputs'!$B$3:$B$148&amp;'Detail inputs'!$G$3:$G$148,0),MATCH(E$4,'Detail inputs'!$D$3:$K$3,0))</f>
        <v>4200</v>
      </c>
      <c r="F18" s="86">
        <f t="array" ref="F18">IFERROR(INDEX('Detail inputs'!$D$3:$K$148,MATCH(F$5&amp;F$6&amp;F$7&amp;$B18&amp;F$8,'Detail inputs'!$D$3:$D$148&amp;'Detail inputs'!$E$3:$E$148&amp;'Detail inputs'!$F$3:$F$148&amp;'Detail inputs'!$B$3:$B$148&amp;'Detail inputs'!$G$3:$G$148,0),MATCH(F$4,'Detail inputs'!$D$3:$K$3,0)),0)</f>
        <v>1</v>
      </c>
      <c r="G18" s="86">
        <f>1-F18</f>
        <v>0</v>
      </c>
      <c r="H18" s="84">
        <f>F18*J18</f>
        <v>1800</v>
      </c>
      <c r="I18" s="84">
        <f>J18-H18</f>
        <v>0</v>
      </c>
      <c r="J18" s="84">
        <f t="array" ref="J18">IFERROR(INDEX('Detail inputs'!$D$3:$K$148,MATCH(J$5&amp;J$6&amp;J$7&amp;$B18&amp;$A$2,'Detail inputs'!$D$3:$D$148&amp;'Detail inputs'!$E$3:$E$148&amp;'Detail inputs'!$F$3:$F$148&amp;'Detail inputs'!$B$3:$B$148&amp;'Detail inputs'!$G$3:$G$148,0),MATCH(J$4,'Detail inputs'!$D$3:$K$3,0)),0)</f>
        <v>1800</v>
      </c>
      <c r="K18" s="84">
        <f>E18+J18</f>
        <v>6000</v>
      </c>
      <c r="L18" s="85"/>
      <c r="M18" s="84">
        <v>20000</v>
      </c>
    </row>
    <row r="19" spans="2:13" x14ac:dyDescent="0.35">
      <c r="C19" s="21"/>
      <c r="D19" s="21"/>
      <c r="E19" s="21"/>
      <c r="F19" s="21"/>
      <c r="G19" s="21"/>
      <c r="H19" s="21"/>
      <c r="I19" s="21"/>
      <c r="J19" s="21"/>
      <c r="K19" s="21"/>
      <c r="L19" s="21"/>
      <c r="M19" s="21"/>
    </row>
    <row r="20" spans="2:13" x14ac:dyDescent="0.35">
      <c r="C20" s="21"/>
      <c r="D20" s="21"/>
      <c r="E20" s="21"/>
      <c r="F20" s="21"/>
      <c r="G20" s="21"/>
      <c r="H20" s="21"/>
      <c r="I20" s="21"/>
      <c r="J20" s="21"/>
      <c r="K20" s="21"/>
      <c r="L20" s="21"/>
      <c r="M20" s="21"/>
    </row>
    <row r="21" spans="2:13" x14ac:dyDescent="0.35">
      <c r="C21" s="21"/>
      <c r="D21" s="21"/>
      <c r="E21" s="21"/>
      <c r="F21" s="21"/>
      <c r="G21" s="21"/>
      <c r="H21" s="21"/>
      <c r="I21" s="21"/>
      <c r="J21" s="21"/>
      <c r="K21" s="21"/>
      <c r="L21" s="21"/>
      <c r="M21" s="21"/>
    </row>
    <row r="22" spans="2:13" x14ac:dyDescent="0.35">
      <c r="C22" s="21"/>
      <c r="D22" s="21"/>
      <c r="E22" s="21"/>
      <c r="F22" s="21"/>
      <c r="G22" s="21"/>
      <c r="H22" s="21"/>
      <c r="I22" s="21"/>
      <c r="J22" s="21"/>
      <c r="K22" s="21"/>
      <c r="L22" s="21"/>
      <c r="M22" s="21"/>
    </row>
    <row r="23" spans="2:13" x14ac:dyDescent="0.35">
      <c r="C23" s="21"/>
      <c r="D23" s="21"/>
      <c r="E23" s="21"/>
      <c r="F23" s="21"/>
      <c r="G23" s="21"/>
      <c r="H23" s="21"/>
      <c r="I23" s="21"/>
      <c r="J23" s="21"/>
      <c r="K23" s="21"/>
      <c r="L23" s="21"/>
      <c r="M23" s="21"/>
    </row>
    <row r="24" spans="2:13" x14ac:dyDescent="0.35">
      <c r="C24" s="21"/>
      <c r="D24" s="21"/>
      <c r="E24" s="21"/>
      <c r="F24" s="21"/>
      <c r="G24" s="21"/>
      <c r="H24" s="21"/>
      <c r="I24" s="21"/>
      <c r="J24" s="21"/>
      <c r="K24" s="21"/>
      <c r="L24" s="21"/>
      <c r="M24" s="21"/>
    </row>
    <row r="25" spans="2:13" x14ac:dyDescent="0.35">
      <c r="C25" s="21"/>
      <c r="D25" s="21"/>
      <c r="E25" s="21"/>
      <c r="F25" s="21"/>
      <c r="G25" s="21"/>
      <c r="H25" s="21"/>
      <c r="I25" s="21"/>
      <c r="J25" s="21"/>
      <c r="K25" s="21"/>
      <c r="L25" s="21"/>
      <c r="M25" s="21"/>
    </row>
    <row r="26" spans="2:13" x14ac:dyDescent="0.35">
      <c r="C26" s="21"/>
      <c r="D26" s="21"/>
      <c r="E26" s="21"/>
      <c r="F26" s="21"/>
      <c r="G26" s="21"/>
      <c r="H26" s="21"/>
      <c r="I26" s="21"/>
      <c r="J26" s="21"/>
      <c r="K26" s="21"/>
      <c r="L26" s="21"/>
      <c r="M26" s="21"/>
    </row>
    <row r="27" spans="2:13" x14ac:dyDescent="0.35">
      <c r="C27" s="21"/>
      <c r="D27" s="21"/>
      <c r="E27" s="21"/>
      <c r="F27" s="21"/>
      <c r="G27" s="21"/>
      <c r="H27" s="21"/>
      <c r="I27" s="21"/>
      <c r="J27" s="21"/>
      <c r="K27" s="21"/>
      <c r="L27" s="21"/>
      <c r="M27" s="21"/>
    </row>
    <row r="28" spans="2:13" x14ac:dyDescent="0.35">
      <c r="C28" s="21"/>
      <c r="D28" s="21"/>
      <c r="E28" s="21"/>
      <c r="F28" s="21"/>
      <c r="G28" s="21"/>
      <c r="H28" s="21"/>
      <c r="I28" s="21"/>
      <c r="J28" s="21"/>
      <c r="K28" s="21"/>
      <c r="L28" s="21"/>
      <c r="M28" s="21"/>
    </row>
    <row r="29" spans="2:13" x14ac:dyDescent="0.35">
      <c r="C29" s="21"/>
      <c r="D29" s="21"/>
      <c r="E29" s="21"/>
      <c r="F29" s="21"/>
      <c r="G29" s="21"/>
      <c r="H29" s="21"/>
      <c r="I29" s="21"/>
      <c r="J29" s="21"/>
      <c r="K29" s="21"/>
      <c r="L29" s="21"/>
      <c r="M29" s="21"/>
    </row>
    <row r="30" spans="2:13" x14ac:dyDescent="0.35">
      <c r="C30" s="21"/>
      <c r="D30" s="21"/>
      <c r="E30" s="21"/>
      <c r="F30" s="21"/>
      <c r="G30" s="21"/>
      <c r="H30" s="21"/>
      <c r="I30" s="21"/>
      <c r="J30" s="21"/>
      <c r="K30" s="21"/>
      <c r="L30" s="21"/>
      <c r="M30" s="21"/>
    </row>
    <row r="31" spans="2:13" x14ac:dyDescent="0.35">
      <c r="C31" s="21"/>
      <c r="D31" s="21"/>
      <c r="E31" s="21"/>
      <c r="F31" s="21"/>
      <c r="G31" s="21"/>
      <c r="H31" s="21"/>
      <c r="I31" s="21"/>
      <c r="J31" s="21"/>
      <c r="K31" s="21"/>
      <c r="L31" s="21"/>
      <c r="M31" s="21"/>
    </row>
    <row r="32" spans="2:13" x14ac:dyDescent="0.35">
      <c r="C32" s="21"/>
      <c r="D32" s="21"/>
      <c r="E32" s="21"/>
      <c r="F32" s="21"/>
      <c r="G32" s="21"/>
      <c r="H32" s="21"/>
      <c r="I32" s="21"/>
      <c r="J32" s="21"/>
      <c r="K32" s="21"/>
      <c r="L32" s="21"/>
      <c r="M32" s="21"/>
    </row>
    <row r="33" spans="3:13" x14ac:dyDescent="0.35">
      <c r="C33" s="21"/>
      <c r="D33" s="21"/>
      <c r="E33" s="21"/>
      <c r="F33" s="21"/>
      <c r="G33" s="21"/>
      <c r="H33" s="21"/>
      <c r="I33" s="21"/>
      <c r="J33" s="21"/>
      <c r="K33" s="21"/>
      <c r="L33" s="21"/>
      <c r="M33" s="21"/>
    </row>
    <row r="34" spans="3:13" x14ac:dyDescent="0.35">
      <c r="C34" s="21"/>
      <c r="D34" s="21"/>
      <c r="E34" s="21"/>
      <c r="F34" s="21"/>
      <c r="G34" s="21"/>
      <c r="H34" s="21"/>
      <c r="I34" s="21"/>
      <c r="J34" s="21"/>
      <c r="K34" s="21"/>
      <c r="L34" s="21"/>
      <c r="M34" s="21"/>
    </row>
    <row r="35" spans="3:13" x14ac:dyDescent="0.35">
      <c r="C35" s="21"/>
      <c r="D35" s="21"/>
      <c r="E35" s="21"/>
      <c r="F35" s="21"/>
      <c r="G35" s="21"/>
      <c r="H35" s="21"/>
      <c r="I35" s="21"/>
      <c r="J35" s="21"/>
      <c r="K35" s="21"/>
      <c r="L35" s="21"/>
      <c r="M35" s="21"/>
    </row>
    <row r="36" spans="3:13" x14ac:dyDescent="0.35">
      <c r="C36" s="21"/>
      <c r="D36" s="21"/>
      <c r="E36" s="21"/>
      <c r="F36" s="21"/>
      <c r="G36" s="21"/>
      <c r="H36" s="21"/>
      <c r="I36" s="21"/>
      <c r="J36" s="21"/>
      <c r="K36" s="21"/>
      <c r="L36" s="21"/>
      <c r="M36" s="21"/>
    </row>
    <row r="37" spans="3:13" x14ac:dyDescent="0.35">
      <c r="C37" s="21"/>
      <c r="D37" s="21"/>
      <c r="E37" s="21"/>
      <c r="F37" s="21"/>
      <c r="G37" s="21"/>
      <c r="H37" s="21"/>
      <c r="I37" s="21"/>
      <c r="J37" s="21"/>
      <c r="K37" s="21"/>
      <c r="L37" s="21"/>
      <c r="M37" s="21"/>
    </row>
    <row r="38" spans="3:13" x14ac:dyDescent="0.35">
      <c r="C38" s="21"/>
      <c r="D38" s="21"/>
      <c r="E38" s="21"/>
      <c r="F38" s="21"/>
      <c r="G38" s="21"/>
      <c r="H38" s="21"/>
      <c r="I38" s="21"/>
      <c r="J38" s="21"/>
      <c r="K38" s="21"/>
      <c r="L38" s="21"/>
      <c r="M38" s="21"/>
    </row>
  </sheetData>
  <sheetProtection algorithmName="SHA-256" hashValue="6E3OVf6ccX9j5JpDPU8U4ynTSRIn0uX1PKezNWKXavs=" saltValue="KwtAPV5aDt4LQCT/EPon4g==" spinCount="100000" sheet="1" objects="1" scenarios="1"/>
  <mergeCells count="7">
    <mergeCell ref="A1:B1"/>
    <mergeCell ref="C9:M9"/>
    <mergeCell ref="B10:B13"/>
    <mergeCell ref="E11:K11"/>
    <mergeCell ref="K12:K13"/>
    <mergeCell ref="F12:J12"/>
    <mergeCell ref="E10:K10"/>
  </mergeCells>
  <conditionalFormatting sqref="B14:M18">
    <cfRule type="expression" dxfId="1" priority="1">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45"/>
  <sheetViews>
    <sheetView zoomScaleNormal="100" workbookViewId="0">
      <pane ySplit="3" topLeftCell="A4" activePane="bottomLeft" state="frozen"/>
      <selection activeCell="N39" sqref="N39"/>
      <selection pane="bottomLeft" sqref="A1:B1"/>
    </sheetView>
  </sheetViews>
  <sheetFormatPr defaultColWidth="8.81640625" defaultRowHeight="14.5" x14ac:dyDescent="0.35"/>
  <cols>
    <col min="1" max="1" width="1.81640625" style="3" customWidth="1"/>
    <col min="2" max="2" width="15.81640625" style="23" customWidth="1"/>
    <col min="3" max="3" width="29.54296875" style="23" bestFit="1" customWidth="1"/>
    <col min="4" max="4" width="13.453125" style="23" bestFit="1" customWidth="1"/>
    <col min="5" max="5" width="17.1796875" style="23" bestFit="1" customWidth="1"/>
    <col min="6" max="6" width="13.453125" style="23" bestFit="1" customWidth="1"/>
    <col min="7" max="7" width="10.81640625" style="23" customWidth="1"/>
    <col min="8" max="8" width="16" style="23" bestFit="1" customWidth="1"/>
    <col min="9" max="11" width="10.81640625" style="3" customWidth="1"/>
    <col min="12" max="13" width="25.81640625" style="23" customWidth="1"/>
    <col min="14" max="14" width="12.54296875" style="3" customWidth="1"/>
    <col min="15" max="17" width="11.1796875" style="3" customWidth="1"/>
    <col min="18" max="16384" width="8.81640625" style="3"/>
  </cols>
  <sheetData>
    <row r="1" spans="1:14" ht="10.4" customHeight="1" x14ac:dyDescent="0.35">
      <c r="A1" s="274" t="s">
        <v>22</v>
      </c>
      <c r="B1" s="300"/>
    </row>
    <row r="2" spans="1:14" s="14" customFormat="1" ht="22.5" customHeight="1" x14ac:dyDescent="0.35">
      <c r="A2" s="15" t="s">
        <v>103</v>
      </c>
      <c r="B2" s="24"/>
      <c r="C2" s="24"/>
      <c r="D2" s="30"/>
      <c r="E2" s="24"/>
      <c r="F2" s="24"/>
      <c r="G2" s="24"/>
      <c r="H2" s="24"/>
      <c r="L2" s="24"/>
      <c r="M2" s="24"/>
    </row>
    <row r="3" spans="1:14" s="5" customFormat="1" x14ac:dyDescent="0.35">
      <c r="B3" s="25" t="s">
        <v>1</v>
      </c>
      <c r="C3" s="25" t="s">
        <v>12</v>
      </c>
      <c r="D3" s="25" t="s">
        <v>95</v>
      </c>
      <c r="E3" s="25" t="s">
        <v>96</v>
      </c>
      <c r="F3" s="25" t="s">
        <v>97</v>
      </c>
      <c r="G3" s="25" t="s">
        <v>36</v>
      </c>
      <c r="H3" s="25" t="s">
        <v>74</v>
      </c>
      <c r="I3" s="12" t="str">
        <f>PY</f>
        <v>2020-21</v>
      </c>
      <c r="J3" s="12" t="str">
        <f>FY</f>
        <v>2021-22</v>
      </c>
      <c r="K3" s="12" t="s">
        <v>30</v>
      </c>
      <c r="L3" s="25" t="str">
        <f>"Source for "&amp;PY</f>
        <v>Source for 2020-21</v>
      </c>
      <c r="M3" s="25" t="str">
        <f>"Source for "&amp;FY</f>
        <v>Source for 2021-22</v>
      </c>
      <c r="N3" s="25" t="s">
        <v>61</v>
      </c>
    </row>
    <row r="4" spans="1:14" s="73" customFormat="1" x14ac:dyDescent="0.35">
      <c r="B4" s="255" t="s">
        <v>2</v>
      </c>
      <c r="C4" s="255" t="str">
        <f t="shared" ref="C4:C5" si="0">IF(D4="","All",D4&amp;" "&amp;E4)</f>
        <v>Residential without CL</v>
      </c>
      <c r="D4" s="255" t="s">
        <v>6</v>
      </c>
      <c r="E4" s="255" t="s">
        <v>150</v>
      </c>
      <c r="F4" s="255" t="s">
        <v>23</v>
      </c>
      <c r="G4" s="255" t="s">
        <v>79</v>
      </c>
      <c r="H4" s="255" t="s">
        <v>51</v>
      </c>
      <c r="I4" s="265">
        <v>100.92</v>
      </c>
      <c r="J4" s="265">
        <v>80.88</v>
      </c>
      <c r="K4" s="256" t="s">
        <v>48</v>
      </c>
      <c r="L4" s="261" t="s">
        <v>157</v>
      </c>
      <c r="M4" s="261" t="s">
        <v>157</v>
      </c>
      <c r="N4" s="264">
        <f t="shared" ref="N4:N64" si="1">IFERROR(IF(K4="%",J4-I4,J4/I4-1),"")</f>
        <v>-0.19857312722948872</v>
      </c>
    </row>
    <row r="5" spans="1:14" s="73" customFormat="1" x14ac:dyDescent="0.35">
      <c r="B5" s="255" t="s">
        <v>2</v>
      </c>
      <c r="C5" s="255" t="str">
        <f t="shared" si="0"/>
        <v>Residential with CL</v>
      </c>
      <c r="D5" s="255" t="s">
        <v>6</v>
      </c>
      <c r="E5" s="255" t="s">
        <v>151</v>
      </c>
      <c r="F5" s="255" t="s">
        <v>16</v>
      </c>
      <c r="G5" s="255" t="s">
        <v>79</v>
      </c>
      <c r="H5" s="255" t="s">
        <v>51</v>
      </c>
      <c r="I5" s="265">
        <v>65.44</v>
      </c>
      <c r="J5" s="265">
        <v>54.58</v>
      </c>
      <c r="K5" s="256" t="s">
        <v>48</v>
      </c>
      <c r="L5" s="261" t="s">
        <v>157</v>
      </c>
      <c r="M5" s="261" t="s">
        <v>157</v>
      </c>
      <c r="N5" s="264">
        <f t="shared" si="1"/>
        <v>-0.16595354523227379</v>
      </c>
    </row>
    <row r="6" spans="1:14" s="73" customFormat="1" x14ac:dyDescent="0.35">
      <c r="B6" s="255" t="s">
        <v>2</v>
      </c>
      <c r="C6" s="255" t="str">
        <f t="shared" ref="C6:C65" si="2">IF(D6="","All",D6&amp;" "&amp;E6)</f>
        <v>Residential with CL</v>
      </c>
      <c r="D6" s="255" t="s">
        <v>6</v>
      </c>
      <c r="E6" s="255" t="s">
        <v>151</v>
      </c>
      <c r="F6" s="255" t="s">
        <v>17</v>
      </c>
      <c r="G6" s="255" t="s">
        <v>79</v>
      </c>
      <c r="H6" s="255" t="s">
        <v>51</v>
      </c>
      <c r="I6" s="265">
        <v>63.63</v>
      </c>
      <c r="J6" s="265">
        <v>51.76</v>
      </c>
      <c r="K6" s="256" t="s">
        <v>48</v>
      </c>
      <c r="L6" s="261" t="s">
        <v>157</v>
      </c>
      <c r="M6" s="261" t="s">
        <v>157</v>
      </c>
      <c r="N6" s="264">
        <f t="shared" si="1"/>
        <v>-0.18654722615118657</v>
      </c>
    </row>
    <row r="7" spans="1:14" s="73" customFormat="1" x14ac:dyDescent="0.35">
      <c r="B7" s="255" t="s">
        <v>2</v>
      </c>
      <c r="C7" s="255" t="str">
        <f t="shared" si="2"/>
        <v>Small business without CL</v>
      </c>
      <c r="D7" s="255" t="s">
        <v>15</v>
      </c>
      <c r="E7" s="255" t="s">
        <v>150</v>
      </c>
      <c r="F7" s="255" t="s">
        <v>23</v>
      </c>
      <c r="G7" s="255" t="s">
        <v>79</v>
      </c>
      <c r="H7" s="255" t="s">
        <v>51</v>
      </c>
      <c r="I7" s="265">
        <v>100.92</v>
      </c>
      <c r="J7" s="265">
        <v>80.88</v>
      </c>
      <c r="K7" s="256" t="s">
        <v>48</v>
      </c>
      <c r="L7" s="261" t="s">
        <v>157</v>
      </c>
      <c r="M7" s="261" t="s">
        <v>157</v>
      </c>
      <c r="N7" s="264">
        <f t="shared" si="1"/>
        <v>-0.19857312722948872</v>
      </c>
    </row>
    <row r="8" spans="1:14" s="73" customFormat="1" x14ac:dyDescent="0.35">
      <c r="B8" s="255" t="s">
        <v>2</v>
      </c>
      <c r="C8" s="255" t="str">
        <f t="shared" si="2"/>
        <v>All</v>
      </c>
      <c r="D8" s="255"/>
      <c r="E8" s="255"/>
      <c r="F8" s="255"/>
      <c r="G8" s="255" t="s">
        <v>80</v>
      </c>
      <c r="H8" s="255" t="s">
        <v>51</v>
      </c>
      <c r="I8" s="265">
        <v>1.53</v>
      </c>
      <c r="J8" s="265">
        <v>0.28000000000000003</v>
      </c>
      <c r="K8" s="256" t="s">
        <v>48</v>
      </c>
      <c r="L8" s="261" t="s">
        <v>157</v>
      </c>
      <c r="M8" s="261" t="s">
        <v>157</v>
      </c>
      <c r="N8" s="264">
        <f t="shared" si="1"/>
        <v>-0.81699346405228757</v>
      </c>
    </row>
    <row r="9" spans="1:14" s="73" customFormat="1" x14ac:dyDescent="0.35">
      <c r="B9" s="255" t="s">
        <v>2</v>
      </c>
      <c r="C9" s="255" t="str">
        <f t="shared" si="2"/>
        <v>All</v>
      </c>
      <c r="D9" s="255"/>
      <c r="E9" s="255"/>
      <c r="F9" s="255"/>
      <c r="G9" s="255" t="s">
        <v>88</v>
      </c>
      <c r="H9" s="255" t="s">
        <v>51</v>
      </c>
      <c r="I9" s="265">
        <v>0.71</v>
      </c>
      <c r="J9" s="265">
        <v>0.49</v>
      </c>
      <c r="K9" s="256" t="s">
        <v>48</v>
      </c>
      <c r="L9" s="261" t="s">
        <v>157</v>
      </c>
      <c r="M9" s="261" t="s">
        <v>157</v>
      </c>
      <c r="N9" s="264">
        <f t="shared" si="1"/>
        <v>-0.3098591549295775</v>
      </c>
    </row>
    <row r="10" spans="1:14" s="73" customFormat="1" x14ac:dyDescent="0.35">
      <c r="B10" s="255" t="s">
        <v>2</v>
      </c>
      <c r="C10" s="255" t="str">
        <f t="shared" si="2"/>
        <v>All</v>
      </c>
      <c r="D10" s="255"/>
      <c r="E10" s="255"/>
      <c r="F10" s="255"/>
      <c r="G10" s="255" t="s">
        <v>81</v>
      </c>
      <c r="H10" s="255" t="s">
        <v>51</v>
      </c>
      <c r="I10" s="265">
        <v>0.36</v>
      </c>
      <c r="J10" s="265">
        <v>0</v>
      </c>
      <c r="K10" s="256" t="s">
        <v>48</v>
      </c>
      <c r="L10" s="261" t="s">
        <v>157</v>
      </c>
      <c r="M10" s="261" t="s">
        <v>157</v>
      </c>
      <c r="N10" s="264">
        <f t="shared" si="1"/>
        <v>-1</v>
      </c>
    </row>
    <row r="11" spans="1:14" s="73" customFormat="1" x14ac:dyDescent="0.35">
      <c r="B11" s="255" t="s">
        <v>2</v>
      </c>
      <c r="C11" s="255" t="str">
        <f t="shared" si="2"/>
        <v>All</v>
      </c>
      <c r="D11" s="255"/>
      <c r="E11" s="255"/>
      <c r="F11" s="255"/>
      <c r="G11" s="255" t="s">
        <v>161</v>
      </c>
      <c r="H11" s="255" t="s">
        <v>51</v>
      </c>
      <c r="I11" s="265">
        <v>2.25</v>
      </c>
      <c r="J11" s="265">
        <v>1.94</v>
      </c>
      <c r="K11" s="256" t="s">
        <v>48</v>
      </c>
      <c r="L11" s="261" t="s">
        <v>157</v>
      </c>
      <c r="M11" s="261" t="s">
        <v>157</v>
      </c>
      <c r="N11" s="264">
        <f t="shared" si="1"/>
        <v>-0.13777777777777778</v>
      </c>
    </row>
    <row r="12" spans="1:14" s="73" customFormat="1" x14ac:dyDescent="0.35">
      <c r="B12" s="255" t="s">
        <v>2</v>
      </c>
      <c r="C12" s="255" t="str">
        <f t="shared" si="2"/>
        <v>All</v>
      </c>
      <c r="D12" s="255"/>
      <c r="E12" s="255"/>
      <c r="F12" s="255"/>
      <c r="G12" s="255" t="s">
        <v>83</v>
      </c>
      <c r="H12" s="255" t="s">
        <v>51</v>
      </c>
      <c r="I12" s="265">
        <v>4.95</v>
      </c>
      <c r="J12" s="265">
        <v>4.22</v>
      </c>
      <c r="K12" s="256" t="s">
        <v>48</v>
      </c>
      <c r="L12" s="261" t="s">
        <v>157</v>
      </c>
      <c r="M12" s="261" t="s">
        <v>157</v>
      </c>
      <c r="N12" s="264">
        <f t="shared" si="1"/>
        <v>-0.14747474747474754</v>
      </c>
    </row>
    <row r="13" spans="1:14" s="73" customFormat="1" x14ac:dyDescent="0.35">
      <c r="B13" s="255" t="s">
        <v>2</v>
      </c>
      <c r="C13" s="255" t="str">
        <f t="shared" si="2"/>
        <v>All</v>
      </c>
      <c r="D13" s="255"/>
      <c r="E13" s="255"/>
      <c r="F13" s="255"/>
      <c r="G13" s="255" t="s">
        <v>84</v>
      </c>
      <c r="H13" s="255" t="s">
        <v>51</v>
      </c>
      <c r="I13" s="265">
        <v>9.31</v>
      </c>
      <c r="J13" s="265">
        <v>11.52</v>
      </c>
      <c r="K13" s="256" t="s">
        <v>48</v>
      </c>
      <c r="L13" s="261" t="s">
        <v>157</v>
      </c>
      <c r="M13" s="261" t="s">
        <v>157</v>
      </c>
      <c r="N13" s="264">
        <f t="shared" si="1"/>
        <v>0.23737916219119226</v>
      </c>
    </row>
    <row r="14" spans="1:14" s="73" customFormat="1" x14ac:dyDescent="0.35">
      <c r="B14" s="255" t="s">
        <v>2</v>
      </c>
      <c r="C14" s="255" t="str">
        <f t="shared" si="2"/>
        <v>All</v>
      </c>
      <c r="D14" s="255"/>
      <c r="E14" s="255"/>
      <c r="F14" s="255"/>
      <c r="G14" s="255" t="s">
        <v>85</v>
      </c>
      <c r="H14" s="255" t="s">
        <v>51</v>
      </c>
      <c r="I14" s="265">
        <v>2.09</v>
      </c>
      <c r="J14" s="265">
        <v>2.48</v>
      </c>
      <c r="K14" s="256" t="s">
        <v>48</v>
      </c>
      <c r="L14" s="261" t="s">
        <v>157</v>
      </c>
      <c r="M14" s="261" t="s">
        <v>157</v>
      </c>
      <c r="N14" s="264">
        <f t="shared" si="1"/>
        <v>0.1866028708133971</v>
      </c>
    </row>
    <row r="15" spans="1:14" s="73" customFormat="1" x14ac:dyDescent="0.35">
      <c r="B15" s="255" t="s">
        <v>2</v>
      </c>
      <c r="C15" s="255" t="str">
        <f t="shared" si="2"/>
        <v>Residential without CL</v>
      </c>
      <c r="D15" s="255" t="s">
        <v>6</v>
      </c>
      <c r="E15" s="255" t="s">
        <v>150</v>
      </c>
      <c r="F15" s="255" t="s">
        <v>23</v>
      </c>
      <c r="G15" s="255" t="s">
        <v>82</v>
      </c>
      <c r="H15" s="255" t="s">
        <v>51</v>
      </c>
      <c r="I15" s="266">
        <v>0.05</v>
      </c>
      <c r="J15" s="266">
        <v>5.1999999999999998E-2</v>
      </c>
      <c r="K15" s="256" t="s">
        <v>31</v>
      </c>
      <c r="L15" s="261" t="s">
        <v>157</v>
      </c>
      <c r="M15" s="261" t="s">
        <v>157</v>
      </c>
      <c r="N15" s="264">
        <f t="shared" si="1"/>
        <v>1.9999999999999948E-3</v>
      </c>
    </row>
    <row r="16" spans="1:14" s="73" customFormat="1" x14ac:dyDescent="0.35">
      <c r="B16" s="255" t="s">
        <v>2</v>
      </c>
      <c r="C16" s="255" t="str">
        <f t="shared" si="2"/>
        <v>Residential with CL</v>
      </c>
      <c r="D16" s="255" t="s">
        <v>6</v>
      </c>
      <c r="E16" s="255" t="s">
        <v>151</v>
      </c>
      <c r="F16" s="255" t="s">
        <v>16</v>
      </c>
      <c r="G16" s="255" t="s">
        <v>82</v>
      </c>
      <c r="H16" s="255" t="s">
        <v>51</v>
      </c>
      <c r="I16" s="266">
        <v>5.2999999999999999E-2</v>
      </c>
      <c r="J16" s="266">
        <v>5.5E-2</v>
      </c>
      <c r="K16" s="256" t="s">
        <v>31</v>
      </c>
      <c r="L16" s="261" t="s">
        <v>157</v>
      </c>
      <c r="M16" s="261" t="s">
        <v>157</v>
      </c>
      <c r="N16" s="264">
        <f t="shared" si="1"/>
        <v>2.0000000000000018E-3</v>
      </c>
    </row>
    <row r="17" spans="2:14" s="73" customFormat="1" x14ac:dyDescent="0.35">
      <c r="B17" s="255" t="s">
        <v>2</v>
      </c>
      <c r="C17" s="255" t="str">
        <f>IF(D17="","All",D17&amp;" "&amp;E17)</f>
        <v>Residential with CL</v>
      </c>
      <c r="D17" s="255" t="s">
        <v>6</v>
      </c>
      <c r="E17" s="255" t="s">
        <v>151</v>
      </c>
      <c r="F17" s="255" t="s">
        <v>17</v>
      </c>
      <c r="G17" s="255" t="s">
        <v>82</v>
      </c>
      <c r="H17" s="255" t="s">
        <v>51</v>
      </c>
      <c r="I17" s="266">
        <v>5.2999999999999999E-2</v>
      </c>
      <c r="J17" s="266">
        <v>5.5E-2</v>
      </c>
      <c r="K17" s="256" t="s">
        <v>31</v>
      </c>
      <c r="L17" s="261" t="s">
        <v>157</v>
      </c>
      <c r="M17" s="261" t="s">
        <v>157</v>
      </c>
      <c r="N17" s="264">
        <f t="shared" si="1"/>
        <v>2.0000000000000018E-3</v>
      </c>
    </row>
    <row r="18" spans="2:14" s="73" customFormat="1" x14ac:dyDescent="0.35">
      <c r="B18" s="255" t="s">
        <v>2</v>
      </c>
      <c r="C18" s="255" t="str">
        <f>IF(D18="","All",D18&amp;" "&amp;E18)</f>
        <v>Small business without CL</v>
      </c>
      <c r="D18" s="255" t="s">
        <v>15</v>
      </c>
      <c r="E18" s="255" t="s">
        <v>150</v>
      </c>
      <c r="F18" s="255" t="s">
        <v>23</v>
      </c>
      <c r="G18" s="255" t="s">
        <v>82</v>
      </c>
      <c r="H18" s="255" t="s">
        <v>51</v>
      </c>
      <c r="I18" s="266">
        <v>0.05</v>
      </c>
      <c r="J18" s="266">
        <v>5.1999999999999998E-2</v>
      </c>
      <c r="K18" s="256" t="s">
        <v>31</v>
      </c>
      <c r="L18" s="261" t="s">
        <v>157</v>
      </c>
      <c r="M18" s="261" t="s">
        <v>157</v>
      </c>
      <c r="N18" s="264">
        <f t="shared" si="1"/>
        <v>1.9999999999999948E-3</v>
      </c>
    </row>
    <row r="19" spans="2:14" s="73" customFormat="1" x14ac:dyDescent="0.35">
      <c r="B19" s="255" t="s">
        <v>4</v>
      </c>
      <c r="C19" s="255" t="str">
        <f t="shared" si="2"/>
        <v>Residential without CL</v>
      </c>
      <c r="D19" s="255" t="s">
        <v>6</v>
      </c>
      <c r="E19" s="255" t="s">
        <v>150</v>
      </c>
      <c r="F19" s="255" t="s">
        <v>23</v>
      </c>
      <c r="G19" s="255" t="s">
        <v>79</v>
      </c>
      <c r="H19" s="255" t="s">
        <v>51</v>
      </c>
      <c r="I19" s="265">
        <v>101.07</v>
      </c>
      <c r="J19" s="265">
        <v>80.69</v>
      </c>
      <c r="K19" s="256" t="s">
        <v>48</v>
      </c>
      <c r="L19" s="261" t="s">
        <v>157</v>
      </c>
      <c r="M19" s="261" t="s">
        <v>157</v>
      </c>
      <c r="N19" s="264">
        <f t="shared" si="1"/>
        <v>-0.2016424260413574</v>
      </c>
    </row>
    <row r="20" spans="2:14" s="73" customFormat="1" x14ac:dyDescent="0.35">
      <c r="B20" s="255" t="s">
        <v>4</v>
      </c>
      <c r="C20" s="255" t="str">
        <f t="shared" si="2"/>
        <v>Residential with CL</v>
      </c>
      <c r="D20" s="255" t="s">
        <v>6</v>
      </c>
      <c r="E20" s="255" t="s">
        <v>151</v>
      </c>
      <c r="F20" s="255" t="s">
        <v>16</v>
      </c>
      <c r="G20" s="255" t="s">
        <v>79</v>
      </c>
      <c r="H20" s="255" t="s">
        <v>51</v>
      </c>
      <c r="I20" s="265">
        <v>93.2</v>
      </c>
      <c r="J20" s="265">
        <v>76</v>
      </c>
      <c r="K20" s="256" t="s">
        <v>48</v>
      </c>
      <c r="L20" s="261" t="s">
        <v>157</v>
      </c>
      <c r="M20" s="261" t="s">
        <v>157</v>
      </c>
      <c r="N20" s="264">
        <f t="shared" si="1"/>
        <v>-0.18454935622317603</v>
      </c>
    </row>
    <row r="21" spans="2:14" s="73" customFormat="1" x14ac:dyDescent="0.35">
      <c r="B21" s="255" t="s">
        <v>4</v>
      </c>
      <c r="C21" s="255" t="str">
        <f t="shared" si="2"/>
        <v>Residential with CL</v>
      </c>
      <c r="D21" s="255" t="s">
        <v>6</v>
      </c>
      <c r="E21" s="255" t="s">
        <v>151</v>
      </c>
      <c r="F21" s="255" t="s">
        <v>17</v>
      </c>
      <c r="G21" s="255" t="s">
        <v>79</v>
      </c>
      <c r="H21" s="255" t="s">
        <v>51</v>
      </c>
      <c r="I21" s="265">
        <v>93.2</v>
      </c>
      <c r="J21" s="265">
        <v>76</v>
      </c>
      <c r="K21" s="256" t="s">
        <v>48</v>
      </c>
      <c r="L21" s="261" t="s">
        <v>157</v>
      </c>
      <c r="M21" s="261" t="s">
        <v>157</v>
      </c>
      <c r="N21" s="264">
        <f t="shared" si="1"/>
        <v>-0.18454935622317603</v>
      </c>
    </row>
    <row r="22" spans="2:14" s="73" customFormat="1" x14ac:dyDescent="0.35">
      <c r="B22" s="255" t="s">
        <v>4</v>
      </c>
      <c r="C22" s="255" t="str">
        <f t="shared" si="2"/>
        <v>Small business without CL</v>
      </c>
      <c r="D22" s="255" t="s">
        <v>15</v>
      </c>
      <c r="E22" s="255" t="s">
        <v>150</v>
      </c>
      <c r="F22" s="255" t="s">
        <v>23</v>
      </c>
      <c r="G22" s="255" t="s">
        <v>79</v>
      </c>
      <c r="H22" s="255" t="s">
        <v>51</v>
      </c>
      <c r="I22" s="265">
        <v>101.07</v>
      </c>
      <c r="J22" s="265">
        <v>80.69</v>
      </c>
      <c r="K22" s="256" t="s">
        <v>48</v>
      </c>
      <c r="L22" s="261" t="s">
        <v>157</v>
      </c>
      <c r="M22" s="261" t="s">
        <v>157</v>
      </c>
      <c r="N22" s="264">
        <f t="shared" si="1"/>
        <v>-0.2016424260413574</v>
      </c>
    </row>
    <row r="23" spans="2:14" s="73" customFormat="1" x14ac:dyDescent="0.35">
      <c r="B23" s="255" t="s">
        <v>4</v>
      </c>
      <c r="C23" s="255" t="str">
        <f t="shared" si="2"/>
        <v>All</v>
      </c>
      <c r="D23" s="255"/>
      <c r="E23" s="255"/>
      <c r="F23" s="255"/>
      <c r="G23" s="255" t="s">
        <v>80</v>
      </c>
      <c r="H23" s="255" t="s">
        <v>51</v>
      </c>
      <c r="I23" s="265">
        <v>1.53</v>
      </c>
      <c r="J23" s="265">
        <v>0.28000000000000003</v>
      </c>
      <c r="K23" s="256" t="s">
        <v>48</v>
      </c>
      <c r="L23" s="261" t="s">
        <v>157</v>
      </c>
      <c r="M23" s="261" t="s">
        <v>157</v>
      </c>
      <c r="N23" s="264">
        <f t="shared" si="1"/>
        <v>-0.81699346405228757</v>
      </c>
    </row>
    <row r="24" spans="2:14" s="73" customFormat="1" x14ac:dyDescent="0.35">
      <c r="B24" s="255" t="s">
        <v>4</v>
      </c>
      <c r="C24" s="255" t="str">
        <f t="shared" si="2"/>
        <v>All</v>
      </c>
      <c r="D24" s="255"/>
      <c r="E24" s="255"/>
      <c r="F24" s="255"/>
      <c r="G24" s="255" t="s">
        <v>88</v>
      </c>
      <c r="H24" s="255" t="s">
        <v>51</v>
      </c>
      <c r="I24" s="265">
        <v>0.71</v>
      </c>
      <c r="J24" s="265">
        <v>0.49</v>
      </c>
      <c r="K24" s="256" t="s">
        <v>48</v>
      </c>
      <c r="L24" s="261" t="s">
        <v>157</v>
      </c>
      <c r="M24" s="261" t="s">
        <v>157</v>
      </c>
      <c r="N24" s="264">
        <f t="shared" si="1"/>
        <v>-0.3098591549295775</v>
      </c>
    </row>
    <row r="25" spans="2:14" s="73" customFormat="1" x14ac:dyDescent="0.35">
      <c r="B25" s="255" t="s">
        <v>4</v>
      </c>
      <c r="C25" s="255" t="str">
        <f t="shared" si="2"/>
        <v>All</v>
      </c>
      <c r="D25" s="255"/>
      <c r="E25" s="255"/>
      <c r="F25" s="255"/>
      <c r="G25" s="255" t="s">
        <v>81</v>
      </c>
      <c r="H25" s="255" t="s">
        <v>51</v>
      </c>
      <c r="I25" s="265">
        <v>0.36</v>
      </c>
      <c r="J25" s="265">
        <v>0</v>
      </c>
      <c r="K25" s="256" t="s">
        <v>48</v>
      </c>
      <c r="L25" s="261" t="s">
        <v>157</v>
      </c>
      <c r="M25" s="261" t="s">
        <v>157</v>
      </c>
      <c r="N25" s="264">
        <f t="shared" si="1"/>
        <v>-1</v>
      </c>
    </row>
    <row r="26" spans="2:14" s="73" customFormat="1" x14ac:dyDescent="0.35">
      <c r="B26" s="255" t="s">
        <v>4</v>
      </c>
      <c r="C26" s="255" t="str">
        <f t="shared" si="2"/>
        <v>All</v>
      </c>
      <c r="D26" s="255"/>
      <c r="E26" s="255"/>
      <c r="F26" s="255"/>
      <c r="G26" s="255" t="s">
        <v>161</v>
      </c>
      <c r="H26" s="255" t="s">
        <v>51</v>
      </c>
      <c r="I26" s="265">
        <v>2.0499999999999998</v>
      </c>
      <c r="J26" s="265">
        <v>1.81</v>
      </c>
      <c r="K26" s="256" t="s">
        <v>48</v>
      </c>
      <c r="L26" s="261" t="s">
        <v>157</v>
      </c>
      <c r="M26" s="261" t="s">
        <v>157</v>
      </c>
      <c r="N26" s="264">
        <f t="shared" si="1"/>
        <v>-0.1170731707317072</v>
      </c>
    </row>
    <row r="27" spans="2:14" s="73" customFormat="1" x14ac:dyDescent="0.35">
      <c r="B27" s="255" t="s">
        <v>4</v>
      </c>
      <c r="C27" s="255" t="str">
        <f t="shared" si="2"/>
        <v>All</v>
      </c>
      <c r="D27" s="255"/>
      <c r="E27" s="255"/>
      <c r="F27" s="255"/>
      <c r="G27" s="255" t="s">
        <v>83</v>
      </c>
      <c r="H27" s="255" t="s">
        <v>51</v>
      </c>
      <c r="I27" s="265">
        <v>4.95</v>
      </c>
      <c r="J27" s="265">
        <v>4.22</v>
      </c>
      <c r="K27" s="256" t="s">
        <v>48</v>
      </c>
      <c r="L27" s="261" t="s">
        <v>157</v>
      </c>
      <c r="M27" s="261" t="s">
        <v>157</v>
      </c>
      <c r="N27" s="264">
        <f t="shared" si="1"/>
        <v>-0.14747474747474754</v>
      </c>
    </row>
    <row r="28" spans="2:14" s="73" customFormat="1" x14ac:dyDescent="0.35">
      <c r="B28" s="255" t="s">
        <v>4</v>
      </c>
      <c r="C28" s="255" t="str">
        <f t="shared" si="2"/>
        <v>All</v>
      </c>
      <c r="D28" s="255"/>
      <c r="E28" s="255"/>
      <c r="F28" s="255"/>
      <c r="G28" s="255" t="s">
        <v>84</v>
      </c>
      <c r="H28" s="255" t="s">
        <v>51</v>
      </c>
      <c r="I28" s="265">
        <v>9.31</v>
      </c>
      <c r="J28" s="265">
        <v>11.52</v>
      </c>
      <c r="K28" s="256" t="s">
        <v>48</v>
      </c>
      <c r="L28" s="261" t="s">
        <v>157</v>
      </c>
      <c r="M28" s="261" t="s">
        <v>157</v>
      </c>
      <c r="N28" s="264">
        <f t="shared" si="1"/>
        <v>0.23737916219119226</v>
      </c>
    </row>
    <row r="29" spans="2:14" s="73" customFormat="1" x14ac:dyDescent="0.35">
      <c r="B29" s="255" t="s">
        <v>4</v>
      </c>
      <c r="C29" s="255" t="str">
        <f t="shared" si="2"/>
        <v>All</v>
      </c>
      <c r="D29" s="255"/>
      <c r="E29" s="255"/>
      <c r="F29" s="255"/>
      <c r="G29" s="255" t="s">
        <v>85</v>
      </c>
      <c r="H29" s="255" t="s">
        <v>51</v>
      </c>
      <c r="I29" s="265">
        <v>2.09</v>
      </c>
      <c r="J29" s="265">
        <v>2.48</v>
      </c>
      <c r="K29" s="256" t="s">
        <v>48</v>
      </c>
      <c r="L29" s="261" t="s">
        <v>157</v>
      </c>
      <c r="M29" s="261" t="s">
        <v>157</v>
      </c>
      <c r="N29" s="264">
        <f t="shared" si="1"/>
        <v>0.1866028708133971</v>
      </c>
    </row>
    <row r="30" spans="2:14" s="73" customFormat="1" x14ac:dyDescent="0.35">
      <c r="B30" s="255" t="s">
        <v>4</v>
      </c>
      <c r="C30" s="255" t="str">
        <f t="shared" si="2"/>
        <v>Residential without CL</v>
      </c>
      <c r="D30" s="255" t="s">
        <v>6</v>
      </c>
      <c r="E30" s="255" t="s">
        <v>150</v>
      </c>
      <c r="F30" s="255" t="s">
        <v>23</v>
      </c>
      <c r="G30" s="255" t="s">
        <v>82</v>
      </c>
      <c r="H30" s="255" t="s">
        <v>51</v>
      </c>
      <c r="I30" s="266">
        <v>6.2E-2</v>
      </c>
      <c r="J30" s="266">
        <v>0.06</v>
      </c>
      <c r="K30" s="256" t="s">
        <v>31</v>
      </c>
      <c r="L30" s="261" t="s">
        <v>157</v>
      </c>
      <c r="M30" s="261" t="s">
        <v>157</v>
      </c>
      <c r="N30" s="264">
        <f t="shared" si="1"/>
        <v>-2.0000000000000018E-3</v>
      </c>
    </row>
    <row r="31" spans="2:14" s="73" customFormat="1" x14ac:dyDescent="0.35">
      <c r="B31" s="255" t="s">
        <v>4</v>
      </c>
      <c r="C31" s="255" t="str">
        <f>IF(D31="","All",D31&amp;" "&amp;E31)</f>
        <v>Residential with CL</v>
      </c>
      <c r="D31" s="255" t="s">
        <v>6</v>
      </c>
      <c r="E31" s="255" t="s">
        <v>151</v>
      </c>
      <c r="F31" s="255" t="s">
        <v>16</v>
      </c>
      <c r="G31" s="255" t="s">
        <v>82</v>
      </c>
      <c r="H31" s="255" t="s">
        <v>51</v>
      </c>
      <c r="I31" s="266">
        <v>6.2E-2</v>
      </c>
      <c r="J31" s="266">
        <v>0.06</v>
      </c>
      <c r="K31" s="256" t="s">
        <v>31</v>
      </c>
      <c r="L31" s="261" t="s">
        <v>157</v>
      </c>
      <c r="M31" s="261" t="s">
        <v>157</v>
      </c>
      <c r="N31" s="264">
        <f t="shared" si="1"/>
        <v>-2.0000000000000018E-3</v>
      </c>
    </row>
    <row r="32" spans="2:14" s="73" customFormat="1" x14ac:dyDescent="0.35">
      <c r="B32" s="255" t="s">
        <v>4</v>
      </c>
      <c r="C32" s="255" t="str">
        <f>IF(D32="","All",D32&amp;" "&amp;E32)</f>
        <v>Residential with CL</v>
      </c>
      <c r="D32" s="255" t="s">
        <v>6</v>
      </c>
      <c r="E32" s="255" t="s">
        <v>151</v>
      </c>
      <c r="F32" s="255" t="s">
        <v>17</v>
      </c>
      <c r="G32" s="255" t="s">
        <v>82</v>
      </c>
      <c r="H32" s="255" t="s">
        <v>51</v>
      </c>
      <c r="I32" s="266">
        <v>6.2E-2</v>
      </c>
      <c r="J32" s="266">
        <v>0.06</v>
      </c>
      <c r="K32" s="256" t="s">
        <v>31</v>
      </c>
      <c r="L32" s="261" t="s">
        <v>157</v>
      </c>
      <c r="M32" s="261" t="s">
        <v>157</v>
      </c>
      <c r="N32" s="264">
        <f t="shared" si="1"/>
        <v>-2.0000000000000018E-3</v>
      </c>
    </row>
    <row r="33" spans="2:14" s="73" customFormat="1" x14ac:dyDescent="0.35">
      <c r="B33" s="255" t="s">
        <v>4</v>
      </c>
      <c r="C33" s="255" t="str">
        <f>IF(D33="","All",D33&amp;" "&amp;E33)</f>
        <v>Small business without CL</v>
      </c>
      <c r="D33" s="255" t="s">
        <v>15</v>
      </c>
      <c r="E33" s="255" t="s">
        <v>150</v>
      </c>
      <c r="F33" s="255" t="s">
        <v>23</v>
      </c>
      <c r="G33" s="255" t="s">
        <v>82</v>
      </c>
      <c r="H33" s="255" t="s">
        <v>51</v>
      </c>
      <c r="I33" s="266">
        <v>6.2E-2</v>
      </c>
      <c r="J33" s="266">
        <v>0.06</v>
      </c>
      <c r="K33" s="256" t="s">
        <v>31</v>
      </c>
      <c r="L33" s="261" t="s">
        <v>157</v>
      </c>
      <c r="M33" s="261" t="s">
        <v>157</v>
      </c>
      <c r="N33" s="264">
        <f t="shared" si="1"/>
        <v>-2.0000000000000018E-3</v>
      </c>
    </row>
    <row r="34" spans="2:14" s="73" customFormat="1" x14ac:dyDescent="0.35">
      <c r="B34" s="255" t="s">
        <v>3</v>
      </c>
      <c r="C34" s="255" t="str">
        <f t="shared" si="2"/>
        <v>Residential without CL</v>
      </c>
      <c r="D34" s="255" t="s">
        <v>6</v>
      </c>
      <c r="E34" s="255" t="s">
        <v>150</v>
      </c>
      <c r="F34" s="255" t="s">
        <v>23</v>
      </c>
      <c r="G34" s="255" t="s">
        <v>79</v>
      </c>
      <c r="H34" s="255" t="s">
        <v>51</v>
      </c>
      <c r="I34" s="265">
        <v>93.84</v>
      </c>
      <c r="J34" s="265">
        <v>74.52</v>
      </c>
      <c r="K34" s="256" t="s">
        <v>48</v>
      </c>
      <c r="L34" s="261" t="s">
        <v>157</v>
      </c>
      <c r="M34" s="261" t="s">
        <v>157</v>
      </c>
      <c r="N34" s="264">
        <f t="shared" si="1"/>
        <v>-0.20588235294117652</v>
      </c>
    </row>
    <row r="35" spans="2:14" s="73" customFormat="1" x14ac:dyDescent="0.35">
      <c r="B35" s="255" t="s">
        <v>3</v>
      </c>
      <c r="C35" s="255" t="str">
        <f t="shared" si="2"/>
        <v>Residential with CL</v>
      </c>
      <c r="D35" s="255" t="s">
        <v>6</v>
      </c>
      <c r="E35" s="255" t="s">
        <v>151</v>
      </c>
      <c r="F35" s="255" t="s">
        <v>16</v>
      </c>
      <c r="G35" s="255" t="s">
        <v>79</v>
      </c>
      <c r="H35" s="255" t="s">
        <v>51</v>
      </c>
      <c r="I35" s="265">
        <v>79.06</v>
      </c>
      <c r="J35" s="265">
        <v>62.04</v>
      </c>
      <c r="K35" s="256" t="s">
        <v>48</v>
      </c>
      <c r="L35" s="261" t="s">
        <v>157</v>
      </c>
      <c r="M35" s="261" t="s">
        <v>157</v>
      </c>
      <c r="N35" s="264">
        <f t="shared" si="1"/>
        <v>-0.21527953453073623</v>
      </c>
    </row>
    <row r="36" spans="2:14" s="73" customFormat="1" x14ac:dyDescent="0.35">
      <c r="B36" s="255" t="s">
        <v>3</v>
      </c>
      <c r="C36" s="255" t="str">
        <f t="shared" si="2"/>
        <v>Residential with CL</v>
      </c>
      <c r="D36" s="255" t="s">
        <v>6</v>
      </c>
      <c r="E36" s="255" t="s">
        <v>151</v>
      </c>
      <c r="F36" s="255" t="s">
        <v>17</v>
      </c>
      <c r="G36" s="255" t="s">
        <v>79</v>
      </c>
      <c r="H36" s="255" t="s">
        <v>51</v>
      </c>
      <c r="I36" s="265">
        <v>79.06</v>
      </c>
      <c r="J36" s="265">
        <v>62.04</v>
      </c>
      <c r="K36" s="256" t="s">
        <v>48</v>
      </c>
      <c r="L36" s="261" t="s">
        <v>157</v>
      </c>
      <c r="M36" s="261" t="s">
        <v>157</v>
      </c>
      <c r="N36" s="264">
        <f t="shared" si="1"/>
        <v>-0.21527953453073623</v>
      </c>
    </row>
    <row r="37" spans="2:14" s="73" customFormat="1" x14ac:dyDescent="0.35">
      <c r="B37" s="255" t="s">
        <v>3</v>
      </c>
      <c r="C37" s="255" t="str">
        <f t="shared" si="2"/>
        <v>Small business without CL</v>
      </c>
      <c r="D37" s="255" t="s">
        <v>15</v>
      </c>
      <c r="E37" s="255" t="s">
        <v>150</v>
      </c>
      <c r="F37" s="255" t="s">
        <v>23</v>
      </c>
      <c r="G37" s="255" t="s">
        <v>79</v>
      </c>
      <c r="H37" s="255" t="s">
        <v>51</v>
      </c>
      <c r="I37" s="265">
        <v>93.84</v>
      </c>
      <c r="J37" s="265">
        <v>74.52</v>
      </c>
      <c r="K37" s="256" t="s">
        <v>48</v>
      </c>
      <c r="L37" s="261" t="s">
        <v>157</v>
      </c>
      <c r="M37" s="261" t="s">
        <v>157</v>
      </c>
      <c r="N37" s="264">
        <f t="shared" si="1"/>
        <v>-0.20588235294117652</v>
      </c>
    </row>
    <row r="38" spans="2:14" s="73" customFormat="1" x14ac:dyDescent="0.35">
      <c r="B38" s="255" t="s">
        <v>3</v>
      </c>
      <c r="C38" s="255" t="str">
        <f t="shared" si="2"/>
        <v>All</v>
      </c>
      <c r="D38" s="255"/>
      <c r="E38" s="255"/>
      <c r="F38" s="255"/>
      <c r="G38" s="255" t="s">
        <v>80</v>
      </c>
      <c r="H38" s="255" t="s">
        <v>51</v>
      </c>
      <c r="I38" s="265">
        <v>1.53</v>
      </c>
      <c r="J38" s="265">
        <v>0.28000000000000003</v>
      </c>
      <c r="K38" s="256" t="s">
        <v>48</v>
      </c>
      <c r="L38" s="261" t="s">
        <v>157</v>
      </c>
      <c r="M38" s="261" t="s">
        <v>157</v>
      </c>
      <c r="N38" s="264">
        <f t="shared" si="1"/>
        <v>-0.81699346405228757</v>
      </c>
    </row>
    <row r="39" spans="2:14" s="73" customFormat="1" x14ac:dyDescent="0.35">
      <c r="B39" s="255" t="s">
        <v>3</v>
      </c>
      <c r="C39" s="255" t="str">
        <f t="shared" si="2"/>
        <v>All</v>
      </c>
      <c r="D39" s="255"/>
      <c r="E39" s="255"/>
      <c r="F39" s="255"/>
      <c r="G39" s="255" t="s">
        <v>88</v>
      </c>
      <c r="H39" s="255" t="s">
        <v>51</v>
      </c>
      <c r="I39" s="265">
        <v>0.71</v>
      </c>
      <c r="J39" s="265">
        <v>0.49</v>
      </c>
      <c r="K39" s="256" t="s">
        <v>48</v>
      </c>
      <c r="L39" s="261" t="s">
        <v>157</v>
      </c>
      <c r="M39" s="261" t="s">
        <v>157</v>
      </c>
      <c r="N39" s="264">
        <f t="shared" si="1"/>
        <v>-0.3098591549295775</v>
      </c>
    </row>
    <row r="40" spans="2:14" s="73" customFormat="1" x14ac:dyDescent="0.35">
      <c r="B40" s="255" t="s">
        <v>3</v>
      </c>
      <c r="C40" s="255" t="str">
        <f t="shared" si="2"/>
        <v>All</v>
      </c>
      <c r="D40" s="255"/>
      <c r="E40" s="255"/>
      <c r="F40" s="255"/>
      <c r="G40" s="255" t="s">
        <v>81</v>
      </c>
      <c r="H40" s="255" t="s">
        <v>51</v>
      </c>
      <c r="I40" s="265">
        <v>0.36</v>
      </c>
      <c r="J40" s="265">
        <v>0</v>
      </c>
      <c r="K40" s="256" t="s">
        <v>48</v>
      </c>
      <c r="L40" s="261" t="s">
        <v>157</v>
      </c>
      <c r="M40" s="261" t="s">
        <v>157</v>
      </c>
      <c r="N40" s="264">
        <f t="shared" si="1"/>
        <v>-1</v>
      </c>
    </row>
    <row r="41" spans="2:14" s="73" customFormat="1" x14ac:dyDescent="0.35">
      <c r="B41" s="255" t="s">
        <v>3</v>
      </c>
      <c r="C41" s="255" t="str">
        <f t="shared" si="2"/>
        <v>All</v>
      </c>
      <c r="D41" s="255"/>
      <c r="E41" s="255"/>
      <c r="F41" s="255"/>
      <c r="G41" s="255" t="s">
        <v>161</v>
      </c>
      <c r="H41" s="255" t="s">
        <v>51</v>
      </c>
      <c r="I41" s="265">
        <v>1.66</v>
      </c>
      <c r="J41" s="265">
        <v>1.59</v>
      </c>
      <c r="K41" s="256" t="s">
        <v>48</v>
      </c>
      <c r="L41" s="261" t="s">
        <v>157</v>
      </c>
      <c r="M41" s="261" t="s">
        <v>157</v>
      </c>
      <c r="N41" s="264">
        <f t="shared" si="1"/>
        <v>-4.2168674698795039E-2</v>
      </c>
    </row>
    <row r="42" spans="2:14" s="73" customFormat="1" x14ac:dyDescent="0.35">
      <c r="B42" s="255" t="s">
        <v>3</v>
      </c>
      <c r="C42" s="255" t="str">
        <f t="shared" si="2"/>
        <v>All</v>
      </c>
      <c r="D42" s="255"/>
      <c r="E42" s="255"/>
      <c r="F42" s="255"/>
      <c r="G42" s="255" t="s">
        <v>83</v>
      </c>
      <c r="H42" s="255" t="s">
        <v>51</v>
      </c>
      <c r="I42" s="265">
        <v>4.95</v>
      </c>
      <c r="J42" s="265">
        <v>4.22</v>
      </c>
      <c r="K42" s="256" t="s">
        <v>48</v>
      </c>
      <c r="L42" s="261" t="s">
        <v>157</v>
      </c>
      <c r="M42" s="261" t="s">
        <v>157</v>
      </c>
      <c r="N42" s="264">
        <f t="shared" si="1"/>
        <v>-0.14747474747474754</v>
      </c>
    </row>
    <row r="43" spans="2:14" s="73" customFormat="1" x14ac:dyDescent="0.35">
      <c r="B43" s="255" t="s">
        <v>3</v>
      </c>
      <c r="C43" s="255" t="str">
        <f t="shared" si="2"/>
        <v>All</v>
      </c>
      <c r="D43" s="255"/>
      <c r="E43" s="255"/>
      <c r="F43" s="255"/>
      <c r="G43" s="255" t="s">
        <v>84</v>
      </c>
      <c r="H43" s="255" t="s">
        <v>51</v>
      </c>
      <c r="I43" s="265">
        <v>9.31</v>
      </c>
      <c r="J43" s="265">
        <v>11.52</v>
      </c>
      <c r="K43" s="256" t="s">
        <v>48</v>
      </c>
      <c r="L43" s="261" t="s">
        <v>157</v>
      </c>
      <c r="M43" s="261" t="s">
        <v>157</v>
      </c>
      <c r="N43" s="264">
        <f t="shared" si="1"/>
        <v>0.23737916219119226</v>
      </c>
    </row>
    <row r="44" spans="2:14" s="73" customFormat="1" x14ac:dyDescent="0.35">
      <c r="B44" s="255" t="s">
        <v>3</v>
      </c>
      <c r="C44" s="255" t="str">
        <f t="shared" si="2"/>
        <v>All</v>
      </c>
      <c r="D44" s="255"/>
      <c r="E44" s="255"/>
      <c r="F44" s="255"/>
      <c r="G44" s="255" t="s">
        <v>85</v>
      </c>
      <c r="H44" s="255" t="s">
        <v>51</v>
      </c>
      <c r="I44" s="265">
        <v>2.09</v>
      </c>
      <c r="J44" s="265">
        <v>2.48</v>
      </c>
      <c r="K44" s="256" t="s">
        <v>48</v>
      </c>
      <c r="L44" s="261" t="s">
        <v>157</v>
      </c>
      <c r="M44" s="261" t="s">
        <v>157</v>
      </c>
      <c r="N44" s="264">
        <f t="shared" si="1"/>
        <v>0.1866028708133971</v>
      </c>
    </row>
    <row r="45" spans="2:14" s="73" customFormat="1" x14ac:dyDescent="0.35">
      <c r="B45" s="255" t="s">
        <v>3</v>
      </c>
      <c r="C45" s="255" t="str">
        <f t="shared" si="2"/>
        <v>Residential without CL</v>
      </c>
      <c r="D45" s="255" t="s">
        <v>6</v>
      </c>
      <c r="E45" s="255" t="s">
        <v>150</v>
      </c>
      <c r="F45" s="255" t="s">
        <v>23</v>
      </c>
      <c r="G45" s="255" t="s">
        <v>82</v>
      </c>
      <c r="H45" s="255" t="s">
        <v>51</v>
      </c>
      <c r="I45" s="266">
        <v>5.5E-2</v>
      </c>
      <c r="J45" s="266">
        <v>4.4999999999999998E-2</v>
      </c>
      <c r="K45" s="256" t="s">
        <v>31</v>
      </c>
      <c r="L45" s="261" t="s">
        <v>157</v>
      </c>
      <c r="M45" s="261" t="s">
        <v>157</v>
      </c>
      <c r="N45" s="264">
        <f t="shared" si="1"/>
        <v>-1.0000000000000002E-2</v>
      </c>
    </row>
    <row r="46" spans="2:14" s="73" customFormat="1" x14ac:dyDescent="0.35">
      <c r="B46" s="255" t="s">
        <v>3</v>
      </c>
      <c r="C46" s="255" t="str">
        <f>IF(D46="","All",D46&amp;" "&amp;E46)</f>
        <v>Residential with CL</v>
      </c>
      <c r="D46" s="255" t="s">
        <v>6</v>
      </c>
      <c r="E46" s="255" t="s">
        <v>151</v>
      </c>
      <c r="F46" s="255" t="s">
        <v>16</v>
      </c>
      <c r="G46" s="255" t="s">
        <v>82</v>
      </c>
      <c r="H46" s="255" t="s">
        <v>51</v>
      </c>
      <c r="I46" s="266">
        <v>5.5E-2</v>
      </c>
      <c r="J46" s="266">
        <v>4.4999999999999998E-2</v>
      </c>
      <c r="K46" s="256" t="s">
        <v>31</v>
      </c>
      <c r="L46" s="261" t="s">
        <v>157</v>
      </c>
      <c r="M46" s="261" t="s">
        <v>157</v>
      </c>
      <c r="N46" s="264">
        <f t="shared" si="1"/>
        <v>-1.0000000000000002E-2</v>
      </c>
    </row>
    <row r="47" spans="2:14" s="73" customFormat="1" x14ac:dyDescent="0.35">
      <c r="B47" s="255" t="s">
        <v>3</v>
      </c>
      <c r="C47" s="255" t="str">
        <f>IF(D47="","All",D47&amp;" "&amp;E47)</f>
        <v>Residential with CL</v>
      </c>
      <c r="D47" s="255" t="s">
        <v>6</v>
      </c>
      <c r="E47" s="255" t="s">
        <v>151</v>
      </c>
      <c r="F47" s="255" t="s">
        <v>17</v>
      </c>
      <c r="G47" s="255" t="s">
        <v>82</v>
      </c>
      <c r="H47" s="255" t="s">
        <v>51</v>
      </c>
      <c r="I47" s="266">
        <v>5.5E-2</v>
      </c>
      <c r="J47" s="266">
        <v>4.4999999999999998E-2</v>
      </c>
      <c r="K47" s="256" t="s">
        <v>31</v>
      </c>
      <c r="L47" s="261" t="s">
        <v>157</v>
      </c>
      <c r="M47" s="261" t="s">
        <v>157</v>
      </c>
      <c r="N47" s="264">
        <f t="shared" si="1"/>
        <v>-1.0000000000000002E-2</v>
      </c>
    </row>
    <row r="48" spans="2:14" s="73" customFormat="1" x14ac:dyDescent="0.35">
      <c r="B48" s="255" t="s">
        <v>3</v>
      </c>
      <c r="C48" s="255" t="str">
        <f>IF(D48="","All",D48&amp;" "&amp;E48)</f>
        <v>Small business without CL</v>
      </c>
      <c r="D48" s="255" t="s">
        <v>15</v>
      </c>
      <c r="E48" s="255" t="s">
        <v>150</v>
      </c>
      <c r="F48" s="255" t="s">
        <v>23</v>
      </c>
      <c r="G48" s="255" t="s">
        <v>82</v>
      </c>
      <c r="H48" s="255" t="s">
        <v>51</v>
      </c>
      <c r="I48" s="266">
        <v>5.5E-2</v>
      </c>
      <c r="J48" s="266">
        <v>4.4999999999999998E-2</v>
      </c>
      <c r="K48" s="256" t="s">
        <v>31</v>
      </c>
      <c r="L48" s="261" t="s">
        <v>157</v>
      </c>
      <c r="M48" s="261" t="s">
        <v>157</v>
      </c>
      <c r="N48" s="264">
        <f t="shared" si="1"/>
        <v>-1.0000000000000002E-2</v>
      </c>
    </row>
    <row r="49" spans="2:14" s="73" customFormat="1" x14ac:dyDescent="0.35">
      <c r="B49" s="255" t="s">
        <v>0</v>
      </c>
      <c r="C49" s="255" t="str">
        <f t="shared" si="2"/>
        <v>Residential without CL</v>
      </c>
      <c r="D49" s="255" t="s">
        <v>6</v>
      </c>
      <c r="E49" s="255" t="s">
        <v>150</v>
      </c>
      <c r="F49" s="255" t="s">
        <v>23</v>
      </c>
      <c r="G49" s="255" t="s">
        <v>79</v>
      </c>
      <c r="H49" s="255" t="s">
        <v>51</v>
      </c>
      <c r="I49" s="265">
        <v>82.45</v>
      </c>
      <c r="J49" s="265">
        <v>67.010000000000005</v>
      </c>
      <c r="K49" s="256" t="s">
        <v>48</v>
      </c>
      <c r="L49" s="261" t="s">
        <v>157</v>
      </c>
      <c r="M49" s="261" t="s">
        <v>157</v>
      </c>
      <c r="N49" s="264">
        <f t="shared" si="1"/>
        <v>-0.18726500909642207</v>
      </c>
    </row>
    <row r="50" spans="2:14" s="73" customFormat="1" x14ac:dyDescent="0.35">
      <c r="B50" s="255" t="s">
        <v>0</v>
      </c>
      <c r="C50" s="255" t="str">
        <f t="shared" si="2"/>
        <v>Residential with CL</v>
      </c>
      <c r="D50" s="255" t="s">
        <v>6</v>
      </c>
      <c r="E50" s="255" t="s">
        <v>151</v>
      </c>
      <c r="F50" s="255" t="s">
        <v>16</v>
      </c>
      <c r="G50" s="255" t="s">
        <v>79</v>
      </c>
      <c r="H50" s="255" t="s">
        <v>51</v>
      </c>
      <c r="I50" s="265">
        <v>64.319999999999993</v>
      </c>
      <c r="J50" s="265">
        <v>52.73</v>
      </c>
      <c r="K50" s="256" t="s">
        <v>48</v>
      </c>
      <c r="L50" s="261" t="s">
        <v>157</v>
      </c>
      <c r="M50" s="261" t="s">
        <v>157</v>
      </c>
      <c r="N50" s="264">
        <f t="shared" si="1"/>
        <v>-0.18019278606965172</v>
      </c>
    </row>
    <row r="51" spans="2:14" s="73" customFormat="1" x14ac:dyDescent="0.35">
      <c r="B51" s="255" t="s">
        <v>0</v>
      </c>
      <c r="C51" s="255" t="str">
        <f t="shared" si="2"/>
        <v>Residential with CL</v>
      </c>
      <c r="D51" s="255" t="s">
        <v>6</v>
      </c>
      <c r="E51" s="255" t="s">
        <v>151</v>
      </c>
      <c r="F51" s="255" t="s">
        <v>17</v>
      </c>
      <c r="G51" s="255" t="s">
        <v>79</v>
      </c>
      <c r="H51" s="255" t="s">
        <v>51</v>
      </c>
      <c r="I51" s="265">
        <v>65.989999999999995</v>
      </c>
      <c r="J51" s="265">
        <v>54.93</v>
      </c>
      <c r="K51" s="256" t="s">
        <v>48</v>
      </c>
      <c r="L51" s="261" t="s">
        <v>157</v>
      </c>
      <c r="M51" s="261" t="s">
        <v>157</v>
      </c>
      <c r="N51" s="264">
        <f t="shared" si="1"/>
        <v>-0.16760115168964984</v>
      </c>
    </row>
    <row r="52" spans="2:14" s="73" customFormat="1" x14ac:dyDescent="0.35">
      <c r="B52" s="255" t="s">
        <v>0</v>
      </c>
      <c r="C52" s="255" t="str">
        <f t="shared" si="2"/>
        <v>Small business without CL</v>
      </c>
      <c r="D52" s="255" t="s">
        <v>15</v>
      </c>
      <c r="E52" s="255" t="s">
        <v>150</v>
      </c>
      <c r="F52" s="255" t="s">
        <v>23</v>
      </c>
      <c r="G52" s="255" t="s">
        <v>79</v>
      </c>
      <c r="H52" s="255" t="s">
        <v>51</v>
      </c>
      <c r="I52" s="265">
        <v>82.45</v>
      </c>
      <c r="J52" s="265">
        <v>67.010000000000005</v>
      </c>
      <c r="K52" s="256" t="s">
        <v>48</v>
      </c>
      <c r="L52" s="261" t="s">
        <v>157</v>
      </c>
      <c r="M52" s="261" t="s">
        <v>157</v>
      </c>
      <c r="N52" s="264">
        <f t="shared" si="1"/>
        <v>-0.18726500909642207</v>
      </c>
    </row>
    <row r="53" spans="2:14" s="73" customFormat="1" x14ac:dyDescent="0.35">
      <c r="B53" s="255" t="s">
        <v>0</v>
      </c>
      <c r="C53" s="255" t="str">
        <f t="shared" si="2"/>
        <v>All</v>
      </c>
      <c r="D53" s="255"/>
      <c r="E53" s="255"/>
      <c r="F53" s="255"/>
      <c r="G53" s="255" t="s">
        <v>80</v>
      </c>
      <c r="H53" s="255" t="s">
        <v>51</v>
      </c>
      <c r="I53" s="265">
        <v>1.53</v>
      </c>
      <c r="J53" s="265">
        <v>0.42</v>
      </c>
      <c r="K53" s="256" t="s">
        <v>48</v>
      </c>
      <c r="L53" s="261" t="s">
        <v>157</v>
      </c>
      <c r="M53" s="261" t="s">
        <v>157</v>
      </c>
      <c r="N53" s="264">
        <f t="shared" si="1"/>
        <v>-0.72549019607843146</v>
      </c>
    </row>
    <row r="54" spans="2:14" s="73" customFormat="1" x14ac:dyDescent="0.35">
      <c r="B54" s="255" t="s">
        <v>0</v>
      </c>
      <c r="C54" s="255" t="str">
        <f t="shared" si="2"/>
        <v>All</v>
      </c>
      <c r="D54" s="255"/>
      <c r="E54" s="255"/>
      <c r="F54" s="255"/>
      <c r="G54" s="255" t="s">
        <v>88</v>
      </c>
      <c r="H54" s="255" t="s">
        <v>51</v>
      </c>
      <c r="I54" s="265">
        <v>0.71</v>
      </c>
      <c r="J54" s="265">
        <v>0.49</v>
      </c>
      <c r="K54" s="256" t="s">
        <v>48</v>
      </c>
      <c r="L54" s="261" t="s">
        <v>157</v>
      </c>
      <c r="M54" s="261" t="s">
        <v>157</v>
      </c>
      <c r="N54" s="264">
        <f t="shared" si="1"/>
        <v>-0.3098591549295775</v>
      </c>
    </row>
    <row r="55" spans="2:14" s="73" customFormat="1" x14ac:dyDescent="0.35">
      <c r="B55" s="255" t="s">
        <v>0</v>
      </c>
      <c r="C55" s="255" t="str">
        <f t="shared" si="2"/>
        <v>All</v>
      </c>
      <c r="D55" s="255"/>
      <c r="E55" s="255"/>
      <c r="F55" s="255"/>
      <c r="G55" s="255" t="s">
        <v>81</v>
      </c>
      <c r="H55" s="255" t="s">
        <v>51</v>
      </c>
      <c r="I55" s="265">
        <v>0</v>
      </c>
      <c r="J55" s="265">
        <v>0</v>
      </c>
      <c r="K55" s="256" t="s">
        <v>48</v>
      </c>
      <c r="L55" s="261" t="s">
        <v>157</v>
      </c>
      <c r="M55" s="261" t="s">
        <v>157</v>
      </c>
      <c r="N55" s="264" t="str">
        <f t="shared" si="1"/>
        <v/>
      </c>
    </row>
    <row r="56" spans="2:14" s="73" customFormat="1" x14ac:dyDescent="0.35">
      <c r="B56" s="255" t="s">
        <v>0</v>
      </c>
      <c r="C56" s="255" t="str">
        <f t="shared" si="2"/>
        <v>All</v>
      </c>
      <c r="D56" s="255"/>
      <c r="E56" s="255"/>
      <c r="F56" s="255"/>
      <c r="G56" s="255" t="s">
        <v>161</v>
      </c>
      <c r="H56" s="255" t="s">
        <v>51</v>
      </c>
      <c r="I56" s="265">
        <v>1.7</v>
      </c>
      <c r="J56" s="265">
        <v>1.66</v>
      </c>
      <c r="K56" s="256" t="s">
        <v>48</v>
      </c>
      <c r="L56" s="261" t="s">
        <v>157</v>
      </c>
      <c r="M56" s="261" t="s">
        <v>157</v>
      </c>
      <c r="N56" s="264">
        <f t="shared" si="1"/>
        <v>-2.352941176470591E-2</v>
      </c>
    </row>
    <row r="57" spans="2:14" s="73" customFormat="1" x14ac:dyDescent="0.35">
      <c r="B57" s="255" t="s">
        <v>0</v>
      </c>
      <c r="C57" s="255" t="str">
        <f t="shared" si="2"/>
        <v>All</v>
      </c>
      <c r="D57" s="255"/>
      <c r="E57" s="255"/>
      <c r="F57" s="255"/>
      <c r="G57" s="255" t="s">
        <v>83</v>
      </c>
      <c r="H57" s="255" t="s">
        <v>51</v>
      </c>
      <c r="I57" s="265">
        <v>4.95</v>
      </c>
      <c r="J57" s="265">
        <v>4.22</v>
      </c>
      <c r="K57" s="256" t="s">
        <v>48</v>
      </c>
      <c r="L57" s="261" t="s">
        <v>157</v>
      </c>
      <c r="M57" s="261" t="s">
        <v>157</v>
      </c>
      <c r="N57" s="264">
        <f t="shared" si="1"/>
        <v>-0.14747474747474754</v>
      </c>
    </row>
    <row r="58" spans="2:14" s="73" customFormat="1" x14ac:dyDescent="0.35">
      <c r="B58" s="255" t="s">
        <v>0</v>
      </c>
      <c r="C58" s="255" t="str">
        <f t="shared" si="2"/>
        <v>All</v>
      </c>
      <c r="D58" s="255"/>
      <c r="E58" s="255"/>
      <c r="F58" s="255"/>
      <c r="G58" s="255" t="s">
        <v>84</v>
      </c>
      <c r="H58" s="255" t="s">
        <v>51</v>
      </c>
      <c r="I58" s="265">
        <v>9.31</v>
      </c>
      <c r="J58" s="265">
        <v>11.52</v>
      </c>
      <c r="K58" s="256" t="s">
        <v>48</v>
      </c>
      <c r="L58" s="261" t="s">
        <v>157</v>
      </c>
      <c r="M58" s="261" t="s">
        <v>157</v>
      </c>
      <c r="N58" s="264">
        <f t="shared" si="1"/>
        <v>0.23737916219119226</v>
      </c>
    </row>
    <row r="59" spans="2:14" s="73" customFormat="1" x14ac:dyDescent="0.35">
      <c r="B59" s="255" t="s">
        <v>0</v>
      </c>
      <c r="C59" s="255" t="str">
        <f t="shared" si="2"/>
        <v>Residential without CL</v>
      </c>
      <c r="D59" s="255" t="s">
        <v>6</v>
      </c>
      <c r="E59" s="255" t="s">
        <v>150</v>
      </c>
      <c r="F59" s="255" t="s">
        <v>23</v>
      </c>
      <c r="G59" s="255" t="s">
        <v>82</v>
      </c>
      <c r="H59" s="255" t="s">
        <v>51</v>
      </c>
      <c r="I59" s="266">
        <v>5.8999999999999997E-2</v>
      </c>
      <c r="J59" s="266">
        <v>6.4000000000000001E-2</v>
      </c>
      <c r="K59" s="256" t="s">
        <v>31</v>
      </c>
      <c r="L59" s="261" t="s">
        <v>157</v>
      </c>
      <c r="M59" s="261" t="s">
        <v>157</v>
      </c>
      <c r="N59" s="264">
        <f t="shared" si="1"/>
        <v>5.0000000000000044E-3</v>
      </c>
    </row>
    <row r="60" spans="2:14" s="73" customFormat="1" x14ac:dyDescent="0.35">
      <c r="B60" s="255" t="s">
        <v>0</v>
      </c>
      <c r="C60" s="255" t="str">
        <f>IF(D60="","All",D60&amp;" "&amp;E60)</f>
        <v>Residential with CL</v>
      </c>
      <c r="D60" s="255" t="s">
        <v>6</v>
      </c>
      <c r="E60" s="255" t="s">
        <v>151</v>
      </c>
      <c r="F60" s="255" t="s">
        <v>16</v>
      </c>
      <c r="G60" s="255" t="s">
        <v>82</v>
      </c>
      <c r="H60" s="255" t="s">
        <v>51</v>
      </c>
      <c r="I60" s="266">
        <v>5.8999999999999997E-2</v>
      </c>
      <c r="J60" s="266">
        <v>6.4000000000000001E-2</v>
      </c>
      <c r="K60" s="256" t="s">
        <v>31</v>
      </c>
      <c r="L60" s="261" t="s">
        <v>157</v>
      </c>
      <c r="M60" s="261" t="s">
        <v>157</v>
      </c>
      <c r="N60" s="264">
        <f t="shared" si="1"/>
        <v>5.0000000000000044E-3</v>
      </c>
    </row>
    <row r="61" spans="2:14" s="73" customFormat="1" x14ac:dyDescent="0.35">
      <c r="B61" s="255" t="s">
        <v>0</v>
      </c>
      <c r="C61" s="255" t="str">
        <f>IF(D61="","All",D61&amp;" "&amp;E61)</f>
        <v>Residential with CL</v>
      </c>
      <c r="D61" s="255" t="s">
        <v>6</v>
      </c>
      <c r="E61" s="255" t="s">
        <v>151</v>
      </c>
      <c r="F61" s="255" t="s">
        <v>17</v>
      </c>
      <c r="G61" s="255" t="s">
        <v>82</v>
      </c>
      <c r="H61" s="255" t="s">
        <v>51</v>
      </c>
      <c r="I61" s="266">
        <v>5.8999999999999997E-2</v>
      </c>
      <c r="J61" s="266">
        <v>6.4000000000000001E-2</v>
      </c>
      <c r="K61" s="256" t="s">
        <v>31</v>
      </c>
      <c r="L61" s="261" t="s">
        <v>157</v>
      </c>
      <c r="M61" s="261" t="s">
        <v>157</v>
      </c>
      <c r="N61" s="264">
        <f t="shared" si="1"/>
        <v>5.0000000000000044E-3</v>
      </c>
    </row>
    <row r="62" spans="2:14" s="73" customFormat="1" x14ac:dyDescent="0.35">
      <c r="B62" s="255" t="s">
        <v>0</v>
      </c>
      <c r="C62" s="255" t="str">
        <f>IF(D62="","All",D62&amp;" "&amp;E62)</f>
        <v>Small business without CL</v>
      </c>
      <c r="D62" s="255" t="s">
        <v>15</v>
      </c>
      <c r="E62" s="255" t="s">
        <v>150</v>
      </c>
      <c r="F62" s="255" t="s">
        <v>23</v>
      </c>
      <c r="G62" s="255" t="s">
        <v>82</v>
      </c>
      <c r="H62" s="255" t="s">
        <v>51</v>
      </c>
      <c r="I62" s="266">
        <v>5.8999999999999997E-2</v>
      </c>
      <c r="J62" s="266">
        <v>6.4000000000000001E-2</v>
      </c>
      <c r="K62" s="256" t="s">
        <v>31</v>
      </c>
      <c r="L62" s="261" t="s">
        <v>157</v>
      </c>
      <c r="M62" s="261" t="s">
        <v>157</v>
      </c>
      <c r="N62" s="264">
        <f t="shared" si="1"/>
        <v>5.0000000000000044E-3</v>
      </c>
    </row>
    <row r="63" spans="2:14" s="73" customFormat="1" x14ac:dyDescent="0.35">
      <c r="B63" s="255" t="s">
        <v>5</v>
      </c>
      <c r="C63" s="255" t="str">
        <f t="shared" si="2"/>
        <v>Residential without CL</v>
      </c>
      <c r="D63" s="255" t="s">
        <v>6</v>
      </c>
      <c r="E63" s="255" t="s">
        <v>150</v>
      </c>
      <c r="F63" s="255" t="s">
        <v>23</v>
      </c>
      <c r="G63" s="255" t="s">
        <v>79</v>
      </c>
      <c r="H63" s="255" t="s">
        <v>51</v>
      </c>
      <c r="I63" s="265">
        <v>132.61000000000001</v>
      </c>
      <c r="J63" s="265">
        <v>101.75</v>
      </c>
      <c r="K63" s="256" t="s">
        <v>48</v>
      </c>
      <c r="L63" s="261" t="s">
        <v>157</v>
      </c>
      <c r="M63" s="261" t="s">
        <v>157</v>
      </c>
      <c r="N63" s="264">
        <f t="shared" si="1"/>
        <v>-0.23271246512329391</v>
      </c>
    </row>
    <row r="64" spans="2:14" s="73" customFormat="1" x14ac:dyDescent="0.35">
      <c r="B64" s="255" t="s">
        <v>5</v>
      </c>
      <c r="C64" s="255" t="str">
        <f t="shared" si="2"/>
        <v>Residential with CL</v>
      </c>
      <c r="D64" s="255" t="s">
        <v>6</v>
      </c>
      <c r="E64" s="255" t="s">
        <v>151</v>
      </c>
      <c r="F64" s="255" t="s">
        <v>16</v>
      </c>
      <c r="G64" s="255" t="s">
        <v>79</v>
      </c>
      <c r="H64" s="255" t="s">
        <v>51</v>
      </c>
      <c r="I64" s="265">
        <v>77.58</v>
      </c>
      <c r="J64" s="265">
        <v>60.02</v>
      </c>
      <c r="K64" s="256" t="s">
        <v>48</v>
      </c>
      <c r="L64" s="261" t="s">
        <v>157</v>
      </c>
      <c r="M64" s="261" t="s">
        <v>157</v>
      </c>
      <c r="N64" s="264">
        <f t="shared" si="1"/>
        <v>-0.22634699664862068</v>
      </c>
    </row>
    <row r="65" spans="2:14" s="73" customFormat="1" x14ac:dyDescent="0.35">
      <c r="B65" s="255" t="s">
        <v>5</v>
      </c>
      <c r="C65" s="255" t="str">
        <f t="shared" si="2"/>
        <v>Small business without CL</v>
      </c>
      <c r="D65" s="255" t="s">
        <v>15</v>
      </c>
      <c r="E65" s="255" t="s">
        <v>150</v>
      </c>
      <c r="F65" s="255" t="s">
        <v>23</v>
      </c>
      <c r="G65" s="255" t="s">
        <v>79</v>
      </c>
      <c r="H65" s="255" t="s">
        <v>51</v>
      </c>
      <c r="I65" s="265">
        <v>132.61000000000001</v>
      </c>
      <c r="J65" s="265">
        <v>101.75</v>
      </c>
      <c r="K65" s="256" t="s">
        <v>48</v>
      </c>
      <c r="L65" s="261" t="s">
        <v>157</v>
      </c>
      <c r="M65" s="261" t="s">
        <v>157</v>
      </c>
      <c r="N65" s="264">
        <f t="shared" ref="N65:N123" si="3">IFERROR(IF(K65="%",J65-I65,J65/I65-1),"")</f>
        <v>-0.23271246512329391</v>
      </c>
    </row>
    <row r="66" spans="2:14" s="73" customFormat="1" x14ac:dyDescent="0.35">
      <c r="B66" s="255" t="s">
        <v>5</v>
      </c>
      <c r="C66" s="255" t="str">
        <f t="shared" ref="C66:C119" si="4">IF(D66="","All",D66&amp;" "&amp;E66)</f>
        <v>All</v>
      </c>
      <c r="D66" s="255"/>
      <c r="E66" s="255"/>
      <c r="F66" s="255"/>
      <c r="G66" s="255" t="s">
        <v>80</v>
      </c>
      <c r="H66" s="255" t="s">
        <v>51</v>
      </c>
      <c r="I66" s="265">
        <v>1.53</v>
      </c>
      <c r="J66" s="265">
        <v>1.02</v>
      </c>
      <c r="K66" s="256" t="s">
        <v>48</v>
      </c>
      <c r="L66" s="261" t="s">
        <v>157</v>
      </c>
      <c r="M66" s="261" t="s">
        <v>157</v>
      </c>
      <c r="N66" s="264">
        <f t="shared" si="3"/>
        <v>-0.33333333333333337</v>
      </c>
    </row>
    <row r="67" spans="2:14" s="73" customFormat="1" x14ac:dyDescent="0.35">
      <c r="B67" s="255" t="s">
        <v>5</v>
      </c>
      <c r="C67" s="255" t="str">
        <f t="shared" si="4"/>
        <v>All</v>
      </c>
      <c r="D67" s="255"/>
      <c r="E67" s="255"/>
      <c r="F67" s="255"/>
      <c r="G67" s="255" t="s">
        <v>88</v>
      </c>
      <c r="H67" s="255" t="s">
        <v>51</v>
      </c>
      <c r="I67" s="265">
        <v>0.71</v>
      </c>
      <c r="J67" s="265">
        <v>0.49</v>
      </c>
      <c r="K67" s="256" t="s">
        <v>48</v>
      </c>
      <c r="L67" s="261" t="s">
        <v>157</v>
      </c>
      <c r="M67" s="261" t="s">
        <v>157</v>
      </c>
      <c r="N67" s="264">
        <f t="shared" si="3"/>
        <v>-0.3098591549295775</v>
      </c>
    </row>
    <row r="68" spans="2:14" s="73" customFormat="1" x14ac:dyDescent="0.35">
      <c r="B68" s="255" t="s">
        <v>5</v>
      </c>
      <c r="C68" s="255" t="str">
        <f t="shared" si="4"/>
        <v>All</v>
      </c>
      <c r="D68" s="255"/>
      <c r="E68" s="255"/>
      <c r="F68" s="255"/>
      <c r="G68" s="255" t="s">
        <v>81</v>
      </c>
      <c r="H68" s="255" t="s">
        <v>51</v>
      </c>
      <c r="I68" s="265">
        <v>0</v>
      </c>
      <c r="J68" s="265">
        <v>0</v>
      </c>
      <c r="K68" s="256" t="s">
        <v>48</v>
      </c>
      <c r="L68" s="261" t="s">
        <v>157</v>
      </c>
      <c r="M68" s="261" t="s">
        <v>157</v>
      </c>
      <c r="N68" s="264" t="str">
        <f t="shared" si="3"/>
        <v/>
      </c>
    </row>
    <row r="69" spans="2:14" s="73" customFormat="1" x14ac:dyDescent="0.35">
      <c r="B69" s="255" t="s">
        <v>5</v>
      </c>
      <c r="C69" s="255" t="str">
        <f t="shared" si="4"/>
        <v>All</v>
      </c>
      <c r="D69" s="255"/>
      <c r="E69" s="255"/>
      <c r="F69" s="255"/>
      <c r="G69" s="255" t="s">
        <v>161</v>
      </c>
      <c r="H69" s="255" t="s">
        <v>51</v>
      </c>
      <c r="I69" s="265">
        <v>4.25</v>
      </c>
      <c r="J69" s="265">
        <v>3.6</v>
      </c>
      <c r="K69" s="256" t="s">
        <v>48</v>
      </c>
      <c r="L69" s="261" t="s">
        <v>157</v>
      </c>
      <c r="M69" s="261" t="s">
        <v>157</v>
      </c>
      <c r="N69" s="264">
        <f t="shared" si="3"/>
        <v>-0.15294117647058825</v>
      </c>
    </row>
    <row r="70" spans="2:14" s="73" customFormat="1" x14ac:dyDescent="0.35">
      <c r="B70" s="255" t="s">
        <v>5</v>
      </c>
      <c r="C70" s="255" t="str">
        <f t="shared" si="4"/>
        <v>All</v>
      </c>
      <c r="D70" s="255"/>
      <c r="E70" s="255"/>
      <c r="F70" s="255"/>
      <c r="G70" s="255" t="s">
        <v>83</v>
      </c>
      <c r="H70" s="255" t="s">
        <v>51</v>
      </c>
      <c r="I70" s="265">
        <v>4.95</v>
      </c>
      <c r="J70" s="265">
        <v>4.22</v>
      </c>
      <c r="K70" s="256" t="s">
        <v>48</v>
      </c>
      <c r="L70" s="261" t="s">
        <v>157</v>
      </c>
      <c r="M70" s="261" t="s">
        <v>157</v>
      </c>
      <c r="N70" s="264">
        <f t="shared" si="3"/>
        <v>-0.14747474747474754</v>
      </c>
    </row>
    <row r="71" spans="2:14" s="73" customFormat="1" x14ac:dyDescent="0.35">
      <c r="B71" s="255" t="s">
        <v>5</v>
      </c>
      <c r="C71" s="255" t="str">
        <f t="shared" si="4"/>
        <v>All</v>
      </c>
      <c r="D71" s="255"/>
      <c r="E71" s="255"/>
      <c r="F71" s="255"/>
      <c r="G71" s="255" t="s">
        <v>84</v>
      </c>
      <c r="H71" s="255" t="s">
        <v>51</v>
      </c>
      <c r="I71" s="265">
        <v>9.31</v>
      </c>
      <c r="J71" s="265">
        <v>11.52</v>
      </c>
      <c r="K71" s="256" t="s">
        <v>48</v>
      </c>
      <c r="L71" s="261" t="s">
        <v>157</v>
      </c>
      <c r="M71" s="261" t="s">
        <v>157</v>
      </c>
      <c r="N71" s="264">
        <f t="shared" si="3"/>
        <v>0.23737916219119226</v>
      </c>
    </row>
    <row r="72" spans="2:14" s="73" customFormat="1" x14ac:dyDescent="0.35">
      <c r="B72" s="255" t="s">
        <v>5</v>
      </c>
      <c r="C72" s="255" t="str">
        <f t="shared" si="4"/>
        <v>All</v>
      </c>
      <c r="D72" s="255"/>
      <c r="E72" s="255"/>
      <c r="F72" s="255"/>
      <c r="G72" s="255" t="s">
        <v>89</v>
      </c>
      <c r="H72" s="255" t="s">
        <v>51</v>
      </c>
      <c r="I72" s="265">
        <v>2.5</v>
      </c>
      <c r="J72" s="265">
        <v>2.5</v>
      </c>
      <c r="K72" s="256" t="s">
        <v>48</v>
      </c>
      <c r="L72" s="261" t="s">
        <v>157</v>
      </c>
      <c r="M72" s="261" t="s">
        <v>157</v>
      </c>
      <c r="N72" s="264">
        <f t="shared" si="3"/>
        <v>0</v>
      </c>
    </row>
    <row r="73" spans="2:14" s="73" customFormat="1" x14ac:dyDescent="0.35">
      <c r="B73" s="255" t="s">
        <v>5</v>
      </c>
      <c r="C73" s="255" t="str">
        <f t="shared" si="4"/>
        <v>Residential without CL</v>
      </c>
      <c r="D73" s="255" t="s">
        <v>6</v>
      </c>
      <c r="E73" s="255" t="s">
        <v>150</v>
      </c>
      <c r="F73" s="255" t="s">
        <v>23</v>
      </c>
      <c r="G73" s="255" t="s">
        <v>82</v>
      </c>
      <c r="H73" s="255" t="s">
        <v>51</v>
      </c>
      <c r="I73" s="266">
        <v>0.108</v>
      </c>
      <c r="J73" s="266">
        <v>0.11799999999999999</v>
      </c>
      <c r="K73" s="256" t="s">
        <v>31</v>
      </c>
      <c r="L73" s="261" t="s">
        <v>157</v>
      </c>
      <c r="M73" s="261" t="s">
        <v>157</v>
      </c>
      <c r="N73" s="264">
        <f t="shared" si="3"/>
        <v>9.999999999999995E-3</v>
      </c>
    </row>
    <row r="74" spans="2:14" s="73" customFormat="1" x14ac:dyDescent="0.35">
      <c r="B74" s="255" t="s">
        <v>5</v>
      </c>
      <c r="C74" s="255" t="str">
        <f>IF(D74="","All",D74&amp;" "&amp;E74)</f>
        <v>Residential with CL</v>
      </c>
      <c r="D74" s="255" t="s">
        <v>6</v>
      </c>
      <c r="E74" s="255" t="s">
        <v>151</v>
      </c>
      <c r="F74" s="255" t="s">
        <v>16</v>
      </c>
      <c r="G74" s="255" t="s">
        <v>82</v>
      </c>
      <c r="H74" s="255" t="s">
        <v>51</v>
      </c>
      <c r="I74" s="266">
        <v>0.108</v>
      </c>
      <c r="J74" s="266">
        <v>0.11799999999999999</v>
      </c>
      <c r="K74" s="256" t="s">
        <v>31</v>
      </c>
      <c r="L74" s="261" t="s">
        <v>157</v>
      </c>
      <c r="M74" s="261" t="s">
        <v>157</v>
      </c>
      <c r="N74" s="264">
        <f t="shared" si="3"/>
        <v>9.999999999999995E-3</v>
      </c>
    </row>
    <row r="75" spans="2:14" s="73" customFormat="1" x14ac:dyDescent="0.35">
      <c r="B75" s="255" t="s">
        <v>5</v>
      </c>
      <c r="C75" s="255" t="str">
        <f>IF(D75="","All",D75&amp;" "&amp;E75)</f>
        <v>Small business without CL</v>
      </c>
      <c r="D75" s="255" t="s">
        <v>15</v>
      </c>
      <c r="E75" s="255" t="s">
        <v>150</v>
      </c>
      <c r="F75" s="255" t="s">
        <v>23</v>
      </c>
      <c r="G75" s="255" t="s">
        <v>82</v>
      </c>
      <c r="H75" s="255" t="s">
        <v>51</v>
      </c>
      <c r="I75" s="266">
        <v>0.108</v>
      </c>
      <c r="J75" s="266">
        <v>0.11799999999999999</v>
      </c>
      <c r="K75" s="256" t="s">
        <v>31</v>
      </c>
      <c r="L75" s="261" t="s">
        <v>157</v>
      </c>
      <c r="M75" s="261" t="s">
        <v>157</v>
      </c>
      <c r="N75" s="264">
        <f t="shared" si="3"/>
        <v>9.999999999999995E-3</v>
      </c>
    </row>
    <row r="76" spans="2:14" s="73" customFormat="1" x14ac:dyDescent="0.35">
      <c r="B76" s="255" t="s">
        <v>2</v>
      </c>
      <c r="C76" s="255" t="str">
        <f t="shared" si="4"/>
        <v>Residential without CL</v>
      </c>
      <c r="D76" s="255" t="s">
        <v>6</v>
      </c>
      <c r="E76" s="255" t="s">
        <v>150</v>
      </c>
      <c r="F76" s="255" t="s">
        <v>23</v>
      </c>
      <c r="G76" s="255" t="s">
        <v>28</v>
      </c>
      <c r="H76" s="255"/>
      <c r="I76" s="256">
        <v>3900</v>
      </c>
      <c r="J76" s="256">
        <v>3900</v>
      </c>
      <c r="K76" s="256" t="s">
        <v>29</v>
      </c>
      <c r="L76" s="261" t="s">
        <v>158</v>
      </c>
      <c r="M76" s="261" t="s">
        <v>210</v>
      </c>
      <c r="N76" s="264">
        <f t="shared" si="3"/>
        <v>0</v>
      </c>
    </row>
    <row r="77" spans="2:14" s="73" customFormat="1" x14ac:dyDescent="0.35">
      <c r="B77" s="255" t="s">
        <v>4</v>
      </c>
      <c r="C77" s="255" t="str">
        <f t="shared" si="4"/>
        <v>Residential without CL</v>
      </c>
      <c r="D77" s="255" t="s">
        <v>6</v>
      </c>
      <c r="E77" s="255" t="s">
        <v>150</v>
      </c>
      <c r="F77" s="255" t="s">
        <v>23</v>
      </c>
      <c r="G77" s="255" t="s">
        <v>28</v>
      </c>
      <c r="H77" s="255"/>
      <c r="I77" s="256">
        <v>4900</v>
      </c>
      <c r="J77" s="256">
        <v>4900</v>
      </c>
      <c r="K77" s="256" t="s">
        <v>29</v>
      </c>
      <c r="L77" s="261" t="s">
        <v>158</v>
      </c>
      <c r="M77" s="261" t="s">
        <v>210</v>
      </c>
      <c r="N77" s="264">
        <f t="shared" si="3"/>
        <v>0</v>
      </c>
    </row>
    <row r="78" spans="2:14" s="73" customFormat="1" x14ac:dyDescent="0.35">
      <c r="B78" s="255" t="s">
        <v>0</v>
      </c>
      <c r="C78" s="255" t="str">
        <f t="shared" si="4"/>
        <v>Residential without CL</v>
      </c>
      <c r="D78" s="255" t="s">
        <v>6</v>
      </c>
      <c r="E78" s="255" t="s">
        <v>150</v>
      </c>
      <c r="F78" s="255" t="s">
        <v>23</v>
      </c>
      <c r="G78" s="255" t="s">
        <v>28</v>
      </c>
      <c r="H78" s="255"/>
      <c r="I78" s="256">
        <v>4600</v>
      </c>
      <c r="J78" s="256">
        <v>4600</v>
      </c>
      <c r="K78" s="256" t="s">
        <v>29</v>
      </c>
      <c r="L78" s="261" t="s">
        <v>158</v>
      </c>
      <c r="M78" s="261" t="s">
        <v>210</v>
      </c>
      <c r="N78" s="264">
        <f t="shared" si="3"/>
        <v>0</v>
      </c>
    </row>
    <row r="79" spans="2:14" s="73" customFormat="1" x14ac:dyDescent="0.35">
      <c r="B79" s="255" t="s">
        <v>3</v>
      </c>
      <c r="C79" s="255" t="str">
        <f t="shared" si="4"/>
        <v>Residential without CL</v>
      </c>
      <c r="D79" s="255" t="s">
        <v>6</v>
      </c>
      <c r="E79" s="255" t="s">
        <v>150</v>
      </c>
      <c r="F79" s="255" t="s">
        <v>23</v>
      </c>
      <c r="G79" s="255" t="s">
        <v>28</v>
      </c>
      <c r="H79" s="255"/>
      <c r="I79" s="256">
        <v>4600</v>
      </c>
      <c r="J79" s="256">
        <v>4600</v>
      </c>
      <c r="K79" s="256" t="s">
        <v>29</v>
      </c>
      <c r="L79" s="261" t="s">
        <v>158</v>
      </c>
      <c r="M79" s="261" t="s">
        <v>210</v>
      </c>
      <c r="N79" s="264">
        <f t="shared" si="3"/>
        <v>0</v>
      </c>
    </row>
    <row r="80" spans="2:14" s="73" customFormat="1" x14ac:dyDescent="0.35">
      <c r="B80" s="255" t="s">
        <v>5</v>
      </c>
      <c r="C80" s="255" t="str">
        <f t="shared" si="4"/>
        <v>Residential without CL</v>
      </c>
      <c r="D80" s="255" t="s">
        <v>6</v>
      </c>
      <c r="E80" s="255" t="s">
        <v>150</v>
      </c>
      <c r="F80" s="255" t="s">
        <v>23</v>
      </c>
      <c r="G80" s="255" t="s">
        <v>28</v>
      </c>
      <c r="H80" s="255"/>
      <c r="I80" s="256">
        <v>4000</v>
      </c>
      <c r="J80" s="256">
        <v>4000</v>
      </c>
      <c r="K80" s="256" t="s">
        <v>29</v>
      </c>
      <c r="L80" s="261" t="s">
        <v>158</v>
      </c>
      <c r="M80" s="261" t="s">
        <v>210</v>
      </c>
      <c r="N80" s="264">
        <f t="shared" si="3"/>
        <v>0</v>
      </c>
    </row>
    <row r="81" spans="2:14" s="73" customFormat="1" x14ac:dyDescent="0.35">
      <c r="B81" s="255" t="s">
        <v>2</v>
      </c>
      <c r="C81" s="255" t="str">
        <f t="shared" si="4"/>
        <v>Residential with CL</v>
      </c>
      <c r="D81" s="255" t="s">
        <v>6</v>
      </c>
      <c r="E81" s="255" t="s">
        <v>151</v>
      </c>
      <c r="F81" s="255" t="s">
        <v>23</v>
      </c>
      <c r="G81" s="255" t="s">
        <v>28</v>
      </c>
      <c r="H81" s="255"/>
      <c r="I81" s="256">
        <v>4800</v>
      </c>
      <c r="J81" s="256">
        <v>4800</v>
      </c>
      <c r="K81" s="256" t="s">
        <v>29</v>
      </c>
      <c r="L81" s="261" t="s">
        <v>158</v>
      </c>
      <c r="M81" s="261" t="s">
        <v>210</v>
      </c>
      <c r="N81" s="264">
        <f t="shared" si="3"/>
        <v>0</v>
      </c>
    </row>
    <row r="82" spans="2:14" s="73" customFormat="1" x14ac:dyDescent="0.35">
      <c r="B82" s="255" t="s">
        <v>4</v>
      </c>
      <c r="C82" s="255" t="str">
        <f t="shared" si="4"/>
        <v>Residential with CL</v>
      </c>
      <c r="D82" s="255" t="s">
        <v>6</v>
      </c>
      <c r="E82" s="255" t="s">
        <v>151</v>
      </c>
      <c r="F82" s="255" t="s">
        <v>23</v>
      </c>
      <c r="G82" s="255" t="s">
        <v>28</v>
      </c>
      <c r="H82" s="255"/>
      <c r="I82" s="256">
        <v>5200</v>
      </c>
      <c r="J82" s="256">
        <v>5200</v>
      </c>
      <c r="K82" s="256" t="s">
        <v>29</v>
      </c>
      <c r="L82" s="261" t="s">
        <v>158</v>
      </c>
      <c r="M82" s="261" t="s">
        <v>210</v>
      </c>
      <c r="N82" s="264">
        <f t="shared" si="3"/>
        <v>0</v>
      </c>
    </row>
    <row r="83" spans="2:14" s="73" customFormat="1" x14ac:dyDescent="0.35">
      <c r="B83" s="255" t="s">
        <v>0</v>
      </c>
      <c r="C83" s="255" t="str">
        <f t="shared" si="4"/>
        <v>Residential with CL</v>
      </c>
      <c r="D83" s="255" t="s">
        <v>6</v>
      </c>
      <c r="E83" s="255" t="s">
        <v>151</v>
      </c>
      <c r="F83" s="255" t="s">
        <v>23</v>
      </c>
      <c r="G83" s="255" t="s">
        <v>28</v>
      </c>
      <c r="H83" s="255"/>
      <c r="I83" s="256">
        <v>4400</v>
      </c>
      <c r="J83" s="256">
        <v>4400</v>
      </c>
      <c r="K83" s="256" t="s">
        <v>29</v>
      </c>
      <c r="L83" s="261" t="s">
        <v>158</v>
      </c>
      <c r="M83" s="261" t="s">
        <v>210</v>
      </c>
      <c r="N83" s="264">
        <f t="shared" si="3"/>
        <v>0</v>
      </c>
    </row>
    <row r="84" spans="2:14" s="73" customFormat="1" x14ac:dyDescent="0.35">
      <c r="B84" s="255" t="s">
        <v>3</v>
      </c>
      <c r="C84" s="255" t="str">
        <f t="shared" si="4"/>
        <v>Residential with CL</v>
      </c>
      <c r="D84" s="255" t="s">
        <v>6</v>
      </c>
      <c r="E84" s="255" t="s">
        <v>151</v>
      </c>
      <c r="F84" s="255" t="s">
        <v>23</v>
      </c>
      <c r="G84" s="255" t="s">
        <v>28</v>
      </c>
      <c r="H84" s="255"/>
      <c r="I84" s="256">
        <v>4600</v>
      </c>
      <c r="J84" s="256">
        <v>4600</v>
      </c>
      <c r="K84" s="256" t="s">
        <v>29</v>
      </c>
      <c r="L84" s="261" t="s">
        <v>158</v>
      </c>
      <c r="M84" s="261" t="s">
        <v>210</v>
      </c>
      <c r="N84" s="264">
        <f t="shared" si="3"/>
        <v>0</v>
      </c>
    </row>
    <row r="85" spans="2:14" s="73" customFormat="1" x14ac:dyDescent="0.35">
      <c r="B85" s="255" t="s">
        <v>5</v>
      </c>
      <c r="C85" s="255" t="str">
        <f t="shared" si="4"/>
        <v>Residential with CL</v>
      </c>
      <c r="D85" s="255" t="s">
        <v>6</v>
      </c>
      <c r="E85" s="255" t="s">
        <v>151</v>
      </c>
      <c r="F85" s="255" t="s">
        <v>23</v>
      </c>
      <c r="G85" s="255" t="s">
        <v>28</v>
      </c>
      <c r="H85" s="255"/>
      <c r="I85" s="256">
        <v>4200</v>
      </c>
      <c r="J85" s="256">
        <v>4200</v>
      </c>
      <c r="K85" s="256" t="s">
        <v>29</v>
      </c>
      <c r="L85" s="261" t="s">
        <v>158</v>
      </c>
      <c r="M85" s="261" t="s">
        <v>210</v>
      </c>
      <c r="N85" s="264">
        <f t="shared" si="3"/>
        <v>0</v>
      </c>
    </row>
    <row r="86" spans="2:14" s="73" customFormat="1" x14ac:dyDescent="0.35">
      <c r="B86" s="255" t="s">
        <v>2</v>
      </c>
      <c r="C86" s="255" t="str">
        <f t="shared" si="4"/>
        <v>Residential with CL</v>
      </c>
      <c r="D86" s="255" t="s">
        <v>6</v>
      </c>
      <c r="E86" s="255" t="s">
        <v>151</v>
      </c>
      <c r="F86" s="255" t="s">
        <v>18</v>
      </c>
      <c r="G86" s="255" t="s">
        <v>28</v>
      </c>
      <c r="H86" s="255"/>
      <c r="I86" s="256">
        <v>2000</v>
      </c>
      <c r="J86" s="256">
        <v>2000</v>
      </c>
      <c r="K86" s="256" t="s">
        <v>29</v>
      </c>
      <c r="L86" s="261" t="s">
        <v>158</v>
      </c>
      <c r="M86" s="261" t="s">
        <v>210</v>
      </c>
      <c r="N86" s="264">
        <f t="shared" si="3"/>
        <v>0</v>
      </c>
    </row>
    <row r="87" spans="2:14" s="73" customFormat="1" x14ac:dyDescent="0.35">
      <c r="B87" s="255" t="s">
        <v>4</v>
      </c>
      <c r="C87" s="255" t="str">
        <f t="shared" si="4"/>
        <v>Residential with CL</v>
      </c>
      <c r="D87" s="255" t="s">
        <v>6</v>
      </c>
      <c r="E87" s="255" t="s">
        <v>151</v>
      </c>
      <c r="F87" s="255" t="s">
        <v>18</v>
      </c>
      <c r="G87" s="255" t="s">
        <v>28</v>
      </c>
      <c r="H87" s="255"/>
      <c r="I87" s="256">
        <v>2200</v>
      </c>
      <c r="J87" s="256">
        <v>2200</v>
      </c>
      <c r="K87" s="256" t="s">
        <v>29</v>
      </c>
      <c r="L87" s="261" t="s">
        <v>158</v>
      </c>
      <c r="M87" s="261" t="s">
        <v>210</v>
      </c>
      <c r="N87" s="264">
        <f t="shared" si="3"/>
        <v>0</v>
      </c>
    </row>
    <row r="88" spans="2:14" s="73" customFormat="1" x14ac:dyDescent="0.35">
      <c r="B88" s="255" t="s">
        <v>0</v>
      </c>
      <c r="C88" s="255" t="str">
        <f t="shared" si="4"/>
        <v>Residential with CL</v>
      </c>
      <c r="D88" s="255" t="s">
        <v>6</v>
      </c>
      <c r="E88" s="255" t="s">
        <v>151</v>
      </c>
      <c r="F88" s="255" t="s">
        <v>18</v>
      </c>
      <c r="G88" s="255" t="s">
        <v>28</v>
      </c>
      <c r="H88" s="255"/>
      <c r="I88" s="256">
        <v>1900</v>
      </c>
      <c r="J88" s="256">
        <v>1900</v>
      </c>
      <c r="K88" s="256" t="s">
        <v>29</v>
      </c>
      <c r="L88" s="261" t="s">
        <v>158</v>
      </c>
      <c r="M88" s="261" t="s">
        <v>210</v>
      </c>
      <c r="N88" s="264">
        <f t="shared" si="3"/>
        <v>0</v>
      </c>
    </row>
    <row r="89" spans="2:14" s="73" customFormat="1" x14ac:dyDescent="0.35">
      <c r="B89" s="255" t="s">
        <v>3</v>
      </c>
      <c r="C89" s="255" t="str">
        <f t="shared" si="4"/>
        <v>Residential with CL</v>
      </c>
      <c r="D89" s="255" t="s">
        <v>6</v>
      </c>
      <c r="E89" s="255" t="s">
        <v>151</v>
      </c>
      <c r="F89" s="255" t="s">
        <v>18</v>
      </c>
      <c r="G89" s="255" t="s">
        <v>28</v>
      </c>
      <c r="H89" s="255"/>
      <c r="I89" s="256">
        <v>2000</v>
      </c>
      <c r="J89" s="256">
        <v>2000</v>
      </c>
      <c r="K89" s="256" t="s">
        <v>29</v>
      </c>
      <c r="L89" s="261" t="s">
        <v>158</v>
      </c>
      <c r="M89" s="261" t="s">
        <v>210</v>
      </c>
      <c r="N89" s="264">
        <f t="shared" si="3"/>
        <v>0</v>
      </c>
    </row>
    <row r="90" spans="2:14" s="73" customFormat="1" x14ac:dyDescent="0.35">
      <c r="B90" s="255" t="s">
        <v>5</v>
      </c>
      <c r="C90" s="255" t="str">
        <f t="shared" si="4"/>
        <v>Residential with CL</v>
      </c>
      <c r="D90" s="255" t="s">
        <v>6</v>
      </c>
      <c r="E90" s="255" t="s">
        <v>151</v>
      </c>
      <c r="F90" s="255" t="s">
        <v>18</v>
      </c>
      <c r="G90" s="255" t="s">
        <v>28</v>
      </c>
      <c r="H90" s="255"/>
      <c r="I90" s="256">
        <v>1800</v>
      </c>
      <c r="J90" s="256">
        <v>1800</v>
      </c>
      <c r="K90" s="256" t="s">
        <v>29</v>
      </c>
      <c r="L90" s="261" t="s">
        <v>158</v>
      </c>
      <c r="M90" s="261" t="s">
        <v>210</v>
      </c>
      <c r="N90" s="264">
        <f t="shared" si="3"/>
        <v>0</v>
      </c>
    </row>
    <row r="91" spans="2:14" s="73" customFormat="1" x14ac:dyDescent="0.35">
      <c r="B91" s="255" t="s">
        <v>2</v>
      </c>
      <c r="C91" s="255" t="str">
        <f t="shared" si="4"/>
        <v>Residential with CL</v>
      </c>
      <c r="D91" s="255" t="s">
        <v>6</v>
      </c>
      <c r="E91" s="255" t="s">
        <v>151</v>
      </c>
      <c r="F91" s="255" t="s">
        <v>18</v>
      </c>
      <c r="G91" s="255" t="s">
        <v>63</v>
      </c>
      <c r="H91" s="255"/>
      <c r="I91" s="267">
        <v>0.67</v>
      </c>
      <c r="J91" s="267">
        <v>0.67</v>
      </c>
      <c r="K91" s="256" t="s">
        <v>31</v>
      </c>
      <c r="L91" s="261" t="s">
        <v>158</v>
      </c>
      <c r="M91" s="261" t="s">
        <v>210</v>
      </c>
      <c r="N91" s="264">
        <f t="shared" si="3"/>
        <v>0</v>
      </c>
    </row>
    <row r="92" spans="2:14" s="268" customFormat="1" x14ac:dyDescent="0.35">
      <c r="B92" s="255" t="s">
        <v>4</v>
      </c>
      <c r="C92" s="255" t="str">
        <f t="shared" si="4"/>
        <v>Residential with CL</v>
      </c>
      <c r="D92" s="255" t="s">
        <v>6</v>
      </c>
      <c r="E92" s="255" t="s">
        <v>151</v>
      </c>
      <c r="F92" s="255" t="s">
        <v>18</v>
      </c>
      <c r="G92" s="255" t="s">
        <v>63</v>
      </c>
      <c r="H92" s="255"/>
      <c r="I92" s="267">
        <v>0.67</v>
      </c>
      <c r="J92" s="267">
        <v>0.67</v>
      </c>
      <c r="K92" s="256" t="s">
        <v>31</v>
      </c>
      <c r="L92" s="261" t="s">
        <v>158</v>
      </c>
      <c r="M92" s="261" t="s">
        <v>210</v>
      </c>
      <c r="N92" s="264">
        <f t="shared" si="3"/>
        <v>0</v>
      </c>
    </row>
    <row r="93" spans="2:14" s="268" customFormat="1" x14ac:dyDescent="0.35">
      <c r="B93" s="255" t="s">
        <v>0</v>
      </c>
      <c r="C93" s="255" t="str">
        <f t="shared" si="4"/>
        <v>Residential with CL</v>
      </c>
      <c r="D93" s="255" t="s">
        <v>6</v>
      </c>
      <c r="E93" s="255" t="s">
        <v>151</v>
      </c>
      <c r="F93" s="255" t="s">
        <v>18</v>
      </c>
      <c r="G93" s="255" t="s">
        <v>63</v>
      </c>
      <c r="H93" s="255"/>
      <c r="I93" s="267">
        <v>0.28999999999999998</v>
      </c>
      <c r="J93" s="267">
        <v>0.28999999999999998</v>
      </c>
      <c r="K93" s="256" t="s">
        <v>31</v>
      </c>
      <c r="L93" s="261" t="s">
        <v>158</v>
      </c>
      <c r="M93" s="261" t="s">
        <v>210</v>
      </c>
      <c r="N93" s="264">
        <f t="shared" si="3"/>
        <v>0</v>
      </c>
    </row>
    <row r="94" spans="2:14" s="268" customFormat="1" x14ac:dyDescent="0.35">
      <c r="B94" s="255" t="s">
        <v>3</v>
      </c>
      <c r="C94" s="255" t="str">
        <f t="shared" si="4"/>
        <v>Residential with CL</v>
      </c>
      <c r="D94" s="255" t="s">
        <v>6</v>
      </c>
      <c r="E94" s="255" t="s">
        <v>151</v>
      </c>
      <c r="F94" s="255" t="s">
        <v>18</v>
      </c>
      <c r="G94" s="255" t="s">
        <v>63</v>
      </c>
      <c r="H94" s="255"/>
      <c r="I94" s="267">
        <v>0.77</v>
      </c>
      <c r="J94" s="267">
        <v>0.77</v>
      </c>
      <c r="K94" s="256" t="s">
        <v>31</v>
      </c>
      <c r="L94" s="261" t="s">
        <v>158</v>
      </c>
      <c r="M94" s="261" t="s">
        <v>210</v>
      </c>
      <c r="N94" s="264">
        <f t="shared" si="3"/>
        <v>0</v>
      </c>
    </row>
    <row r="95" spans="2:14" s="268" customFormat="1" x14ac:dyDescent="0.35">
      <c r="B95" s="255" t="s">
        <v>5</v>
      </c>
      <c r="C95" s="255" t="str">
        <f t="shared" si="4"/>
        <v>Residential with CL</v>
      </c>
      <c r="D95" s="255" t="s">
        <v>6</v>
      </c>
      <c r="E95" s="255" t="s">
        <v>151</v>
      </c>
      <c r="F95" s="255" t="s">
        <v>18</v>
      </c>
      <c r="G95" s="255" t="s">
        <v>63</v>
      </c>
      <c r="H95" s="255"/>
      <c r="I95" s="267">
        <v>1</v>
      </c>
      <c r="J95" s="267">
        <v>1</v>
      </c>
      <c r="K95" s="256" t="s">
        <v>31</v>
      </c>
      <c r="L95" s="261" t="s">
        <v>158</v>
      </c>
      <c r="M95" s="261" t="s">
        <v>210</v>
      </c>
      <c r="N95" s="264">
        <f t="shared" si="3"/>
        <v>0</v>
      </c>
    </row>
    <row r="96" spans="2:14" s="73" customFormat="1" x14ac:dyDescent="0.35">
      <c r="B96" s="255" t="s">
        <v>2</v>
      </c>
      <c r="C96" s="255" t="str">
        <f t="shared" si="4"/>
        <v>Small business without CL</v>
      </c>
      <c r="D96" s="255" t="s">
        <v>15</v>
      </c>
      <c r="E96" s="255" t="s">
        <v>150</v>
      </c>
      <c r="F96" s="255" t="s">
        <v>23</v>
      </c>
      <c r="G96" s="255" t="s">
        <v>28</v>
      </c>
      <c r="H96" s="255"/>
      <c r="I96" s="256">
        <v>20000</v>
      </c>
      <c r="J96" s="256">
        <v>20000</v>
      </c>
      <c r="K96" s="256" t="s">
        <v>29</v>
      </c>
      <c r="L96" s="261" t="s">
        <v>158</v>
      </c>
      <c r="M96" s="261" t="s">
        <v>210</v>
      </c>
      <c r="N96" s="264">
        <f t="shared" si="3"/>
        <v>0</v>
      </c>
    </row>
    <row r="97" spans="2:14" s="73" customFormat="1" x14ac:dyDescent="0.35">
      <c r="B97" s="255" t="s">
        <v>4</v>
      </c>
      <c r="C97" s="255" t="str">
        <f t="shared" si="4"/>
        <v>Small business without CL</v>
      </c>
      <c r="D97" s="255" t="s">
        <v>15</v>
      </c>
      <c r="E97" s="255" t="s">
        <v>150</v>
      </c>
      <c r="F97" s="255" t="s">
        <v>23</v>
      </c>
      <c r="G97" s="255" t="s">
        <v>28</v>
      </c>
      <c r="H97" s="255"/>
      <c r="I97" s="256">
        <v>20000</v>
      </c>
      <c r="J97" s="256">
        <v>20000</v>
      </c>
      <c r="K97" s="256" t="s">
        <v>29</v>
      </c>
      <c r="L97" s="261" t="s">
        <v>158</v>
      </c>
      <c r="M97" s="261" t="s">
        <v>210</v>
      </c>
      <c r="N97" s="264">
        <f t="shared" si="3"/>
        <v>0</v>
      </c>
    </row>
    <row r="98" spans="2:14" s="73" customFormat="1" x14ac:dyDescent="0.35">
      <c r="B98" s="255" t="s">
        <v>0</v>
      </c>
      <c r="C98" s="255" t="str">
        <f t="shared" si="4"/>
        <v>Small business without CL</v>
      </c>
      <c r="D98" s="255" t="s">
        <v>15</v>
      </c>
      <c r="E98" s="255" t="s">
        <v>150</v>
      </c>
      <c r="F98" s="255" t="s">
        <v>23</v>
      </c>
      <c r="G98" s="255" t="s">
        <v>28</v>
      </c>
      <c r="H98" s="255"/>
      <c r="I98" s="256">
        <v>20000</v>
      </c>
      <c r="J98" s="256">
        <v>20000</v>
      </c>
      <c r="K98" s="256" t="s">
        <v>29</v>
      </c>
      <c r="L98" s="261" t="s">
        <v>158</v>
      </c>
      <c r="M98" s="261" t="s">
        <v>210</v>
      </c>
      <c r="N98" s="264">
        <f t="shared" si="3"/>
        <v>0</v>
      </c>
    </row>
    <row r="99" spans="2:14" s="73" customFormat="1" x14ac:dyDescent="0.35">
      <c r="B99" s="255" t="s">
        <v>3</v>
      </c>
      <c r="C99" s="255" t="str">
        <f t="shared" si="4"/>
        <v>Small business without CL</v>
      </c>
      <c r="D99" s="255" t="s">
        <v>15</v>
      </c>
      <c r="E99" s="255" t="s">
        <v>150</v>
      </c>
      <c r="F99" s="255" t="s">
        <v>23</v>
      </c>
      <c r="G99" s="255" t="s">
        <v>28</v>
      </c>
      <c r="H99" s="255"/>
      <c r="I99" s="256">
        <v>20000</v>
      </c>
      <c r="J99" s="256">
        <v>20000</v>
      </c>
      <c r="K99" s="256" t="s">
        <v>29</v>
      </c>
      <c r="L99" s="261" t="s">
        <v>158</v>
      </c>
      <c r="M99" s="261" t="s">
        <v>210</v>
      </c>
      <c r="N99" s="264">
        <f t="shared" si="3"/>
        <v>0</v>
      </c>
    </row>
    <row r="100" spans="2:14" s="73" customFormat="1" x14ac:dyDescent="0.35">
      <c r="B100" s="255" t="s">
        <v>5</v>
      </c>
      <c r="C100" s="255" t="str">
        <f t="shared" si="4"/>
        <v>Small business without CL</v>
      </c>
      <c r="D100" s="255" t="s">
        <v>15</v>
      </c>
      <c r="E100" s="255" t="s">
        <v>150</v>
      </c>
      <c r="F100" s="255" t="s">
        <v>23</v>
      </c>
      <c r="G100" s="255" t="s">
        <v>28</v>
      </c>
      <c r="H100" s="255"/>
      <c r="I100" s="256">
        <v>20000</v>
      </c>
      <c r="J100" s="256">
        <v>20000</v>
      </c>
      <c r="K100" s="256" t="s">
        <v>29</v>
      </c>
      <c r="L100" s="261" t="s">
        <v>158</v>
      </c>
      <c r="M100" s="261" t="s">
        <v>210</v>
      </c>
      <c r="N100" s="264">
        <f t="shared" si="3"/>
        <v>0</v>
      </c>
    </row>
    <row r="101" spans="2:14" s="73" customFormat="1" x14ac:dyDescent="0.35">
      <c r="B101" s="255" t="s">
        <v>4</v>
      </c>
      <c r="C101" s="255" t="str">
        <f t="shared" si="4"/>
        <v>Residential without CL</v>
      </c>
      <c r="D101" s="255" t="s">
        <v>6</v>
      </c>
      <c r="E101" s="255" t="s">
        <v>150</v>
      </c>
      <c r="F101" s="255" t="s">
        <v>23</v>
      </c>
      <c r="G101" s="255" t="s">
        <v>28</v>
      </c>
      <c r="H101" s="255"/>
      <c r="I101" s="256">
        <v>4000</v>
      </c>
      <c r="J101" s="256">
        <v>4000</v>
      </c>
      <c r="K101" s="256" t="s">
        <v>29</v>
      </c>
      <c r="L101" s="261" t="s">
        <v>158</v>
      </c>
      <c r="M101" s="261" t="s">
        <v>210</v>
      </c>
      <c r="N101" s="264">
        <f t="shared" si="3"/>
        <v>0</v>
      </c>
    </row>
    <row r="102" spans="2:14" s="73" customFormat="1" x14ac:dyDescent="0.35">
      <c r="B102" s="255" t="s">
        <v>4</v>
      </c>
      <c r="C102" s="255" t="str">
        <f t="shared" si="4"/>
        <v>Residential with CL</v>
      </c>
      <c r="D102" s="255" t="s">
        <v>6</v>
      </c>
      <c r="E102" s="255" t="s">
        <v>151</v>
      </c>
      <c r="F102" s="255" t="s">
        <v>23</v>
      </c>
      <c r="G102" s="255" t="s">
        <v>28</v>
      </c>
      <c r="H102" s="255"/>
      <c r="I102" s="256">
        <v>4000</v>
      </c>
      <c r="J102" s="256">
        <v>4000</v>
      </c>
      <c r="K102" s="256" t="s">
        <v>29</v>
      </c>
      <c r="L102" s="261" t="s">
        <v>158</v>
      </c>
      <c r="M102" s="261" t="s">
        <v>210</v>
      </c>
      <c r="N102" s="264">
        <f t="shared" si="3"/>
        <v>0</v>
      </c>
    </row>
    <row r="103" spans="2:14" s="73" customFormat="1" x14ac:dyDescent="0.35">
      <c r="B103" s="255" t="s">
        <v>5</v>
      </c>
      <c r="C103" s="255" t="str">
        <f t="shared" si="4"/>
        <v>Residential without CL</v>
      </c>
      <c r="D103" s="255" t="s">
        <v>6</v>
      </c>
      <c r="E103" s="255" t="s">
        <v>150</v>
      </c>
      <c r="F103" s="255" t="s">
        <v>23</v>
      </c>
      <c r="G103" s="255" t="s">
        <v>28</v>
      </c>
      <c r="H103" s="255"/>
      <c r="I103" s="256">
        <v>4000</v>
      </c>
      <c r="J103" s="256">
        <v>4000</v>
      </c>
      <c r="K103" s="256" t="s">
        <v>29</v>
      </c>
      <c r="L103" s="261" t="s">
        <v>158</v>
      </c>
      <c r="M103" s="261" t="s">
        <v>210</v>
      </c>
      <c r="N103" s="264">
        <f t="shared" si="3"/>
        <v>0</v>
      </c>
    </row>
    <row r="104" spans="2:14" s="73" customFormat="1" x14ac:dyDescent="0.35">
      <c r="B104" s="255" t="s">
        <v>5</v>
      </c>
      <c r="C104" s="255" t="str">
        <f t="shared" si="4"/>
        <v>Residential with CL</v>
      </c>
      <c r="D104" s="255" t="s">
        <v>6</v>
      </c>
      <c r="E104" s="255" t="s">
        <v>151</v>
      </c>
      <c r="F104" s="255" t="s">
        <v>23</v>
      </c>
      <c r="G104" s="255" t="s">
        <v>28</v>
      </c>
      <c r="H104" s="255"/>
      <c r="I104" s="256">
        <v>4000</v>
      </c>
      <c r="J104" s="256">
        <v>4000</v>
      </c>
      <c r="K104" s="256" t="s">
        <v>29</v>
      </c>
      <c r="L104" s="261" t="s">
        <v>158</v>
      </c>
      <c r="M104" s="261" t="s">
        <v>210</v>
      </c>
      <c r="N104" s="264">
        <f t="shared" si="3"/>
        <v>0</v>
      </c>
    </row>
    <row r="105" spans="2:14" s="73" customFormat="1" x14ac:dyDescent="0.35">
      <c r="B105" s="255" t="s">
        <v>2</v>
      </c>
      <c r="C105" s="255" t="str">
        <f t="shared" si="4"/>
        <v>Residential without CL</v>
      </c>
      <c r="D105" s="255" t="s">
        <v>6</v>
      </c>
      <c r="E105" s="255" t="s">
        <v>150</v>
      </c>
      <c r="F105" s="255"/>
      <c r="G105" s="255" t="s">
        <v>75</v>
      </c>
      <c r="H105" s="255"/>
      <c r="I105" s="256">
        <v>1462</v>
      </c>
      <c r="J105" s="269"/>
      <c r="K105" s="256" t="s">
        <v>77</v>
      </c>
      <c r="L105" s="261" t="s">
        <v>158</v>
      </c>
      <c r="M105" s="261" t="s">
        <v>66</v>
      </c>
      <c r="N105" s="264">
        <f t="shared" si="3"/>
        <v>-1</v>
      </c>
    </row>
    <row r="106" spans="2:14" s="73" customFormat="1" x14ac:dyDescent="0.35">
      <c r="B106" s="255" t="s">
        <v>4</v>
      </c>
      <c r="C106" s="255" t="str">
        <f t="shared" si="4"/>
        <v>Residential without CL</v>
      </c>
      <c r="D106" s="255" t="s">
        <v>6</v>
      </c>
      <c r="E106" s="255" t="s">
        <v>150</v>
      </c>
      <c r="F106" s="255"/>
      <c r="G106" s="255" t="s">
        <v>75</v>
      </c>
      <c r="H106" s="255"/>
      <c r="I106" s="256">
        <v>1711</v>
      </c>
      <c r="J106" s="269"/>
      <c r="K106" s="256" t="s">
        <v>77</v>
      </c>
      <c r="L106" s="261" t="s">
        <v>158</v>
      </c>
      <c r="M106" s="261" t="s">
        <v>66</v>
      </c>
      <c r="N106" s="264">
        <f t="shared" si="3"/>
        <v>-1</v>
      </c>
    </row>
    <row r="107" spans="2:14" s="73" customFormat="1" x14ac:dyDescent="0.35">
      <c r="B107" s="255" t="s">
        <v>0</v>
      </c>
      <c r="C107" s="255" t="str">
        <f t="shared" si="4"/>
        <v>Residential without CL</v>
      </c>
      <c r="D107" s="255" t="s">
        <v>6</v>
      </c>
      <c r="E107" s="255" t="s">
        <v>150</v>
      </c>
      <c r="F107" s="255"/>
      <c r="G107" s="255" t="s">
        <v>75</v>
      </c>
      <c r="H107" s="255"/>
      <c r="I107" s="256">
        <v>1508</v>
      </c>
      <c r="J107" s="269"/>
      <c r="K107" s="256" t="s">
        <v>77</v>
      </c>
      <c r="L107" s="261" t="s">
        <v>158</v>
      </c>
      <c r="M107" s="261" t="s">
        <v>66</v>
      </c>
      <c r="N107" s="264">
        <f t="shared" si="3"/>
        <v>-1</v>
      </c>
    </row>
    <row r="108" spans="2:14" s="73" customFormat="1" x14ac:dyDescent="0.35">
      <c r="B108" s="255" t="s">
        <v>3</v>
      </c>
      <c r="C108" s="255" t="str">
        <f t="shared" si="4"/>
        <v>Residential without CL</v>
      </c>
      <c r="D108" s="255" t="s">
        <v>6</v>
      </c>
      <c r="E108" s="255" t="s">
        <v>150</v>
      </c>
      <c r="F108" s="255"/>
      <c r="G108" s="255" t="s">
        <v>75</v>
      </c>
      <c r="H108" s="255"/>
      <c r="I108" s="256">
        <v>1960</v>
      </c>
      <c r="J108" s="269"/>
      <c r="K108" s="256" t="s">
        <v>77</v>
      </c>
      <c r="L108" s="261" t="s">
        <v>158</v>
      </c>
      <c r="M108" s="261" t="s">
        <v>66</v>
      </c>
      <c r="N108" s="264">
        <f t="shared" si="3"/>
        <v>-1</v>
      </c>
    </row>
    <row r="109" spans="2:14" s="73" customFormat="1" x14ac:dyDescent="0.35">
      <c r="B109" s="255" t="s">
        <v>5</v>
      </c>
      <c r="C109" s="255" t="str">
        <f t="shared" si="4"/>
        <v>Residential without CL</v>
      </c>
      <c r="D109" s="255" t="s">
        <v>6</v>
      </c>
      <c r="E109" s="255" t="s">
        <v>150</v>
      </c>
      <c r="F109" s="255"/>
      <c r="G109" s="255" t="s">
        <v>75</v>
      </c>
      <c r="H109" s="255"/>
      <c r="I109" s="256">
        <v>1832</v>
      </c>
      <c r="J109" s="269"/>
      <c r="K109" s="256" t="s">
        <v>77</v>
      </c>
      <c r="L109" s="261" t="s">
        <v>158</v>
      </c>
      <c r="M109" s="261" t="s">
        <v>66</v>
      </c>
      <c r="N109" s="264">
        <f t="shared" si="3"/>
        <v>-1</v>
      </c>
    </row>
    <row r="110" spans="2:14" s="73" customFormat="1" x14ac:dyDescent="0.35">
      <c r="B110" s="255" t="s">
        <v>2</v>
      </c>
      <c r="C110" s="255" t="str">
        <f t="shared" si="4"/>
        <v>Residential with CL</v>
      </c>
      <c r="D110" s="255" t="s">
        <v>6</v>
      </c>
      <c r="E110" s="255" t="s">
        <v>151</v>
      </c>
      <c r="F110" s="255"/>
      <c r="G110" s="255" t="s">
        <v>75</v>
      </c>
      <c r="H110" s="255"/>
      <c r="I110" s="256">
        <v>2024</v>
      </c>
      <c r="J110" s="269"/>
      <c r="K110" s="256" t="s">
        <v>77</v>
      </c>
      <c r="L110" s="261" t="s">
        <v>158</v>
      </c>
      <c r="M110" s="261" t="s">
        <v>66</v>
      </c>
      <c r="N110" s="264">
        <f t="shared" si="3"/>
        <v>-1</v>
      </c>
    </row>
    <row r="111" spans="2:14" s="73" customFormat="1" x14ac:dyDescent="0.35">
      <c r="B111" s="255" t="s">
        <v>4</v>
      </c>
      <c r="C111" s="255" t="str">
        <f t="shared" si="4"/>
        <v>Residential with CL</v>
      </c>
      <c r="D111" s="255" t="s">
        <v>6</v>
      </c>
      <c r="E111" s="255" t="s">
        <v>151</v>
      </c>
      <c r="F111" s="255"/>
      <c r="G111" s="255" t="s">
        <v>75</v>
      </c>
      <c r="H111" s="255"/>
      <c r="I111" s="256">
        <v>2165</v>
      </c>
      <c r="J111" s="269"/>
      <c r="K111" s="256" t="s">
        <v>77</v>
      </c>
      <c r="L111" s="261" t="s">
        <v>158</v>
      </c>
      <c r="M111" s="261" t="s">
        <v>66</v>
      </c>
      <c r="N111" s="264">
        <f t="shared" si="3"/>
        <v>-1</v>
      </c>
    </row>
    <row r="112" spans="2:14" s="73" customFormat="1" x14ac:dyDescent="0.35">
      <c r="B112" s="255" t="s">
        <v>0</v>
      </c>
      <c r="C112" s="255" t="str">
        <f t="shared" si="4"/>
        <v>Residential with CL</v>
      </c>
      <c r="D112" s="255" t="s">
        <v>6</v>
      </c>
      <c r="E112" s="255" t="s">
        <v>151</v>
      </c>
      <c r="F112" s="255"/>
      <c r="G112" s="255" t="s">
        <v>75</v>
      </c>
      <c r="H112" s="255"/>
      <c r="I112" s="256">
        <v>1812</v>
      </c>
      <c r="J112" s="269"/>
      <c r="K112" s="256" t="s">
        <v>77</v>
      </c>
      <c r="L112" s="261" t="s">
        <v>158</v>
      </c>
      <c r="M112" s="261" t="s">
        <v>66</v>
      </c>
      <c r="N112" s="264">
        <f t="shared" si="3"/>
        <v>-1</v>
      </c>
    </row>
    <row r="113" spans="2:14" s="73" customFormat="1" x14ac:dyDescent="0.35">
      <c r="B113" s="255" t="s">
        <v>3</v>
      </c>
      <c r="C113" s="255" t="str">
        <f t="shared" si="4"/>
        <v>Residential with CL</v>
      </c>
      <c r="D113" s="255" t="s">
        <v>6</v>
      </c>
      <c r="E113" s="255" t="s">
        <v>151</v>
      </c>
      <c r="F113" s="255"/>
      <c r="G113" s="255" t="s">
        <v>75</v>
      </c>
      <c r="H113" s="255"/>
      <c r="I113" s="256">
        <v>2356</v>
      </c>
      <c r="J113" s="269"/>
      <c r="K113" s="256" t="s">
        <v>77</v>
      </c>
      <c r="L113" s="261" t="s">
        <v>158</v>
      </c>
      <c r="M113" s="261" t="s">
        <v>66</v>
      </c>
      <c r="N113" s="264">
        <f t="shared" si="3"/>
        <v>-1</v>
      </c>
    </row>
    <row r="114" spans="2:14" s="73" customFormat="1" x14ac:dyDescent="0.35">
      <c r="B114" s="255" t="s">
        <v>5</v>
      </c>
      <c r="C114" s="255" t="str">
        <f t="shared" si="4"/>
        <v>Residential with CL</v>
      </c>
      <c r="D114" s="255" t="s">
        <v>6</v>
      </c>
      <c r="E114" s="255" t="s">
        <v>151</v>
      </c>
      <c r="F114" s="255"/>
      <c r="G114" s="255" t="s">
        <v>75</v>
      </c>
      <c r="H114" s="255"/>
      <c r="I114" s="256">
        <v>2244</v>
      </c>
      <c r="J114" s="269"/>
      <c r="K114" s="256" t="s">
        <v>77</v>
      </c>
      <c r="L114" s="261" t="s">
        <v>158</v>
      </c>
      <c r="M114" s="261" t="s">
        <v>66</v>
      </c>
      <c r="N114" s="264">
        <f t="shared" si="3"/>
        <v>-1</v>
      </c>
    </row>
    <row r="115" spans="2:14" s="73" customFormat="1" x14ac:dyDescent="0.35">
      <c r="B115" s="255" t="s">
        <v>2</v>
      </c>
      <c r="C115" s="255" t="str">
        <f t="shared" si="4"/>
        <v>Small business without CL</v>
      </c>
      <c r="D115" s="255" t="s">
        <v>15</v>
      </c>
      <c r="E115" s="255" t="s">
        <v>150</v>
      </c>
      <c r="F115" s="255"/>
      <c r="G115" s="255" t="s">
        <v>75</v>
      </c>
      <c r="H115" s="255"/>
      <c r="I115" s="256">
        <v>7240</v>
      </c>
      <c r="J115" s="269"/>
      <c r="K115" s="256" t="s">
        <v>77</v>
      </c>
      <c r="L115" s="261" t="s">
        <v>158</v>
      </c>
      <c r="M115" s="261" t="s">
        <v>66</v>
      </c>
      <c r="N115" s="264">
        <f t="shared" si="3"/>
        <v>-1</v>
      </c>
    </row>
    <row r="116" spans="2:14" s="73" customFormat="1" x14ac:dyDescent="0.35">
      <c r="B116" s="255" t="s">
        <v>4</v>
      </c>
      <c r="C116" s="255" t="str">
        <f t="shared" si="4"/>
        <v>Small business without CL</v>
      </c>
      <c r="D116" s="255" t="s">
        <v>15</v>
      </c>
      <c r="E116" s="255" t="s">
        <v>150</v>
      </c>
      <c r="F116" s="255"/>
      <c r="G116" s="255" t="s">
        <v>75</v>
      </c>
      <c r="H116" s="255"/>
      <c r="I116" s="256">
        <v>6177</v>
      </c>
      <c r="J116" s="269"/>
      <c r="K116" s="256" t="s">
        <v>77</v>
      </c>
      <c r="L116" s="261" t="s">
        <v>158</v>
      </c>
      <c r="M116" s="261" t="s">
        <v>66</v>
      </c>
      <c r="N116" s="264">
        <f t="shared" si="3"/>
        <v>-1</v>
      </c>
    </row>
    <row r="117" spans="2:14" s="73" customFormat="1" x14ac:dyDescent="0.35">
      <c r="B117" s="255" t="s">
        <v>0</v>
      </c>
      <c r="C117" s="255" t="str">
        <f t="shared" si="4"/>
        <v>Small business without CL</v>
      </c>
      <c r="D117" s="255" t="s">
        <v>15</v>
      </c>
      <c r="E117" s="255" t="s">
        <v>150</v>
      </c>
      <c r="F117" s="255"/>
      <c r="G117" s="255" t="s">
        <v>75</v>
      </c>
      <c r="H117" s="255"/>
      <c r="I117" s="256">
        <v>5760</v>
      </c>
      <c r="J117" s="269"/>
      <c r="K117" s="256" t="s">
        <v>77</v>
      </c>
      <c r="L117" s="261" t="s">
        <v>158</v>
      </c>
      <c r="M117" s="261" t="s">
        <v>66</v>
      </c>
      <c r="N117" s="264">
        <f t="shared" si="3"/>
        <v>-1</v>
      </c>
    </row>
    <row r="118" spans="2:14" s="73" customFormat="1" x14ac:dyDescent="0.35">
      <c r="B118" s="255" t="s">
        <v>3</v>
      </c>
      <c r="C118" s="255" t="str">
        <f t="shared" si="4"/>
        <v>Small business without CL</v>
      </c>
      <c r="D118" s="255" t="s">
        <v>15</v>
      </c>
      <c r="E118" s="255" t="s">
        <v>150</v>
      </c>
      <c r="F118" s="255"/>
      <c r="G118" s="255" t="s">
        <v>75</v>
      </c>
      <c r="H118" s="255"/>
      <c r="I118" s="256">
        <v>8041</v>
      </c>
      <c r="J118" s="269"/>
      <c r="K118" s="256" t="s">
        <v>77</v>
      </c>
      <c r="L118" s="261" t="s">
        <v>158</v>
      </c>
      <c r="M118" s="261" t="s">
        <v>66</v>
      </c>
      <c r="N118" s="264">
        <f t="shared" si="3"/>
        <v>-1</v>
      </c>
    </row>
    <row r="119" spans="2:14" s="73" customFormat="1" x14ac:dyDescent="0.35">
      <c r="B119" s="255" t="s">
        <v>5</v>
      </c>
      <c r="C119" s="255" t="str">
        <f t="shared" si="4"/>
        <v>Small business without CL</v>
      </c>
      <c r="D119" s="255" t="s">
        <v>15</v>
      </c>
      <c r="E119" s="255" t="s">
        <v>150</v>
      </c>
      <c r="F119" s="255"/>
      <c r="G119" s="255" t="s">
        <v>75</v>
      </c>
      <c r="H119" s="255"/>
      <c r="I119" s="256">
        <v>8305</v>
      </c>
      <c r="J119" s="269"/>
      <c r="K119" s="256" t="s">
        <v>77</v>
      </c>
      <c r="L119" s="261" t="s">
        <v>158</v>
      </c>
      <c r="M119" s="261" t="s">
        <v>66</v>
      </c>
      <c r="N119" s="264">
        <f t="shared" si="3"/>
        <v>-1</v>
      </c>
    </row>
    <row r="120" spans="2:14" s="73" customFormat="1" x14ac:dyDescent="0.35">
      <c r="B120" s="255" t="s">
        <v>2</v>
      </c>
      <c r="C120" s="255" t="str">
        <f t="shared" ref="C120:C134" si="5">IF(D120="","All",D120&amp;" "&amp;E120)</f>
        <v>Residential without CL</v>
      </c>
      <c r="D120" s="255" t="s">
        <v>6</v>
      </c>
      <c r="E120" s="255" t="s">
        <v>150</v>
      </c>
      <c r="F120" s="255"/>
      <c r="G120" s="255" t="s">
        <v>76</v>
      </c>
      <c r="H120" s="255"/>
      <c r="I120" s="265">
        <v>0</v>
      </c>
      <c r="J120" s="265">
        <v>0</v>
      </c>
      <c r="K120" s="256" t="s">
        <v>77</v>
      </c>
      <c r="L120" s="261" t="s">
        <v>194</v>
      </c>
      <c r="M120" s="261" t="s">
        <v>194</v>
      </c>
      <c r="N120" s="264" t="str">
        <f t="shared" si="3"/>
        <v/>
      </c>
    </row>
    <row r="121" spans="2:14" s="73" customFormat="1" x14ac:dyDescent="0.35">
      <c r="B121" s="255" t="s">
        <v>4</v>
      </c>
      <c r="C121" s="255" t="str">
        <f t="shared" si="5"/>
        <v>Residential without CL</v>
      </c>
      <c r="D121" s="255" t="s">
        <v>6</v>
      </c>
      <c r="E121" s="255" t="s">
        <v>150</v>
      </c>
      <c r="F121" s="255"/>
      <c r="G121" s="255" t="s">
        <v>76</v>
      </c>
      <c r="H121" s="255"/>
      <c r="I121" s="265">
        <v>0</v>
      </c>
      <c r="J121" s="265">
        <v>0</v>
      </c>
      <c r="K121" s="256" t="s">
        <v>77</v>
      </c>
      <c r="L121" s="261" t="s">
        <v>194</v>
      </c>
      <c r="M121" s="261" t="s">
        <v>194</v>
      </c>
      <c r="N121" s="264" t="str">
        <f t="shared" si="3"/>
        <v/>
      </c>
    </row>
    <row r="122" spans="2:14" s="73" customFormat="1" x14ac:dyDescent="0.35">
      <c r="B122" s="255" t="s">
        <v>0</v>
      </c>
      <c r="C122" s="255" t="str">
        <f t="shared" si="5"/>
        <v>Residential without CL</v>
      </c>
      <c r="D122" s="255" t="s">
        <v>6</v>
      </c>
      <c r="E122" s="255" t="s">
        <v>150</v>
      </c>
      <c r="F122" s="255"/>
      <c r="G122" s="255" t="s">
        <v>76</v>
      </c>
      <c r="H122" s="255"/>
      <c r="I122" s="265">
        <v>0</v>
      </c>
      <c r="J122" s="265">
        <v>0</v>
      </c>
      <c r="K122" s="256" t="s">
        <v>77</v>
      </c>
      <c r="L122" s="261" t="s">
        <v>194</v>
      </c>
      <c r="M122" s="261" t="s">
        <v>194</v>
      </c>
      <c r="N122" s="264" t="str">
        <f t="shared" si="3"/>
        <v/>
      </c>
    </row>
    <row r="123" spans="2:14" s="73" customFormat="1" x14ac:dyDescent="0.35">
      <c r="B123" s="255" t="s">
        <v>3</v>
      </c>
      <c r="C123" s="255" t="str">
        <f t="shared" si="5"/>
        <v>Residential without CL</v>
      </c>
      <c r="D123" s="255" t="s">
        <v>6</v>
      </c>
      <c r="E123" s="255" t="s">
        <v>150</v>
      </c>
      <c r="F123" s="255"/>
      <c r="G123" s="255" t="s">
        <v>76</v>
      </c>
      <c r="H123" s="255"/>
      <c r="I123" s="265">
        <v>0</v>
      </c>
      <c r="J123" s="265">
        <v>0</v>
      </c>
      <c r="K123" s="256" t="s">
        <v>77</v>
      </c>
      <c r="L123" s="261" t="s">
        <v>194</v>
      </c>
      <c r="M123" s="261" t="s">
        <v>194</v>
      </c>
      <c r="N123" s="264" t="str">
        <f t="shared" si="3"/>
        <v/>
      </c>
    </row>
    <row r="124" spans="2:14" s="73" customFormat="1" x14ac:dyDescent="0.35">
      <c r="B124" s="255" t="s">
        <v>5</v>
      </c>
      <c r="C124" s="255" t="str">
        <f t="shared" si="5"/>
        <v>Residential without CL</v>
      </c>
      <c r="D124" s="255" t="s">
        <v>6</v>
      </c>
      <c r="E124" s="255" t="s">
        <v>150</v>
      </c>
      <c r="F124" s="255"/>
      <c r="G124" s="255" t="s">
        <v>76</v>
      </c>
      <c r="H124" s="255"/>
      <c r="I124" s="265">
        <v>0</v>
      </c>
      <c r="J124" s="265">
        <v>0</v>
      </c>
      <c r="K124" s="256" t="s">
        <v>77</v>
      </c>
      <c r="L124" s="261" t="s">
        <v>194</v>
      </c>
      <c r="M124" s="261" t="s">
        <v>194</v>
      </c>
      <c r="N124" s="264" t="str">
        <f t="shared" ref="N124:N134" si="6">IFERROR(IF(K124="%",J124-I124,J124/I124-1),"")</f>
        <v/>
      </c>
    </row>
    <row r="125" spans="2:14" s="73" customFormat="1" x14ac:dyDescent="0.35">
      <c r="B125" s="255" t="s">
        <v>2</v>
      </c>
      <c r="C125" s="255" t="str">
        <f t="shared" si="5"/>
        <v>Residential with CL</v>
      </c>
      <c r="D125" s="255" t="s">
        <v>6</v>
      </c>
      <c r="E125" s="255" t="s">
        <v>151</v>
      </c>
      <c r="F125" s="255"/>
      <c r="G125" s="255" t="s">
        <v>76</v>
      </c>
      <c r="H125" s="255"/>
      <c r="I125" s="265">
        <v>0</v>
      </c>
      <c r="J125" s="265">
        <v>0</v>
      </c>
      <c r="K125" s="256" t="s">
        <v>77</v>
      </c>
      <c r="L125" s="261" t="s">
        <v>194</v>
      </c>
      <c r="M125" s="261" t="s">
        <v>194</v>
      </c>
      <c r="N125" s="264" t="str">
        <f t="shared" si="6"/>
        <v/>
      </c>
    </row>
    <row r="126" spans="2:14" s="73" customFormat="1" x14ac:dyDescent="0.35">
      <c r="B126" s="255" t="s">
        <v>4</v>
      </c>
      <c r="C126" s="255" t="str">
        <f t="shared" si="5"/>
        <v>Residential with CL</v>
      </c>
      <c r="D126" s="255" t="s">
        <v>6</v>
      </c>
      <c r="E126" s="255" t="s">
        <v>151</v>
      </c>
      <c r="F126" s="255"/>
      <c r="G126" s="255" t="s">
        <v>76</v>
      </c>
      <c r="H126" s="255"/>
      <c r="I126" s="265">
        <v>0</v>
      </c>
      <c r="J126" s="265">
        <v>0</v>
      </c>
      <c r="K126" s="256" t="s">
        <v>77</v>
      </c>
      <c r="L126" s="261" t="s">
        <v>194</v>
      </c>
      <c r="M126" s="261" t="s">
        <v>194</v>
      </c>
      <c r="N126" s="264" t="str">
        <f t="shared" si="6"/>
        <v/>
      </c>
    </row>
    <row r="127" spans="2:14" s="73" customFormat="1" x14ac:dyDescent="0.35">
      <c r="B127" s="255" t="s">
        <v>0</v>
      </c>
      <c r="C127" s="255" t="str">
        <f t="shared" si="5"/>
        <v>Residential with CL</v>
      </c>
      <c r="D127" s="255" t="s">
        <v>6</v>
      </c>
      <c r="E127" s="255" t="s">
        <v>151</v>
      </c>
      <c r="F127" s="255"/>
      <c r="G127" s="255" t="s">
        <v>76</v>
      </c>
      <c r="H127" s="255"/>
      <c r="I127" s="265">
        <v>0</v>
      </c>
      <c r="J127" s="265">
        <v>0</v>
      </c>
      <c r="K127" s="256" t="s">
        <v>77</v>
      </c>
      <c r="L127" s="261" t="s">
        <v>194</v>
      </c>
      <c r="M127" s="261" t="s">
        <v>194</v>
      </c>
      <c r="N127" s="264" t="str">
        <f t="shared" si="6"/>
        <v/>
      </c>
    </row>
    <row r="128" spans="2:14" s="73" customFormat="1" x14ac:dyDescent="0.35">
      <c r="B128" s="255" t="s">
        <v>3</v>
      </c>
      <c r="C128" s="255" t="str">
        <f t="shared" si="5"/>
        <v>Residential with CL</v>
      </c>
      <c r="D128" s="255" t="s">
        <v>6</v>
      </c>
      <c r="E128" s="255" t="s">
        <v>151</v>
      </c>
      <c r="F128" s="255"/>
      <c r="G128" s="255" t="s">
        <v>76</v>
      </c>
      <c r="H128" s="255"/>
      <c r="I128" s="265">
        <v>0</v>
      </c>
      <c r="J128" s="265">
        <v>0</v>
      </c>
      <c r="K128" s="256" t="s">
        <v>77</v>
      </c>
      <c r="L128" s="261" t="s">
        <v>194</v>
      </c>
      <c r="M128" s="261" t="s">
        <v>194</v>
      </c>
      <c r="N128" s="264" t="str">
        <f t="shared" si="6"/>
        <v/>
      </c>
    </row>
    <row r="129" spans="2:14" s="73" customFormat="1" x14ac:dyDescent="0.35">
      <c r="B129" s="255" t="s">
        <v>5</v>
      </c>
      <c r="C129" s="255" t="str">
        <f t="shared" si="5"/>
        <v>Residential with CL</v>
      </c>
      <c r="D129" s="255" t="s">
        <v>6</v>
      </c>
      <c r="E129" s="255" t="s">
        <v>151</v>
      </c>
      <c r="F129" s="255"/>
      <c r="G129" s="255" t="s">
        <v>76</v>
      </c>
      <c r="H129" s="255"/>
      <c r="I129" s="265">
        <v>0</v>
      </c>
      <c r="J129" s="265">
        <v>0</v>
      </c>
      <c r="K129" s="256" t="s">
        <v>77</v>
      </c>
      <c r="L129" s="261" t="s">
        <v>194</v>
      </c>
      <c r="M129" s="261" t="s">
        <v>194</v>
      </c>
      <c r="N129" s="264" t="str">
        <f t="shared" si="6"/>
        <v/>
      </c>
    </row>
    <row r="130" spans="2:14" s="73" customFormat="1" x14ac:dyDescent="0.35">
      <c r="B130" s="255" t="s">
        <v>2</v>
      </c>
      <c r="C130" s="255" t="str">
        <f t="shared" si="5"/>
        <v>Small business without CL</v>
      </c>
      <c r="D130" s="255" t="s">
        <v>15</v>
      </c>
      <c r="E130" s="255" t="s">
        <v>150</v>
      </c>
      <c r="F130" s="255"/>
      <c r="G130" s="255" t="s">
        <v>76</v>
      </c>
      <c r="H130" s="255"/>
      <c r="I130" s="265">
        <v>0</v>
      </c>
      <c r="J130" s="265">
        <v>0</v>
      </c>
      <c r="K130" s="256" t="s">
        <v>77</v>
      </c>
      <c r="L130" s="261" t="s">
        <v>194</v>
      </c>
      <c r="M130" s="261" t="s">
        <v>194</v>
      </c>
      <c r="N130" s="264" t="str">
        <f t="shared" si="6"/>
        <v/>
      </c>
    </row>
    <row r="131" spans="2:14" s="73" customFormat="1" x14ac:dyDescent="0.35">
      <c r="B131" s="255" t="s">
        <v>4</v>
      </c>
      <c r="C131" s="255" t="str">
        <f t="shared" si="5"/>
        <v>Small business without CL</v>
      </c>
      <c r="D131" s="255" t="s">
        <v>15</v>
      </c>
      <c r="E131" s="255" t="s">
        <v>150</v>
      </c>
      <c r="F131" s="255"/>
      <c r="G131" s="255" t="s">
        <v>76</v>
      </c>
      <c r="H131" s="255"/>
      <c r="I131" s="265">
        <v>0</v>
      </c>
      <c r="J131" s="265">
        <v>0</v>
      </c>
      <c r="K131" s="256" t="s">
        <v>77</v>
      </c>
      <c r="L131" s="261" t="s">
        <v>194</v>
      </c>
      <c r="M131" s="261" t="s">
        <v>194</v>
      </c>
      <c r="N131" s="264" t="str">
        <f t="shared" si="6"/>
        <v/>
      </c>
    </row>
    <row r="132" spans="2:14" s="73" customFormat="1" x14ac:dyDescent="0.35">
      <c r="B132" s="255" t="s">
        <v>0</v>
      </c>
      <c r="C132" s="255" t="str">
        <f t="shared" si="5"/>
        <v>Small business without CL</v>
      </c>
      <c r="D132" s="255" t="s">
        <v>15</v>
      </c>
      <c r="E132" s="255" t="s">
        <v>150</v>
      </c>
      <c r="F132" s="255"/>
      <c r="G132" s="255" t="s">
        <v>76</v>
      </c>
      <c r="H132" s="255"/>
      <c r="I132" s="265">
        <v>0</v>
      </c>
      <c r="J132" s="265">
        <v>0</v>
      </c>
      <c r="K132" s="256" t="s">
        <v>77</v>
      </c>
      <c r="L132" s="261" t="s">
        <v>194</v>
      </c>
      <c r="M132" s="261" t="s">
        <v>194</v>
      </c>
      <c r="N132" s="264" t="str">
        <f t="shared" si="6"/>
        <v/>
      </c>
    </row>
    <row r="133" spans="2:14" s="73" customFormat="1" x14ac:dyDescent="0.35">
      <c r="B133" s="255" t="s">
        <v>3</v>
      </c>
      <c r="C133" s="255" t="str">
        <f t="shared" si="5"/>
        <v>Small business without CL</v>
      </c>
      <c r="D133" s="255" t="s">
        <v>15</v>
      </c>
      <c r="E133" s="255" t="s">
        <v>150</v>
      </c>
      <c r="F133" s="255"/>
      <c r="G133" s="255" t="s">
        <v>76</v>
      </c>
      <c r="H133" s="255"/>
      <c r="I133" s="265">
        <v>0</v>
      </c>
      <c r="J133" s="265">
        <v>0</v>
      </c>
      <c r="K133" s="256" t="s">
        <v>77</v>
      </c>
      <c r="L133" s="261" t="s">
        <v>194</v>
      </c>
      <c r="M133" s="261" t="s">
        <v>194</v>
      </c>
      <c r="N133" s="264" t="str">
        <f t="shared" si="6"/>
        <v/>
      </c>
    </row>
    <row r="134" spans="2:14" s="73" customFormat="1" x14ac:dyDescent="0.35">
      <c r="B134" s="255" t="s">
        <v>5</v>
      </c>
      <c r="C134" s="255" t="str">
        <f t="shared" si="5"/>
        <v>Small business without CL</v>
      </c>
      <c r="D134" s="255" t="s">
        <v>15</v>
      </c>
      <c r="E134" s="255" t="s">
        <v>150</v>
      </c>
      <c r="F134" s="255"/>
      <c r="G134" s="255" t="s">
        <v>76</v>
      </c>
      <c r="H134" s="255"/>
      <c r="I134" s="265">
        <v>0</v>
      </c>
      <c r="J134" s="265">
        <v>0</v>
      </c>
      <c r="K134" s="256" t="s">
        <v>77</v>
      </c>
      <c r="L134" s="261" t="s">
        <v>194</v>
      </c>
      <c r="M134" s="261" t="s">
        <v>194</v>
      </c>
      <c r="N134" s="264" t="str">
        <f t="shared" si="6"/>
        <v/>
      </c>
    </row>
    <row r="135" spans="2:14" x14ac:dyDescent="0.35">
      <c r="B135" s="26"/>
      <c r="C135" s="26"/>
      <c r="D135" s="26"/>
      <c r="E135" s="26"/>
      <c r="F135" s="26"/>
      <c r="G135" s="26"/>
      <c r="H135" s="26"/>
      <c r="I135" s="158"/>
      <c r="J135" s="158"/>
      <c r="K135" s="13"/>
      <c r="L135" s="29"/>
      <c r="M135" s="29"/>
      <c r="N135" s="169" t="str">
        <f t="shared" ref="N135:N168" si="7">IFERROR(IF(K135="%",J135-I135,J135/I135-1),"")</f>
        <v/>
      </c>
    </row>
    <row r="136" spans="2:14" x14ac:dyDescent="0.35">
      <c r="B136" s="26"/>
      <c r="C136" s="26"/>
      <c r="D136" s="26"/>
      <c r="E136" s="26"/>
      <c r="F136" s="26"/>
      <c r="G136" s="26"/>
      <c r="H136" s="26"/>
      <c r="I136" s="158"/>
      <c r="J136" s="158"/>
      <c r="K136" s="13"/>
      <c r="L136" s="29"/>
      <c r="M136" s="29"/>
      <c r="N136" s="169" t="str">
        <f t="shared" si="7"/>
        <v/>
      </c>
    </row>
    <row r="137" spans="2:14" x14ac:dyDescent="0.35">
      <c r="B137" s="26"/>
      <c r="C137" s="26"/>
      <c r="D137" s="26"/>
      <c r="E137" s="26"/>
      <c r="F137" s="26"/>
      <c r="G137" s="26"/>
      <c r="H137" s="26"/>
      <c r="I137" s="158"/>
      <c r="J137" s="158"/>
      <c r="K137" s="13"/>
      <c r="L137" s="29"/>
      <c r="M137" s="29"/>
      <c r="N137" s="169" t="str">
        <f t="shared" si="7"/>
        <v/>
      </c>
    </row>
    <row r="138" spans="2:14" x14ac:dyDescent="0.35">
      <c r="B138" s="26"/>
      <c r="C138" s="26"/>
      <c r="D138" s="26"/>
      <c r="E138" s="26"/>
      <c r="F138" s="26"/>
      <c r="G138" s="26"/>
      <c r="H138" s="26"/>
      <c r="I138" s="158"/>
      <c r="J138" s="158"/>
      <c r="K138" s="13"/>
      <c r="L138" s="29"/>
      <c r="M138" s="29"/>
      <c r="N138" s="169" t="str">
        <f t="shared" si="7"/>
        <v/>
      </c>
    </row>
    <row r="139" spans="2:14" x14ac:dyDescent="0.35">
      <c r="B139" s="26"/>
      <c r="C139" s="26"/>
      <c r="D139" s="26"/>
      <c r="E139" s="26"/>
      <c r="F139" s="26"/>
      <c r="G139" s="26"/>
      <c r="H139" s="26"/>
      <c r="I139" s="158"/>
      <c r="J139" s="158"/>
      <c r="K139" s="13"/>
      <c r="L139" s="29"/>
      <c r="M139" s="29"/>
      <c r="N139" s="169" t="str">
        <f t="shared" si="7"/>
        <v/>
      </c>
    </row>
    <row r="140" spans="2:14" x14ac:dyDescent="0.35">
      <c r="B140" s="26"/>
      <c r="C140" s="26"/>
      <c r="D140" s="26"/>
      <c r="E140" s="26"/>
      <c r="F140" s="26"/>
      <c r="G140" s="26"/>
      <c r="H140" s="26"/>
      <c r="I140" s="158"/>
      <c r="J140" s="158"/>
      <c r="K140" s="13"/>
      <c r="L140" s="29"/>
      <c r="M140" s="29"/>
      <c r="N140" s="169" t="str">
        <f t="shared" si="7"/>
        <v/>
      </c>
    </row>
    <row r="141" spans="2:14" x14ac:dyDescent="0.35">
      <c r="B141" s="26"/>
      <c r="C141" s="26"/>
      <c r="D141" s="26"/>
      <c r="E141" s="26"/>
      <c r="F141" s="26"/>
      <c r="G141" s="26"/>
      <c r="H141" s="26"/>
      <c r="I141" s="158"/>
      <c r="J141" s="158"/>
      <c r="K141" s="13"/>
      <c r="L141" s="29"/>
      <c r="M141" s="29"/>
      <c r="N141" s="169" t="str">
        <f t="shared" si="7"/>
        <v/>
      </c>
    </row>
    <row r="142" spans="2:14" x14ac:dyDescent="0.35">
      <c r="B142" s="26"/>
      <c r="C142" s="26"/>
      <c r="D142" s="26"/>
      <c r="E142" s="26"/>
      <c r="F142" s="26"/>
      <c r="G142" s="26"/>
      <c r="H142" s="26"/>
      <c r="I142" s="158"/>
      <c r="J142" s="158"/>
      <c r="K142" s="13"/>
      <c r="L142" s="29"/>
      <c r="M142" s="29"/>
      <c r="N142" s="169" t="str">
        <f t="shared" si="7"/>
        <v/>
      </c>
    </row>
    <row r="143" spans="2:14" x14ac:dyDescent="0.35">
      <c r="B143" s="26"/>
      <c r="C143" s="26"/>
      <c r="D143" s="26"/>
      <c r="E143" s="26"/>
      <c r="F143" s="26"/>
      <c r="G143" s="26"/>
      <c r="H143" s="26"/>
      <c r="I143" s="158"/>
      <c r="J143" s="158"/>
      <c r="K143" s="13"/>
      <c r="L143" s="29"/>
      <c r="M143" s="29"/>
      <c r="N143" s="169" t="str">
        <f t="shared" si="7"/>
        <v/>
      </c>
    </row>
    <row r="144" spans="2:14" x14ac:dyDescent="0.35">
      <c r="B144" s="26"/>
      <c r="C144" s="26"/>
      <c r="D144" s="26"/>
      <c r="E144" s="26"/>
      <c r="F144" s="26"/>
      <c r="G144" s="26"/>
      <c r="H144" s="26"/>
      <c r="I144" s="158"/>
      <c r="J144" s="158"/>
      <c r="K144" s="13"/>
      <c r="L144" s="29"/>
      <c r="M144" s="29"/>
      <c r="N144" s="169" t="str">
        <f t="shared" si="7"/>
        <v/>
      </c>
    </row>
    <row r="145" spans="2:14" x14ac:dyDescent="0.35">
      <c r="B145" s="26"/>
      <c r="C145" s="26"/>
      <c r="D145" s="26"/>
      <c r="E145" s="26"/>
      <c r="F145" s="26"/>
      <c r="G145" s="26"/>
      <c r="H145" s="26"/>
      <c r="I145" s="158"/>
      <c r="J145" s="158"/>
      <c r="K145" s="13"/>
      <c r="L145" s="29"/>
      <c r="M145" s="29"/>
      <c r="N145" s="169" t="str">
        <f t="shared" si="7"/>
        <v/>
      </c>
    </row>
    <row r="146" spans="2:14" x14ac:dyDescent="0.35">
      <c r="B146" s="26"/>
      <c r="C146" s="26"/>
      <c r="D146" s="26"/>
      <c r="E146" s="26"/>
      <c r="F146" s="26"/>
      <c r="G146" s="26"/>
      <c r="H146" s="26"/>
      <c r="I146" s="158"/>
      <c r="J146" s="158"/>
      <c r="K146" s="13"/>
      <c r="L146" s="29"/>
      <c r="M146" s="29"/>
      <c r="N146" s="169" t="str">
        <f t="shared" si="7"/>
        <v/>
      </c>
    </row>
    <row r="147" spans="2:14" x14ac:dyDescent="0.35">
      <c r="B147" s="26"/>
      <c r="C147" s="26"/>
      <c r="D147" s="26"/>
      <c r="E147" s="26"/>
      <c r="F147" s="26"/>
      <c r="G147" s="26"/>
      <c r="H147" s="26"/>
      <c r="I147" s="158"/>
      <c r="J147" s="158"/>
      <c r="K147" s="13"/>
      <c r="L147" s="29"/>
      <c r="M147" s="29"/>
      <c r="N147" s="169" t="str">
        <f t="shared" si="7"/>
        <v/>
      </c>
    </row>
    <row r="148" spans="2:14" x14ac:dyDescent="0.35">
      <c r="B148" s="26"/>
      <c r="C148" s="26"/>
      <c r="D148" s="26"/>
      <c r="E148" s="26"/>
      <c r="F148" s="26"/>
      <c r="G148" s="26"/>
      <c r="H148" s="26"/>
      <c r="I148" s="158"/>
      <c r="J148" s="158"/>
      <c r="K148" s="13"/>
      <c r="L148" s="29"/>
      <c r="M148" s="29"/>
      <c r="N148" s="169" t="str">
        <f t="shared" si="7"/>
        <v/>
      </c>
    </row>
    <row r="149" spans="2:14" x14ac:dyDescent="0.35">
      <c r="B149" s="26"/>
      <c r="C149" s="26"/>
      <c r="D149" s="26"/>
      <c r="E149" s="26"/>
      <c r="F149" s="26"/>
      <c r="G149" s="26"/>
      <c r="H149" s="26"/>
      <c r="I149" s="40"/>
      <c r="J149" s="40"/>
      <c r="K149" s="13"/>
      <c r="L149" s="29"/>
      <c r="M149" s="29"/>
      <c r="N149" s="169" t="str">
        <f t="shared" si="7"/>
        <v/>
      </c>
    </row>
    <row r="150" spans="2:14" x14ac:dyDescent="0.35">
      <c r="B150" s="26"/>
      <c r="C150" s="26"/>
      <c r="D150" s="26"/>
      <c r="E150" s="26"/>
      <c r="F150" s="26"/>
      <c r="G150" s="26"/>
      <c r="H150" s="26"/>
      <c r="I150" s="40"/>
      <c r="J150" s="40"/>
      <c r="K150" s="13"/>
      <c r="L150" s="29"/>
      <c r="M150" s="29"/>
      <c r="N150" s="169" t="str">
        <f t="shared" si="7"/>
        <v/>
      </c>
    </row>
    <row r="151" spans="2:14" x14ac:dyDescent="0.35">
      <c r="B151" s="26"/>
      <c r="C151" s="26"/>
      <c r="D151" s="26"/>
      <c r="E151" s="26"/>
      <c r="F151" s="26"/>
      <c r="G151" s="26"/>
      <c r="H151" s="26"/>
      <c r="I151" s="40"/>
      <c r="J151" s="40"/>
      <c r="K151" s="13"/>
      <c r="L151" s="29"/>
      <c r="M151" s="29"/>
      <c r="N151" s="169" t="str">
        <f t="shared" si="7"/>
        <v/>
      </c>
    </row>
    <row r="152" spans="2:14" x14ac:dyDescent="0.35">
      <c r="B152" s="26"/>
      <c r="C152" s="26"/>
      <c r="D152" s="26"/>
      <c r="E152" s="26"/>
      <c r="F152" s="26"/>
      <c r="G152" s="26"/>
      <c r="H152" s="26"/>
      <c r="I152" s="40"/>
      <c r="J152" s="40"/>
      <c r="K152" s="13"/>
      <c r="L152" s="29"/>
      <c r="M152" s="29"/>
      <c r="N152" s="169" t="str">
        <f t="shared" si="7"/>
        <v/>
      </c>
    </row>
    <row r="153" spans="2:14" x14ac:dyDescent="0.35">
      <c r="B153" s="26"/>
      <c r="C153" s="26"/>
      <c r="D153" s="26"/>
      <c r="E153" s="26"/>
      <c r="F153" s="26"/>
      <c r="G153" s="26"/>
      <c r="H153" s="26"/>
      <c r="I153" s="40"/>
      <c r="J153" s="40"/>
      <c r="K153" s="13"/>
      <c r="L153" s="29"/>
      <c r="M153" s="29"/>
      <c r="N153" s="169" t="str">
        <f t="shared" si="7"/>
        <v/>
      </c>
    </row>
    <row r="154" spans="2:14" x14ac:dyDescent="0.35">
      <c r="B154" s="26"/>
      <c r="C154" s="26"/>
      <c r="D154" s="26"/>
      <c r="E154" s="26"/>
      <c r="F154" s="26"/>
      <c r="G154" s="26"/>
      <c r="H154" s="26"/>
      <c r="I154" s="40"/>
      <c r="J154" s="40"/>
      <c r="K154" s="13"/>
      <c r="L154" s="29"/>
      <c r="M154" s="29"/>
      <c r="N154" s="169" t="str">
        <f t="shared" si="7"/>
        <v/>
      </c>
    </row>
    <row r="155" spans="2:14" x14ac:dyDescent="0.35">
      <c r="B155" s="26"/>
      <c r="C155" s="26"/>
      <c r="D155" s="26"/>
      <c r="E155" s="26"/>
      <c r="F155" s="26"/>
      <c r="G155" s="26"/>
      <c r="H155" s="26"/>
      <c r="I155" s="40"/>
      <c r="J155" s="40"/>
      <c r="K155" s="13"/>
      <c r="L155" s="29"/>
      <c r="M155" s="29"/>
      <c r="N155" s="169" t="str">
        <f t="shared" si="7"/>
        <v/>
      </c>
    </row>
    <row r="156" spans="2:14" x14ac:dyDescent="0.35">
      <c r="B156" s="26"/>
      <c r="C156" s="26"/>
      <c r="D156" s="26"/>
      <c r="E156" s="26"/>
      <c r="F156" s="26"/>
      <c r="G156" s="26"/>
      <c r="H156" s="26"/>
      <c r="I156" s="40"/>
      <c r="J156" s="40"/>
      <c r="K156" s="13"/>
      <c r="L156" s="29"/>
      <c r="M156" s="29"/>
      <c r="N156" s="169" t="str">
        <f t="shared" si="7"/>
        <v/>
      </c>
    </row>
    <row r="157" spans="2:14" x14ac:dyDescent="0.35">
      <c r="B157" s="26"/>
      <c r="C157" s="26"/>
      <c r="D157" s="26"/>
      <c r="E157" s="26"/>
      <c r="F157" s="26"/>
      <c r="G157" s="26"/>
      <c r="H157" s="26"/>
      <c r="I157" s="40"/>
      <c r="J157" s="40"/>
      <c r="K157" s="13"/>
      <c r="L157" s="29"/>
      <c r="M157" s="29"/>
      <c r="N157" s="169" t="str">
        <f t="shared" si="7"/>
        <v/>
      </c>
    </row>
    <row r="158" spans="2:14" x14ac:dyDescent="0.35">
      <c r="B158" s="26"/>
      <c r="C158" s="26"/>
      <c r="D158" s="26"/>
      <c r="E158" s="26"/>
      <c r="F158" s="26"/>
      <c r="G158" s="26"/>
      <c r="H158" s="26"/>
      <c r="I158" s="40"/>
      <c r="J158" s="40"/>
      <c r="K158" s="13"/>
      <c r="L158" s="29"/>
      <c r="M158" s="29"/>
      <c r="N158" s="169" t="str">
        <f t="shared" si="7"/>
        <v/>
      </c>
    </row>
    <row r="159" spans="2:14" x14ac:dyDescent="0.35">
      <c r="B159" s="26"/>
      <c r="C159" s="26"/>
      <c r="D159" s="26"/>
      <c r="E159" s="26"/>
      <c r="F159" s="26"/>
      <c r="G159" s="26"/>
      <c r="H159" s="26"/>
      <c r="I159" s="40"/>
      <c r="J159" s="40"/>
      <c r="K159" s="13"/>
      <c r="L159" s="29"/>
      <c r="M159" s="29"/>
      <c r="N159" s="169" t="str">
        <f t="shared" si="7"/>
        <v/>
      </c>
    </row>
    <row r="160" spans="2:14" x14ac:dyDescent="0.35">
      <c r="B160" s="26"/>
      <c r="C160" s="26"/>
      <c r="D160" s="26"/>
      <c r="E160" s="26"/>
      <c r="F160" s="26"/>
      <c r="G160" s="26"/>
      <c r="H160" s="26"/>
      <c r="I160" s="40"/>
      <c r="J160" s="40"/>
      <c r="K160" s="13"/>
      <c r="L160" s="29"/>
      <c r="M160" s="29"/>
      <c r="N160" s="169" t="str">
        <f t="shared" si="7"/>
        <v/>
      </c>
    </row>
    <row r="161" spans="2:14" x14ac:dyDescent="0.35">
      <c r="B161" s="26"/>
      <c r="C161" s="26"/>
      <c r="D161" s="26"/>
      <c r="E161" s="26"/>
      <c r="F161" s="26"/>
      <c r="G161" s="26"/>
      <c r="H161" s="26"/>
      <c r="I161" s="40"/>
      <c r="J161" s="40"/>
      <c r="K161" s="13"/>
      <c r="L161" s="29"/>
      <c r="M161" s="29"/>
      <c r="N161" s="169" t="str">
        <f t="shared" si="7"/>
        <v/>
      </c>
    </row>
    <row r="162" spans="2:14" x14ac:dyDescent="0.35">
      <c r="B162" s="26"/>
      <c r="C162" s="26"/>
      <c r="D162" s="26"/>
      <c r="E162" s="26"/>
      <c r="F162" s="26"/>
      <c r="G162" s="26"/>
      <c r="H162" s="26"/>
      <c r="I162" s="40"/>
      <c r="J162" s="40"/>
      <c r="K162" s="13"/>
      <c r="L162" s="29"/>
      <c r="M162" s="29"/>
      <c r="N162" s="169" t="str">
        <f t="shared" si="7"/>
        <v/>
      </c>
    </row>
    <row r="163" spans="2:14" x14ac:dyDescent="0.35">
      <c r="B163" s="26"/>
      <c r="C163" s="26"/>
      <c r="D163" s="26"/>
      <c r="E163" s="26"/>
      <c r="F163" s="26"/>
      <c r="G163" s="26"/>
      <c r="H163" s="26"/>
      <c r="I163" s="40"/>
      <c r="J163" s="40"/>
      <c r="K163" s="13"/>
      <c r="L163" s="29"/>
      <c r="M163" s="29"/>
      <c r="N163" s="169" t="str">
        <f t="shared" si="7"/>
        <v/>
      </c>
    </row>
    <row r="164" spans="2:14" x14ac:dyDescent="0.35">
      <c r="B164" s="26"/>
      <c r="C164" s="26"/>
      <c r="D164" s="26"/>
      <c r="E164" s="26"/>
      <c r="F164" s="26"/>
      <c r="G164" s="26"/>
      <c r="H164" s="26"/>
      <c r="I164" s="40"/>
      <c r="J164" s="40"/>
      <c r="K164" s="13"/>
      <c r="L164" s="29"/>
      <c r="M164" s="29"/>
      <c r="N164" s="169" t="str">
        <f t="shared" si="7"/>
        <v/>
      </c>
    </row>
    <row r="165" spans="2:14" x14ac:dyDescent="0.35">
      <c r="B165" s="26"/>
      <c r="C165" s="26"/>
      <c r="D165" s="26"/>
      <c r="E165" s="26"/>
      <c r="F165" s="26"/>
      <c r="G165" s="26"/>
      <c r="H165" s="26"/>
      <c r="I165" s="40"/>
      <c r="J165" s="40"/>
      <c r="K165" s="13"/>
      <c r="L165" s="29"/>
      <c r="M165" s="29"/>
      <c r="N165" s="169" t="str">
        <f t="shared" si="7"/>
        <v/>
      </c>
    </row>
    <row r="166" spans="2:14" x14ac:dyDescent="0.35">
      <c r="B166" s="26"/>
      <c r="C166" s="26"/>
      <c r="D166" s="26"/>
      <c r="E166" s="26"/>
      <c r="F166" s="26"/>
      <c r="G166" s="26"/>
      <c r="H166" s="26"/>
      <c r="I166" s="40"/>
      <c r="J166" s="40"/>
      <c r="K166" s="13"/>
      <c r="L166" s="29"/>
      <c r="M166" s="29"/>
      <c r="N166" s="169" t="str">
        <f t="shared" si="7"/>
        <v/>
      </c>
    </row>
    <row r="167" spans="2:14" x14ac:dyDescent="0.35">
      <c r="B167" s="26"/>
      <c r="C167" s="26"/>
      <c r="D167" s="26"/>
      <c r="E167" s="26"/>
      <c r="F167" s="26"/>
      <c r="G167" s="26"/>
      <c r="H167" s="26"/>
      <c r="I167" s="40"/>
      <c r="J167" s="40"/>
      <c r="K167" s="13"/>
      <c r="L167" s="29"/>
      <c r="M167" s="29"/>
      <c r="N167" s="169" t="str">
        <f t="shared" si="7"/>
        <v/>
      </c>
    </row>
    <row r="168" spans="2:14" x14ac:dyDescent="0.35">
      <c r="B168" s="26"/>
      <c r="C168" s="26"/>
      <c r="D168" s="26"/>
      <c r="E168" s="26"/>
      <c r="F168" s="26"/>
      <c r="G168" s="26"/>
      <c r="H168" s="26"/>
      <c r="I168" s="40"/>
      <c r="J168" s="40"/>
      <c r="K168" s="13"/>
      <c r="L168" s="29"/>
      <c r="M168" s="29"/>
      <c r="N168" s="169" t="str">
        <f t="shared" si="7"/>
        <v/>
      </c>
    </row>
    <row r="169" spans="2:14" x14ac:dyDescent="0.35">
      <c r="B169" s="26"/>
      <c r="C169" s="26"/>
      <c r="D169" s="26"/>
      <c r="E169" s="26"/>
      <c r="F169" s="26"/>
      <c r="G169" s="26"/>
      <c r="H169" s="26"/>
      <c r="I169" s="40"/>
      <c r="J169" s="40"/>
      <c r="K169" s="13"/>
      <c r="L169" s="29"/>
      <c r="M169" s="29"/>
      <c r="N169" s="20" t="str">
        <f t="shared" ref="N169:N186" si="8">IF(OR(I169="",J169="",I169=0),"",J169/I169-1)</f>
        <v/>
      </c>
    </row>
    <row r="170" spans="2:14" x14ac:dyDescent="0.35">
      <c r="B170" s="26"/>
      <c r="C170" s="26"/>
      <c r="D170" s="26"/>
      <c r="E170" s="26"/>
      <c r="F170" s="26"/>
      <c r="G170" s="26"/>
      <c r="H170" s="26"/>
      <c r="I170" s="40"/>
      <c r="J170" s="40"/>
      <c r="K170" s="13"/>
      <c r="L170" s="29"/>
      <c r="M170" s="29"/>
      <c r="N170" s="20" t="str">
        <f t="shared" si="8"/>
        <v/>
      </c>
    </row>
    <row r="171" spans="2:14" x14ac:dyDescent="0.35">
      <c r="B171" s="26"/>
      <c r="C171" s="26"/>
      <c r="D171" s="26"/>
      <c r="E171" s="26"/>
      <c r="F171" s="26"/>
      <c r="G171" s="26"/>
      <c r="H171" s="26"/>
      <c r="I171" s="40"/>
      <c r="J171" s="40"/>
      <c r="K171" s="13"/>
      <c r="L171" s="29"/>
      <c r="M171" s="29"/>
      <c r="N171" s="20" t="str">
        <f t="shared" si="8"/>
        <v/>
      </c>
    </row>
    <row r="172" spans="2:14" x14ac:dyDescent="0.35">
      <c r="B172" s="26"/>
      <c r="C172" s="26"/>
      <c r="D172" s="26"/>
      <c r="E172" s="26"/>
      <c r="F172" s="26"/>
      <c r="G172" s="26"/>
      <c r="H172" s="26"/>
      <c r="I172" s="40"/>
      <c r="J172" s="40"/>
      <c r="K172" s="13"/>
      <c r="L172" s="29"/>
      <c r="M172" s="29"/>
      <c r="N172" s="20" t="str">
        <f t="shared" si="8"/>
        <v/>
      </c>
    </row>
    <row r="173" spans="2:14" x14ac:dyDescent="0.35">
      <c r="B173" s="26"/>
      <c r="C173" s="26"/>
      <c r="D173" s="26"/>
      <c r="E173" s="26"/>
      <c r="F173" s="26"/>
      <c r="G173" s="26"/>
      <c r="H173" s="26"/>
      <c r="I173" s="40"/>
      <c r="J173" s="40"/>
      <c r="K173" s="13"/>
      <c r="L173" s="29"/>
      <c r="M173" s="29"/>
      <c r="N173" s="20" t="str">
        <f t="shared" si="8"/>
        <v/>
      </c>
    </row>
    <row r="174" spans="2:14" x14ac:dyDescent="0.35">
      <c r="B174" s="26"/>
      <c r="C174" s="26"/>
      <c r="D174" s="26"/>
      <c r="E174" s="26"/>
      <c r="F174" s="26"/>
      <c r="G174" s="26"/>
      <c r="H174" s="26"/>
      <c r="I174" s="40"/>
      <c r="J174" s="40"/>
      <c r="K174" s="13"/>
      <c r="L174" s="29"/>
      <c r="M174" s="29"/>
      <c r="N174" s="20" t="str">
        <f t="shared" si="8"/>
        <v/>
      </c>
    </row>
    <row r="175" spans="2:14" x14ac:dyDescent="0.35">
      <c r="B175" s="26"/>
      <c r="C175" s="26"/>
      <c r="D175" s="26"/>
      <c r="E175" s="26"/>
      <c r="F175" s="26"/>
      <c r="G175" s="26"/>
      <c r="H175" s="26"/>
      <c r="I175" s="40"/>
      <c r="J175" s="40"/>
      <c r="K175" s="13"/>
      <c r="L175" s="29"/>
      <c r="M175" s="29"/>
      <c r="N175" s="20" t="str">
        <f t="shared" si="8"/>
        <v/>
      </c>
    </row>
    <row r="176" spans="2:14" x14ac:dyDescent="0.35">
      <c r="B176" s="26"/>
      <c r="C176" s="26"/>
      <c r="D176" s="26"/>
      <c r="E176" s="26"/>
      <c r="F176" s="26"/>
      <c r="G176" s="26"/>
      <c r="H176" s="26"/>
      <c r="I176" s="40"/>
      <c r="J176" s="40"/>
      <c r="K176" s="13"/>
      <c r="L176" s="29"/>
      <c r="M176" s="29"/>
      <c r="N176" s="20" t="str">
        <f t="shared" si="8"/>
        <v/>
      </c>
    </row>
    <row r="177" spans="2:14" x14ac:dyDescent="0.35">
      <c r="B177" s="26"/>
      <c r="C177" s="26"/>
      <c r="D177" s="26"/>
      <c r="E177" s="26"/>
      <c r="F177" s="26"/>
      <c r="G177" s="26"/>
      <c r="H177" s="26"/>
      <c r="I177" s="40"/>
      <c r="J177" s="40"/>
      <c r="K177" s="13"/>
      <c r="L177" s="29"/>
      <c r="M177" s="29"/>
      <c r="N177" s="20" t="str">
        <f t="shared" si="8"/>
        <v/>
      </c>
    </row>
    <row r="178" spans="2:14" x14ac:dyDescent="0.35">
      <c r="B178" s="26"/>
      <c r="C178" s="26"/>
      <c r="D178" s="26"/>
      <c r="E178" s="26"/>
      <c r="F178" s="26"/>
      <c r="G178" s="26"/>
      <c r="H178" s="26"/>
      <c r="I178" s="40"/>
      <c r="J178" s="40"/>
      <c r="K178" s="13"/>
      <c r="L178" s="29"/>
      <c r="M178" s="29"/>
      <c r="N178" s="20" t="str">
        <f t="shared" si="8"/>
        <v/>
      </c>
    </row>
    <row r="179" spans="2:14" x14ac:dyDescent="0.35">
      <c r="B179" s="26"/>
      <c r="C179" s="26"/>
      <c r="D179" s="26"/>
      <c r="E179" s="26"/>
      <c r="F179" s="26"/>
      <c r="G179" s="26"/>
      <c r="H179" s="26"/>
      <c r="I179" s="40"/>
      <c r="J179" s="40"/>
      <c r="K179" s="13"/>
      <c r="L179" s="29"/>
      <c r="M179" s="29"/>
      <c r="N179" s="20" t="str">
        <f t="shared" si="8"/>
        <v/>
      </c>
    </row>
    <row r="180" spans="2:14" x14ac:dyDescent="0.35">
      <c r="B180" s="26"/>
      <c r="C180" s="26"/>
      <c r="D180" s="26"/>
      <c r="E180" s="26"/>
      <c r="F180" s="26"/>
      <c r="G180" s="26"/>
      <c r="H180" s="26"/>
      <c r="I180" s="40"/>
      <c r="J180" s="40"/>
      <c r="K180" s="13"/>
      <c r="L180" s="29"/>
      <c r="M180" s="29"/>
      <c r="N180" s="20" t="str">
        <f t="shared" si="8"/>
        <v/>
      </c>
    </row>
    <row r="181" spans="2:14" x14ac:dyDescent="0.35">
      <c r="B181" s="26"/>
      <c r="C181" s="26"/>
      <c r="D181" s="26"/>
      <c r="E181" s="26"/>
      <c r="F181" s="26"/>
      <c r="G181" s="26"/>
      <c r="H181" s="26"/>
      <c r="I181" s="40"/>
      <c r="J181" s="40"/>
      <c r="K181" s="13"/>
      <c r="L181" s="29"/>
      <c r="M181" s="29"/>
      <c r="N181" s="20" t="str">
        <f t="shared" si="8"/>
        <v/>
      </c>
    </row>
    <row r="182" spans="2:14" x14ac:dyDescent="0.35">
      <c r="B182" s="26"/>
      <c r="C182" s="26"/>
      <c r="D182" s="26"/>
      <c r="E182" s="26"/>
      <c r="F182" s="26"/>
      <c r="G182" s="26"/>
      <c r="H182" s="26"/>
      <c r="I182" s="40"/>
      <c r="J182" s="40"/>
      <c r="K182" s="13"/>
      <c r="L182" s="29"/>
      <c r="M182" s="29"/>
      <c r="N182" s="20" t="str">
        <f t="shared" si="8"/>
        <v/>
      </c>
    </row>
    <row r="183" spans="2:14" x14ac:dyDescent="0.35">
      <c r="B183" s="26"/>
      <c r="C183" s="26"/>
      <c r="D183" s="26"/>
      <c r="E183" s="26"/>
      <c r="F183" s="26"/>
      <c r="G183" s="26"/>
      <c r="H183" s="26"/>
      <c r="I183" s="40"/>
      <c r="J183" s="40"/>
      <c r="K183" s="13"/>
      <c r="L183" s="29"/>
      <c r="M183" s="29"/>
      <c r="N183" s="20" t="str">
        <f t="shared" si="8"/>
        <v/>
      </c>
    </row>
    <row r="184" spans="2:14" x14ac:dyDescent="0.35">
      <c r="B184" s="26"/>
      <c r="C184" s="26"/>
      <c r="D184" s="26"/>
      <c r="E184" s="26"/>
      <c r="F184" s="26"/>
      <c r="G184" s="26"/>
      <c r="H184" s="26"/>
      <c r="I184" s="40"/>
      <c r="J184" s="40"/>
      <c r="K184" s="13"/>
      <c r="L184" s="29"/>
      <c r="M184" s="29"/>
      <c r="N184" s="20" t="str">
        <f t="shared" si="8"/>
        <v/>
      </c>
    </row>
    <row r="185" spans="2:14" x14ac:dyDescent="0.35">
      <c r="B185" s="26"/>
      <c r="C185" s="26"/>
      <c r="D185" s="26"/>
      <c r="E185" s="26"/>
      <c r="F185" s="26"/>
      <c r="G185" s="26"/>
      <c r="H185" s="26"/>
      <c r="I185" s="40"/>
      <c r="J185" s="40"/>
      <c r="K185" s="13"/>
      <c r="L185" s="29"/>
      <c r="M185" s="29"/>
      <c r="N185" s="20" t="str">
        <f t="shared" si="8"/>
        <v/>
      </c>
    </row>
    <row r="186" spans="2:14" x14ac:dyDescent="0.35">
      <c r="B186" s="26"/>
      <c r="C186" s="26"/>
      <c r="D186" s="26"/>
      <c r="E186" s="26"/>
      <c r="F186" s="26"/>
      <c r="G186" s="26"/>
      <c r="H186" s="26"/>
      <c r="I186" s="40"/>
      <c r="J186" s="40"/>
      <c r="K186" s="13"/>
      <c r="L186" s="29"/>
      <c r="M186" s="29"/>
      <c r="N186" s="20" t="str">
        <f t="shared" si="8"/>
        <v/>
      </c>
    </row>
    <row r="187" spans="2:14" x14ac:dyDescent="0.35">
      <c r="B187" s="26"/>
      <c r="C187" s="26"/>
      <c r="D187" s="26"/>
      <c r="E187" s="26"/>
      <c r="F187" s="26"/>
      <c r="G187" s="26"/>
      <c r="H187" s="26"/>
      <c r="I187" s="40"/>
      <c r="J187" s="40"/>
      <c r="K187" s="13"/>
      <c r="L187" s="29"/>
      <c r="M187" s="29"/>
      <c r="N187" s="20" t="str">
        <f t="shared" ref="N187:N218" si="9">IF(OR(I187="",J187="",I187=0),"",J187/I187-1)</f>
        <v/>
      </c>
    </row>
    <row r="188" spans="2:14" x14ac:dyDescent="0.35">
      <c r="B188" s="26"/>
      <c r="C188" s="26"/>
      <c r="D188" s="26"/>
      <c r="E188" s="26"/>
      <c r="F188" s="26"/>
      <c r="G188" s="26"/>
      <c r="H188" s="26"/>
      <c r="I188" s="40"/>
      <c r="J188" s="40"/>
      <c r="K188" s="13"/>
      <c r="L188" s="29"/>
      <c r="M188" s="29"/>
      <c r="N188" s="20" t="str">
        <f t="shared" si="9"/>
        <v/>
      </c>
    </row>
    <row r="189" spans="2:14" x14ac:dyDescent="0.35">
      <c r="B189" s="26"/>
      <c r="C189" s="26"/>
      <c r="D189" s="26"/>
      <c r="E189" s="26"/>
      <c r="F189" s="26"/>
      <c r="G189" s="26"/>
      <c r="H189" s="26"/>
      <c r="I189" s="40"/>
      <c r="J189" s="40"/>
      <c r="K189" s="13"/>
      <c r="L189" s="29"/>
      <c r="M189" s="29"/>
      <c r="N189" s="20" t="str">
        <f t="shared" si="9"/>
        <v/>
      </c>
    </row>
    <row r="190" spans="2:14" x14ac:dyDescent="0.35">
      <c r="B190" s="26"/>
      <c r="C190" s="26"/>
      <c r="D190" s="26"/>
      <c r="E190" s="26"/>
      <c r="F190" s="26"/>
      <c r="G190" s="26"/>
      <c r="H190" s="26"/>
      <c r="I190" s="40"/>
      <c r="J190" s="40"/>
      <c r="K190" s="13"/>
      <c r="L190" s="29"/>
      <c r="M190" s="29"/>
      <c r="N190" s="20" t="str">
        <f t="shared" si="9"/>
        <v/>
      </c>
    </row>
    <row r="191" spans="2:14" x14ac:dyDescent="0.35">
      <c r="B191" s="26"/>
      <c r="C191" s="26"/>
      <c r="D191" s="26"/>
      <c r="E191" s="26"/>
      <c r="F191" s="26"/>
      <c r="G191" s="26"/>
      <c r="H191" s="26"/>
      <c r="I191" s="40"/>
      <c r="J191" s="40"/>
      <c r="K191" s="13"/>
      <c r="L191" s="29"/>
      <c r="M191" s="29"/>
      <c r="N191" s="20" t="str">
        <f t="shared" si="9"/>
        <v/>
      </c>
    </row>
    <row r="192" spans="2:14" x14ac:dyDescent="0.35">
      <c r="B192" s="26"/>
      <c r="C192" s="26"/>
      <c r="D192" s="26"/>
      <c r="E192" s="26"/>
      <c r="F192" s="26"/>
      <c r="G192" s="26"/>
      <c r="H192" s="26"/>
      <c r="I192" s="40"/>
      <c r="J192" s="40"/>
      <c r="K192" s="13"/>
      <c r="L192" s="29"/>
      <c r="M192" s="29"/>
      <c r="N192" s="20" t="str">
        <f t="shared" si="9"/>
        <v/>
      </c>
    </row>
    <row r="193" spans="2:14" x14ac:dyDescent="0.35">
      <c r="B193" s="26"/>
      <c r="C193" s="26"/>
      <c r="D193" s="26"/>
      <c r="E193" s="26"/>
      <c r="F193" s="26"/>
      <c r="G193" s="26"/>
      <c r="H193" s="26"/>
      <c r="I193" s="40"/>
      <c r="J193" s="40"/>
      <c r="K193" s="13"/>
      <c r="L193" s="29"/>
      <c r="M193" s="29"/>
      <c r="N193" s="20" t="str">
        <f t="shared" si="9"/>
        <v/>
      </c>
    </row>
    <row r="194" spans="2:14" x14ac:dyDescent="0.35">
      <c r="B194" s="26"/>
      <c r="C194" s="26"/>
      <c r="D194" s="26"/>
      <c r="E194" s="26"/>
      <c r="F194" s="26"/>
      <c r="G194" s="26"/>
      <c r="H194" s="26"/>
      <c r="I194" s="40"/>
      <c r="J194" s="40"/>
      <c r="K194" s="13"/>
      <c r="L194" s="29"/>
      <c r="M194" s="29"/>
      <c r="N194" s="20" t="str">
        <f t="shared" si="9"/>
        <v/>
      </c>
    </row>
    <row r="195" spans="2:14" x14ac:dyDescent="0.35">
      <c r="B195" s="26"/>
      <c r="C195" s="26"/>
      <c r="D195" s="26"/>
      <c r="E195" s="26"/>
      <c r="F195" s="26"/>
      <c r="G195" s="26"/>
      <c r="H195" s="26"/>
      <c r="I195" s="40"/>
      <c r="J195" s="40"/>
      <c r="K195" s="13"/>
      <c r="L195" s="29"/>
      <c r="M195" s="29"/>
      <c r="N195" s="20" t="str">
        <f t="shared" si="9"/>
        <v/>
      </c>
    </row>
    <row r="196" spans="2:14" x14ac:dyDescent="0.35">
      <c r="B196" s="26"/>
      <c r="C196" s="26"/>
      <c r="D196" s="26"/>
      <c r="E196" s="26"/>
      <c r="F196" s="26"/>
      <c r="G196" s="26"/>
      <c r="H196" s="26"/>
      <c r="I196" s="40"/>
      <c r="J196" s="40"/>
      <c r="K196" s="13"/>
      <c r="L196" s="29"/>
      <c r="M196" s="29"/>
      <c r="N196" s="20" t="str">
        <f t="shared" si="9"/>
        <v/>
      </c>
    </row>
    <row r="197" spans="2:14" x14ac:dyDescent="0.35">
      <c r="B197" s="26"/>
      <c r="C197" s="26"/>
      <c r="D197" s="26"/>
      <c r="E197" s="26"/>
      <c r="F197" s="26"/>
      <c r="G197" s="26"/>
      <c r="H197" s="26"/>
      <c r="I197" s="40"/>
      <c r="J197" s="40"/>
      <c r="K197" s="13"/>
      <c r="L197" s="29"/>
      <c r="M197" s="29"/>
      <c r="N197" s="20" t="str">
        <f t="shared" si="9"/>
        <v/>
      </c>
    </row>
    <row r="198" spans="2:14" x14ac:dyDescent="0.35">
      <c r="B198" s="26"/>
      <c r="C198" s="26"/>
      <c r="D198" s="26"/>
      <c r="E198" s="26"/>
      <c r="F198" s="26"/>
      <c r="G198" s="26"/>
      <c r="H198" s="26"/>
      <c r="I198" s="40"/>
      <c r="J198" s="40"/>
      <c r="K198" s="13"/>
      <c r="L198" s="29"/>
      <c r="M198" s="29"/>
      <c r="N198" s="20" t="str">
        <f t="shared" si="9"/>
        <v/>
      </c>
    </row>
    <row r="199" spans="2:14" x14ac:dyDescent="0.35">
      <c r="B199" s="26"/>
      <c r="C199" s="26"/>
      <c r="D199" s="26"/>
      <c r="E199" s="26"/>
      <c r="F199" s="26"/>
      <c r="G199" s="26"/>
      <c r="H199" s="26"/>
      <c r="I199" s="40"/>
      <c r="J199" s="40"/>
      <c r="K199" s="13"/>
      <c r="L199" s="29"/>
      <c r="M199" s="29"/>
      <c r="N199" s="20" t="str">
        <f t="shared" si="9"/>
        <v/>
      </c>
    </row>
    <row r="200" spans="2:14" x14ac:dyDescent="0.35">
      <c r="B200" s="26"/>
      <c r="C200" s="26"/>
      <c r="D200" s="26"/>
      <c r="E200" s="26"/>
      <c r="F200" s="26"/>
      <c r="G200" s="26"/>
      <c r="H200" s="26"/>
      <c r="I200" s="40"/>
      <c r="J200" s="40"/>
      <c r="K200" s="13"/>
      <c r="L200" s="29"/>
      <c r="M200" s="29"/>
      <c r="N200" s="20" t="str">
        <f t="shared" si="9"/>
        <v/>
      </c>
    </row>
    <row r="201" spans="2:14" x14ac:dyDescent="0.35">
      <c r="B201" s="26"/>
      <c r="C201" s="26"/>
      <c r="D201" s="26"/>
      <c r="E201" s="26"/>
      <c r="F201" s="26"/>
      <c r="G201" s="26"/>
      <c r="H201" s="26"/>
      <c r="I201" s="40"/>
      <c r="J201" s="40"/>
      <c r="K201" s="13"/>
      <c r="L201" s="29"/>
      <c r="M201" s="29"/>
      <c r="N201" s="20" t="str">
        <f t="shared" si="9"/>
        <v/>
      </c>
    </row>
    <row r="202" spans="2:14" x14ac:dyDescent="0.35">
      <c r="B202" s="26"/>
      <c r="C202" s="26"/>
      <c r="D202" s="26"/>
      <c r="E202" s="26"/>
      <c r="F202" s="26"/>
      <c r="G202" s="26"/>
      <c r="H202" s="26"/>
      <c r="I202" s="40"/>
      <c r="J202" s="40"/>
      <c r="K202" s="13"/>
      <c r="L202" s="29"/>
      <c r="M202" s="29"/>
      <c r="N202" s="20" t="str">
        <f t="shared" si="9"/>
        <v/>
      </c>
    </row>
    <row r="203" spans="2:14" x14ac:dyDescent="0.35">
      <c r="B203" s="26"/>
      <c r="C203" s="26"/>
      <c r="D203" s="26"/>
      <c r="E203" s="26"/>
      <c r="F203" s="26"/>
      <c r="G203" s="26"/>
      <c r="H203" s="26"/>
      <c r="I203" s="40"/>
      <c r="J203" s="40"/>
      <c r="K203" s="13"/>
      <c r="L203" s="29"/>
      <c r="M203" s="29"/>
      <c r="N203" s="20" t="str">
        <f t="shared" si="9"/>
        <v/>
      </c>
    </row>
    <row r="204" spans="2:14" x14ac:dyDescent="0.35">
      <c r="B204" s="26"/>
      <c r="C204" s="26"/>
      <c r="D204" s="26"/>
      <c r="E204" s="26"/>
      <c r="F204" s="26"/>
      <c r="G204" s="26"/>
      <c r="H204" s="26"/>
      <c r="I204" s="40"/>
      <c r="J204" s="40"/>
      <c r="K204" s="13"/>
      <c r="L204" s="29"/>
      <c r="M204" s="29"/>
      <c r="N204" s="20" t="str">
        <f t="shared" si="9"/>
        <v/>
      </c>
    </row>
    <row r="205" spans="2:14" x14ac:dyDescent="0.35">
      <c r="B205" s="26"/>
      <c r="C205" s="26"/>
      <c r="D205" s="26"/>
      <c r="E205" s="26"/>
      <c r="F205" s="26"/>
      <c r="G205" s="26"/>
      <c r="H205" s="26"/>
      <c r="I205" s="40"/>
      <c r="J205" s="40"/>
      <c r="K205" s="13"/>
      <c r="L205" s="29"/>
      <c r="M205" s="29"/>
      <c r="N205" s="20" t="str">
        <f t="shared" si="9"/>
        <v/>
      </c>
    </row>
    <row r="206" spans="2:14" x14ac:dyDescent="0.35">
      <c r="B206" s="26"/>
      <c r="C206" s="26"/>
      <c r="D206" s="26"/>
      <c r="E206" s="26"/>
      <c r="F206" s="26"/>
      <c r="G206" s="26"/>
      <c r="H206" s="26"/>
      <c r="I206" s="40"/>
      <c r="J206" s="40"/>
      <c r="K206" s="13"/>
      <c r="L206" s="29"/>
      <c r="M206" s="29"/>
      <c r="N206" s="20" t="str">
        <f t="shared" si="9"/>
        <v/>
      </c>
    </row>
    <row r="207" spans="2:14" x14ac:dyDescent="0.35">
      <c r="B207" s="26"/>
      <c r="C207" s="26"/>
      <c r="D207" s="26"/>
      <c r="E207" s="26"/>
      <c r="F207" s="26"/>
      <c r="G207" s="26"/>
      <c r="H207" s="26"/>
      <c r="I207" s="40"/>
      <c r="J207" s="40"/>
      <c r="K207" s="13"/>
      <c r="L207" s="29"/>
      <c r="M207" s="29"/>
      <c r="N207" s="20" t="str">
        <f t="shared" si="9"/>
        <v/>
      </c>
    </row>
    <row r="208" spans="2:14" x14ac:dyDescent="0.35">
      <c r="B208" s="26"/>
      <c r="C208" s="26"/>
      <c r="D208" s="26"/>
      <c r="E208" s="26"/>
      <c r="F208" s="26"/>
      <c r="G208" s="26"/>
      <c r="H208" s="26"/>
      <c r="I208" s="40"/>
      <c r="J208" s="40"/>
      <c r="K208" s="13"/>
      <c r="L208" s="29"/>
      <c r="M208" s="29"/>
      <c r="N208" s="20" t="str">
        <f t="shared" si="9"/>
        <v/>
      </c>
    </row>
    <row r="209" spans="2:14" x14ac:dyDescent="0.35">
      <c r="B209" s="26"/>
      <c r="C209" s="26"/>
      <c r="D209" s="26"/>
      <c r="E209" s="26"/>
      <c r="F209" s="26"/>
      <c r="G209" s="26"/>
      <c r="H209" s="26"/>
      <c r="I209" s="40"/>
      <c r="J209" s="40"/>
      <c r="K209" s="13"/>
      <c r="L209" s="29"/>
      <c r="M209" s="29"/>
      <c r="N209" s="20" t="str">
        <f t="shared" si="9"/>
        <v/>
      </c>
    </row>
    <row r="210" spans="2:14" x14ac:dyDescent="0.35">
      <c r="B210" s="26"/>
      <c r="C210" s="26"/>
      <c r="D210" s="26"/>
      <c r="E210" s="26"/>
      <c r="F210" s="26"/>
      <c r="G210" s="26"/>
      <c r="H210" s="26"/>
      <c r="I210" s="40"/>
      <c r="J210" s="40"/>
      <c r="K210" s="13"/>
      <c r="L210" s="29"/>
      <c r="M210" s="29"/>
      <c r="N210" s="20" t="str">
        <f t="shared" si="9"/>
        <v/>
      </c>
    </row>
    <row r="211" spans="2:14" x14ac:dyDescent="0.35">
      <c r="B211" s="26"/>
      <c r="C211" s="26"/>
      <c r="D211" s="26"/>
      <c r="E211" s="26"/>
      <c r="F211" s="26"/>
      <c r="G211" s="26"/>
      <c r="H211" s="26"/>
      <c r="I211" s="40"/>
      <c r="J211" s="40"/>
      <c r="K211" s="13"/>
      <c r="L211" s="29"/>
      <c r="M211" s="29"/>
      <c r="N211" s="20" t="str">
        <f t="shared" si="9"/>
        <v/>
      </c>
    </row>
    <row r="212" spans="2:14" x14ac:dyDescent="0.35">
      <c r="B212" s="26"/>
      <c r="C212" s="26"/>
      <c r="D212" s="26"/>
      <c r="E212" s="26"/>
      <c r="F212" s="26"/>
      <c r="G212" s="26"/>
      <c r="H212" s="26"/>
      <c r="I212" s="40"/>
      <c r="J212" s="40"/>
      <c r="K212" s="13"/>
      <c r="L212" s="29"/>
      <c r="M212" s="29"/>
      <c r="N212" s="20" t="str">
        <f t="shared" si="9"/>
        <v/>
      </c>
    </row>
    <row r="213" spans="2:14" x14ac:dyDescent="0.35">
      <c r="B213" s="26"/>
      <c r="C213" s="26"/>
      <c r="D213" s="26"/>
      <c r="E213" s="26"/>
      <c r="F213" s="26"/>
      <c r="G213" s="26"/>
      <c r="H213" s="26"/>
      <c r="I213" s="40"/>
      <c r="J213" s="40"/>
      <c r="K213" s="13"/>
      <c r="L213" s="29"/>
      <c r="M213" s="29"/>
      <c r="N213" s="20" t="str">
        <f t="shared" si="9"/>
        <v/>
      </c>
    </row>
    <row r="214" spans="2:14" x14ac:dyDescent="0.35">
      <c r="B214" s="26"/>
      <c r="C214" s="26"/>
      <c r="D214" s="26"/>
      <c r="E214" s="26"/>
      <c r="F214" s="26"/>
      <c r="G214" s="26"/>
      <c r="H214" s="26"/>
      <c r="I214" s="40"/>
      <c r="J214" s="40"/>
      <c r="K214" s="13"/>
      <c r="L214" s="29"/>
      <c r="M214" s="29"/>
      <c r="N214" s="20" t="str">
        <f t="shared" si="9"/>
        <v/>
      </c>
    </row>
    <row r="215" spans="2:14" x14ac:dyDescent="0.35">
      <c r="B215" s="26"/>
      <c r="C215" s="26"/>
      <c r="D215" s="26"/>
      <c r="E215" s="26"/>
      <c r="F215" s="26"/>
      <c r="G215" s="26"/>
      <c r="H215" s="26"/>
      <c r="I215" s="40"/>
      <c r="J215" s="40"/>
      <c r="K215" s="13"/>
      <c r="L215" s="29"/>
      <c r="M215" s="29"/>
      <c r="N215" s="20" t="str">
        <f t="shared" si="9"/>
        <v/>
      </c>
    </row>
    <row r="216" spans="2:14" x14ac:dyDescent="0.35">
      <c r="B216" s="26"/>
      <c r="C216" s="26"/>
      <c r="D216" s="26"/>
      <c r="E216" s="26"/>
      <c r="F216" s="26"/>
      <c r="G216" s="26"/>
      <c r="H216" s="26"/>
      <c r="I216" s="40"/>
      <c r="J216" s="40"/>
      <c r="K216" s="13"/>
      <c r="L216" s="29"/>
      <c r="M216" s="29"/>
      <c r="N216" s="20" t="str">
        <f t="shared" si="9"/>
        <v/>
      </c>
    </row>
    <row r="217" spans="2:14" x14ac:dyDescent="0.35">
      <c r="B217" s="26"/>
      <c r="C217" s="26"/>
      <c r="D217" s="26"/>
      <c r="E217" s="26"/>
      <c r="F217" s="26"/>
      <c r="G217" s="26"/>
      <c r="H217" s="26"/>
      <c r="I217" s="40"/>
      <c r="J217" s="40"/>
      <c r="K217" s="13"/>
      <c r="L217" s="29"/>
      <c r="M217" s="29"/>
      <c r="N217" s="20" t="str">
        <f t="shared" si="9"/>
        <v/>
      </c>
    </row>
    <row r="218" spans="2:14" x14ac:dyDescent="0.35">
      <c r="B218" s="26"/>
      <c r="C218" s="26"/>
      <c r="D218" s="26"/>
      <c r="E218" s="26"/>
      <c r="F218" s="26"/>
      <c r="G218" s="26"/>
      <c r="H218" s="26"/>
      <c r="I218" s="40"/>
      <c r="J218" s="40"/>
      <c r="K218" s="13"/>
      <c r="L218" s="29"/>
      <c r="M218" s="29"/>
      <c r="N218" s="20" t="str">
        <f t="shared" si="9"/>
        <v/>
      </c>
    </row>
    <row r="219" spans="2:14" x14ac:dyDescent="0.35">
      <c r="B219" s="26"/>
      <c r="C219" s="26"/>
      <c r="D219" s="26"/>
      <c r="E219" s="26"/>
      <c r="F219" s="26"/>
      <c r="G219" s="26"/>
      <c r="H219" s="26"/>
      <c r="I219" s="40"/>
      <c r="J219" s="40"/>
      <c r="K219" s="13"/>
      <c r="L219" s="29"/>
      <c r="M219" s="29"/>
      <c r="N219" s="20" t="str">
        <f t="shared" ref="N219:N229" si="10">IF(OR(I219="",J219=""),"",J219/I219-1)</f>
        <v/>
      </c>
    </row>
    <row r="220" spans="2:14" x14ac:dyDescent="0.35">
      <c r="B220" s="26"/>
      <c r="C220" s="26"/>
      <c r="D220" s="26"/>
      <c r="E220" s="26"/>
      <c r="F220" s="26"/>
      <c r="G220" s="26"/>
      <c r="H220" s="26"/>
      <c r="I220" s="40"/>
      <c r="J220" s="40"/>
      <c r="K220" s="13"/>
      <c r="L220" s="29"/>
      <c r="M220" s="29"/>
      <c r="N220" s="20" t="str">
        <f t="shared" si="10"/>
        <v/>
      </c>
    </row>
    <row r="221" spans="2:14" x14ac:dyDescent="0.35">
      <c r="B221" s="26"/>
      <c r="C221" s="26"/>
      <c r="D221" s="26"/>
      <c r="E221" s="26"/>
      <c r="F221" s="26"/>
      <c r="G221" s="26"/>
      <c r="H221" s="26"/>
      <c r="I221" s="40"/>
      <c r="J221" s="40"/>
      <c r="K221" s="13"/>
      <c r="L221" s="29"/>
      <c r="M221" s="29"/>
      <c r="N221" s="20" t="str">
        <f t="shared" si="10"/>
        <v/>
      </c>
    </row>
    <row r="222" spans="2:14" x14ac:dyDescent="0.35">
      <c r="B222" s="26"/>
      <c r="C222" s="26"/>
      <c r="D222" s="26"/>
      <c r="E222" s="26"/>
      <c r="F222" s="26"/>
      <c r="G222" s="26"/>
      <c r="H222" s="26"/>
      <c r="I222" s="40"/>
      <c r="J222" s="40"/>
      <c r="K222" s="13"/>
      <c r="L222" s="29"/>
      <c r="M222" s="29"/>
      <c r="N222" s="20" t="str">
        <f t="shared" si="10"/>
        <v/>
      </c>
    </row>
    <row r="223" spans="2:14" x14ac:dyDescent="0.35">
      <c r="B223" s="26"/>
      <c r="C223" s="26"/>
      <c r="D223" s="26"/>
      <c r="E223" s="26"/>
      <c r="F223" s="26"/>
      <c r="G223" s="26"/>
      <c r="H223" s="26"/>
      <c r="I223" s="40"/>
      <c r="J223" s="40"/>
      <c r="K223" s="13"/>
      <c r="L223" s="29"/>
      <c r="M223" s="29"/>
      <c r="N223" s="20" t="str">
        <f t="shared" si="10"/>
        <v/>
      </c>
    </row>
    <row r="224" spans="2:14" x14ac:dyDescent="0.35">
      <c r="B224" s="26"/>
      <c r="C224" s="26"/>
      <c r="D224" s="26"/>
      <c r="E224" s="26"/>
      <c r="F224" s="26"/>
      <c r="G224" s="26"/>
      <c r="H224" s="26"/>
      <c r="I224" s="40"/>
      <c r="J224" s="40"/>
      <c r="K224" s="13"/>
      <c r="L224" s="29"/>
      <c r="M224" s="29"/>
      <c r="N224" s="20" t="str">
        <f t="shared" si="10"/>
        <v/>
      </c>
    </row>
    <row r="225" spans="2:14" x14ac:dyDescent="0.35">
      <c r="B225" s="26"/>
      <c r="C225" s="26"/>
      <c r="D225" s="26"/>
      <c r="E225" s="26"/>
      <c r="F225" s="26"/>
      <c r="G225" s="26"/>
      <c r="H225" s="26"/>
      <c r="I225" s="40"/>
      <c r="J225" s="40"/>
      <c r="K225" s="13"/>
      <c r="L225" s="29"/>
      <c r="M225" s="29"/>
      <c r="N225" s="20" t="str">
        <f t="shared" si="10"/>
        <v/>
      </c>
    </row>
    <row r="226" spans="2:14" x14ac:dyDescent="0.35">
      <c r="B226" s="26"/>
      <c r="C226" s="26"/>
      <c r="D226" s="26"/>
      <c r="E226" s="26"/>
      <c r="F226" s="26"/>
      <c r="G226" s="26"/>
      <c r="H226" s="26"/>
      <c r="I226" s="40"/>
      <c r="J226" s="40"/>
      <c r="K226" s="13"/>
      <c r="L226" s="29"/>
      <c r="M226" s="29"/>
      <c r="N226" s="20" t="str">
        <f t="shared" si="10"/>
        <v/>
      </c>
    </row>
    <row r="227" spans="2:14" x14ac:dyDescent="0.35">
      <c r="B227" s="26"/>
      <c r="C227" s="26"/>
      <c r="D227" s="26"/>
      <c r="E227" s="26"/>
      <c r="F227" s="26"/>
      <c r="G227" s="26"/>
      <c r="H227" s="26"/>
      <c r="I227" s="40"/>
      <c r="J227" s="40"/>
      <c r="K227" s="13"/>
      <c r="L227" s="29"/>
      <c r="M227" s="29"/>
      <c r="N227" s="20" t="str">
        <f t="shared" si="10"/>
        <v/>
      </c>
    </row>
    <row r="228" spans="2:14" x14ac:dyDescent="0.35">
      <c r="B228" s="26"/>
      <c r="C228" s="26"/>
      <c r="D228" s="26"/>
      <c r="E228" s="26"/>
      <c r="F228" s="26"/>
      <c r="G228" s="26"/>
      <c r="H228" s="26"/>
      <c r="I228" s="40"/>
      <c r="J228" s="40"/>
      <c r="K228" s="13"/>
      <c r="L228" s="29"/>
      <c r="M228" s="29"/>
      <c r="N228" s="20" t="str">
        <f t="shared" si="10"/>
        <v/>
      </c>
    </row>
    <row r="229" spans="2:14" x14ac:dyDescent="0.35">
      <c r="B229" s="26"/>
      <c r="C229" s="26"/>
      <c r="D229" s="26"/>
      <c r="E229" s="26"/>
      <c r="F229" s="26"/>
      <c r="G229" s="26"/>
      <c r="H229" s="26"/>
      <c r="I229" s="40"/>
      <c r="J229" s="40"/>
      <c r="K229" s="13"/>
      <c r="L229" s="29"/>
      <c r="M229" s="29"/>
      <c r="N229" s="20" t="str">
        <f t="shared" si="10"/>
        <v/>
      </c>
    </row>
    <row r="230" spans="2:14" x14ac:dyDescent="0.35">
      <c r="B230" s="26"/>
      <c r="C230" s="26"/>
      <c r="D230" s="26"/>
      <c r="E230" s="26"/>
      <c r="F230" s="26"/>
      <c r="G230" s="26"/>
      <c r="H230" s="26"/>
      <c r="I230" s="40"/>
      <c r="J230" s="40"/>
      <c r="K230" s="13"/>
      <c r="L230" s="29"/>
      <c r="M230" s="29"/>
      <c r="N230" s="20" t="str">
        <f t="shared" ref="N230:N245" si="11">IF(OR(I230="",J230=""),"",J230/I230-1)</f>
        <v/>
      </c>
    </row>
    <row r="231" spans="2:14" x14ac:dyDescent="0.35">
      <c r="B231" s="26"/>
      <c r="C231" s="26"/>
      <c r="D231" s="26"/>
      <c r="E231" s="26"/>
      <c r="F231" s="26"/>
      <c r="G231" s="26"/>
      <c r="H231" s="26"/>
      <c r="I231" s="40"/>
      <c r="J231" s="40"/>
      <c r="K231" s="13"/>
      <c r="L231" s="29"/>
      <c r="M231" s="29"/>
      <c r="N231" s="20" t="str">
        <f t="shared" si="11"/>
        <v/>
      </c>
    </row>
    <row r="232" spans="2:14" x14ac:dyDescent="0.35">
      <c r="B232" s="26"/>
      <c r="C232" s="26"/>
      <c r="D232" s="26"/>
      <c r="E232" s="26"/>
      <c r="F232" s="26"/>
      <c r="G232" s="26"/>
      <c r="H232" s="26"/>
      <c r="I232" s="40"/>
      <c r="J232" s="40"/>
      <c r="K232" s="13"/>
      <c r="L232" s="29"/>
      <c r="M232" s="29"/>
      <c r="N232" s="20" t="str">
        <f t="shared" si="11"/>
        <v/>
      </c>
    </row>
    <row r="233" spans="2:14" x14ac:dyDescent="0.35">
      <c r="B233" s="26"/>
      <c r="C233" s="26"/>
      <c r="D233" s="26"/>
      <c r="E233" s="26"/>
      <c r="F233" s="26"/>
      <c r="G233" s="26"/>
      <c r="H233" s="26"/>
      <c r="I233" s="40"/>
      <c r="J233" s="40"/>
      <c r="K233" s="13"/>
      <c r="L233" s="29"/>
      <c r="M233" s="29"/>
      <c r="N233" s="20" t="str">
        <f t="shared" si="11"/>
        <v/>
      </c>
    </row>
    <row r="234" spans="2:14" x14ac:dyDescent="0.35">
      <c r="B234" s="26"/>
      <c r="C234" s="26"/>
      <c r="D234" s="26"/>
      <c r="E234" s="26"/>
      <c r="F234" s="26"/>
      <c r="G234" s="26"/>
      <c r="H234" s="26"/>
      <c r="I234" s="40"/>
      <c r="J234" s="40"/>
      <c r="K234" s="13"/>
      <c r="L234" s="29"/>
      <c r="M234" s="29"/>
      <c r="N234" s="20" t="str">
        <f t="shared" si="11"/>
        <v/>
      </c>
    </row>
    <row r="235" spans="2:14" x14ac:dyDescent="0.35">
      <c r="B235" s="26"/>
      <c r="C235" s="26"/>
      <c r="D235" s="26"/>
      <c r="E235" s="26"/>
      <c r="F235" s="26"/>
      <c r="G235" s="26"/>
      <c r="H235" s="26"/>
      <c r="I235" s="40"/>
      <c r="J235" s="40"/>
      <c r="K235" s="13"/>
      <c r="L235" s="29"/>
      <c r="M235" s="29"/>
      <c r="N235" s="20" t="str">
        <f t="shared" si="11"/>
        <v/>
      </c>
    </row>
    <row r="236" spans="2:14" x14ac:dyDescent="0.35">
      <c r="B236" s="26"/>
      <c r="C236" s="26"/>
      <c r="D236" s="26"/>
      <c r="E236" s="26"/>
      <c r="F236" s="26"/>
      <c r="G236" s="26"/>
      <c r="H236" s="26"/>
      <c r="I236" s="40"/>
      <c r="J236" s="40"/>
      <c r="K236" s="13"/>
      <c r="L236" s="29"/>
      <c r="M236" s="29"/>
      <c r="N236" s="20" t="str">
        <f t="shared" si="11"/>
        <v/>
      </c>
    </row>
    <row r="237" spans="2:14" x14ac:dyDescent="0.35">
      <c r="B237" s="26"/>
      <c r="C237" s="26"/>
      <c r="D237" s="26"/>
      <c r="E237" s="26"/>
      <c r="F237" s="26"/>
      <c r="G237" s="26"/>
      <c r="H237" s="26"/>
      <c r="I237" s="40"/>
      <c r="J237" s="40"/>
      <c r="K237" s="13"/>
      <c r="L237" s="29"/>
      <c r="M237" s="29"/>
      <c r="N237" s="20" t="str">
        <f t="shared" si="11"/>
        <v/>
      </c>
    </row>
    <row r="238" spans="2:14" x14ac:dyDescent="0.35">
      <c r="B238" s="26"/>
      <c r="C238" s="26"/>
      <c r="D238" s="26"/>
      <c r="E238" s="26"/>
      <c r="F238" s="26"/>
      <c r="G238" s="26"/>
      <c r="H238" s="26"/>
      <c r="I238" s="40"/>
      <c r="J238" s="40"/>
      <c r="K238" s="13"/>
      <c r="L238" s="29"/>
      <c r="M238" s="29"/>
      <c r="N238" s="20" t="str">
        <f t="shared" si="11"/>
        <v/>
      </c>
    </row>
    <row r="239" spans="2:14" x14ac:dyDescent="0.35">
      <c r="B239" s="26"/>
      <c r="C239" s="26"/>
      <c r="D239" s="26"/>
      <c r="E239" s="26"/>
      <c r="F239" s="26"/>
      <c r="G239" s="26"/>
      <c r="H239" s="26"/>
      <c r="I239" s="40"/>
      <c r="J239" s="40"/>
      <c r="K239" s="13"/>
      <c r="L239" s="29"/>
      <c r="M239" s="29"/>
      <c r="N239" s="20" t="str">
        <f t="shared" si="11"/>
        <v/>
      </c>
    </row>
    <row r="240" spans="2:14" x14ac:dyDescent="0.35">
      <c r="B240" s="26"/>
      <c r="C240" s="26"/>
      <c r="D240" s="26"/>
      <c r="E240" s="26"/>
      <c r="F240" s="26"/>
      <c r="G240" s="26"/>
      <c r="H240" s="26"/>
      <c r="I240" s="40"/>
      <c r="J240" s="40"/>
      <c r="K240" s="13"/>
      <c r="L240" s="29"/>
      <c r="M240" s="29"/>
      <c r="N240" s="20" t="str">
        <f t="shared" si="11"/>
        <v/>
      </c>
    </row>
    <row r="241" spans="2:14" x14ac:dyDescent="0.35">
      <c r="B241" s="26"/>
      <c r="C241" s="26"/>
      <c r="D241" s="26"/>
      <c r="E241" s="26"/>
      <c r="F241" s="26"/>
      <c r="G241" s="26"/>
      <c r="H241" s="26"/>
      <c r="I241" s="40"/>
      <c r="J241" s="40"/>
      <c r="K241" s="13"/>
      <c r="L241" s="29"/>
      <c r="M241" s="29"/>
      <c r="N241" s="20" t="str">
        <f t="shared" si="11"/>
        <v/>
      </c>
    </row>
    <row r="242" spans="2:14" x14ac:dyDescent="0.35">
      <c r="B242" s="26"/>
      <c r="C242" s="26"/>
      <c r="D242" s="26"/>
      <c r="E242" s="26"/>
      <c r="F242" s="26"/>
      <c r="G242" s="26"/>
      <c r="H242" s="26"/>
      <c r="I242" s="40"/>
      <c r="J242" s="40"/>
      <c r="K242" s="13"/>
      <c r="L242" s="29"/>
      <c r="M242" s="29"/>
      <c r="N242" s="20" t="str">
        <f t="shared" si="11"/>
        <v/>
      </c>
    </row>
    <row r="243" spans="2:14" x14ac:dyDescent="0.35">
      <c r="B243" s="26"/>
      <c r="C243" s="26"/>
      <c r="D243" s="26"/>
      <c r="E243" s="26"/>
      <c r="F243" s="26"/>
      <c r="G243" s="26"/>
      <c r="H243" s="26"/>
      <c r="I243" s="40"/>
      <c r="J243" s="40"/>
      <c r="K243" s="13"/>
      <c r="L243" s="29"/>
      <c r="M243" s="29"/>
      <c r="N243" s="20" t="str">
        <f t="shared" si="11"/>
        <v/>
      </c>
    </row>
    <row r="244" spans="2:14" x14ac:dyDescent="0.35">
      <c r="B244" s="26"/>
      <c r="C244" s="26"/>
      <c r="D244" s="26"/>
      <c r="E244" s="26"/>
      <c r="F244" s="26"/>
      <c r="G244" s="26"/>
      <c r="H244" s="26"/>
      <c r="I244" s="40"/>
      <c r="J244" s="40"/>
      <c r="K244" s="13"/>
      <c r="L244" s="29"/>
      <c r="M244" s="29"/>
      <c r="N244" s="20" t="str">
        <f t="shared" si="11"/>
        <v/>
      </c>
    </row>
    <row r="245" spans="2:14" x14ac:dyDescent="0.35">
      <c r="B245" s="26"/>
      <c r="C245" s="26"/>
      <c r="D245" s="26"/>
      <c r="E245" s="26"/>
      <c r="F245" s="26"/>
      <c r="G245" s="26"/>
      <c r="H245" s="26"/>
      <c r="I245" s="40"/>
      <c r="J245" s="40"/>
      <c r="K245" s="13"/>
      <c r="L245" s="29"/>
      <c r="M245" s="29"/>
      <c r="N245" s="20" t="str">
        <f t="shared" si="11"/>
        <v/>
      </c>
    </row>
  </sheetData>
  <sheetProtection algorithmName="SHA-256" hashValue="HcSGeMAg4yB6RXJo9KOcSWrjs6/BNi8fxQDe4xWTKsk=" saltValue="Y8eBz6MJOfnM5y7+xBBEog==" spinCount="100000" sheet="1" objects="1" scenarios="1"/>
  <autoFilter ref="B3:N245"/>
  <mergeCells count="1">
    <mergeCell ref="A1:B1"/>
  </mergeCells>
  <conditionalFormatting sqref="B4:N168">
    <cfRule type="expression" dxfId="0" priority="37">
      <formula>MOD(ROW(),2)=0</formula>
    </cfRule>
  </conditionalFormatting>
  <hyperlinks>
    <hyperlink ref="A1" location="Index!A1" display="&lt;&lt;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pane ySplit="1" topLeftCell="A2" activePane="bottomLeft" state="frozen"/>
      <selection pane="bottomLeft" activeCell="E4" sqref="E4"/>
    </sheetView>
  </sheetViews>
  <sheetFormatPr defaultColWidth="8.81640625" defaultRowHeight="14.5" x14ac:dyDescent="0.35"/>
  <cols>
    <col min="1" max="1" width="12.54296875" style="21" bestFit="1" customWidth="1"/>
    <col min="2" max="2" width="17.1796875" style="21" bestFit="1" customWidth="1"/>
    <col min="3" max="3" width="9.453125" style="21" bestFit="1" customWidth="1"/>
    <col min="4" max="4" width="16.1796875" style="21" bestFit="1" customWidth="1"/>
    <col min="5" max="5" width="13.1796875" style="21" bestFit="1" customWidth="1"/>
    <col min="6" max="16384" width="8.81640625" style="21"/>
  </cols>
  <sheetData>
    <row r="1" spans="1:7" s="27" customFormat="1" x14ac:dyDescent="0.35">
      <c r="A1" s="27" t="s">
        <v>40</v>
      </c>
      <c r="B1" s="27" t="s">
        <v>26</v>
      </c>
      <c r="C1" s="27" t="s">
        <v>13</v>
      </c>
      <c r="D1" s="27" t="s">
        <v>41</v>
      </c>
      <c r="E1" s="27" t="s">
        <v>53</v>
      </c>
      <c r="G1" s="27" t="s">
        <v>39</v>
      </c>
    </row>
    <row r="2" spans="1:7" x14ac:dyDescent="0.35">
      <c r="A2" s="21" t="s">
        <v>6</v>
      </c>
      <c r="B2" s="21" t="s">
        <v>44</v>
      </c>
      <c r="C2" s="21" t="s">
        <v>23</v>
      </c>
      <c r="D2" s="21" t="s">
        <v>2</v>
      </c>
      <c r="E2" s="21" t="s">
        <v>26</v>
      </c>
      <c r="G2" s="21" t="s">
        <v>37</v>
      </c>
    </row>
    <row r="3" spans="1:7" x14ac:dyDescent="0.35">
      <c r="A3" s="21" t="s">
        <v>15</v>
      </c>
      <c r="B3" s="21" t="s">
        <v>14</v>
      </c>
      <c r="C3" s="21" t="s">
        <v>18</v>
      </c>
      <c r="D3" s="21" t="s">
        <v>4</v>
      </c>
      <c r="E3" s="21" t="s">
        <v>65</v>
      </c>
      <c r="G3" s="21" t="s">
        <v>38</v>
      </c>
    </row>
    <row r="4" spans="1:7" x14ac:dyDescent="0.35">
      <c r="B4" s="21" t="s">
        <v>43</v>
      </c>
      <c r="C4" s="21" t="s">
        <v>16</v>
      </c>
      <c r="D4" s="21" t="s">
        <v>0</v>
      </c>
      <c r="E4" s="21" t="s">
        <v>67</v>
      </c>
    </row>
    <row r="5" spans="1:7" x14ac:dyDescent="0.35">
      <c r="C5" s="21" t="s">
        <v>17</v>
      </c>
      <c r="D5" s="21" t="s">
        <v>3</v>
      </c>
      <c r="E5" s="21" t="s">
        <v>34</v>
      </c>
    </row>
    <row r="6" spans="1:7" x14ac:dyDescent="0.35">
      <c r="C6" s="21" t="s">
        <v>43</v>
      </c>
      <c r="D6" s="21" t="s">
        <v>5</v>
      </c>
      <c r="E6" s="21" t="s">
        <v>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Cover</vt:lpstr>
      <vt:lpstr>Index</vt:lpstr>
      <vt:lpstr>OVERVIEW -&gt;</vt:lpstr>
      <vt:lpstr>Structure</vt:lpstr>
      <vt:lpstr>Summary</vt:lpstr>
      <vt:lpstr>CHARTS -&gt;</vt:lpstr>
      <vt:lpstr>Res wo CL</vt:lpstr>
      <vt:lpstr>Res w CL</vt:lpstr>
      <vt:lpstr>SB wo CL</vt:lpstr>
      <vt:lpstr>DMO INDEX -&gt;</vt:lpstr>
      <vt:lpstr>Ausgrid</vt:lpstr>
      <vt:lpstr>Endeavour</vt:lpstr>
      <vt:lpstr>Essential</vt:lpstr>
      <vt:lpstr>Energex</vt:lpstr>
      <vt:lpstr>SAPN</vt:lpstr>
      <vt:lpstr>COST CALCS -&gt;</vt:lpstr>
      <vt:lpstr>Network cost</vt:lpstr>
      <vt:lpstr>Wholesale cost</vt:lpstr>
      <vt:lpstr>Environmental cost</vt:lpstr>
      <vt:lpstr>INPUTS -&gt;</vt:lpstr>
      <vt:lpstr>Key inputs</vt:lpstr>
      <vt:lpstr>Usage</vt:lpstr>
      <vt:lpstr>Detail inputs</vt:lpstr>
      <vt:lpstr>Lists</vt:lpstr>
      <vt:lpstr>CPI</vt:lpstr>
      <vt:lpstr>Days</vt:lpstr>
      <vt:lpstr>FY</vt:lpstr>
      <vt:lpstr>GST</vt:lpstr>
      <vt:lpstr>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2016-12-13T23:55:07Z</dcterms:created>
  <dcterms:modified xsi:type="dcterms:W3CDTF">2021-04-23T01:34:09Z</dcterms:modified>
</cp:coreProperties>
</file>