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PA VTS AA 2023-27\03 Draft Decision\Public\"/>
    </mc:Choice>
  </mc:AlternateContent>
  <xr:revisionPtr revIDLastSave="0" documentId="13_ncr:1_{ADAF4252-EC4B-4271-99D4-C3A23B6438BC}" xr6:coauthVersionLast="47" xr6:coauthVersionMax="47" xr10:uidLastSave="{00000000-0000-0000-0000-000000000000}"/>
  <bookViews>
    <workbookView xWindow="-28920" yWindow="-6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55" l="1"/>
  <c r="F70" i="55"/>
  <c r="S41" i="2" l="1"/>
  <c r="R41" i="2"/>
  <c r="R42" i="2" s="1"/>
  <c r="Q41" i="2"/>
  <c r="Q42" i="2" s="1"/>
  <c r="P41" i="2"/>
  <c r="P42" i="2" s="1"/>
  <c r="T42" i="2"/>
  <c r="S42" i="2"/>
  <c r="T40" i="2" l="1"/>
  <c r="T43" i="2" s="1"/>
  <c r="S40" i="2"/>
  <c r="S43" i="2" s="1"/>
  <c r="R40" i="2"/>
  <c r="R43" i="2" s="1"/>
  <c r="Q40" i="2"/>
  <c r="Q43" i="2" s="1"/>
  <c r="C95" i="42"/>
  <c r="C16" i="44" s="1"/>
  <c r="C94" i="42"/>
  <c r="C15" i="44" s="1"/>
  <c r="C93" i="42"/>
  <c r="C14" i="44" s="1"/>
  <c r="P40" i="2" l="1"/>
  <c r="P43" i="2" s="1"/>
  <c r="O64" i="42" l="1"/>
  <c r="F71" i="55" l="1"/>
  <c r="T68" i="55"/>
  <c r="T106" i="2"/>
  <c r="S67" i="42" s="1"/>
  <c r="S106" i="2"/>
  <c r="R106" i="2"/>
  <c r="Q106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49" i="42" s="1"/>
  <c r="F66" i="58"/>
  <c r="F65" i="58"/>
  <c r="F64" i="58"/>
  <c r="F63" i="58"/>
  <c r="F26" i="58"/>
  <c r="F20" i="58"/>
  <c r="E69" i="58"/>
  <c r="E28" i="42" s="1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103" i="42" s="1"/>
  <c r="K4" i="42"/>
  <c r="K103" i="42" s="1"/>
  <c r="L4" i="42"/>
  <c r="L103" i="42" s="1"/>
  <c r="M4" i="42"/>
  <c r="N4" i="42"/>
  <c r="O4" i="42"/>
  <c r="O103" i="42" s="1"/>
  <c r="P4" i="42"/>
  <c r="P103" i="42" s="1"/>
  <c r="Q4" i="42"/>
  <c r="Q103" i="42" s="1"/>
  <c r="R4" i="42"/>
  <c r="R35" i="42" s="1"/>
  <c r="R103" i="42"/>
  <c r="S4" i="42"/>
  <c r="S103" i="42" s="1"/>
  <c r="T4" i="42"/>
  <c r="T103" i="42" s="1"/>
  <c r="J4" i="58"/>
  <c r="J61" i="58" s="1"/>
  <c r="F8" i="42"/>
  <c r="S58" i="42"/>
  <c r="P58" i="42"/>
  <c r="O58" i="42"/>
  <c r="K58" i="42"/>
  <c r="K62" i="42" s="1" a="1"/>
  <c r="K62" i="42" s="1"/>
  <c r="J58" i="42"/>
  <c r="J68" i="42" s="1" a="1"/>
  <c r="J68" i="42" s="1"/>
  <c r="E18" i="44"/>
  <c r="C96" i="42"/>
  <c r="C17" i="44" s="1"/>
  <c r="E96" i="42"/>
  <c r="C97" i="42"/>
  <c r="C18" i="44" s="1"/>
  <c r="E97" i="42"/>
  <c r="E16" i="44"/>
  <c r="T4" i="44"/>
  <c r="T11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T91" i="42"/>
  <c r="T12" i="42"/>
  <c r="T10" i="53"/>
  <c r="T22" i="53" s="1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8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D16" i="16" s="1"/>
  <c r="C15" i="16"/>
  <c r="D15" i="16" s="1"/>
  <c r="C14" i="16"/>
  <c r="C13" i="16"/>
  <c r="C12" i="16"/>
  <c r="C11" i="16"/>
  <c r="H72" i="4"/>
  <c r="G72" i="4" s="1"/>
  <c r="U77" i="2"/>
  <c r="N47" i="58"/>
  <c r="O47" i="58"/>
  <c r="P47" i="58"/>
  <c r="Q47" i="58"/>
  <c r="R47" i="58"/>
  <c r="S47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C97" i="2"/>
  <c r="F19" i="42"/>
  <c r="F97" i="42"/>
  <c r="F8" i="44"/>
  <c r="F18" i="44" s="1"/>
  <c r="E24" i="42"/>
  <c r="F22" i="42"/>
  <c r="E22" i="42"/>
  <c r="E20" i="42"/>
  <c r="O29" i="58"/>
  <c r="P29" i="58"/>
  <c r="Q29" i="58"/>
  <c r="R29" i="58"/>
  <c r="S29" i="58"/>
  <c r="E15" i="58"/>
  <c r="D15" i="58"/>
  <c r="O15" i="58"/>
  <c r="P15" i="58"/>
  <c r="Q15" i="58"/>
  <c r="R15" i="58"/>
  <c r="S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G75" i="4"/>
  <c r="E31" i="42"/>
  <c r="E26" i="42"/>
  <c r="S4" i="44"/>
  <c r="R4" i="44"/>
  <c r="Q4" i="44"/>
  <c r="Q11" i="44" s="1"/>
  <c r="P4" i="44"/>
  <c r="O4" i="44"/>
  <c r="N4" i="44"/>
  <c r="N11" i="44" s="1"/>
  <c r="N18" i="44" s="1"/>
  <c r="M4" i="44"/>
  <c r="M11" i="44" s="1"/>
  <c r="L4" i="44"/>
  <c r="K4" i="44"/>
  <c r="J4" i="44"/>
  <c r="S35" i="42"/>
  <c r="K35" i="42"/>
  <c r="J35" i="42"/>
  <c r="S4" i="53"/>
  <c r="S10" i="53" s="1"/>
  <c r="R4" i="53"/>
  <c r="R38" i="53" s="1"/>
  <c r="R42" i="53" s="1"/>
  <c r="Q4" i="53"/>
  <c r="Q38" i="53" s="1"/>
  <c r="Q42" i="53" s="1"/>
  <c r="P4" i="53"/>
  <c r="O4" i="53"/>
  <c r="N4" i="53"/>
  <c r="N38" i="53" s="1"/>
  <c r="N42" i="53" s="1"/>
  <c r="M4" i="53"/>
  <c r="L4" i="53"/>
  <c r="L10" i="53" s="1"/>
  <c r="L22" i="53" s="1"/>
  <c r="L38" i="53"/>
  <c r="L42" i="53" s="1"/>
  <c r="K4" i="53"/>
  <c r="J4" i="53"/>
  <c r="J10" i="53" s="1"/>
  <c r="J22" i="53" s="1"/>
  <c r="J4" i="2"/>
  <c r="J95" i="2" s="1"/>
  <c r="J97" i="2" s="1"/>
  <c r="T4" i="2"/>
  <c r="T75" i="2" s="1"/>
  <c r="S4" i="2"/>
  <c r="S64" i="2" s="1"/>
  <c r="S73" i="2" s="1"/>
  <c r="R4" i="2"/>
  <c r="Q4" i="2"/>
  <c r="Q95" i="2" s="1"/>
  <c r="P4" i="2"/>
  <c r="P10" i="2" s="1"/>
  <c r="P12" i="2" s="1"/>
  <c r="O4" i="2"/>
  <c r="O64" i="2" s="1"/>
  <c r="N4" i="2"/>
  <c r="M4" i="2"/>
  <c r="M95" i="2" s="1"/>
  <c r="L4" i="2"/>
  <c r="L104" i="2" s="1"/>
  <c r="K4" i="2"/>
  <c r="S4" i="58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R34" i="58"/>
  <c r="M97" i="2"/>
  <c r="M99" i="2"/>
  <c r="J23" i="42"/>
  <c r="J21" i="42"/>
  <c r="J19" i="42"/>
  <c r="P23" i="42"/>
  <c r="P21" i="42"/>
  <c r="P19" i="42"/>
  <c r="R23" i="42"/>
  <c r="K23" i="42"/>
  <c r="K21" i="42"/>
  <c r="O23" i="42"/>
  <c r="O21" i="42"/>
  <c r="O19" i="42"/>
  <c r="Q23" i="42"/>
  <c r="S23" i="42"/>
  <c r="S21" i="42"/>
  <c r="S19" i="42"/>
  <c r="J33" i="42"/>
  <c r="R33" i="42"/>
  <c r="K33" i="42"/>
  <c r="S33" i="42"/>
  <c r="J12" i="42"/>
  <c r="M12" i="42"/>
  <c r="O49" i="42"/>
  <c r="O12" i="42"/>
  <c r="Q49" i="42"/>
  <c r="S12" i="42"/>
  <c r="P49" i="42"/>
  <c r="P12" i="42"/>
  <c r="R49" i="42"/>
  <c r="R12" i="42"/>
  <c r="S10" i="2"/>
  <c r="S12" i="2" s="1"/>
  <c r="M14" i="2"/>
  <c r="Q14" i="2"/>
  <c r="J24" i="2"/>
  <c r="O75" i="2"/>
  <c r="J64" i="2"/>
  <c r="J73" i="2" s="1"/>
  <c r="M64" i="2"/>
  <c r="J10" i="2"/>
  <c r="Q10" i="2"/>
  <c r="Q12" i="2" s="1"/>
  <c r="M10" i="2"/>
  <c r="M12" i="2" s="1"/>
  <c r="J49" i="2"/>
  <c r="J60" i="2" s="1"/>
  <c r="M75" i="2"/>
  <c r="Q75" i="2"/>
  <c r="J104" i="2"/>
  <c r="M34" i="58"/>
  <c r="S34" i="58"/>
  <c r="L14" i="2"/>
  <c r="R10" i="2"/>
  <c r="R12" i="2" s="1"/>
  <c r="T64" i="2"/>
  <c r="T24" i="2"/>
  <c r="R49" i="2"/>
  <c r="R60" i="2" s="1"/>
  <c r="K34" i="58"/>
  <c r="N26" i="53"/>
  <c r="N34" i="53" s="1"/>
  <c r="N10" i="53"/>
  <c r="N22" i="53" s="1"/>
  <c r="J49" i="42"/>
  <c r="T36" i="2"/>
  <c r="L36" i="2"/>
  <c r="L49" i="2"/>
  <c r="L60" i="2" s="1"/>
  <c r="L26" i="53"/>
  <c r="J38" i="53"/>
  <c r="J42" i="53" s="1"/>
  <c r="M38" i="53"/>
  <c r="M26" i="53"/>
  <c r="M34" i="53" s="1"/>
  <c r="M10" i="53"/>
  <c r="O38" i="53"/>
  <c r="O42" i="53" s="1"/>
  <c r="O26" i="53"/>
  <c r="O10" i="53"/>
  <c r="O22" i="53" s="1"/>
  <c r="S38" i="53"/>
  <c r="S42" i="53" s="1"/>
  <c r="K49" i="42"/>
  <c r="S49" i="42"/>
  <c r="J14" i="2"/>
  <c r="M24" i="2"/>
  <c r="Q24" i="2"/>
  <c r="S24" i="2"/>
  <c r="J36" i="2"/>
  <c r="J47" i="2" s="1"/>
  <c r="M36" i="2"/>
  <c r="M49" i="2"/>
  <c r="M60" i="2" s="1"/>
  <c r="Q49" i="2"/>
  <c r="J75" i="2"/>
  <c r="M104" i="2"/>
  <c r="M108" i="2" s="1"/>
  <c r="Q104" i="2"/>
  <c r="J31" i="42"/>
  <c r="R31" i="42"/>
  <c r="S31" i="42"/>
  <c r="K31" i="42"/>
  <c r="J10" i="42"/>
  <c r="R10" i="42"/>
  <c r="P10" i="42"/>
  <c r="J16" i="42"/>
  <c r="R16" i="42"/>
  <c r="P16" i="42"/>
  <c r="L37" i="42"/>
  <c r="P37" i="42"/>
  <c r="R37" i="42"/>
  <c r="J40" i="42"/>
  <c r="P40" i="42"/>
  <c r="R40" i="42"/>
  <c r="J43" i="42"/>
  <c r="P43" i="42"/>
  <c r="R43" i="42"/>
  <c r="J46" i="42"/>
  <c r="N46" i="42"/>
  <c r="P46" i="42"/>
  <c r="R46" i="42"/>
  <c r="S10" i="42"/>
  <c r="O10" i="42"/>
  <c r="K10" i="42"/>
  <c r="S16" i="42"/>
  <c r="Q16" i="42"/>
  <c r="O16" i="42"/>
  <c r="K16" i="42"/>
  <c r="K37" i="42"/>
  <c r="O37" i="42"/>
  <c r="Q37" i="42"/>
  <c r="S37" i="42"/>
  <c r="K40" i="42"/>
  <c r="O40" i="42"/>
  <c r="S40" i="42"/>
  <c r="K43" i="42"/>
  <c r="M43" i="42"/>
  <c r="O43" i="42"/>
  <c r="Q43" i="42"/>
  <c r="S43" i="42"/>
  <c r="K46" i="42"/>
  <c r="O46" i="42"/>
  <c r="S46" i="42"/>
  <c r="S8" i="54"/>
  <c r="J14" i="42"/>
  <c r="C49" i="42"/>
  <c r="C50" i="42" s="1"/>
  <c r="F46" i="42"/>
  <c r="C46" i="42"/>
  <c r="F43" i="42"/>
  <c r="C43" i="42"/>
  <c r="F40" i="42"/>
  <c r="C40" i="42"/>
  <c r="F37" i="42"/>
  <c r="C37" i="42"/>
  <c r="C38" i="42" s="1"/>
  <c r="E16" i="42"/>
  <c r="E14" i="42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S11" i="44"/>
  <c r="R11" i="44"/>
  <c r="P11" i="44"/>
  <c r="O11" i="44"/>
  <c r="L11" i="44"/>
  <c r="L18" i="44" s="1"/>
  <c r="K11" i="44"/>
  <c r="K17" i="44" s="1"/>
  <c r="J11" i="44"/>
  <c r="J16" i="44" s="1"/>
  <c r="E105" i="42"/>
  <c r="L16" i="44"/>
  <c r="K14" i="44"/>
  <c r="F107" i="42"/>
  <c r="F106" i="42"/>
  <c r="F95" i="42"/>
  <c r="F94" i="42"/>
  <c r="F87" i="42"/>
  <c r="F85" i="42"/>
  <c r="F84" i="42"/>
  <c r="F83" i="42"/>
  <c r="F81" i="42"/>
  <c r="F80" i="42"/>
  <c r="F78" i="42"/>
  <c r="F77" i="42"/>
  <c r="M4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M14" i="42"/>
  <c r="O14" i="42"/>
  <c r="Q14" i="42"/>
  <c r="S14" i="42"/>
  <c r="P14" i="42"/>
  <c r="R14" i="42"/>
  <c r="J91" i="42"/>
  <c r="J75" i="42"/>
  <c r="J61" i="42"/>
  <c r="P91" i="42"/>
  <c r="P75" i="42"/>
  <c r="R91" i="42"/>
  <c r="R75" i="42"/>
  <c r="K61" i="42"/>
  <c r="K75" i="42"/>
  <c r="O75" i="42"/>
  <c r="Q75" i="42"/>
  <c r="S75" i="42"/>
  <c r="K91" i="42"/>
  <c r="M91" i="42"/>
  <c r="O91" i="42"/>
  <c r="Q91" i="42"/>
  <c r="S91" i="42"/>
  <c r="M22" i="53"/>
  <c r="L34" i="53"/>
  <c r="M47" i="2"/>
  <c r="Q60" i="2"/>
  <c r="L47" i="2"/>
  <c r="L108" i="2"/>
  <c r="T73" i="2"/>
  <c r="J108" i="2"/>
  <c r="O73" i="2"/>
  <c r="M73" i="2"/>
  <c r="J71" i="42" a="1"/>
  <c r="J71" i="42" s="1"/>
  <c r="K71" i="42" a="1"/>
  <c r="K71" i="42" s="1"/>
  <c r="K105" i="42"/>
  <c r="K106" i="42"/>
  <c r="K107" i="42"/>
  <c r="L105" i="42"/>
  <c r="J105" i="42"/>
  <c r="J106" i="42"/>
  <c r="J107" i="42"/>
  <c r="F50" i="42"/>
  <c r="E50" i="42"/>
  <c r="C47" i="42"/>
  <c r="C44" i="42"/>
  <c r="C41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81" i="42"/>
  <c r="C77" i="42"/>
  <c r="C78" i="42"/>
  <c r="C79" i="42"/>
  <c r="C80" i="42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2" i="16"/>
  <c r="D13" i="16"/>
  <c r="D14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P31" i="42"/>
  <c r="O35" i="42"/>
  <c r="P35" i="42"/>
  <c r="P33" i="42"/>
  <c r="L33" i="42"/>
  <c r="M105" i="42"/>
  <c r="M106" i="42"/>
  <c r="M107" i="42"/>
  <c r="O31" i="42"/>
  <c r="M31" i="42"/>
  <c r="O33" i="42"/>
  <c r="T105" i="42"/>
  <c r="T106" i="42"/>
  <c r="T107" i="42"/>
  <c r="L57" i="58"/>
  <c r="K57" i="58"/>
  <c r="K12" i="42"/>
  <c r="K19" i="42"/>
  <c r="J57" i="58"/>
  <c r="M47" i="58"/>
  <c r="M57" i="58"/>
  <c r="V57" i="58"/>
  <c r="M16" i="44" l="1"/>
  <c r="M14" i="44"/>
  <c r="M18" i="44"/>
  <c r="M15" i="44"/>
  <c r="M13" i="44"/>
  <c r="M17" i="44"/>
  <c r="L107" i="42"/>
  <c r="L16" i="42"/>
  <c r="Q34" i="58"/>
  <c r="P64" i="2"/>
  <c r="P73" i="2" s="1"/>
  <c r="T58" i="42"/>
  <c r="L35" i="42"/>
  <c r="F13" i="44"/>
  <c r="L106" i="42"/>
  <c r="P49" i="2"/>
  <c r="P60" i="2" s="1"/>
  <c r="N10" i="58"/>
  <c r="N28" i="42" s="1"/>
  <c r="J98" i="2"/>
  <c r="T75" i="42"/>
  <c r="J10" i="58"/>
  <c r="F29" i="58"/>
  <c r="L75" i="42"/>
  <c r="F14" i="44"/>
  <c r="L40" i="42"/>
  <c r="L91" i="42"/>
  <c r="F15" i="44"/>
  <c r="L46" i="42"/>
  <c r="R10" i="53"/>
  <c r="R22" i="53" s="1"/>
  <c r="L31" i="42"/>
  <c r="K15" i="44"/>
  <c r="F17" i="44"/>
  <c r="R26" i="53"/>
  <c r="R34" i="53" s="1"/>
  <c r="K70" i="42"/>
  <c r="L23" i="42"/>
  <c r="N34" i="58"/>
  <c r="F16" i="44"/>
  <c r="J15" i="58"/>
  <c r="K15" i="58"/>
  <c r="K14" i="42" s="1"/>
  <c r="L15" i="58"/>
  <c r="L14" i="42" s="1"/>
  <c r="M15" i="58"/>
  <c r="N15" i="58"/>
  <c r="N16" i="42" s="1"/>
  <c r="M29" i="58"/>
  <c r="N29" i="58"/>
  <c r="N23" i="42" s="1"/>
  <c r="K29" i="58"/>
  <c r="C98" i="2"/>
  <c r="Q64" i="42"/>
  <c r="R64" i="42"/>
  <c r="J29" i="58"/>
  <c r="V29" i="58"/>
  <c r="S1" i="58" s="1"/>
  <c r="G12" i="16" s="1"/>
  <c r="O65" i="42" a="1"/>
  <c r="O65" i="42" s="1"/>
  <c r="O34" i="53"/>
  <c r="S22" i="53"/>
  <c r="P64" i="42"/>
  <c r="S64" i="42"/>
  <c r="T47" i="2"/>
  <c r="K47" i="58"/>
  <c r="J47" i="58"/>
  <c r="L47" i="58"/>
  <c r="L12" i="42" s="1"/>
  <c r="L29" i="58"/>
  <c r="L21" i="42" s="1"/>
  <c r="T71" i="55"/>
  <c r="G71" i="55"/>
  <c r="G72" i="55"/>
  <c r="T18" i="44"/>
  <c r="T16" i="44"/>
  <c r="T17" i="44"/>
  <c r="T14" i="44"/>
  <c r="T13" i="44"/>
  <c r="T15" i="44"/>
  <c r="J26" i="53"/>
  <c r="J34" i="53" s="1"/>
  <c r="F35" i="42"/>
  <c r="F24" i="42"/>
  <c r="N75" i="42"/>
  <c r="F79" i="42"/>
  <c r="F93" i="42"/>
  <c r="L13" i="44"/>
  <c r="J17" i="44"/>
  <c r="Q10" i="42"/>
  <c r="Q31" i="42"/>
  <c r="J34" i="58"/>
  <c r="O10" i="2"/>
  <c r="N12" i="42"/>
  <c r="N19" i="42"/>
  <c r="F26" i="42"/>
  <c r="U104" i="2"/>
  <c r="U108" i="2" s="1"/>
  <c r="K68" i="42" a="1"/>
  <c r="K68" i="42" s="1"/>
  <c r="Q58" i="42"/>
  <c r="J37" i="42"/>
  <c r="F19" i="58"/>
  <c r="F27" i="58"/>
  <c r="L14" i="44"/>
  <c r="L17" i="44"/>
  <c r="J15" i="44"/>
  <c r="N43" i="42"/>
  <c r="P36" i="2"/>
  <c r="N49" i="42"/>
  <c r="N21" i="42"/>
  <c r="U75" i="2"/>
  <c r="R58" i="42"/>
  <c r="N40" i="42"/>
  <c r="N91" i="42"/>
  <c r="N107" i="42"/>
  <c r="J13" i="44"/>
  <c r="L15" i="44"/>
  <c r="Q46" i="42"/>
  <c r="L43" i="42"/>
  <c r="L10" i="42"/>
  <c r="Q36" i="2"/>
  <c r="P14" i="2"/>
  <c r="Q64" i="2"/>
  <c r="Q73" i="2" s="1"/>
  <c r="R10" i="58"/>
  <c r="R28" i="42" s="1"/>
  <c r="Q19" i="42"/>
  <c r="R19" i="42"/>
  <c r="Q35" i="42"/>
  <c r="F31" i="42"/>
  <c r="F29" i="42"/>
  <c r="J65" i="42" a="1"/>
  <c r="J65" i="42" s="1"/>
  <c r="L58" i="42"/>
  <c r="L71" i="42" s="1" a="1"/>
  <c r="L71" i="42" s="1"/>
  <c r="F21" i="58"/>
  <c r="F15" i="58"/>
  <c r="K18" i="44"/>
  <c r="N14" i="42"/>
  <c r="N105" i="42"/>
  <c r="N106" i="42"/>
  <c r="F82" i="42"/>
  <c r="F99" i="42"/>
  <c r="K13" i="44"/>
  <c r="F105" i="42"/>
  <c r="Q40" i="42"/>
  <c r="N37" i="42"/>
  <c r="N10" i="42"/>
  <c r="S36" i="2"/>
  <c r="S47" i="2" s="1"/>
  <c r="S26" i="53"/>
  <c r="S34" i="53" s="1"/>
  <c r="L49" i="42"/>
  <c r="P75" i="2"/>
  <c r="Q12" i="42"/>
  <c r="Q33" i="42"/>
  <c r="Q21" i="42"/>
  <c r="R21" i="42"/>
  <c r="L19" i="42"/>
  <c r="F20" i="42"/>
  <c r="T20" i="42" s="1"/>
  <c r="F96" i="42"/>
  <c r="K65" i="42" a="1"/>
  <c r="K65" i="42" s="1"/>
  <c r="N103" i="42"/>
  <c r="F22" i="58"/>
  <c r="F23" i="58"/>
  <c r="N58" i="42"/>
  <c r="F24" i="58"/>
  <c r="G70" i="55"/>
  <c r="Q108" i="2"/>
  <c r="O61" i="58"/>
  <c r="O10" i="58"/>
  <c r="O34" i="58"/>
  <c r="T68" i="42" a="1"/>
  <c r="T68" i="42" s="1"/>
  <c r="T65" i="42" a="1"/>
  <c r="T65" i="42" s="1"/>
  <c r="T62" i="42" a="1"/>
  <c r="T62" i="42" s="1"/>
  <c r="T61" i="42"/>
  <c r="T70" i="42" s="1"/>
  <c r="T71" i="42" a="1"/>
  <c r="T71" i="42" s="1"/>
  <c r="P38" i="53"/>
  <c r="P42" i="53" s="1"/>
  <c r="P10" i="53"/>
  <c r="P22" i="53" s="1"/>
  <c r="P26" i="53"/>
  <c r="P34" i="53" s="1"/>
  <c r="O68" i="42" a="1"/>
  <c r="O68" i="42" s="1"/>
  <c r="J70" i="42"/>
  <c r="N95" i="2"/>
  <c r="N64" i="2"/>
  <c r="N73" i="2" s="1"/>
  <c r="N24" i="2"/>
  <c r="N104" i="2"/>
  <c r="N108" i="2" s="1"/>
  <c r="N75" i="2"/>
  <c r="N14" i="2"/>
  <c r="N10" i="2"/>
  <c r="N12" i="2" s="1"/>
  <c r="N49" i="2"/>
  <c r="N60" i="2" s="1"/>
  <c r="N36" i="2"/>
  <c r="N47" i="2" s="1"/>
  <c r="N15" i="44"/>
  <c r="N17" i="44"/>
  <c r="N16" i="44"/>
  <c r="N14" i="44"/>
  <c r="P10" i="58"/>
  <c r="P34" i="58"/>
  <c r="P61" i="58"/>
  <c r="K26" i="53"/>
  <c r="K34" i="53" s="1"/>
  <c r="K10" i="53"/>
  <c r="K22" i="53" s="1"/>
  <c r="N13" i="44"/>
  <c r="K38" i="53"/>
  <c r="K42" i="53" s="1"/>
  <c r="W42" i="53" s="1"/>
  <c r="J12" i="2"/>
  <c r="U100" i="2"/>
  <c r="U97" i="2"/>
  <c r="U99" i="2"/>
  <c r="J28" i="42"/>
  <c r="Q97" i="2"/>
  <c r="P61" i="42" s="1"/>
  <c r="Q100" i="2"/>
  <c r="Q99" i="2"/>
  <c r="Q98" i="2"/>
  <c r="P68" i="42" a="1"/>
  <c r="P68" i="42" s="1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Q68" i="42" a="1"/>
  <c r="Q68" i="42" s="1"/>
  <c r="L10" i="58"/>
  <c r="L34" i="58"/>
  <c r="L61" i="58"/>
  <c r="L28" i="42" s="1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L61" i="42"/>
  <c r="L70" i="42" s="1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S68" i="42" a="1"/>
  <c r="S68" i="42" s="1"/>
  <c r="T13" i="42"/>
  <c r="R68" i="42" a="1"/>
  <c r="R68" i="42" s="1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J62" i="42" a="1"/>
  <c r="J62" i="42" s="1"/>
  <c r="T26" i="53"/>
  <c r="T34" i="53" s="1"/>
  <c r="J14" i="44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Q22" i="53" s="1"/>
  <c r="T104" i="2"/>
  <c r="T108" i="2" s="1"/>
  <c r="P24" i="2"/>
  <c r="T10" i="2"/>
  <c r="T12" i="2" s="1"/>
  <c r="L75" i="2"/>
  <c r="O14" i="2"/>
  <c r="K16" i="44"/>
  <c r="J18" i="44"/>
  <c r="O36" i="2"/>
  <c r="O47" i="2" s="1"/>
  <c r="Q26" i="53"/>
  <c r="Q34" i="53" s="1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F23" i="42" l="1"/>
  <c r="F21" i="42"/>
  <c r="P47" i="2"/>
  <c r="Q47" i="2"/>
  <c r="X47" i="2" s="1"/>
  <c r="Q65" i="42" a="1"/>
  <c r="Q65" i="42" s="1"/>
  <c r="P65" i="42" a="1"/>
  <c r="P65" i="42" s="1"/>
  <c r="P70" i="42"/>
  <c r="R65" i="42" a="1"/>
  <c r="R65" i="42" s="1"/>
  <c r="S65" i="42" a="1"/>
  <c r="S65" i="42" s="1"/>
  <c r="O12" i="2"/>
  <c r="L68" i="42" a="1"/>
  <c r="L68" i="42" s="1"/>
  <c r="P28" i="42"/>
  <c r="N65" i="42" a="1"/>
  <c r="N65" i="42" s="1"/>
  <c r="N71" i="42" a="1"/>
  <c r="N71" i="42" s="1"/>
  <c r="N62" i="42" a="1"/>
  <c r="N62" i="42" s="1"/>
  <c r="N61" i="42"/>
  <c r="N70" i="42" s="1"/>
  <c r="N68" i="42" a="1"/>
  <c r="N68" i="42" s="1"/>
  <c r="S28" i="42"/>
  <c r="L62" i="42" a="1"/>
  <c r="L62" i="42" s="1"/>
  <c r="L65" i="42" a="1"/>
  <c r="L65" i="42" s="1"/>
  <c r="K28" i="42"/>
  <c r="F16" i="42"/>
  <c r="F14" i="42"/>
  <c r="W22" i="53"/>
  <c r="G69" i="55"/>
  <c r="T69" i="55"/>
  <c r="T1" i="55" s="1"/>
  <c r="G11" i="16" s="1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W34" i="53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N98" i="2"/>
  <c r="N99" i="2"/>
  <c r="N100" i="2"/>
  <c r="N97" i="2"/>
  <c r="O100" i="2"/>
  <c r="O98" i="2"/>
  <c r="O99" i="2"/>
  <c r="O97" i="2"/>
  <c r="M62" i="42" a="1"/>
  <c r="M62" i="42" s="1"/>
  <c r="M61" i="42"/>
  <c r="M65" i="42" a="1"/>
  <c r="M65" i="42" s="1"/>
  <c r="M68" i="42" a="1"/>
  <c r="M68" i="42" s="1"/>
  <c r="M71" i="42" a="1"/>
  <c r="M71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S1" i="53" l="1"/>
  <c r="G14" i="16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S1" i="16" l="1"/>
  <c r="V1" i="53" s="1"/>
  <c r="Q27" i="2"/>
  <c r="T27" i="2"/>
  <c r="E27" i="2"/>
  <c r="D27" i="2"/>
  <c r="S27" i="2"/>
  <c r="P27" i="2"/>
  <c r="R27" i="2"/>
  <c r="O21" i="2"/>
  <c r="O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J29" i="42" l="1"/>
  <c r="R97" i="42"/>
  <c r="R18" i="44" s="1"/>
  <c r="K44" i="42"/>
  <c r="T85" i="42"/>
  <c r="L78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O96" i="42"/>
  <c r="O17" i="44" s="1"/>
  <c r="M38" i="42"/>
  <c r="S97" i="42"/>
  <c r="S18" i="44" s="1"/>
  <c r="L82" i="42"/>
  <c r="L41" i="42"/>
  <c r="M47" i="42"/>
  <c r="M41" i="42"/>
  <c r="Q44" i="42"/>
  <c r="M97" i="42"/>
  <c r="R29" i="42"/>
  <c r="N44" i="42"/>
  <c r="K97" i="42"/>
  <c r="K83" i="42"/>
  <c r="N81" i="42"/>
  <c r="J93" i="42"/>
  <c r="Q79" i="42"/>
  <c r="Q77" i="42"/>
  <c r="R79" i="42"/>
  <c r="P96" i="42"/>
  <c r="P17" i="44" s="1"/>
  <c r="J44" i="42"/>
  <c r="M78" i="42"/>
  <c r="M50" i="42"/>
  <c r="L83" i="42"/>
  <c r="P82" i="42"/>
  <c r="M44" i="42"/>
  <c r="S83" i="42"/>
  <c r="O97" i="42"/>
  <c r="O18" i="44" s="1"/>
  <c r="P44" i="42"/>
  <c r="N94" i="42"/>
  <c r="Q94" i="42"/>
  <c r="Q15" i="44" s="1"/>
  <c r="K81" i="42"/>
  <c r="S50" i="42"/>
  <c r="L96" i="42"/>
  <c r="K29" i="42"/>
  <c r="P29" i="42"/>
  <c r="M29" i="42"/>
  <c r="J97" i="42"/>
  <c r="N83" i="42"/>
  <c r="S82" i="42"/>
  <c r="T83" i="42"/>
  <c r="L97" i="42"/>
  <c r="R50" i="42"/>
  <c r="J78" i="42"/>
  <c r="O78" i="42"/>
  <c r="M82" i="42"/>
  <c r="Q85" i="42"/>
  <c r="N77" i="42"/>
  <c r="Q47" i="42"/>
  <c r="N97" i="42"/>
  <c r="O83" i="42"/>
  <c r="K96" i="42"/>
  <c r="N41" i="42"/>
  <c r="K93" i="42"/>
  <c r="L29" i="42"/>
  <c r="M83" i="42"/>
  <c r="J82" i="42"/>
  <c r="J83" i="42"/>
  <c r="R47" i="42"/>
  <c r="N47" i="42"/>
  <c r="K47" i="42"/>
  <c r="N82" i="42"/>
  <c r="M94" i="42"/>
  <c r="N79" i="42"/>
  <c r="J85" i="42"/>
  <c r="T38" i="42"/>
  <c r="P93" i="42"/>
  <c r="T29" i="42"/>
  <c r="J47" i="42"/>
  <c r="R83" i="42"/>
  <c r="P83" i="42"/>
  <c r="T47" i="42"/>
  <c r="J77" i="42"/>
  <c r="Q29" i="42"/>
  <c r="P47" i="42"/>
  <c r="P97" i="42"/>
  <c r="P18" i="44" s="1"/>
  <c r="Q97" i="42"/>
  <c r="Q18" i="44" s="1"/>
  <c r="O82" i="42"/>
  <c r="O44" i="42"/>
  <c r="L44" i="42"/>
  <c r="M96" i="42"/>
  <c r="L94" i="42"/>
  <c r="N78" i="42"/>
  <c r="L93" i="42"/>
  <c r="N84" i="42"/>
  <c r="O85" i="42"/>
  <c r="J81" i="42"/>
  <c r="K38" i="42"/>
  <c r="N95" i="42"/>
  <c r="S94" i="42"/>
  <c r="S15" i="44" s="1"/>
  <c r="T78" i="42"/>
  <c r="R96" i="42"/>
  <c r="R17" i="44" s="1"/>
  <c r="S38" i="42"/>
  <c r="S78" i="42"/>
  <c r="R77" i="42"/>
  <c r="Q84" i="42"/>
  <c r="Q38" i="42"/>
  <c r="S80" i="42"/>
  <c r="O95" i="42"/>
  <c r="O16" i="44" s="1"/>
  <c r="O41" i="42"/>
  <c r="N50" i="42"/>
  <c r="P85" i="42"/>
  <c r="P94" i="42"/>
  <c r="P15" i="44" s="1"/>
  <c r="S77" i="42"/>
  <c r="O79" i="42"/>
  <c r="L50" i="42"/>
  <c r="V1" i="54"/>
  <c r="X1" i="2"/>
  <c r="W1" i="44"/>
  <c r="W1" i="42"/>
  <c r="W1" i="55"/>
  <c r="V1" i="58"/>
  <c r="V1" i="4"/>
  <c r="J17" i="2"/>
  <c r="J27" i="2" s="1"/>
  <c r="M20" i="2"/>
  <c r="L20" i="2" s="1"/>
  <c r="K20" i="2" s="1"/>
  <c r="L19" i="2"/>
  <c r="K19" i="2" s="1"/>
  <c r="K29" i="2" s="1"/>
  <c r="K80" i="42"/>
  <c r="S96" i="42"/>
  <c r="S17" i="44" s="1"/>
  <c r="N93" i="42"/>
  <c r="L80" i="42"/>
  <c r="N96" i="42"/>
  <c r="M79" i="42"/>
  <c r="S93" i="42"/>
  <c r="S14" i="44" s="1"/>
  <c r="T41" i="42"/>
  <c r="M84" i="42"/>
  <c r="R41" i="42"/>
  <c r="T50" i="42"/>
  <c r="L47" i="42"/>
  <c r="R93" i="42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O31" i="2"/>
  <c r="N20" i="42" s="1"/>
  <c r="J26" i="2"/>
  <c r="T81" i="42"/>
  <c r="J94" i="42"/>
  <c r="O94" i="42"/>
  <c r="K82" i="42"/>
  <c r="R85" i="42"/>
  <c r="Q93" i="42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N29" i="2"/>
  <c r="O19" i="2"/>
  <c r="O29" i="2" s="1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P14" i="44"/>
  <c r="Q20" i="42"/>
  <c r="Q13" i="42"/>
  <c r="Q26" i="42" s="1"/>
  <c r="N13" i="42" l="1"/>
  <c r="N26" i="42" s="1"/>
  <c r="L99" i="42"/>
  <c r="M52" i="42"/>
  <c r="M54" i="42" s="1"/>
  <c r="K99" i="42"/>
  <c r="L52" i="42"/>
  <c r="L54" i="42" s="1"/>
  <c r="M99" i="42"/>
  <c r="Q52" i="42"/>
  <c r="Q54" i="42" s="1"/>
  <c r="J19" i="2"/>
  <c r="J29" i="2" s="1"/>
  <c r="L29" i="2"/>
  <c r="K52" i="42"/>
  <c r="K54" i="42" s="1"/>
  <c r="L30" i="2"/>
  <c r="R52" i="42"/>
  <c r="R54" i="42" s="1"/>
  <c r="S52" i="42"/>
  <c r="S54" i="42" s="1"/>
  <c r="N99" i="42"/>
  <c r="T99" i="42"/>
  <c r="N87" i="42"/>
  <c r="J99" i="42"/>
  <c r="S99" i="42"/>
  <c r="Q99" i="42"/>
  <c r="R99" i="42"/>
  <c r="O15" i="44"/>
  <c r="R14" i="44"/>
  <c r="Q14" i="44"/>
  <c r="P52" i="42"/>
  <c r="P54" i="42" s="1"/>
  <c r="S87" i="42"/>
  <c r="O99" i="42"/>
  <c r="Q87" i="42"/>
  <c r="M30" i="2"/>
  <c r="O87" i="42"/>
  <c r="O52" i="42"/>
  <c r="O54" i="42" s="1"/>
  <c r="J52" i="42"/>
  <c r="J54" i="42" s="1"/>
  <c r="O14" i="44"/>
  <c r="M87" i="42"/>
  <c r="J87" i="42"/>
  <c r="L87" i="42"/>
  <c r="K87" i="42"/>
  <c r="P87" i="42"/>
  <c r="T87" i="42"/>
  <c r="R87" i="42"/>
  <c r="P99" i="42"/>
  <c r="K28" i="2"/>
  <c r="M17" i="2"/>
  <c r="L27" i="2"/>
  <c r="M16" i="2"/>
  <c r="L26" i="2"/>
  <c r="K30" i="2"/>
  <c r="J20" i="2"/>
  <c r="J30" i="2" s="1"/>
  <c r="N28" i="2"/>
  <c r="O18" i="2"/>
  <c r="O28" i="2" s="1"/>
  <c r="M21" i="2"/>
  <c r="N31" i="2"/>
  <c r="N16" i="2" l="1"/>
  <c r="M26" i="2"/>
  <c r="M27" i="2"/>
  <c r="N17" i="2"/>
  <c r="M13" i="42"/>
  <c r="M26" i="42" s="1"/>
  <c r="M20" i="42"/>
  <c r="L21" i="2"/>
  <c r="M31" i="2"/>
  <c r="O17" i="2" l="1"/>
  <c r="O27" i="2" s="1"/>
  <c r="N27" i="2"/>
  <c r="N26" i="2"/>
  <c r="O16" i="2"/>
  <c r="K21" i="2"/>
  <c r="L31" i="2"/>
  <c r="L13" i="42"/>
  <c r="L26" i="42" s="1"/>
  <c r="L20" i="42"/>
  <c r="Q24" i="42" l="1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 s="1"/>
  <c r="K20" i="42"/>
  <c r="J21" i="2"/>
  <c r="J31" i="2" s="1"/>
  <c r="K31" i="2"/>
  <c r="N31" i="42" l="1"/>
  <c r="J13" i="42"/>
  <c r="J26" i="42" s="1"/>
  <c r="J20" i="42"/>
  <c r="N35" i="42" s="1"/>
  <c r="N33" i="42" l="1"/>
  <c r="N52" i="42" l="1"/>
  <c r="N54" i="42" l="1"/>
  <c r="O106" i="42" l="1"/>
  <c r="Q106" i="42"/>
  <c r="Q107" i="42" s="1"/>
  <c r="P106" i="42"/>
  <c r="P107" i="42" s="1"/>
  <c r="O105" i="42"/>
  <c r="R106" i="42"/>
  <c r="R107" i="42" s="1"/>
  <c r="Q105" i="42"/>
  <c r="Q13" i="44" s="1"/>
  <c r="P105" i="42"/>
  <c r="P13" i="44" s="1"/>
  <c r="S106" i="42"/>
  <c r="S107" i="42" s="1"/>
  <c r="R105" i="42"/>
  <c r="R13" i="44" s="1"/>
  <c r="S105" i="42"/>
  <c r="S13" i="44" s="1"/>
  <c r="O107" i="42" l="1"/>
  <c r="O13" i="44"/>
</calcChain>
</file>

<file path=xl/sharedStrings.xml><?xml version="1.0" encoding="utf-8"?>
<sst xmlns="http://schemas.openxmlformats.org/spreadsheetml/2006/main" count="728" uniqueCount="217">
  <si>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</si>
  <si>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</si>
  <si>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</si>
  <si>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</si>
  <si>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</si>
  <si>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</si>
  <si>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</si>
  <si>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</si>
  <si>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</si>
  <si>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</si>
  <si>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</si>
  <si>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</si>
  <si>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</si>
  <si>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</si>
  <si>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</si>
  <si>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</si>
  <si>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</si>
  <si>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</si>
  <si>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</si>
  <si>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</si>
  <si>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</si>
  <si>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</si>
  <si>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</si>
  <si>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</si>
  <si>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</si>
  <si>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</si>
  <si>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</si>
  <si>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</si>
  <si>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</si>
  <si>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</si>
  <si>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</si>
  <si>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</si>
  <si>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</si>
  <si>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</si>
  <si>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</si>
  <si>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</si>
  <si>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</si>
  <si>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</si>
  <si>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</si>
  <si>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</si>
  <si>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</si>
  <si>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</si>
  <si>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</si>
  <si>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</si>
  <si>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</si>
  <si>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</si>
  <si>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</si>
  <si>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</si>
  <si>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</si>
  <si>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</si>
  <si>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</si>
  <si>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</si>
  <si>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</si>
  <si>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</si>
  <si>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</si>
  <si>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</si>
  <si>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</si>
  <si>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</si>
  <si>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</si>
  <si>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</si>
  <si>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</si>
  <si>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</si>
  <si>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</si>
  <si>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</si>
  <si>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</si>
  <si>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</si>
  <si>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</si>
  <si>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</si>
  <si>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</si>
  <si>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</si>
  <si>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</si>
  <si>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</si>
  <si>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</si>
  <si>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</si>
  <si>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</si>
  <si>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</si>
  <si>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</si>
  <si>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</si>
  <si>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</si>
  <si>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</si>
  <si>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</si>
  <si>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</si>
  <si>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</si>
  <si>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</si>
  <si>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</si>
  <si>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</si>
  <si>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</si>
  <si>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</si>
  <si>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</si>
  <si>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</si>
  <si>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</si>
  <si>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</si>
  <si>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</si>
  <si>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</si>
  <si>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</si>
  <si>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</si>
  <si>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</si>
  <si>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</si>
  <si>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</si>
  <si>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</si>
  <si>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</si>
  <si>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</si>
  <si>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</si>
  <si>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</si>
  <si>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</si>
  <si>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</si>
  <si>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</si>
  <si>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</si>
  <si>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</si>
  <si>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</si>
  <si>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</si>
  <si>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</si>
  <si>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</si>
  <si>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</si>
  <si>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</si>
  <si>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</si>
  <si>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</si>
  <si>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</si>
  <si>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</si>
  <si>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</si>
  <si>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</si>
  <si>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</si>
  <si>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</si>
  <si>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</si>
  <si>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</si>
  <si>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</si>
  <si>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</si>
  <si>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</si>
  <si>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</si>
  <si>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</si>
  <si>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</si>
  <si>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</si>
  <si>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</si>
  <si>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</si>
  <si>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</si>
  <si>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</si>
  <si>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</si>
  <si>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</si>
  <si>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</si>
  <si>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</si>
  <si>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</si>
  <si>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</si>
  <si>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</si>
  <si>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</si>
  <si>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</si>
  <si>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</si>
  <si>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</si>
  <si>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</si>
  <si>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</si>
  <si>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</si>
  <si>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</si>
  <si>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</si>
  <si>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</si>
  <si>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</si>
  <si>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</si>
  <si>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</si>
  <si>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</si>
  <si>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</si>
  <si>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</si>
  <si>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</si>
  <si>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</si>
  <si>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</si>
  <si>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</si>
  <si>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</si>
  <si>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</si>
  <si>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</si>
  <si>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</si>
  <si>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</si>
  <si>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</si>
  <si>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</si>
  <si>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</si>
  <si>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</si>
  <si>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</si>
  <si>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</si>
  <si>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</si>
  <si>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</si>
  <si>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</si>
  <si>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</si>
  <si>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</si>
  <si>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</si>
  <si>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</si>
  <si>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</si>
  <si>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Previous period year 6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</si>
  <si>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</si>
  <si>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</si>
  <si>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</si>
  <si>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</si>
  <si>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</si>
  <si>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</si>
  <si>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</si>
  <si>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</si>
  <si>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</si>
  <si>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AER opex model v2.0</t>
  </si>
  <si>
    <t>Units</t>
  </si>
  <si>
    <t>AER PTRM for the current control period.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</si>
  <si>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</si>
  <si>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</si>
  <si>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</si>
  <si>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</si>
  <si>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</si>
  <si>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</si>
  <si>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</si>
  <si>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APA Victorian Transmission System</t>
  </si>
  <si>
    <t>Acquisition of carbon offset certificates</t>
  </si>
  <si>
    <t>Security of Critical Infrastructure</t>
  </si>
  <si>
    <t>Increase in VTS property taxes</t>
  </si>
  <si>
    <t>Allowances</t>
  </si>
  <si>
    <t>Access Arrangement costs</t>
  </si>
  <si>
    <t>Augmentation and expansion related opex</t>
  </si>
  <si>
    <t>WPI - DAE</t>
  </si>
  <si>
    <t>Superannuation guarantee increases</t>
  </si>
  <si>
    <t>WPI - DAE + super guarantee increases</t>
  </si>
  <si>
    <t>WPI - BIS Oxford + super guarantee increases</t>
  </si>
  <si>
    <t>Forecast labour price growth</t>
  </si>
  <si>
    <t>Transformation of Technology</t>
  </si>
  <si>
    <t>WPI - BIS Oxford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</si>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</sst>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5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6" fontId="1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4" fillId="0" borderId="0"/>
    <xf numFmtId="178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4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80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2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83" fontId="21" fillId="6" borderId="0" applyFont="0" applyBorder="0">
      <alignment horizontal="right"/>
      <protection locked="0"/>
    </xf>
    <xf numFmtId="183" fontId="21" fillId="6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4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5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6" fontId="21" fillId="0" borderId="0" applyFill="0" applyBorder="0"/>
    <xf numFmtId="186" fontId="21" fillId="0" borderId="0" applyFill="0" applyBorder="0"/>
    <xf numFmtId="186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7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8" fontId="21" fillId="0" borderId="0"/>
    <xf numFmtId="188" fontId="21" fillId="0" borderId="0"/>
    <xf numFmtId="188" fontId="21" fillId="0" borderId="0"/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191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4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5" fillId="42" borderId="0"/>
    <xf numFmtId="202" fontId="76" fillId="0" borderId="22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3" applyNumberFormat="0" applyFont="0" applyAlignment="0"/>
    <xf numFmtId="0" fontId="83" fillId="7" borderId="24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3" applyNumberFormat="0" applyAlignment="0"/>
    <xf numFmtId="0" fontId="76" fillId="0" borderId="0" applyNumberFormat="0" applyFill="0" applyBorder="0"/>
    <xf numFmtId="0" fontId="89" fillId="49" borderId="23" applyNumberFormat="0">
      <protection locked="0"/>
    </xf>
    <xf numFmtId="0" fontId="2" fillId="0" borderId="0"/>
    <xf numFmtId="0" fontId="91" fillId="50" borderId="27">
      <alignment vertical="center"/>
    </xf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4" borderId="0" applyNumberFormat="0" applyFont="0" applyBorder="0" applyAlignment="0">
      <alignment horizontal="right"/>
    </xf>
    <xf numFmtId="164" fontId="21" fillId="4" borderId="0" applyNumberFormat="0" applyFont="0" applyBorder="0" applyAlignment="0">
      <alignment horizontal="right"/>
    </xf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36" borderId="0" applyFont="0" applyBorder="0" applyAlignment="0">
      <alignment horizontal="right"/>
      <protection locked="0"/>
    </xf>
    <xf numFmtId="164" fontId="21" fillId="36" borderId="0" applyFont="0" applyBorder="0" applyAlignment="0">
      <alignment horizontal="right"/>
      <protection locked="0"/>
    </xf>
    <xf numFmtId="164" fontId="21" fillId="10" borderId="0" applyFont="0" applyBorder="0">
      <alignment horizontal="right"/>
      <protection locked="0"/>
    </xf>
    <xf numFmtId="164" fontId="21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" fillId="0" borderId="0"/>
    <xf numFmtId="166" fontId="92" fillId="0" borderId="0" applyFont="0" applyFill="0" applyBorder="0" applyAlignment="0" applyProtection="0"/>
    <xf numFmtId="0" fontId="92" fillId="0" borderId="0"/>
    <xf numFmtId="207" fontId="21" fillId="0" borderId="0" applyFill="0" applyBorder="0">
      <alignment vertical="center"/>
    </xf>
  </cellStyleXfs>
  <cellXfs count="220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6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74" fontId="11" fillId="0" borderId="0" xfId="5" applyNumberFormat="1" applyFont="1" applyFill="1" applyBorder="1" applyAlignment="1" applyProtection="1">
      <alignment horizontal="center" vertical="center"/>
    </xf>
    <xf numFmtId="174" fontId="19" fillId="0" borderId="0" xfId="5" applyNumberFormat="1" applyFont="1" applyFill="1" applyBorder="1" applyAlignment="1" applyProtection="1">
      <alignment horizontal="center" vertical="center"/>
    </xf>
    <xf numFmtId="175" fontId="5" fillId="0" borderId="0" xfId="0" applyNumberFormat="1" applyFont="1"/>
    <xf numFmtId="177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Alignment="1" applyProtection="1">
      <alignment horizontal="left"/>
    </xf>
    <xf numFmtId="195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6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5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6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5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99" fontId="11" fillId="0" borderId="4" xfId="5" applyNumberFormat="1" applyFont="1" applyFill="1" applyBorder="1" applyAlignment="1" applyProtection="1">
      <alignment horizontal="center" vertical="center"/>
    </xf>
    <xf numFmtId="166" fontId="11" fillId="0" borderId="3" xfId="0" applyNumberFormat="1" applyFont="1" applyBorder="1" applyAlignment="1" applyProtection="1">
      <alignment horizontal="center"/>
    </xf>
    <xf numFmtId="166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Protection="1"/>
    <xf numFmtId="168" fontId="5" fillId="0" borderId="0" xfId="0" applyNumberFormat="1" applyFont="1" applyAlignment="1" applyProtection="1">
      <alignment horizontal="left"/>
    </xf>
    <xf numFmtId="194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200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3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4" fontId="73" fillId="39" borderId="4" xfId="0" applyNumberFormat="1" applyFont="1" applyFill="1" applyBorder="1" applyAlignment="1" applyProtection="1">
      <alignment horizontal="center" wrapText="1"/>
    </xf>
    <xf numFmtId="204" fontId="90" fillId="38" borderId="2" xfId="0" applyNumberFormat="1" applyFont="1" applyFill="1" applyBorder="1" applyAlignment="1" applyProtection="1">
      <alignment horizontal="center"/>
    </xf>
    <xf numFmtId="204" fontId="73" fillId="38" borderId="2" xfId="0" applyNumberFormat="1" applyFont="1" applyFill="1" applyBorder="1" applyAlignment="1" applyProtection="1">
      <alignment horizontal="left"/>
    </xf>
    <xf numFmtId="204" fontId="7" fillId="0" borderId="7" xfId="0" applyNumberFormat="1" applyFont="1" applyBorder="1" applyAlignment="1" applyProtection="1">
      <alignment horizontal="center"/>
    </xf>
    <xf numFmtId="204" fontId="5" fillId="0" borderId="0" xfId="0" applyNumberFormat="1" applyFont="1" applyAlignment="1">
      <alignment horizontal="left" indent="1"/>
    </xf>
    <xf numFmtId="204" fontId="6" fillId="0" borderId="0" xfId="0" applyNumberFormat="1" applyFont="1" applyAlignment="1" applyProtection="1">
      <alignment horizontal="center"/>
    </xf>
    <xf numFmtId="204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4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6" fontId="5" fillId="0" borderId="0" xfId="2" applyNumberFormat="1" applyFont="1" applyFill="1" applyBorder="1" applyAlignment="1" applyProtection="1">
      <alignment horizontal="center"/>
      <protection locked="0"/>
    </xf>
    <xf numFmtId="0" fontId="73" fillId="38" borderId="25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4" fontId="17" fillId="0" borderId="0" xfId="0" applyNumberFormat="1" applyFont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201" fontId="7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4" fontId="6" fillId="0" borderId="7" xfId="0" applyNumberFormat="1" applyFont="1" applyBorder="1" applyAlignment="1" applyProtection="1">
      <alignment horizontal="center"/>
    </xf>
    <xf numFmtId="205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04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5" fontId="5" fillId="0" borderId="0" xfId="0" applyNumberFormat="1" applyFont="1" applyProtection="1">
      <protection locked="0"/>
    </xf>
    <xf numFmtId="195" fontId="7" fillId="0" borderId="0" xfId="0" applyNumberFormat="1" applyFont="1" applyProtection="1">
      <protection locked="0"/>
    </xf>
    <xf numFmtId="10" fontId="5" fillId="0" borderId="0" xfId="2" applyNumberFormat="1" applyFont="1" applyFill="1" applyBorder="1" applyAlignment="1" applyProtection="1">
      <alignment horizontal="center"/>
    </xf>
    <xf numFmtId="182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204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2" fontId="5" fillId="0" borderId="0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4" fontId="18" fillId="8" borderId="9" xfId="0" applyNumberFormat="1" applyFont="1" applyFill="1" applyBorder="1" applyAlignment="1" applyProtection="1">
      <alignment horizontal="center"/>
      <protection locked="0"/>
    </xf>
    <xf numFmtId="206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4" fontId="5" fillId="0" borderId="0" xfId="0" applyNumberFormat="1" applyFont="1" applyFill="1" applyBorder="1" applyAlignment="1" applyProtection="1">
      <alignment horizontal="center"/>
      <protection locked="0"/>
    </xf>
    <xf numFmtId="0" fontId="71" fillId="38" borderId="0" xfId="3" applyFont="1" applyFill="1" applyBorder="1" applyAlignment="1" applyProtection="1"/>
    <xf numFmtId="0" fontId="73" fillId="38" borderId="2" xfId="0" applyNumberFormat="1" applyFont="1" applyFill="1" applyBorder="1" applyAlignment="1" applyProtection="1">
      <alignment horizontal="center"/>
    </xf>
    <xf numFmtId="168" fontId="5" fillId="51" borderId="3" xfId="0" applyNumberFormat="1" applyFont="1" applyFill="1" applyBorder="1" applyAlignment="1" applyProtection="1">
      <alignment horizontal="left" indent="1"/>
      <protection locked="0"/>
    </xf>
    <xf numFmtId="194" fontId="7" fillId="40" borderId="26" xfId="0" applyNumberFormat="1" applyFont="1" applyFill="1" applyBorder="1" applyAlignment="1" applyProtection="1">
      <alignment horizontal="center"/>
      <protection locked="0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Fill="1" applyProtection="1">
      <protection locked="0"/>
    </xf>
    <xf numFmtId="182" fontId="5" fillId="0" borderId="0" xfId="2" applyNumberFormat="1" applyFont="1" applyFill="1" applyAlignment="1" applyProtection="1">
      <alignment horizontal="center"/>
      <protection locked="0"/>
    </xf>
    <xf numFmtId="204" fontId="5" fillId="0" borderId="0" xfId="2" applyNumberFormat="1" applyFont="1" applyFill="1" applyBorder="1" applyAlignment="1" applyProtection="1">
      <alignment horizontal="center"/>
    </xf>
    <xf numFmtId="204" fontId="6" fillId="0" borderId="0" xfId="0" applyNumberFormat="1" applyFont="1" applyFill="1" applyBorder="1" applyAlignment="1" applyProtection="1">
      <alignment horizontal="center"/>
    </xf>
    <xf numFmtId="168" fontId="17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indent="1"/>
    </xf>
    <xf numFmtId="49" fontId="5" fillId="0" borderId="28" xfId="0" applyNumberFormat="1" applyFont="1" applyFill="1" applyBorder="1" applyAlignment="1" applyProtection="1">
      <alignment horizontal="left" indent="1"/>
    </xf>
    <xf numFmtId="49" fontId="6" fillId="0" borderId="4" xfId="0" applyNumberFormat="1" applyFont="1" applyFill="1" applyBorder="1" applyAlignment="1" applyProtection="1">
      <alignment horizontal="center"/>
    </xf>
    <xf numFmtId="204" fontId="6" fillId="0" borderId="4" xfId="0" applyNumberFormat="1" applyFont="1" applyFill="1" applyBorder="1" applyAlignment="1" applyProtection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0" fontId="5" fillId="41" borderId="3" xfId="0" applyFont="1" applyFill="1" applyBorder="1" applyAlignment="1" applyProtection="1">
      <alignment horizontal="left" indent="1"/>
      <protection locked="0"/>
    </xf>
    <xf numFmtId="9" fontId="5" fillId="0" borderId="0" xfId="2" applyFont="1" applyProtection="1"/>
    <xf numFmtId="182" fontId="5" fillId="0" borderId="0" xfId="2" applyNumberFormat="1" applyFont="1" applyProtection="1"/>
    <xf numFmtId="0" fontId="73" fillId="38" borderId="2" xfId="0" applyNumberFormat="1" applyFont="1" applyFill="1" applyBorder="1" applyAlignment="1" applyProtection="1">
      <alignment horizontal="center"/>
    </xf>
  </cellXfs>
  <cellStyles count="30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1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DBE5F1"/>
      <color rgb="FFDAEEF3"/>
      <color rgb="FF006100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3"/>
  <sheetViews>
    <sheetView showGridLines="0" tabSelected="1" workbookViewId="0">
      <selection activeCell="C7" sqref="C7"/>
    </sheetView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192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189</v>
      </c>
      <c r="D10" s="7" t="s">
        <v>177</v>
      </c>
    </row>
    <row r="11" spans="1:47">
      <c r="C11" s="19" t="s">
        <v>60</v>
      </c>
      <c r="D11" s="7" t="s">
        <v>51</v>
      </c>
    </row>
    <row r="12" spans="1:47">
      <c r="C12" s="19" t="s">
        <v>190</v>
      </c>
      <c r="D12" s="7" t="s">
        <v>178</v>
      </c>
    </row>
    <row r="13" spans="1:47">
      <c r="C13" s="19" t="s">
        <v>191</v>
      </c>
      <c r="D13" s="7" t="s">
        <v>179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/>
    <row r="33"/>
  </sheetData>
  <hyperlinks>
    <hyperlink ref="C12" location="'Calc|Opex forecast'!A1" display="Calc | Opex Forecast" xr:uid="{00000000-0004-0000-0000-000000000000}"/>
    <hyperlink ref="C13" location="'Output|Models_final'!A1" display="Output | Models_final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0" location="'Input|Rate of change'!A1" display="Input | Rate of change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7"/>
  <sheetViews>
    <sheetView showGridLines="0" zoomScaleNormal="100" workbookViewId="0">
      <selection activeCell="G17" sqref="G1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66406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1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202</v>
      </c>
      <c r="H7" s="29"/>
      <c r="I7" s="29"/>
      <c r="S7" s="130" t="str">
        <f>IF(COUNTBLANK($G7),"Check","Ok")</f>
        <v>Ok</v>
      </c>
    </row>
    <row r="8" spans="1:47">
      <c r="C8" s="29" t="s">
        <v>135</v>
      </c>
      <c r="D8" s="30" t="s">
        <v>69</v>
      </c>
      <c r="E8" s="29"/>
      <c r="F8" s="29"/>
      <c r="G8" s="52" t="s">
        <v>198</v>
      </c>
      <c r="H8" s="29"/>
      <c r="I8" s="29"/>
      <c r="S8" s="130" t="str">
        <f>IF(COUNTBLANK($G8),"Check","Ok")</f>
        <v>Ok</v>
      </c>
    </row>
    <row r="9" spans="1:47">
      <c r="C9" s="29" t="s">
        <v>119</v>
      </c>
      <c r="D9" s="30" t="s">
        <v>68</v>
      </c>
      <c r="E9" s="29"/>
      <c r="F9" s="29"/>
      <c r="G9" s="151">
        <v>36861</v>
      </c>
      <c r="H9" s="29"/>
      <c r="I9" s="29"/>
      <c r="S9" s="130" t="str">
        <f>IF(COUNTBLANK($G9),"Check","Ok")</f>
        <v>Ok</v>
      </c>
    </row>
    <row r="10" spans="1:47">
      <c r="C10" s="29" t="s">
        <v>149</v>
      </c>
      <c r="D10" s="30" t="s">
        <v>68</v>
      </c>
      <c r="E10" s="29"/>
      <c r="F10" s="29"/>
      <c r="G10" s="152">
        <v>2018</v>
      </c>
      <c r="H10" s="29"/>
      <c r="I10" s="29"/>
      <c r="S10" s="130" t="str">
        <f t="shared" ref="S10:S15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2">
        <v>2020</v>
      </c>
      <c r="H11" s="29"/>
      <c r="I11" s="29"/>
      <c r="S11" s="130" t="str">
        <f t="shared" si="0"/>
        <v>Ok</v>
      </c>
    </row>
    <row r="12" spans="1:47">
      <c r="C12" s="29" t="s">
        <v>150</v>
      </c>
      <c r="D12" s="30" t="s">
        <v>68</v>
      </c>
      <c r="E12" s="29"/>
      <c r="F12" s="29"/>
      <c r="G12" s="152">
        <v>2022</v>
      </c>
      <c r="H12" s="29"/>
      <c r="I12" s="29"/>
      <c r="S12" s="130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2">
        <v>2023</v>
      </c>
      <c r="H13" s="29"/>
      <c r="I13" s="29"/>
      <c r="S13" s="130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2">
        <v>2027</v>
      </c>
      <c r="H14" s="29"/>
      <c r="I14" s="29"/>
      <c r="S14" s="130" t="str">
        <f t="shared" si="0"/>
        <v>Ok</v>
      </c>
    </row>
    <row r="15" spans="1:47">
      <c r="C15" s="29" t="s">
        <v>193</v>
      </c>
      <c r="D15" s="30" t="s">
        <v>68</v>
      </c>
      <c r="E15" s="29"/>
      <c r="F15" s="29"/>
      <c r="G15" s="152" t="s">
        <v>15</v>
      </c>
      <c r="H15" s="29"/>
      <c r="I15" s="29"/>
      <c r="S15" s="130" t="str">
        <f t="shared" si="0"/>
        <v>Ok</v>
      </c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218" priority="13" operator="equal">
      <formula>"Check"</formula>
    </cfRule>
    <cfRule type="cellIs" dxfId="217" priority="14" operator="equal">
      <formula>"Ok"</formula>
    </cfRule>
  </conditionalFormatting>
  <conditionalFormatting sqref="V1">
    <cfRule type="cellIs" dxfId="216" priority="3" operator="equal">
      <formula>"Check"</formula>
    </cfRule>
    <cfRule type="cellIs" dxfId="215" priority="4" operator="equal">
      <formula>"Ok"</formula>
    </cfRule>
  </conditionalFormatting>
  <conditionalFormatting sqref="S7:S15">
    <cfRule type="cellIs" dxfId="214" priority="5" operator="equal">
      <formula>"Check"</formula>
    </cfRule>
    <cfRule type="cellIs" dxfId="213" priority="6" operator="equal">
      <formula>"Ok"</formula>
    </cfRule>
  </conditionalFormatting>
  <conditionalFormatting sqref="S1">
    <cfRule type="cellIs" dxfId="212" priority="1" operator="equal">
      <formula>"Check"</formula>
    </cfRule>
    <cfRule type="cellIs" dxfId="211" priority="2" operator="equal">
      <formula>"Ok"</formula>
    </cfRule>
  </conditionalFormatting>
  <dataValidations count="3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showGridLines="0" topLeftCell="A32" workbookViewId="0">
      <selection activeCell="F71" sqref="F7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66406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v2.0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1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133</v>
      </c>
      <c r="F6" s="62" t="s">
        <v>97</v>
      </c>
      <c r="G6" s="62" t="s">
        <v>133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0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0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0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0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0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0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0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0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0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0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0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0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205">
        <v>95.2</v>
      </c>
      <c r="G21" s="65"/>
      <c r="H21" s="182"/>
      <c r="I21" s="29"/>
      <c r="J21" s="29"/>
      <c r="T21" s="130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205">
        <v>95.8</v>
      </c>
      <c r="G22" s="65"/>
      <c r="H22" s="182"/>
      <c r="I22" s="29"/>
      <c r="J22" s="29"/>
      <c r="T22" s="130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205">
        <v>96.5</v>
      </c>
      <c r="G23" s="65"/>
      <c r="H23" s="182"/>
      <c r="I23" s="29"/>
      <c r="J23" s="29"/>
      <c r="T23" s="130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205">
        <v>96.9</v>
      </c>
      <c r="G24" s="65"/>
      <c r="H24" s="182"/>
      <c r="I24" s="29"/>
      <c r="J24" s="29"/>
      <c r="T24" s="130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205">
        <v>98.3</v>
      </c>
      <c r="G25" s="117">
        <f>IF(ISBLANK(F25),"",F25/F21-1)</f>
        <v>3.2563025210083918E-2</v>
      </c>
      <c r="H25" s="182"/>
      <c r="I25" s="29"/>
      <c r="J25" s="29"/>
      <c r="T25" s="130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205">
        <v>99.2</v>
      </c>
      <c r="G26" s="117">
        <f t="shared" ref="G26:G84" si="1">IF(ISBLANK(F26),"",F26/F22-1)</f>
        <v>3.5490605427975108E-2</v>
      </c>
      <c r="H26" s="182"/>
      <c r="I26" s="29"/>
      <c r="J26" s="29"/>
      <c r="T26" s="130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205">
        <v>99.8</v>
      </c>
      <c r="G27" s="117">
        <f t="shared" si="1"/>
        <v>3.4196891191709877E-2</v>
      </c>
      <c r="H27" s="182"/>
      <c r="I27" s="29"/>
      <c r="J27" s="29"/>
      <c r="T27" s="130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205">
        <v>99.8</v>
      </c>
      <c r="G28" s="117">
        <f t="shared" si="1"/>
        <v>2.9927760577915352E-2</v>
      </c>
      <c r="H28" s="182"/>
      <c r="I28" s="29"/>
      <c r="J28" s="29"/>
      <c r="T28" s="130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205">
        <v>99.9</v>
      </c>
      <c r="G29" s="117">
        <f t="shared" si="1"/>
        <v>1.6276703967446737E-2</v>
      </c>
      <c r="H29" s="182"/>
      <c r="I29" s="29"/>
      <c r="J29" s="29"/>
      <c r="T29" s="130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205">
        <v>100.4</v>
      </c>
      <c r="G30" s="117">
        <f t="shared" si="1"/>
        <v>1.2096774193548487E-2</v>
      </c>
      <c r="H30" s="182"/>
      <c r="I30" s="29"/>
      <c r="J30" s="29"/>
      <c r="T30" s="130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205">
        <v>101.8</v>
      </c>
      <c r="G31" s="117">
        <f t="shared" si="1"/>
        <v>2.0040080160320661E-2</v>
      </c>
      <c r="H31" s="182"/>
      <c r="I31" s="29"/>
      <c r="J31" s="29"/>
      <c r="T31" s="130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205">
        <v>102</v>
      </c>
      <c r="G32" s="117">
        <f t="shared" si="1"/>
        <v>2.2044088176352838E-2</v>
      </c>
      <c r="H32" s="182"/>
      <c r="I32" s="29"/>
      <c r="J32" s="29"/>
      <c r="T32" s="130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205">
        <v>102.4</v>
      </c>
      <c r="G33" s="117">
        <f t="shared" si="1"/>
        <v>2.5025025025025016E-2</v>
      </c>
      <c r="H33" s="182"/>
      <c r="I33" s="29"/>
      <c r="J33" s="29"/>
      <c r="T33" s="130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205">
        <v>102.8</v>
      </c>
      <c r="G34" s="117">
        <f t="shared" si="1"/>
        <v>2.3904382470119501E-2</v>
      </c>
      <c r="H34" s="182"/>
      <c r="I34" s="29"/>
      <c r="J34" s="29"/>
      <c r="T34" s="130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205">
        <v>104</v>
      </c>
      <c r="G35" s="117">
        <f t="shared" si="1"/>
        <v>2.16110019646365E-2</v>
      </c>
      <c r="H35" s="182"/>
      <c r="I35" s="29"/>
      <c r="J35" s="29"/>
      <c r="T35" s="130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205">
        <v>104.8</v>
      </c>
      <c r="G36" s="117">
        <f t="shared" si="1"/>
        <v>2.7450980392156765E-2</v>
      </c>
      <c r="H36" s="182"/>
      <c r="I36" s="29"/>
      <c r="J36" s="29"/>
      <c r="T36" s="130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205">
        <v>105.4</v>
      </c>
      <c r="G37" s="117">
        <f t="shared" si="1"/>
        <v>2.9296875E-2</v>
      </c>
      <c r="H37" s="182"/>
      <c r="I37" s="29"/>
      <c r="J37" s="29"/>
      <c r="T37" s="130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205">
        <v>105.9</v>
      </c>
      <c r="G38" s="117">
        <f t="shared" si="1"/>
        <v>3.0155642023346418E-2</v>
      </c>
      <c r="H38" s="182"/>
      <c r="I38" s="29"/>
      <c r="J38" s="29"/>
      <c r="T38" s="130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205">
        <v>106.4</v>
      </c>
      <c r="G39" s="117">
        <f t="shared" si="1"/>
        <v>2.3076923076923217E-2</v>
      </c>
      <c r="H39" s="182"/>
      <c r="I39" s="29"/>
      <c r="J39" s="29"/>
      <c r="T39" s="130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205">
        <v>106.6</v>
      </c>
      <c r="G40" s="117">
        <f t="shared" si="1"/>
        <v>1.7175572519083859E-2</v>
      </c>
      <c r="H40" s="182"/>
      <c r="I40" s="29"/>
      <c r="J40" s="29"/>
      <c r="T40" s="130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205">
        <v>106.8</v>
      </c>
      <c r="G41" s="117">
        <f t="shared" si="1"/>
        <v>1.3282732447817747E-2</v>
      </c>
      <c r="H41" s="182"/>
      <c r="I41" s="29"/>
      <c r="J41" s="29"/>
      <c r="T41" s="130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205">
        <v>107.5</v>
      </c>
      <c r="G42" s="117">
        <f t="shared" si="1"/>
        <v>1.5108593012275628E-2</v>
      </c>
      <c r="H42" s="182"/>
      <c r="I42" s="29"/>
      <c r="J42" s="29"/>
      <c r="T42" s="130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205">
        <v>108</v>
      </c>
      <c r="G43" s="117">
        <f t="shared" si="1"/>
        <v>1.5037593984962294E-2</v>
      </c>
      <c r="H43" s="182"/>
      <c r="I43" s="29"/>
      <c r="J43" s="29"/>
      <c r="T43" s="130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205">
        <v>108.4</v>
      </c>
      <c r="G44" s="117">
        <f t="shared" si="1"/>
        <v>1.6885553470919357E-2</v>
      </c>
      <c r="H44" s="182"/>
      <c r="I44" s="29"/>
      <c r="J44" s="29"/>
      <c r="T44" s="130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205">
        <v>108.2</v>
      </c>
      <c r="G45" s="117">
        <f t="shared" si="1"/>
        <v>1.3108614232209881E-2</v>
      </c>
      <c r="H45" s="182"/>
      <c r="I45" s="29"/>
      <c r="J45" s="29"/>
      <c r="T45" s="130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205">
        <v>108.6</v>
      </c>
      <c r="G46" s="117">
        <f t="shared" si="1"/>
        <v>1.0232558139534831E-2</v>
      </c>
      <c r="H46" s="182"/>
      <c r="I46" s="29"/>
      <c r="J46" s="29"/>
      <c r="T46" s="130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205">
        <v>109.4</v>
      </c>
      <c r="G47" s="117">
        <f t="shared" si="1"/>
        <v>1.2962962962963065E-2</v>
      </c>
      <c r="H47" s="182"/>
      <c r="I47" s="29"/>
      <c r="J47" s="29"/>
      <c r="T47" s="130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205">
        <v>110</v>
      </c>
      <c r="G48" s="117">
        <f t="shared" si="1"/>
        <v>1.4760147601476037E-2</v>
      </c>
      <c r="H48" s="182"/>
      <c r="I48" s="29"/>
      <c r="J48" s="29"/>
      <c r="T48" s="130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205">
        <v>110.5</v>
      </c>
      <c r="G49" s="117">
        <f t="shared" si="1"/>
        <v>2.1256931608133023E-2</v>
      </c>
      <c r="H49" s="182"/>
      <c r="I49" s="29"/>
      <c r="J49" s="29"/>
      <c r="T49" s="130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205">
        <v>110.7</v>
      </c>
      <c r="G50" s="117">
        <f t="shared" si="1"/>
        <v>1.9337016574585641E-2</v>
      </c>
      <c r="H50" s="183"/>
      <c r="I50" s="29"/>
      <c r="J50" s="29"/>
      <c r="T50" s="130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205">
        <v>111.4</v>
      </c>
      <c r="G51" s="117">
        <f t="shared" si="1"/>
        <v>1.8281535648994485E-2</v>
      </c>
      <c r="H51" s="182"/>
      <c r="I51" s="29"/>
      <c r="J51" s="29"/>
      <c r="T51" s="130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205">
        <v>112.1</v>
      </c>
      <c r="G52" s="117">
        <f t="shared" si="1"/>
        <v>1.9090909090909047E-2</v>
      </c>
      <c r="H52" s="182"/>
      <c r="I52" s="29"/>
      <c r="J52" s="29"/>
      <c r="T52" s="130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205">
        <v>112.6</v>
      </c>
      <c r="G53" s="117">
        <f t="shared" si="1"/>
        <v>1.9004524886877761E-2</v>
      </c>
      <c r="H53" s="182"/>
      <c r="I53" s="29"/>
      <c r="J53" s="29"/>
      <c r="T53" s="130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205">
        <v>113</v>
      </c>
      <c r="G54" s="117">
        <f t="shared" si="1"/>
        <v>2.0776874435411097E-2</v>
      </c>
      <c r="H54" s="182"/>
      <c r="I54" s="29"/>
      <c r="J54" s="29"/>
      <c r="T54" s="130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205">
        <v>113.5</v>
      </c>
      <c r="G55" s="117">
        <f t="shared" si="1"/>
        <v>1.8850987432674993E-2</v>
      </c>
      <c r="H55" s="182"/>
      <c r="I55" s="29"/>
      <c r="J55" s="29"/>
      <c r="T55" s="130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205">
        <v>114.1</v>
      </c>
      <c r="G56" s="117">
        <f t="shared" si="1"/>
        <v>1.7841213202497874E-2</v>
      </c>
      <c r="H56" s="182"/>
      <c r="I56" s="29"/>
      <c r="J56" s="29"/>
      <c r="T56" s="130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205">
        <v>114.1</v>
      </c>
      <c r="G57" s="117">
        <f t="shared" si="1"/>
        <v>1.3321492007104752E-2</v>
      </c>
      <c r="H57" s="182"/>
      <c r="I57" s="29"/>
      <c r="J57" s="29"/>
      <c r="T57" s="130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205">
        <v>114.8</v>
      </c>
      <c r="G58" s="117">
        <f t="shared" si="1"/>
        <v>1.5929203539823078E-2</v>
      </c>
      <c r="H58" s="182"/>
      <c r="I58" s="29"/>
      <c r="J58" s="29"/>
      <c r="T58" s="130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05">
        <v>115.4</v>
      </c>
      <c r="G59" s="117">
        <f t="shared" si="1"/>
        <v>1.6740088105726914E-2</v>
      </c>
      <c r="H59" s="182"/>
      <c r="I59" s="29"/>
      <c r="J59" s="29"/>
      <c r="T59" s="130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05">
        <v>116.2</v>
      </c>
      <c r="G60" s="117">
        <f t="shared" si="1"/>
        <v>1.8404907975460238E-2</v>
      </c>
      <c r="H60" s="182"/>
      <c r="I60" s="29"/>
      <c r="J60" s="29"/>
      <c r="T60" s="130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205">
        <v>116.6</v>
      </c>
      <c r="G61" s="117">
        <f t="shared" si="1"/>
        <v>2.1910604732690686E-2</v>
      </c>
      <c r="H61" s="182"/>
      <c r="I61" s="29"/>
      <c r="J61" s="29"/>
      <c r="T61" s="130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205">
        <v>114.4</v>
      </c>
      <c r="G62" s="117">
        <f t="shared" si="1"/>
        <v>-3.4843205574912606E-3</v>
      </c>
      <c r="H62" s="182"/>
      <c r="I62" s="29"/>
      <c r="J62" s="29"/>
      <c r="T62" s="130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205">
        <v>116.2</v>
      </c>
      <c r="G63" s="117">
        <f t="shared" si="1"/>
        <v>6.9324090121316573E-3</v>
      </c>
      <c r="H63" s="182"/>
      <c r="I63" s="29"/>
      <c r="J63" s="29"/>
      <c r="T63" s="130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05">
        <v>117.2</v>
      </c>
      <c r="G64" s="117">
        <f t="shared" si="1"/>
        <v>8.6058519793459354E-3</v>
      </c>
      <c r="H64" s="182"/>
      <c r="I64" s="29"/>
      <c r="J64" s="29"/>
      <c r="T64" s="130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205">
        <v>117.9</v>
      </c>
      <c r="G65" s="117">
        <f t="shared" si="1"/>
        <v>1.1149228130360234E-2</v>
      </c>
      <c r="H65" s="182"/>
      <c r="I65" s="29"/>
      <c r="J65" s="29"/>
      <c r="T65" s="130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205">
        <v>118.8</v>
      </c>
      <c r="G66" s="117">
        <f t="shared" si="1"/>
        <v>3.8461538461538325E-2</v>
      </c>
      <c r="H66" s="182"/>
      <c r="I66" s="29"/>
      <c r="J66" s="29"/>
      <c r="T66" s="130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205">
        <v>119.7</v>
      </c>
      <c r="G67" s="117">
        <f t="shared" si="1"/>
        <v>3.0120481927710774E-2</v>
      </c>
      <c r="H67" s="182"/>
      <c r="I67" s="29"/>
      <c r="J67" s="29"/>
      <c r="T67" s="130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205">
        <v>121.3</v>
      </c>
      <c r="G68" s="117">
        <f t="shared" si="1"/>
        <v>3.4982935153583528E-2</v>
      </c>
      <c r="H68" s="182"/>
      <c r="I68" s="29"/>
      <c r="J68" s="29"/>
      <c r="T68" s="130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205">
        <v>123.9</v>
      </c>
      <c r="G69" s="117">
        <f t="shared" si="1"/>
        <v>5.0890585241730291E-2</v>
      </c>
      <c r="H69" s="182"/>
      <c r="I69" s="29"/>
      <c r="J69" s="29"/>
      <c r="T69" s="130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>
        <f>F66*(1+5.5%)</f>
        <v>125.33399999999999</v>
      </c>
      <c r="G70" s="117">
        <f t="shared" si="1"/>
        <v>5.4999999999999938E-2</v>
      </c>
      <c r="H70" s="182"/>
      <c r="I70" s="29"/>
      <c r="J70" s="29"/>
      <c r="T70" s="130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205">
        <f>AVERAGE(F70,F72)</f>
        <v>126.89534999999998</v>
      </c>
      <c r="G71" s="117">
        <f t="shared" si="1"/>
        <v>6.0111528822054838E-2</v>
      </c>
      <c r="H71" s="182"/>
      <c r="I71" s="29"/>
      <c r="J71" s="29"/>
      <c r="T71" s="130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205">
        <f>F68*(1+5.9%)</f>
        <v>128.45669999999998</v>
      </c>
      <c r="G72" s="117">
        <f t="shared" si="1"/>
        <v>5.8999999999999941E-2</v>
      </c>
      <c r="H72" s="182"/>
      <c r="I72" s="29"/>
      <c r="J72" s="29"/>
      <c r="T72" s="130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2"/>
      <c r="I73" s="29"/>
      <c r="J73" s="29"/>
      <c r="T73" s="130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2"/>
      <c r="I74" s="29"/>
      <c r="J74" s="29"/>
      <c r="T74" s="130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2"/>
      <c r="I75" s="29"/>
      <c r="J75" s="29"/>
      <c r="T75" s="130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2"/>
      <c r="I76" s="29"/>
      <c r="J76" s="29"/>
      <c r="T76" s="130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2"/>
      <c r="I77" s="29"/>
      <c r="J77" s="29"/>
      <c r="T77" s="130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2"/>
      <c r="I78" s="29"/>
      <c r="J78" s="29"/>
      <c r="K78" s="217"/>
      <c r="T78" s="130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2"/>
      <c r="I79" s="29"/>
      <c r="J79" s="29"/>
      <c r="T79" s="130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2"/>
      <c r="I80" s="29"/>
      <c r="J80" s="29"/>
      <c r="T80" s="130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2"/>
      <c r="I81" s="29"/>
      <c r="J81" s="29"/>
      <c r="T81" s="130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2"/>
      <c r="I82" s="29"/>
      <c r="J82" s="29"/>
      <c r="T82" s="130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2"/>
      <c r="I83" s="29"/>
      <c r="J83" s="29"/>
      <c r="T83" s="130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2"/>
      <c r="I84" s="29"/>
      <c r="J84" s="29"/>
      <c r="T84" s="130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1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10" priority="11" operator="equal">
      <formula>"Check"</formula>
    </cfRule>
    <cfRule type="cellIs" dxfId="209" priority="12" operator="equal">
      <formula>"Ok"</formula>
    </cfRule>
  </conditionalFormatting>
  <conditionalFormatting sqref="W1">
    <cfRule type="cellIs" dxfId="208" priority="7" operator="equal">
      <formula>"Check"</formula>
    </cfRule>
    <cfRule type="cellIs" dxfId="207" priority="8" operator="equal">
      <formula>"Ok"</formula>
    </cfRule>
  </conditionalFormatting>
  <conditionalFormatting sqref="T1">
    <cfRule type="cellIs" dxfId="206" priority="5" operator="equal">
      <formula>"Check"</formula>
    </cfRule>
    <cfRule type="cellIs" dxfId="205" priority="6" operator="equal">
      <formula>"Ok"</formula>
    </cfRule>
  </conditionalFormatting>
  <conditionalFormatting sqref="X51:X57">
    <cfRule type="cellIs" dxfId="204" priority="3" operator="equal">
      <formula>"Check"</formula>
    </cfRule>
    <cfRule type="cellIs" dxfId="203" priority="4" operator="equal">
      <formula>"Ok"</formula>
    </cfRule>
  </conditionalFormatting>
  <conditionalFormatting sqref="X58:X62 T9:T84">
    <cfRule type="cellIs" dxfId="202" priority="1" operator="equal">
      <formula>"Check"</formula>
    </cfRule>
    <cfRule type="cellIs" dxfId="201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73"/>
  <sheetViews>
    <sheetView showGridLines="0" zoomScale="98" zoomScaleNormal="80" workbookViewId="0">
      <selection activeCell="M41" sqref="M41"/>
    </sheetView>
  </sheetViews>
  <sheetFormatPr defaultColWidth="0" defaultRowHeight="11.25" zeroHeight="1"/>
  <cols>
    <col min="1" max="2" width="1.6640625" style="103" customWidth="1"/>
    <col min="3" max="3" width="49.6640625" style="103" bestFit="1" customWidth="1"/>
    <col min="4" max="6" width="13.33203125" style="103" customWidth="1"/>
    <col min="7" max="9" width="3.33203125" style="103" customWidth="1"/>
    <col min="10" max="20" width="10.6640625" style="103" customWidth="1"/>
    <col min="21" max="21" width="42.33203125" style="103" bestFit="1" customWidth="1"/>
    <col min="22" max="22" width="10.6640625" style="103" customWidth="1"/>
    <col min="23" max="24" width="0" style="103" hidden="1" customWidth="1"/>
    <col min="25" max="16384" width="9.33203125" style="103" hidden="1"/>
  </cols>
  <sheetData>
    <row r="1" spans="1:22" ht="15.75">
      <c r="A1" s="69"/>
      <c r="B1" s="70"/>
      <c r="C1" s="70" t="str">
        <f>Index!$B$1</f>
        <v>AER opex model v2.0</v>
      </c>
      <c r="D1" s="70"/>
      <c r="E1" s="70"/>
      <c r="F1" s="71"/>
      <c r="G1" s="71"/>
      <c r="H1" s="71"/>
      <c r="I1" s="71"/>
      <c r="J1" s="201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IF(COUNTA($V$29:$V$266)=COUNTIF($V$29:$V$266,"OK"),"OK","Check")</f>
        <v>OK</v>
      </c>
      <c r="T1" s="76"/>
      <c r="U1" s="181" t="s">
        <v>24</v>
      </c>
      <c r="V1" s="76" t="str">
        <f>'Check|List'!$S$1</f>
        <v>Ok</v>
      </c>
    </row>
    <row r="2" spans="1:22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>
      <c r="A3" s="132"/>
      <c r="B3" s="132"/>
      <c r="C3" s="133"/>
      <c r="D3" s="134"/>
      <c r="E3" s="134"/>
      <c r="F3" s="134"/>
      <c r="G3" s="134"/>
      <c r="H3" s="134"/>
      <c r="I3" s="134"/>
      <c r="J3" s="155" t="s">
        <v>119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5"/>
      <c r="V3" s="135"/>
    </row>
    <row r="4" spans="1:22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43435</v>
      </c>
      <c r="K4" s="153">
        <f>DATE(PPFirstYear+1,MONTH('Input|General'!$G$9),1)</f>
        <v>43800</v>
      </c>
      <c r="L4" s="153">
        <f>DATE(PPFirstYear+2,MONTH('Input|General'!$G$9),1)</f>
        <v>44166</v>
      </c>
      <c r="M4" s="153">
        <f>DATE(PPFirstYear+3,MONTH('Input|General'!$G$9),1)</f>
        <v>44531</v>
      </c>
      <c r="N4" s="153">
        <f>DATE(PPFirstYear+4,MONTH('Input|General'!$G$9),1)</f>
        <v>44896</v>
      </c>
      <c r="O4" s="153">
        <f>DATE(PPFirstYear+5,MONTH('Input|General'!$G$9),1)</f>
        <v>45261</v>
      </c>
      <c r="P4" s="153">
        <f>DATE(PPFirstYear+6,MONTH('Input|General'!$G$9),1)</f>
        <v>45627</v>
      </c>
      <c r="Q4" s="153">
        <f>DATE(PPFirstYear+7,MONTH('Input|General'!$G$9),1)</f>
        <v>45992</v>
      </c>
      <c r="R4" s="153">
        <f>DATE(PPFirstYear+8,MONTH('Input|General'!$G$9),1)</f>
        <v>46357</v>
      </c>
      <c r="S4" s="153">
        <f>DATE(PPFirstYear+9,MONTH('Input|General'!$G$9),1)</f>
        <v>46722</v>
      </c>
      <c r="T4" s="153">
        <f>DATE(PPFirstYear+10,MONTH('Input|General'!$G$9),1)</f>
        <v>47088</v>
      </c>
      <c r="U4" s="87"/>
      <c r="V4" s="88"/>
    </row>
    <row r="5" spans="1:22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</row>
    <row r="9" spans="1:22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S10" si="0">IF(YEAR(J$4)&lt;=PPLastYear,J$4,"")</f>
        <v>43435</v>
      </c>
      <c r="K10" s="156">
        <f t="shared" si="0"/>
        <v>43800</v>
      </c>
      <c r="L10" s="156">
        <f t="shared" si="0"/>
        <v>44166</v>
      </c>
      <c r="M10" s="156">
        <f t="shared" si="0"/>
        <v>44531</v>
      </c>
      <c r="N10" s="156">
        <f t="shared" si="0"/>
        <v>44896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/>
      <c r="U10" s="136" t="s">
        <v>54</v>
      </c>
      <c r="V10" s="29"/>
    </row>
    <row r="11" spans="1:22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</row>
    <row r="12" spans="1:22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</row>
    <row r="13" spans="1:22">
      <c r="A13" s="29"/>
      <c r="B13" s="29"/>
      <c r="C13" s="61" t="s">
        <v>73</v>
      </c>
      <c r="D13" s="30" t="s">
        <v>69</v>
      </c>
      <c r="E13" s="30" t="str">
        <f>units</f>
        <v>$millions</v>
      </c>
      <c r="F13" s="190">
        <f>DATE(PPFirstYear-1,MONTH(month),1)</f>
        <v>43070</v>
      </c>
      <c r="G13" s="32"/>
      <c r="H13" s="32"/>
      <c r="I13" s="30"/>
      <c r="J13" s="215">
        <v>25.954155421982207</v>
      </c>
      <c r="K13" s="215">
        <v>26.054969196371218</v>
      </c>
      <c r="L13" s="215">
        <v>26.062207757972281</v>
      </c>
      <c r="M13" s="215">
        <v>27.070872623351775</v>
      </c>
      <c r="N13" s="215">
        <v>27.262266497098619</v>
      </c>
      <c r="O13" s="160"/>
      <c r="P13" s="160"/>
      <c r="Q13" s="160"/>
      <c r="R13" s="160"/>
      <c r="S13" s="160"/>
      <c r="T13" s="160"/>
      <c r="U13" s="29" t="s">
        <v>194</v>
      </c>
      <c r="V13" s="29"/>
    </row>
    <row r="14" spans="1:22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</row>
    <row r="15" spans="1:22">
      <c r="A15" s="29"/>
      <c r="B15" s="29"/>
      <c r="C15" s="138" t="s">
        <v>73</v>
      </c>
      <c r="D15" s="139" t="str">
        <f>D13</f>
        <v>AER</v>
      </c>
      <c r="E15" s="214" t="str">
        <f>E13</f>
        <v>$millions</v>
      </c>
      <c r="F15" s="214">
        <f>$F$13</f>
        <v>43070</v>
      </c>
      <c r="G15" s="32"/>
      <c r="H15" s="32"/>
      <c r="I15" s="30"/>
      <c r="J15" s="129">
        <f>J13</f>
        <v>25.954155421982207</v>
      </c>
      <c r="K15" s="129">
        <f t="shared" ref="K15:S15" si="1">K13</f>
        <v>26.054969196371218</v>
      </c>
      <c r="L15" s="129">
        <f t="shared" si="1"/>
        <v>26.062207757972281</v>
      </c>
      <c r="M15" s="129">
        <f t="shared" si="1"/>
        <v>27.070872623351775</v>
      </c>
      <c r="N15" s="129">
        <f t="shared" si="1"/>
        <v>27.262266497098619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</row>
    <row r="16" spans="1:22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</row>
    <row r="17" spans="1:22">
      <c r="A17" s="29"/>
      <c r="B17" s="29"/>
      <c r="C17" s="67" t="s">
        <v>159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</row>
    <row r="18" spans="1:22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</row>
    <row r="19" spans="1:22">
      <c r="A19" s="29"/>
      <c r="B19" s="29"/>
      <c r="C19" s="61" t="s">
        <v>39</v>
      </c>
      <c r="D19" s="30" t="s">
        <v>69</v>
      </c>
      <c r="E19" s="30" t="str">
        <f t="shared" ref="E19:E27" si="2">units</f>
        <v>$millions</v>
      </c>
      <c r="F19" s="158">
        <f>$F$13</f>
        <v>43070</v>
      </c>
      <c r="G19" s="32"/>
      <c r="H19" s="32"/>
      <c r="I19" s="30"/>
      <c r="J19" s="215">
        <v>5.9856454946827439E-2</v>
      </c>
      <c r="K19" s="215">
        <v>6.1733771068755688E-2</v>
      </c>
      <c r="L19" s="215">
        <v>6.3926367443062598E-2</v>
      </c>
      <c r="M19" s="215">
        <v>6.5866750375907196E-2</v>
      </c>
      <c r="N19" s="215">
        <v>6.4185634595638877E-2</v>
      </c>
      <c r="O19" s="160"/>
      <c r="P19" s="160"/>
      <c r="Q19" s="160"/>
      <c r="R19" s="160"/>
      <c r="S19" s="160"/>
      <c r="T19" s="160"/>
      <c r="U19" s="29" t="s">
        <v>171</v>
      </c>
      <c r="V19" s="29"/>
    </row>
    <row r="20" spans="1:22">
      <c r="A20" s="29"/>
      <c r="B20" s="29"/>
      <c r="C20" s="61" t="s">
        <v>206</v>
      </c>
      <c r="D20" s="30" t="s">
        <v>69</v>
      </c>
      <c r="E20" s="30" t="str">
        <f t="shared" si="2"/>
        <v>$millions</v>
      </c>
      <c r="F20" s="158">
        <f t="shared" ref="F20:F29" si="3">$F$13</f>
        <v>43070</v>
      </c>
      <c r="G20" s="32"/>
      <c r="H20" s="32"/>
      <c r="I20" s="30"/>
      <c r="J20" s="215">
        <v>0.24066710310606573</v>
      </c>
      <c r="K20" s="215">
        <v>0.24911571851600642</v>
      </c>
      <c r="L20" s="215">
        <v>0.25416168374276105</v>
      </c>
      <c r="M20" s="215">
        <v>0.25853547761225426</v>
      </c>
      <c r="N20" s="215">
        <v>0.26204755531571994</v>
      </c>
      <c r="O20" s="160"/>
      <c r="P20" s="160"/>
      <c r="Q20" s="160"/>
      <c r="R20" s="160"/>
      <c r="S20" s="160"/>
      <c r="T20" s="160"/>
      <c r="U20" s="29"/>
      <c r="V20" s="29"/>
    </row>
    <row r="21" spans="1:22">
      <c r="A21" s="29"/>
      <c r="B21" s="29"/>
      <c r="C21" s="61"/>
      <c r="D21" s="30" t="s">
        <v>69</v>
      </c>
      <c r="E21" s="30" t="str">
        <f t="shared" si="2"/>
        <v>$millions</v>
      </c>
      <c r="F21" s="158">
        <f t="shared" si="3"/>
        <v>43070</v>
      </c>
      <c r="G21" s="32"/>
      <c r="H21" s="32"/>
      <c r="I21" s="3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29"/>
      <c r="V21" s="29"/>
    </row>
    <row r="22" spans="1:22">
      <c r="A22" s="29"/>
      <c r="B22" s="29"/>
      <c r="C22" s="61"/>
      <c r="D22" s="30" t="s">
        <v>69</v>
      </c>
      <c r="E22" s="30" t="str">
        <f t="shared" si="2"/>
        <v>$millions</v>
      </c>
      <c r="F22" s="158">
        <f t="shared" si="3"/>
        <v>43070</v>
      </c>
      <c r="G22" s="32"/>
      <c r="H22" s="32"/>
      <c r="I22" s="3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29"/>
      <c r="V22" s="29"/>
    </row>
    <row r="23" spans="1:22">
      <c r="A23" s="29"/>
      <c r="B23" s="29"/>
      <c r="C23" s="61"/>
      <c r="D23" s="30" t="s">
        <v>69</v>
      </c>
      <c r="E23" s="30" t="str">
        <f t="shared" si="2"/>
        <v>$millions</v>
      </c>
      <c r="F23" s="158">
        <f t="shared" si="3"/>
        <v>43070</v>
      </c>
      <c r="G23" s="32"/>
      <c r="H23" s="32"/>
      <c r="I23" s="3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29"/>
      <c r="V23" s="29"/>
    </row>
    <row r="24" spans="1:22">
      <c r="A24" s="29"/>
      <c r="B24" s="29"/>
      <c r="C24" s="61"/>
      <c r="D24" s="30" t="s">
        <v>69</v>
      </c>
      <c r="E24" s="30" t="str">
        <f t="shared" si="2"/>
        <v>$millions</v>
      </c>
      <c r="F24" s="158">
        <f t="shared" si="3"/>
        <v>43070</v>
      </c>
      <c r="G24" s="32"/>
      <c r="H24" s="32"/>
      <c r="I24" s="3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29"/>
      <c r="V24" s="29"/>
    </row>
    <row r="25" spans="1:22">
      <c r="A25" s="29"/>
      <c r="B25" s="29"/>
      <c r="C25" s="61"/>
      <c r="D25" s="30" t="s">
        <v>69</v>
      </c>
      <c r="E25" s="30" t="str">
        <f t="shared" si="2"/>
        <v>$millions</v>
      </c>
      <c r="F25" s="158">
        <f t="shared" si="3"/>
        <v>43070</v>
      </c>
      <c r="G25" s="32"/>
      <c r="H25" s="32"/>
      <c r="I25" s="3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29"/>
      <c r="V25" s="29"/>
    </row>
    <row r="26" spans="1:22">
      <c r="A26" s="29"/>
      <c r="B26" s="29"/>
      <c r="C26" s="61"/>
      <c r="D26" s="30" t="s">
        <v>69</v>
      </c>
      <c r="E26" s="30" t="str">
        <f t="shared" si="2"/>
        <v>$millions</v>
      </c>
      <c r="F26" s="158">
        <f t="shared" si="3"/>
        <v>43070</v>
      </c>
      <c r="G26" s="32"/>
      <c r="H26" s="32"/>
      <c r="I26" s="3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29"/>
      <c r="V26" s="29"/>
    </row>
    <row r="27" spans="1:22">
      <c r="A27" s="29"/>
      <c r="B27" s="29"/>
      <c r="C27" s="61"/>
      <c r="D27" s="30" t="s">
        <v>69</v>
      </c>
      <c r="E27" s="30" t="str">
        <f t="shared" si="2"/>
        <v>$millions</v>
      </c>
      <c r="F27" s="158">
        <f t="shared" si="3"/>
        <v>43070</v>
      </c>
      <c r="G27" s="32"/>
      <c r="H27" s="32"/>
      <c r="I27" s="3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29"/>
      <c r="V27" s="29"/>
    </row>
    <row r="28" spans="1:22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</row>
    <row r="29" spans="1:22">
      <c r="A29" s="29"/>
      <c r="B29" s="29"/>
      <c r="C29" s="138" t="s">
        <v>157</v>
      </c>
      <c r="D29" s="139" t="s">
        <v>30</v>
      </c>
      <c r="E29" s="213" t="str">
        <f>units</f>
        <v>$millions</v>
      </c>
      <c r="F29" s="214">
        <f t="shared" si="3"/>
        <v>43070</v>
      </c>
      <c r="G29" s="32"/>
      <c r="H29" s="32"/>
      <c r="I29" s="30"/>
      <c r="J29" s="129">
        <f>SUM(J19:J27)</f>
        <v>0.30052355805289316</v>
      </c>
      <c r="K29" s="129">
        <f t="shared" ref="K29:S29" si="4">SUM(K19:K27)</f>
        <v>0.31084948958476211</v>
      </c>
      <c r="L29" s="129">
        <f t="shared" si="4"/>
        <v>0.31808805118582362</v>
      </c>
      <c r="M29" s="129">
        <f t="shared" si="4"/>
        <v>0.32440222798816143</v>
      </c>
      <c r="N29" s="129">
        <f t="shared" si="4"/>
        <v>0.3262331899113588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107" t="str">
        <f>IF(COUNTIF(J19:S27,"&lt;0")&gt;0,"Check","Ok")</f>
        <v>Ok</v>
      </c>
    </row>
    <row r="30" spans="1:22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</row>
    <row r="32" spans="1:22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>
      <c r="A33" s="29"/>
      <c r="B33" s="29"/>
      <c r="C33" s="29"/>
      <c r="D33" s="30"/>
      <c r="E33" s="30"/>
      <c r="F33" s="30"/>
      <c r="G33" s="30"/>
      <c r="H33" s="30"/>
      <c r="I33" s="30"/>
      <c r="J33" s="160" t="s">
        <v>23</v>
      </c>
      <c r="K33" s="160" t="s">
        <v>23</v>
      </c>
      <c r="L33" s="160" t="s">
        <v>23</v>
      </c>
      <c r="M33" s="160" t="s">
        <v>23</v>
      </c>
      <c r="N33" s="160" t="s">
        <v>74</v>
      </c>
      <c r="O33" s="160"/>
      <c r="P33" s="160"/>
      <c r="Q33" s="160"/>
      <c r="R33" s="160"/>
      <c r="S33" s="160"/>
      <c r="T33" s="160"/>
      <c r="U33" s="29"/>
      <c r="V33" s="29"/>
    </row>
    <row r="34" spans="1:22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6">
        <f t="shared" ref="J34:S34" si="5">IF(YEAR(J$4)&lt;=PPLastYear,J$4,"")</f>
        <v>43435</v>
      </c>
      <c r="K34" s="156">
        <f t="shared" si="5"/>
        <v>43800</v>
      </c>
      <c r="L34" s="156">
        <f t="shared" si="5"/>
        <v>44166</v>
      </c>
      <c r="M34" s="156">
        <f t="shared" si="5"/>
        <v>44531</v>
      </c>
      <c r="N34" s="156">
        <f t="shared" si="5"/>
        <v>44896</v>
      </c>
      <c r="O34" s="156" t="str">
        <f t="shared" si="5"/>
        <v/>
      </c>
      <c r="P34" s="156" t="str">
        <f t="shared" si="5"/>
        <v/>
      </c>
      <c r="Q34" s="156" t="str">
        <f t="shared" si="5"/>
        <v/>
      </c>
      <c r="R34" s="156" t="str">
        <f t="shared" si="5"/>
        <v/>
      </c>
      <c r="S34" s="156" t="str">
        <f t="shared" si="5"/>
        <v/>
      </c>
      <c r="T34" s="156"/>
      <c r="U34" s="136" t="s">
        <v>54</v>
      </c>
      <c r="V34" s="29"/>
    </row>
    <row r="35" spans="1:22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>
      <c r="A37" s="29"/>
      <c r="B37" s="29"/>
      <c r="C37" s="61" t="s">
        <v>73</v>
      </c>
      <c r="D37" s="30" t="s">
        <v>75</v>
      </c>
      <c r="E37" s="30" t="str">
        <f>units</f>
        <v>$millions</v>
      </c>
      <c r="F37" s="209" t="s">
        <v>100</v>
      </c>
      <c r="G37" s="32"/>
      <c r="H37" s="32"/>
      <c r="I37" s="30"/>
      <c r="J37" s="215">
        <v>25.63790109788059</v>
      </c>
      <c r="K37" s="215">
        <v>25.009625060266135</v>
      </c>
      <c r="L37" s="215">
        <v>28.028337284541241</v>
      </c>
      <c r="M37" s="160">
        <v>32.92242257068974</v>
      </c>
      <c r="N37" s="160"/>
      <c r="O37" s="160"/>
      <c r="P37" s="160"/>
      <c r="Q37" s="160"/>
      <c r="R37" s="160"/>
      <c r="S37" s="160"/>
      <c r="T37" s="160"/>
      <c r="U37" s="29" t="s">
        <v>168</v>
      </c>
      <c r="V37" s="29"/>
    </row>
    <row r="38" spans="1:22">
      <c r="A38" s="29"/>
      <c r="B38" s="29"/>
      <c r="C38" s="111"/>
      <c r="D38" s="30"/>
      <c r="E38" s="30"/>
      <c r="F38" s="158"/>
      <c r="G38" s="32"/>
      <c r="H38" s="32"/>
      <c r="I38" s="3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29"/>
      <c r="V38" s="29"/>
    </row>
    <row r="39" spans="1:22">
      <c r="A39" s="29"/>
      <c r="B39" s="29"/>
      <c r="C39" s="67" t="s">
        <v>176</v>
      </c>
      <c r="D39" s="30"/>
      <c r="E39" s="30"/>
      <c r="F39" s="158"/>
      <c r="G39" s="32"/>
      <c r="H39" s="32"/>
      <c r="I39" s="3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29"/>
      <c r="V39" s="29"/>
    </row>
    <row r="40" spans="1:22">
      <c r="A40" s="29"/>
      <c r="B40" s="29"/>
      <c r="C40" s="67"/>
      <c r="D40" s="30"/>
      <c r="E40" s="30"/>
      <c r="F40" s="158"/>
      <c r="G40" s="32"/>
      <c r="H40" s="32"/>
      <c r="I40" s="3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29"/>
      <c r="V40" s="29"/>
    </row>
    <row r="41" spans="1:22">
      <c r="A41" s="29"/>
      <c r="B41" s="29"/>
      <c r="C41" s="61" t="s">
        <v>172</v>
      </c>
      <c r="D41" s="30" t="s">
        <v>75</v>
      </c>
      <c r="E41" s="30" t="str">
        <f>units</f>
        <v>$millions</v>
      </c>
      <c r="F41" s="209" t="s">
        <v>100</v>
      </c>
      <c r="G41" s="32"/>
      <c r="H41" s="32"/>
      <c r="I41" s="30"/>
      <c r="J41" s="215">
        <v>-0.26575630000000006</v>
      </c>
      <c r="K41" s="215">
        <v>-1.35149948</v>
      </c>
      <c r="L41" s="215">
        <v>-0.47497458000000004</v>
      </c>
      <c r="M41" s="215">
        <v>5.5288900000000002E-2</v>
      </c>
      <c r="N41" s="160"/>
      <c r="O41" s="160"/>
      <c r="P41" s="160"/>
      <c r="Q41" s="160"/>
      <c r="R41" s="160"/>
      <c r="S41" s="160"/>
      <c r="T41" s="160"/>
      <c r="U41" s="29" t="s">
        <v>175</v>
      </c>
      <c r="V41" s="29"/>
    </row>
    <row r="42" spans="1:22">
      <c r="A42" s="29"/>
      <c r="B42" s="29"/>
      <c r="C42" s="61"/>
      <c r="D42" s="30" t="s">
        <v>75</v>
      </c>
      <c r="E42" s="30" t="str">
        <f>units</f>
        <v>$millions</v>
      </c>
      <c r="F42" s="209" t="s">
        <v>100</v>
      </c>
      <c r="G42" s="32"/>
      <c r="H42" s="32"/>
      <c r="I42" s="3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29"/>
      <c r="V42" s="29"/>
    </row>
    <row r="43" spans="1:22">
      <c r="A43" s="29"/>
      <c r="B43" s="29"/>
      <c r="C43" s="61"/>
      <c r="D43" s="30" t="s">
        <v>75</v>
      </c>
      <c r="E43" s="30" t="str">
        <f>units</f>
        <v>$millions</v>
      </c>
      <c r="F43" s="209" t="s">
        <v>100</v>
      </c>
      <c r="G43" s="32"/>
      <c r="H43" s="32"/>
      <c r="I43" s="3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29"/>
      <c r="V43" s="29"/>
    </row>
    <row r="44" spans="1:22">
      <c r="A44" s="29"/>
      <c r="B44" s="29"/>
      <c r="C44" s="61"/>
      <c r="D44" s="30" t="s">
        <v>75</v>
      </c>
      <c r="E44" s="30" t="str">
        <f>units</f>
        <v>$millions</v>
      </c>
      <c r="F44" s="209" t="s">
        <v>100</v>
      </c>
      <c r="G44" s="32"/>
      <c r="H44" s="32"/>
      <c r="I44" s="3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29"/>
      <c r="V44" s="29"/>
    </row>
    <row r="45" spans="1:22">
      <c r="A45" s="29"/>
      <c r="B45" s="29"/>
      <c r="C45" s="61"/>
      <c r="D45" s="30" t="s">
        <v>75</v>
      </c>
      <c r="E45" s="30" t="str">
        <f>units</f>
        <v>$millions</v>
      </c>
      <c r="F45" s="209" t="s">
        <v>100</v>
      </c>
      <c r="G45" s="32"/>
      <c r="H45" s="32"/>
      <c r="I45" s="3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29"/>
      <c r="V45" s="29"/>
    </row>
    <row r="46" spans="1:22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0"/>
      <c r="O46" s="140"/>
      <c r="P46" s="140"/>
      <c r="Q46" s="140"/>
      <c r="R46" s="140"/>
      <c r="S46" s="140"/>
      <c r="T46" s="140"/>
      <c r="U46" s="29"/>
      <c r="V46" s="29"/>
    </row>
    <row r="47" spans="1:22">
      <c r="A47" s="29"/>
      <c r="B47" s="29"/>
      <c r="C47" s="138" t="s">
        <v>173</v>
      </c>
      <c r="D47" s="139" t="s">
        <v>30</v>
      </c>
      <c r="E47" s="213" t="str">
        <f>units</f>
        <v>$millions</v>
      </c>
      <c r="F47" s="214" t="s">
        <v>100</v>
      </c>
      <c r="G47" s="32"/>
      <c r="H47" s="32"/>
      <c r="I47" s="30"/>
      <c r="J47" s="129">
        <f>J37-SUM(J41:J45)</f>
        <v>25.90365739788059</v>
      </c>
      <c r="K47" s="129">
        <f t="shared" ref="K47:S47" si="6">K37-SUM(K41:K45)</f>
        <v>26.361124540266136</v>
      </c>
      <c r="L47" s="129">
        <f t="shared" si="6"/>
        <v>28.503311864541242</v>
      </c>
      <c r="M47" s="129">
        <f t="shared" si="6"/>
        <v>32.867133670689739</v>
      </c>
      <c r="N47" s="129">
        <f t="shared" si="6"/>
        <v>0</v>
      </c>
      <c r="O47" s="129">
        <f t="shared" si="6"/>
        <v>0</v>
      </c>
      <c r="P47" s="129">
        <f t="shared" si="6"/>
        <v>0</v>
      </c>
      <c r="Q47" s="129">
        <f t="shared" si="6"/>
        <v>0</v>
      </c>
      <c r="R47" s="129">
        <f t="shared" si="6"/>
        <v>0</v>
      </c>
      <c r="S47" s="129">
        <f t="shared" si="6"/>
        <v>0</v>
      </c>
      <c r="T47" s="129"/>
      <c r="U47" s="29"/>
      <c r="V47" s="29"/>
    </row>
    <row r="48" spans="1:22">
      <c r="A48" s="29"/>
      <c r="B48" s="29"/>
      <c r="C48" s="29"/>
      <c r="D48" s="30"/>
      <c r="E48" s="30"/>
      <c r="F48" s="30"/>
      <c r="G48" s="30"/>
      <c r="H48" s="30"/>
      <c r="I48" s="30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29"/>
      <c r="V48" s="29"/>
    </row>
    <row r="49" spans="1:22">
      <c r="A49" s="29"/>
      <c r="B49" s="29"/>
      <c r="C49" s="67" t="s">
        <v>108</v>
      </c>
      <c r="D49" s="30"/>
      <c r="E49" s="30"/>
      <c r="F49" s="30"/>
      <c r="G49" s="30"/>
      <c r="H49" s="30"/>
      <c r="I49" s="30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29"/>
      <c r="V49" s="29"/>
    </row>
    <row r="50" spans="1:22">
      <c r="A50" s="29"/>
      <c r="B50" s="29"/>
      <c r="C50" s="29"/>
      <c r="D50" s="30"/>
      <c r="E50" s="30"/>
      <c r="F50" s="30"/>
      <c r="G50" s="30"/>
      <c r="H50" s="30"/>
      <c r="I50" s="30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29"/>
      <c r="V50" s="29"/>
    </row>
    <row r="51" spans="1:22">
      <c r="A51" s="29"/>
      <c r="B51" s="29"/>
      <c r="C51" s="61" t="s">
        <v>39</v>
      </c>
      <c r="D51" s="30" t="s">
        <v>75</v>
      </c>
      <c r="E51" s="30" t="str">
        <f>units</f>
        <v>$millions</v>
      </c>
      <c r="F51" s="209" t="s">
        <v>100</v>
      </c>
      <c r="G51" s="32"/>
      <c r="H51" s="32"/>
      <c r="I51" s="30"/>
      <c r="J51" s="215">
        <v>5.8423091322499149E-2</v>
      </c>
      <c r="K51" s="215">
        <v>5.9242151673267608E-2</v>
      </c>
      <c r="L51" s="215">
        <v>5.9839347506115172E-2</v>
      </c>
      <c r="M51" s="160">
        <v>6.1244344805827654E-2</v>
      </c>
      <c r="N51" s="160"/>
      <c r="O51" s="160"/>
      <c r="P51" s="160"/>
      <c r="Q51" s="160"/>
      <c r="R51" s="160"/>
      <c r="S51" s="160"/>
      <c r="T51" s="160"/>
      <c r="U51" s="29" t="s">
        <v>171</v>
      </c>
      <c r="V51" s="29"/>
    </row>
    <row r="52" spans="1:22">
      <c r="A52" s="29"/>
      <c r="B52" s="29"/>
      <c r="C52" s="61"/>
      <c r="D52" s="30" t="s">
        <v>75</v>
      </c>
      <c r="E52" s="30" t="str">
        <f>units</f>
        <v>$millions</v>
      </c>
      <c r="F52" s="209" t="s">
        <v>100</v>
      </c>
      <c r="G52" s="32"/>
      <c r="H52" s="32"/>
      <c r="I52" s="3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29"/>
      <c r="V52" s="29"/>
    </row>
    <row r="53" spans="1:22">
      <c r="A53" s="29"/>
      <c r="B53" s="29"/>
      <c r="C53" s="61"/>
      <c r="D53" s="30" t="s">
        <v>75</v>
      </c>
      <c r="E53" s="30" t="str">
        <f>units</f>
        <v>$millions</v>
      </c>
      <c r="F53" s="209" t="s">
        <v>100</v>
      </c>
      <c r="G53" s="32"/>
      <c r="H53" s="32"/>
      <c r="I53" s="3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29"/>
      <c r="V53" s="29"/>
    </row>
    <row r="54" spans="1:22">
      <c r="A54" s="29"/>
      <c r="B54" s="29"/>
      <c r="C54" s="61"/>
      <c r="D54" s="30" t="s">
        <v>75</v>
      </c>
      <c r="E54" s="30" t="str">
        <f>units</f>
        <v>$millions</v>
      </c>
      <c r="F54" s="209" t="s">
        <v>100</v>
      </c>
      <c r="G54" s="32"/>
      <c r="H54" s="32"/>
      <c r="I54" s="3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29"/>
      <c r="V54" s="29"/>
    </row>
    <row r="55" spans="1:22">
      <c r="A55" s="29"/>
      <c r="B55" s="29"/>
      <c r="C55" s="61"/>
      <c r="D55" s="30" t="s">
        <v>75</v>
      </c>
      <c r="E55" s="30" t="str">
        <f>units</f>
        <v>$millions</v>
      </c>
      <c r="F55" s="209" t="s">
        <v>100</v>
      </c>
      <c r="G55" s="32"/>
      <c r="H55" s="32"/>
      <c r="I55" s="3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29"/>
      <c r="V55" s="29"/>
    </row>
    <row r="56" spans="1:22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0"/>
      <c r="O56" s="140"/>
      <c r="P56" s="140"/>
      <c r="Q56" s="140"/>
      <c r="R56" s="140"/>
      <c r="S56" s="140"/>
      <c r="T56" s="140"/>
      <c r="U56" s="29"/>
      <c r="V56" s="29"/>
    </row>
    <row r="57" spans="1:22">
      <c r="A57" s="29"/>
      <c r="B57" s="29"/>
      <c r="C57" s="138" t="s">
        <v>157</v>
      </c>
      <c r="D57" s="139" t="s">
        <v>30</v>
      </c>
      <c r="E57" s="213" t="str">
        <f>units</f>
        <v>$millions</v>
      </c>
      <c r="F57" s="214" t="s">
        <v>100</v>
      </c>
      <c r="G57" s="32"/>
      <c r="H57" s="32"/>
      <c r="I57" s="30"/>
      <c r="J57" s="180">
        <f>SUM(J51:J55)</f>
        <v>5.8423091322499149E-2</v>
      </c>
      <c r="K57" s="180">
        <f t="shared" ref="K57:S57" si="7">SUM(K51:K55)</f>
        <v>5.9242151673267608E-2</v>
      </c>
      <c r="L57" s="180">
        <f t="shared" si="7"/>
        <v>5.9839347506115172E-2</v>
      </c>
      <c r="M57" s="180">
        <f t="shared" si="7"/>
        <v>6.1244344805827654E-2</v>
      </c>
      <c r="N57" s="180">
        <f t="shared" si="7"/>
        <v>0</v>
      </c>
      <c r="O57" s="180">
        <f t="shared" si="7"/>
        <v>0</v>
      </c>
      <c r="P57" s="180">
        <f t="shared" si="7"/>
        <v>0</v>
      </c>
      <c r="Q57" s="180">
        <f t="shared" si="7"/>
        <v>0</v>
      </c>
      <c r="R57" s="180">
        <f t="shared" si="7"/>
        <v>0</v>
      </c>
      <c r="S57" s="180">
        <f t="shared" si="7"/>
        <v>0</v>
      </c>
      <c r="T57" s="180"/>
      <c r="U57" s="29"/>
      <c r="V57" s="107" t="str">
        <f>IF(COUNTIF(J51:S55,"&lt;0")&gt;0,"Check","Ok")</f>
        <v>Ok</v>
      </c>
    </row>
    <row r="58" spans="1:22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12.75">
      <c r="A59" s="94"/>
      <c r="B59" s="95" t="s">
        <v>109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8"/>
    </row>
    <row r="60" spans="1:22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>
      <c r="A61" s="29"/>
      <c r="B61" s="29"/>
      <c r="C61" s="67" t="s">
        <v>110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6" t="str">
        <f t="shared" ref="J61:S61" si="8">IF(YEAR(J$4)=PPLastYear,J$4,"")</f>
        <v/>
      </c>
      <c r="K61" s="156" t="str">
        <f t="shared" si="8"/>
        <v/>
      </c>
      <c r="L61" s="156" t="str">
        <f t="shared" si="8"/>
        <v/>
      </c>
      <c r="M61" s="156" t="str">
        <f t="shared" si="8"/>
        <v/>
      </c>
      <c r="N61" s="156">
        <f t="shared" si="8"/>
        <v>44896</v>
      </c>
      <c r="O61" s="156" t="str">
        <f t="shared" si="8"/>
        <v/>
      </c>
      <c r="P61" s="156" t="str">
        <f t="shared" si="8"/>
        <v/>
      </c>
      <c r="Q61" s="156" t="str">
        <f t="shared" si="8"/>
        <v/>
      </c>
      <c r="R61" s="156" t="str">
        <f t="shared" si="8"/>
        <v/>
      </c>
      <c r="S61" s="156" t="str">
        <f t="shared" si="8"/>
        <v/>
      </c>
      <c r="T61" s="156"/>
      <c r="U61" s="29"/>
      <c r="V61" s="29"/>
    </row>
    <row r="62" spans="1:22">
      <c r="A62" s="29"/>
      <c r="B62" s="29"/>
      <c r="C62" s="67"/>
      <c r="D62" s="32"/>
      <c r="E62" s="32"/>
      <c r="F62" s="32"/>
      <c r="G62" s="32"/>
      <c r="H62" s="32"/>
      <c r="I62" s="32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29"/>
      <c r="V62" s="29"/>
    </row>
    <row r="63" spans="1:22">
      <c r="A63" s="29"/>
      <c r="B63" s="29"/>
      <c r="C63" s="61" t="s">
        <v>111</v>
      </c>
      <c r="D63" s="30" t="s">
        <v>34</v>
      </c>
      <c r="E63" s="30" t="str">
        <f>units</f>
        <v>$millions</v>
      </c>
      <c r="F63" s="208">
        <f>DATE(PPLastYear,MONTH(month),1)</f>
        <v>44896</v>
      </c>
      <c r="G63" s="32"/>
      <c r="H63" s="32"/>
      <c r="I63" s="32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29" t="s">
        <v>181</v>
      </c>
      <c r="V63" s="29"/>
    </row>
    <row r="64" spans="1:22">
      <c r="A64" s="29"/>
      <c r="B64" s="29"/>
      <c r="C64" s="61" t="s">
        <v>112</v>
      </c>
      <c r="D64" s="30" t="s">
        <v>34</v>
      </c>
      <c r="E64" s="30" t="str">
        <f>units</f>
        <v>$millions</v>
      </c>
      <c r="F64" s="208">
        <f>DATE(PPLastYear,MONTH(month),1)</f>
        <v>44896</v>
      </c>
      <c r="G64" s="32"/>
      <c r="H64" s="32"/>
      <c r="I64" s="32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24"/>
      <c r="V64" s="29"/>
    </row>
    <row r="65" spans="1:22">
      <c r="A65" s="29"/>
      <c r="B65" s="29"/>
      <c r="C65" s="61" t="s">
        <v>113</v>
      </c>
      <c r="D65" s="30" t="s">
        <v>34</v>
      </c>
      <c r="E65" s="30" t="str">
        <f>units</f>
        <v>$millions</v>
      </c>
      <c r="F65" s="208">
        <f>DATE(PPLastYear,MONTH(month),1)</f>
        <v>44896</v>
      </c>
      <c r="G65" s="32"/>
      <c r="H65" s="32"/>
      <c r="I65" s="32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24"/>
      <c r="V65" s="29"/>
    </row>
    <row r="66" spans="1:22">
      <c r="A66" s="29"/>
      <c r="B66" s="29"/>
      <c r="C66" s="61" t="s">
        <v>114</v>
      </c>
      <c r="D66" s="30" t="s">
        <v>34</v>
      </c>
      <c r="E66" s="30" t="str">
        <f>units</f>
        <v>$millions</v>
      </c>
      <c r="F66" s="208">
        <f>DATE(PPLastYear,MONTH(month),1)</f>
        <v>44896</v>
      </c>
      <c r="G66" s="32"/>
      <c r="H66" s="32"/>
      <c r="I66" s="32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24"/>
      <c r="V66" s="29"/>
    </row>
    <row r="67" spans="1:22">
      <c r="A67" s="29"/>
      <c r="B67" s="29"/>
      <c r="C67" s="61" t="s">
        <v>115</v>
      </c>
      <c r="D67" s="30" t="s">
        <v>34</v>
      </c>
      <c r="E67" s="30" t="str">
        <f>units</f>
        <v>$millions</v>
      </c>
      <c r="F67" s="208">
        <f>DATE(PPLastYear,MONTH(month),1)</f>
        <v>44896</v>
      </c>
      <c r="G67" s="32"/>
      <c r="H67" s="32"/>
      <c r="I67" s="32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24"/>
      <c r="V67" s="29"/>
    </row>
    <row r="68" spans="1:22" s="102" customFormat="1">
      <c r="A68" s="189"/>
      <c r="B68" s="161"/>
      <c r="C68" s="212"/>
      <c r="D68" s="105"/>
      <c r="E68" s="105"/>
      <c r="F68" s="210"/>
      <c r="G68" s="191"/>
      <c r="H68" s="191"/>
      <c r="I68" s="191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04"/>
      <c r="V68" s="189"/>
    </row>
    <row r="69" spans="1:22">
      <c r="A69" s="29"/>
      <c r="B69" s="29"/>
      <c r="C69" s="211" t="s">
        <v>174</v>
      </c>
      <c r="D69" s="30" t="s">
        <v>34</v>
      </c>
      <c r="E69" s="30" t="str">
        <f>units</f>
        <v>$millions</v>
      </c>
      <c r="F69" s="208">
        <f>DATE(PPLastYear,MONTH(month),1)</f>
        <v>44896</v>
      </c>
      <c r="G69" s="32"/>
      <c r="H69" s="32"/>
      <c r="I69" s="32"/>
      <c r="J69" s="160"/>
      <c r="K69" s="160"/>
      <c r="L69" s="160"/>
      <c r="M69" s="160"/>
      <c r="N69" s="160">
        <v>0</v>
      </c>
      <c r="O69" s="160"/>
      <c r="P69" s="160"/>
      <c r="Q69" s="160"/>
      <c r="R69" s="160"/>
      <c r="S69" s="160"/>
      <c r="T69" s="160"/>
      <c r="U69" s="124"/>
      <c r="V69" s="29"/>
    </row>
    <row r="70" spans="1:22" s="102" customFormat="1">
      <c r="A70" s="189"/>
      <c r="B70" s="189"/>
      <c r="C70" s="211"/>
      <c r="D70" s="105"/>
      <c r="E70" s="105"/>
      <c r="F70" s="210"/>
      <c r="G70" s="191"/>
      <c r="H70" s="191"/>
      <c r="I70" s="191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04"/>
      <c r="V70" s="189"/>
    </row>
    <row r="71" spans="1:22">
      <c r="A71" s="29"/>
      <c r="B71" s="29"/>
      <c r="C71" s="211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193"/>
      <c r="K71" s="193"/>
      <c r="L71" s="193"/>
      <c r="M71" s="193"/>
      <c r="N71" s="193">
        <v>0</v>
      </c>
      <c r="O71" s="193"/>
      <c r="P71" s="193"/>
      <c r="Q71" s="193"/>
      <c r="R71" s="193"/>
      <c r="S71" s="193"/>
      <c r="T71" s="193"/>
      <c r="U71" s="124"/>
      <c r="V71" s="29"/>
    </row>
    <row r="72" spans="1:22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ht="12.75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</row>
  </sheetData>
  <conditionalFormatting sqref="V37 V51:V55 V41:V45">
    <cfRule type="cellIs" dxfId="200" priority="69" operator="equal">
      <formula>"Check"</formula>
    </cfRule>
    <cfRule type="cellIs" dxfId="199" priority="70" operator="equal">
      <formula>"Ok"</formula>
    </cfRule>
  </conditionalFormatting>
  <conditionalFormatting sqref="V57">
    <cfRule type="cellIs" dxfId="198" priority="67" operator="equal">
      <formula>"Check"</formula>
    </cfRule>
    <cfRule type="cellIs" dxfId="197" priority="68" operator="equal">
      <formula>"Ok"</formula>
    </cfRule>
  </conditionalFormatting>
  <conditionalFormatting sqref="V15">
    <cfRule type="cellIs" dxfId="196" priority="65" operator="equal">
      <formula>"Check"</formula>
    </cfRule>
    <cfRule type="cellIs" dxfId="195" priority="66" operator="equal">
      <formula>"Ok"</formula>
    </cfRule>
  </conditionalFormatting>
  <conditionalFormatting sqref="V1">
    <cfRule type="cellIs" dxfId="194" priority="63" operator="equal">
      <formula>"Check"</formula>
    </cfRule>
    <cfRule type="cellIs" dxfId="193" priority="64" operator="equal">
      <formula>"Ok"</formula>
    </cfRule>
  </conditionalFormatting>
  <conditionalFormatting sqref="S1">
    <cfRule type="cellIs" dxfId="192" priority="61" operator="equal">
      <formula>"Check"</formula>
    </cfRule>
    <cfRule type="cellIs" dxfId="191" priority="62" operator="equal">
      <formula>"Ok"</formula>
    </cfRule>
  </conditionalFormatting>
  <conditionalFormatting sqref="J15:N15">
    <cfRule type="cellIs" dxfId="190" priority="60" operator="equal">
      <formula>0</formula>
    </cfRule>
  </conditionalFormatting>
  <conditionalFormatting sqref="J57:N57">
    <cfRule type="cellIs" dxfId="189" priority="59" operator="equal">
      <formula>0</formula>
    </cfRule>
  </conditionalFormatting>
  <conditionalFormatting sqref="V48:V50">
    <cfRule type="cellIs" dxfId="188" priority="57" operator="equal">
      <formula>"Check"</formula>
    </cfRule>
    <cfRule type="cellIs" dxfId="187" priority="58" operator="equal">
      <formula>"Ok"</formula>
    </cfRule>
  </conditionalFormatting>
  <conditionalFormatting sqref="J33:N33 N37 J54:J55 M51:N51 J52:M52 J42:N45 N41">
    <cfRule type="expression" dxfId="186" priority="55">
      <formula>J$34=J$4</formula>
    </cfRule>
  </conditionalFormatting>
  <conditionalFormatting sqref="J21:N27 O13">
    <cfRule type="expression" dxfId="185" priority="54">
      <formula>J$10=J$4</formula>
    </cfRule>
  </conditionalFormatting>
  <conditionalFormatting sqref="M37:N37">
    <cfRule type="expression" dxfId="184" priority="51">
      <formula>M$10=M$4</formula>
    </cfRule>
  </conditionalFormatting>
  <conditionalFormatting sqref="V47">
    <cfRule type="cellIs" dxfId="183" priority="49" operator="equal">
      <formula>"Check"</formula>
    </cfRule>
    <cfRule type="cellIs" dxfId="182" priority="50" operator="equal">
      <formula>"Ok"</formula>
    </cfRule>
  </conditionalFormatting>
  <conditionalFormatting sqref="J47:N47">
    <cfRule type="cellIs" dxfId="181" priority="47" operator="equal">
      <formula>0</formula>
    </cfRule>
  </conditionalFormatting>
  <conditionalFormatting sqref="J63:N67 J69:T69 J71:T71">
    <cfRule type="expression" dxfId="180" priority="46">
      <formula>J$61=J$4</formula>
    </cfRule>
  </conditionalFormatting>
  <conditionalFormatting sqref="V29">
    <cfRule type="cellIs" dxfId="179" priority="42" operator="equal">
      <formula>"Check"</formula>
    </cfRule>
    <cfRule type="cellIs" dxfId="178" priority="43" operator="equal">
      <formula>"Ok"</formula>
    </cfRule>
  </conditionalFormatting>
  <conditionalFormatting sqref="J29:N29">
    <cfRule type="cellIs" dxfId="177" priority="41" operator="equal">
      <formula>0</formula>
    </cfRule>
  </conditionalFormatting>
  <conditionalFormatting sqref="T1">
    <cfRule type="cellIs" dxfId="176" priority="34" operator="equal">
      <formula>"Check"</formula>
    </cfRule>
    <cfRule type="cellIs" dxfId="175" priority="35" operator="equal">
      <formula>"Ok"</formula>
    </cfRule>
  </conditionalFormatting>
  <conditionalFormatting sqref="O57:T57">
    <cfRule type="cellIs" dxfId="174" priority="16" operator="equal">
      <formula>0</formula>
    </cfRule>
  </conditionalFormatting>
  <conditionalFormatting sqref="O37:T37">
    <cfRule type="expression" dxfId="173" priority="13">
      <formula>O$10=O$4</formula>
    </cfRule>
  </conditionalFormatting>
  <conditionalFormatting sqref="O47:T47">
    <cfRule type="cellIs" dxfId="172" priority="12" operator="equal">
      <formula>0</formula>
    </cfRule>
  </conditionalFormatting>
  <conditionalFormatting sqref="O63:T67">
    <cfRule type="expression" dxfId="171" priority="11">
      <formula>O$61=O$4</formula>
    </cfRule>
  </conditionalFormatting>
  <conditionalFormatting sqref="O29:T29">
    <cfRule type="cellIs" dxfId="170" priority="10" operator="equal">
      <formula>0</formula>
    </cfRule>
  </conditionalFormatting>
  <conditionalFormatting sqref="O15:T15">
    <cfRule type="cellIs" dxfId="169" priority="17" operator="equal">
      <formula>0</formula>
    </cfRule>
  </conditionalFormatting>
  <conditionalFormatting sqref="O41:T45 O33:T33 O37:T37 O51:T51 O54:T55 P52:T53">
    <cfRule type="expression" dxfId="168" priority="15">
      <formula>O$34=O$4</formula>
    </cfRule>
  </conditionalFormatting>
  <conditionalFormatting sqref="P13:T13 O20:T27 P19:T19">
    <cfRule type="expression" dxfId="167" priority="14">
      <formula>O$10=O$4</formula>
    </cfRule>
  </conditionalFormatting>
  <conditionalFormatting sqref="O19">
    <cfRule type="expression" dxfId="166" priority="9">
      <formula>O$10=O$4</formula>
    </cfRule>
  </conditionalFormatting>
  <conditionalFormatting sqref="J53 O52:O53 K53:N55 N52">
    <cfRule type="expression" dxfId="165" priority="8">
      <formula>J$34=J$4</formula>
    </cfRule>
  </conditionalFormatting>
  <conditionalFormatting sqref="J13:N13">
    <cfRule type="expression" dxfId="164" priority="7">
      <formula>J$10=J$4</formula>
    </cfRule>
  </conditionalFormatting>
  <conditionalFormatting sqref="J19:N19">
    <cfRule type="expression" dxfId="163" priority="6">
      <formula>J$10=J$4</formula>
    </cfRule>
  </conditionalFormatting>
  <conditionalFormatting sqref="J20:N20">
    <cfRule type="expression" dxfId="162" priority="5">
      <formula>J$10=J$4</formula>
    </cfRule>
  </conditionalFormatting>
  <conditionalFormatting sqref="J37:L37">
    <cfRule type="expression" dxfId="161" priority="4">
      <formula>J$10=J$4</formula>
    </cfRule>
  </conditionalFormatting>
  <conditionalFormatting sqref="J51:L51">
    <cfRule type="expression" dxfId="160" priority="2">
      <formula>J$34=J$4</formula>
    </cfRule>
  </conditionalFormatting>
  <conditionalFormatting sqref="J41:M41">
    <cfRule type="expression" dxfId="159" priority="1">
      <formula>J$34=J$4</formula>
    </cfRule>
  </conditionalFormatting>
  <dataValidations count="1">
    <dataValidation type="list" allowBlank="1" showInputMessage="1" showErrorMessage="1" sqref="J33:T33" xr:uid="{00000000-0002-0000-0300-000000000000}">
      <formula1>"Actual,Estimate"</formula1>
    </dataValidation>
  </dataValidations>
  <hyperlinks>
    <hyperlink ref="J1" location="Index!A1" display="Back to Index" xr:uid="{00000000-0004-0000-0300-000000000000}"/>
    <hyperlink ref="U1" location="'Check|List'!A1" display="Overall Check: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Y110"/>
  <sheetViews>
    <sheetView showGridLines="0" topLeftCell="A85" zoomScale="115" zoomScaleNormal="115" workbookViewId="0">
      <selection activeCell="U41" sqref="U4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33203125" style="30" customWidth="1"/>
    <col min="10" max="10" width="10.6640625" style="30" customWidth="1"/>
    <col min="11" max="24" width="10.6640625" style="29" customWidth="1"/>
    <col min="25" max="16384" width="10.5" style="29" hidden="1"/>
  </cols>
  <sheetData>
    <row r="1" spans="1:51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1" t="s">
        <v>24</v>
      </c>
      <c r="X1" s="76" t="str">
        <f>'Check|List'!$S$1</f>
        <v>Ok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>
      <c r="C3" s="81"/>
      <c r="D3" s="177"/>
      <c r="E3" s="177"/>
      <c r="F3" s="177"/>
      <c r="G3" s="177"/>
      <c r="H3" s="177"/>
      <c r="I3" s="177"/>
      <c r="J3" s="155" t="s">
        <v>119</v>
      </c>
      <c r="K3" s="219"/>
      <c r="L3" s="219"/>
      <c r="M3" s="219"/>
      <c r="N3" s="177"/>
      <c r="O3" s="219"/>
      <c r="P3" s="219"/>
      <c r="Q3" s="219"/>
      <c r="R3" s="219"/>
      <c r="S3" s="219"/>
      <c r="T3" s="219"/>
      <c r="U3" s="202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43070</v>
      </c>
      <c r="K4" s="153">
        <f>DATE(PPFirstYear,MONTH('Input|General'!$G$9),1)</f>
        <v>43435</v>
      </c>
      <c r="L4" s="153">
        <f>DATE(PPFirstYear+1,MONTH('Input|General'!$G$9),1)</f>
        <v>43800</v>
      </c>
      <c r="M4" s="153">
        <f>DATE(PPFirstYear+2,MONTH('Input|General'!$G$9),1)</f>
        <v>44166</v>
      </c>
      <c r="N4" s="153">
        <f>DATE(PPFirstYear+3,MONTH('Input|General'!$G$9),1)</f>
        <v>44531</v>
      </c>
      <c r="O4" s="153">
        <f>DATE(PPFirstYear+4,MONTH('Input|General'!$G$9),1)</f>
        <v>44896</v>
      </c>
      <c r="P4" s="153">
        <f>DATE(PPFirstYear+5,MONTH('Input|General'!$G$9),1)</f>
        <v>45261</v>
      </c>
      <c r="Q4" s="153">
        <f>DATE(PPFirstYear+6,MONTH('Input|General'!$G$9),1)</f>
        <v>45627</v>
      </c>
      <c r="R4" s="153">
        <f>DATE(PPFirstYear+7,MONTH('Input|General'!$G$9),1)</f>
        <v>45992</v>
      </c>
      <c r="S4" s="153">
        <f>DATE(PPFirstYear+8,MONTH('Input|General'!$G$9),1)</f>
        <v>46357</v>
      </c>
      <c r="T4" s="153">
        <f>DATE(PPFirstYear+9,MONTH('Input|General'!$G$9),1)</f>
        <v>46722</v>
      </c>
      <c r="U4" s="153">
        <f>DATE(PPFirstYear+10,MONTH('Input|General'!$G$9),1)</f>
        <v>47088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6">
        <f t="shared" ref="J10:T10" si="0">IF(YEAR(J$4)&lt;=PPLastYear,J$4,"")</f>
        <v>43070</v>
      </c>
      <c r="K10" s="156">
        <f t="shared" si="0"/>
        <v>43435</v>
      </c>
      <c r="L10" s="156">
        <f t="shared" si="0"/>
        <v>43800</v>
      </c>
      <c r="M10" s="156">
        <f t="shared" si="0"/>
        <v>44166</v>
      </c>
      <c r="N10" s="156">
        <f t="shared" si="0"/>
        <v>44531</v>
      </c>
      <c r="O10" s="156">
        <f t="shared" si="0"/>
        <v>44896</v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59"/>
    </row>
    <row r="11" spans="1:51" ht="11.25" customHeight="1" outlineLevel="1">
      <c r="C11" s="67"/>
      <c r="J11" s="29"/>
      <c r="P11" s="142"/>
      <c r="Q11" s="142"/>
      <c r="R11" s="142"/>
      <c r="S11" s="142"/>
      <c r="T11" s="142"/>
      <c r="U11" s="142"/>
      <c r="V11" s="120"/>
      <c r="W11" s="120"/>
      <c r="X11" s="120"/>
    </row>
    <row r="12" spans="1:51" ht="11.25" customHeight="1" outlineLevel="1">
      <c r="C12" s="111" t="s">
        <v>33</v>
      </c>
      <c r="D12" s="143" t="s">
        <v>98</v>
      </c>
      <c r="E12" s="30" t="str">
        <f>percent</f>
        <v>Per cent</v>
      </c>
      <c r="J12" s="142">
        <f>IF(J10=J4,LOOKUP(EOMONTH(J4,0),'Input|Inflation'!$C$9:$C$84,'Input|Inflation'!$G$9:$G$84),"")</f>
        <v>1.9090909090909047E-2</v>
      </c>
      <c r="K12" s="142">
        <f>IF(K10=K4,LOOKUP(EOMONTH(K4,0),'Input|Inflation'!$C$9:$C$84,'Input|Inflation'!$G$9:$G$84),"")</f>
        <v>1.7841213202497874E-2</v>
      </c>
      <c r="L12" s="142">
        <f>IF(L10=L4,LOOKUP(EOMONTH(L4,0),'Input|Inflation'!$C$9:$C$84,'Input|Inflation'!$G$9:$G$84),"")</f>
        <v>1.8404907975460238E-2</v>
      </c>
      <c r="M12" s="142">
        <f>IF(M10=M4,LOOKUP(EOMONTH(M4,0),'Input|Inflation'!$C$9:$C$84,'Input|Inflation'!$G$9:$G$84),"")</f>
        <v>8.6058519793459354E-3</v>
      </c>
      <c r="N12" s="142">
        <f>IF(N10=N4,LOOKUP(EOMONTH(N4,0),'Input|Inflation'!$C$9:$C$84,'Input|Inflation'!$G$9:$G$84),"")</f>
        <v>3.4982935153583528E-2</v>
      </c>
      <c r="O12" s="142">
        <f>IF(O10=O4,LOOKUP(EOMONTH(O4,0),'Input|Inflation'!$C$9:$C$84,'Input|Inflation'!$G$9:$G$84),"")</f>
        <v>5.8999999999999941E-2</v>
      </c>
      <c r="P12" s="142" t="str">
        <f>IF(P10=P4,LOOKUP(EOMONTH(P4,0),'Input|Inflation'!$C$9:$C$84,'Input|Inflation'!$G$9:$G$84),"")</f>
        <v/>
      </c>
      <c r="Q12" s="142" t="str">
        <f>IF(Q10=Q4,LOOKUP(EOMONTH(Q4,0),'Input|Inflation'!$C$9:$C$84,'Input|Inflation'!$G$9:$G$84),"")</f>
        <v/>
      </c>
      <c r="R12" s="142" t="str">
        <f>IF(R10=R4,LOOKUP(EOMONTH(R4,0),'Input|Inflation'!$C$9:$C$84,'Input|Inflation'!$G$9:$G$84),"")</f>
        <v/>
      </c>
      <c r="S12" s="142" t="str">
        <f>IF(S10=S4,LOOKUP(EOMONTH(S4,0),'Input|Inflation'!$C$9:$C$84,'Input|Inflation'!$G$9:$G$84),"")</f>
        <v/>
      </c>
      <c r="T12" s="142" t="str">
        <f>IF(T10=T4,LOOKUP(EOMONTH(T4,0),'Input|Inflation'!$C$9:$C$84,'Input|Inflation'!$G$9:$G$84),"")</f>
        <v/>
      </c>
      <c r="U12" s="142"/>
      <c r="V12" s="144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6">
        <f t="shared" ref="J14:T14" si="1">IF(YEAR(J$4)&lt;=PPLastYear,J$4,"")</f>
        <v>43070</v>
      </c>
      <c r="K14" s="156">
        <f t="shared" si="1"/>
        <v>43435</v>
      </c>
      <c r="L14" s="156">
        <f t="shared" si="1"/>
        <v>43800</v>
      </c>
      <c r="M14" s="156">
        <f t="shared" si="1"/>
        <v>44166</v>
      </c>
      <c r="N14" s="156">
        <f t="shared" si="1"/>
        <v>44531</v>
      </c>
      <c r="O14" s="156">
        <f t="shared" si="1"/>
        <v>44896</v>
      </c>
      <c r="P14" s="156" t="str">
        <f t="shared" si="1"/>
        <v/>
      </c>
      <c r="Q14" s="156" t="str">
        <f t="shared" si="1"/>
        <v/>
      </c>
      <c r="R14" s="156" t="str">
        <f t="shared" si="1"/>
        <v/>
      </c>
      <c r="S14" s="156" t="str">
        <f t="shared" si="1"/>
        <v/>
      </c>
      <c r="T14" s="156" t="str">
        <f t="shared" si="1"/>
        <v/>
      </c>
      <c r="U14" s="159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2">
        <f t="array" ref="C16:C22">TRANSPOSE(J10:P10)</f>
        <v>43070</v>
      </c>
      <c r="D16" s="143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1.0178412132024979</v>
      </c>
      <c r="L16" s="22">
        <f t="shared" si="3"/>
        <v>1.0365744870651206</v>
      </c>
      <c r="M16" s="22">
        <f t="shared" si="3"/>
        <v>1.0454950936663694</v>
      </c>
      <c r="N16" s="22">
        <f t="shared" si="3"/>
        <v>1.0820695807314897</v>
      </c>
      <c r="O16" s="22">
        <f t="shared" ref="O16:P16" si="4">IF(AND($C16&gt;O$14,ISNONTEXT($C16)),P16/(1+O$12),IF(AND($C16=O$14,O$14=O$4),1,IF(AND($C16&lt;O$14,O$14=O$4),N16*(1+O$12),0)))</f>
        <v>1.1459116859946477</v>
      </c>
      <c r="P16" s="22">
        <f t="shared" si="4"/>
        <v>0</v>
      </c>
      <c r="Q16" s="198"/>
      <c r="R16" s="198"/>
      <c r="S16" s="198"/>
      <c r="T16" s="198"/>
      <c r="U16" s="198"/>
    </row>
    <row r="17" spans="3:23" ht="11.25" customHeight="1" outlineLevel="1">
      <c r="C17" s="162">
        <v>43435</v>
      </c>
      <c r="D17" s="143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0.98247151621384743</v>
      </c>
      <c r="K17" s="22">
        <f t="shared" si="6"/>
        <v>1</v>
      </c>
      <c r="L17" s="22">
        <f t="shared" si="6"/>
        <v>1.0184049079754602</v>
      </c>
      <c r="M17" s="22">
        <f t="shared" si="6"/>
        <v>1.0271691498685365</v>
      </c>
      <c r="N17" s="22">
        <f t="shared" si="6"/>
        <v>1.0631025416301489</v>
      </c>
      <c r="O17" s="22">
        <f t="shared" ref="O17:P17" si="7">IF(AND($C17&gt;O$14,ISNONTEXT($C17)),P17/(1+O$12),IF(AND($C17=O$14,O$14=O$4),1,IF(AND($C17&lt;O$14,O$14=O$4),N17*(1+O$12),0)))</f>
        <v>1.1258255915863278</v>
      </c>
      <c r="P17" s="22">
        <f t="shared" si="7"/>
        <v>0</v>
      </c>
      <c r="Q17" s="198"/>
      <c r="R17" s="198"/>
      <c r="S17" s="198"/>
      <c r="T17" s="198"/>
      <c r="U17" s="198"/>
    </row>
    <row r="18" spans="3:23" ht="11.25" customHeight="1" outlineLevel="1">
      <c r="C18" s="162">
        <v>43800</v>
      </c>
      <c r="D18" s="143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0.9647160068846814</v>
      </c>
      <c r="K18" s="22">
        <f t="shared" si="8"/>
        <v>0.98192771084337338</v>
      </c>
      <c r="L18" s="22">
        <f t="shared" si="8"/>
        <v>1</v>
      </c>
      <c r="M18" s="22">
        <f t="shared" si="8"/>
        <v>1.0086058519793459</v>
      </c>
      <c r="N18" s="22">
        <f t="shared" si="8"/>
        <v>1.0438898450946643</v>
      </c>
      <c r="O18" s="22">
        <f t="shared" ref="O18:P18" si="9">IF(AND($C18&gt;O$14,ISNONTEXT($C18)),P18/(1+O$12),IF(AND($C18=O$14,O$14=O$4),1,IF(AND($C18&lt;O$14,O$14=O$4),N18*(1+O$12),0)))</f>
        <v>1.1054793459552494</v>
      </c>
      <c r="P18" s="22">
        <f t="shared" si="9"/>
        <v>0</v>
      </c>
      <c r="Q18" s="198"/>
      <c r="R18" s="198"/>
      <c r="S18" s="198"/>
      <c r="T18" s="198"/>
      <c r="U18" s="198"/>
    </row>
    <row r="19" spans="3:23" ht="11.25" customHeight="1" outlineLevel="1">
      <c r="C19" s="162">
        <v>44166</v>
      </c>
      <c r="D19" s="143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0.956484641638225</v>
      </c>
      <c r="K19" s="22">
        <f t="shared" si="10"/>
        <v>0.97354948805460739</v>
      </c>
      <c r="L19" s="22">
        <f t="shared" si="10"/>
        <v>0.99146757679180886</v>
      </c>
      <c r="M19" s="22">
        <f t="shared" si="10"/>
        <v>1</v>
      </c>
      <c r="N19" s="22">
        <f t="shared" si="10"/>
        <v>1.0349829351535835</v>
      </c>
      <c r="O19" s="22">
        <f t="shared" ref="O19:P19" si="11">IF(AND($C19&gt;O$14,ISNONTEXT($C19)),P19/(1+O$12),IF(AND($C19=O$14,O$14=O$4),1,IF(AND($C19&lt;O$14,O$14=O$4),N19*(1+O$12),0)))</f>
        <v>1.0960469283276448</v>
      </c>
      <c r="P19" s="22">
        <f t="shared" si="11"/>
        <v>0</v>
      </c>
      <c r="Q19" s="198"/>
      <c r="R19" s="198"/>
      <c r="S19" s="198"/>
      <c r="T19" s="198"/>
      <c r="U19" s="198"/>
    </row>
    <row r="20" spans="3:23" ht="11.25" customHeight="1" outlineLevel="1">
      <c r="C20" s="162">
        <v>44531</v>
      </c>
      <c r="D20" s="143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N20" si="12">IF(AND($C20&gt;K$14,ISNONTEXT($C20)),L20/(1+L$12),IF(AND($C20=K$14,K$14=K$4),1,IF(AND($C20&lt;K$14,K$14=K$4),J20*(1+K$12),0)))</f>
        <v>0.94064303380049463</v>
      </c>
      <c r="L20" s="22">
        <f t="shared" si="12"/>
        <v>0.95795548227535043</v>
      </c>
      <c r="M20" s="22">
        <f t="shared" si="12"/>
        <v>0.9661995053586151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1.0589999999999999</v>
      </c>
      <c r="P20" s="22">
        <f t="shared" si="13"/>
        <v>0</v>
      </c>
      <c r="Q20" s="198"/>
      <c r="R20" s="198"/>
      <c r="S20" s="198"/>
      <c r="T20" s="198"/>
      <c r="U20" s="198"/>
    </row>
    <row r="21" spans="3:23" ht="11.25" customHeight="1" outlineLevel="1">
      <c r="C21" s="162">
        <v>44896</v>
      </c>
      <c r="D21" s="143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0.8726675992766435</v>
      </c>
      <c r="K21" s="22">
        <f t="shared" ref="K21:K22" si="14">IF(AND($C21&gt;K$14,ISNONTEXT($C21)),L21/(1+L$12),IF(AND($C21=K$14,K$14=K$4),1,IF(AND($C21&lt;K$14,K$14=K$4),J21*(1+K$12),0)))</f>
        <v>0.88823704797025005</v>
      </c>
      <c r="L21" s="22">
        <f t="shared" ref="L21:L22" si="15">IF(AND($C21&gt;L$14,ISNONTEXT($C21)),M21/(1+M$12),IF(AND($C21=L$14,L$14=L$4),1,IF(AND($C21&lt;L$14,L$14=L$4),K21*(1+L$12),0)))</f>
        <v>0.90458496909853692</v>
      </c>
      <c r="M21" s="22">
        <f t="shared" ref="M21:M22" si="16">IF(AND($C21&gt;M$14,ISNONTEXT($C21)),N21/(1+N$12),IF(AND($C21=M$14,M$14=M$4),1,IF(AND($C21&lt;M$14,M$14=M$4),L21*(1+M$12),0)))</f>
        <v>0.91236969344534014</v>
      </c>
      <c r="N21" s="22">
        <f t="shared" ref="N21:N22" si="17">IF(AND($C21&gt;N$14,ISNONTEXT($C21)),O21/(1+O$12),IF(AND($C21=N$14,N$14=N$4),1,IF(AND($C21&lt;N$14,N$14=N$4),M21*(1+N$12),0)))</f>
        <v>0.94428706326723333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198"/>
      <c r="R21" s="198"/>
      <c r="S21" s="198"/>
      <c r="T21" s="198"/>
      <c r="U21" s="198"/>
    </row>
    <row r="22" spans="3:23" ht="11.25" customHeight="1" outlineLevel="1">
      <c r="C22" s="162" t="str">
        <v/>
      </c>
      <c r="D22" s="143" t="str">
        <f>IF(ISNONTEXT($C22),"calculated","")</f>
        <v/>
      </c>
      <c r="E22" s="30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198"/>
      <c r="R22" s="198"/>
      <c r="S22" s="198"/>
      <c r="T22" s="198"/>
      <c r="U22" s="198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6">
        <f t="shared" ref="J24:T24" si="20">IF(YEAR(J$4)&lt;=PPLastYear,J$4,"")</f>
        <v>43070</v>
      </c>
      <c r="K24" s="156">
        <f t="shared" si="20"/>
        <v>43435</v>
      </c>
      <c r="L24" s="156">
        <f t="shared" si="20"/>
        <v>43800</v>
      </c>
      <c r="M24" s="156">
        <f t="shared" si="20"/>
        <v>44166</v>
      </c>
      <c r="N24" s="156">
        <f t="shared" si="20"/>
        <v>44531</v>
      </c>
      <c r="O24" s="156">
        <f t="shared" si="20"/>
        <v>44896</v>
      </c>
      <c r="P24" s="156" t="str">
        <f t="shared" si="20"/>
        <v/>
      </c>
      <c r="Q24" s="156" t="str">
        <f t="shared" si="20"/>
        <v/>
      </c>
      <c r="R24" s="156" t="str">
        <f t="shared" si="20"/>
        <v/>
      </c>
      <c r="S24" s="156" t="str">
        <f t="shared" si="20"/>
        <v/>
      </c>
      <c r="T24" s="156" t="str">
        <f t="shared" si="20"/>
        <v/>
      </c>
      <c r="U24" s="159"/>
    </row>
    <row r="25" spans="3:23" ht="11.25" customHeight="1" outlineLevel="1">
      <c r="C25" s="111"/>
      <c r="J25" s="29"/>
      <c r="P25" s="141"/>
      <c r="Q25" s="22"/>
      <c r="R25" s="22"/>
      <c r="S25" s="22"/>
      <c r="T25" s="22"/>
      <c r="U25" s="22"/>
    </row>
    <row r="26" spans="3:23" ht="11.25" customHeight="1" outlineLevel="1">
      <c r="C26" s="162">
        <f t="array" ref="C26:C32">TRANSPOSE(J10:P10)</f>
        <v>43070</v>
      </c>
      <c r="D26" s="143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22">IF(AND(K$24=K$4,ISNONTEXT($C26)),1/K16*(1+K$12)^0.5,0)</f>
        <v>0.99119701180635511</v>
      </c>
      <c r="L26" s="22">
        <f t="shared" si="22"/>
        <v>0.97355328462275847</v>
      </c>
      <c r="M26" s="22">
        <f t="shared" si="22"/>
        <v>0.96059150742016974</v>
      </c>
      <c r="N26" s="22">
        <f t="shared" si="22"/>
        <v>0.94018086141191581</v>
      </c>
      <c r="O26" s="22">
        <f t="shared" si="22"/>
        <v>0.89804237896552996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5"/>
      <c r="W26" s="145"/>
    </row>
    <row r="27" spans="3:23" ht="11.25" customHeight="1" outlineLevel="1">
      <c r="C27" s="162">
        <v>43435</v>
      </c>
      <c r="D27" s="143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1.0275110369962634</v>
      </c>
      <c r="K27" s="22">
        <f t="shared" si="24"/>
        <v>1.0088811690196711</v>
      </c>
      <c r="L27" s="22">
        <f t="shared" si="24"/>
        <v>0.99092265633770504</v>
      </c>
      <c r="M27" s="22">
        <f t="shared" si="24"/>
        <v>0.97772962530456164</v>
      </c>
      <c r="N27" s="22">
        <f t="shared" si="24"/>
        <v>0.95695482860927372</v>
      </c>
      <c r="O27" s="22">
        <f t="shared" si="24"/>
        <v>0.91406454451353236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5"/>
      <c r="W27" s="145"/>
    </row>
    <row r="28" spans="3:23" ht="11.25" customHeight="1" outlineLevel="1">
      <c r="C28" s="162">
        <v>43800</v>
      </c>
      <c r="D28" s="143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1.0464222830759493</v>
      </c>
      <c r="K28" s="22">
        <f t="shared" si="25"/>
        <v>1.0274495340936529</v>
      </c>
      <c r="L28" s="22">
        <f t="shared" si="25"/>
        <v>1.0091604966383991</v>
      </c>
      <c r="M28" s="22">
        <f t="shared" si="25"/>
        <v>0.99572464908317337</v>
      </c>
      <c r="N28" s="22">
        <f t="shared" si="25"/>
        <v>0.97456749416649968</v>
      </c>
      <c r="O28" s="22">
        <f t="shared" si="25"/>
        <v>0.93088781833893486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5"/>
      <c r="W28" s="145"/>
    </row>
    <row r="29" spans="3:23" ht="11.25" customHeight="1" outlineLevel="1">
      <c r="C29" s="162">
        <v>44166</v>
      </c>
      <c r="D29" s="143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1.0554276383519903</v>
      </c>
      <c r="K29" s="22">
        <f t="shared" si="26"/>
        <v>1.0362916127003108</v>
      </c>
      <c r="L29" s="22">
        <f t="shared" si="26"/>
        <v>1.0178451824958725</v>
      </c>
      <c r="M29" s="22">
        <f t="shared" si="26"/>
        <v>1.0042937080253693</v>
      </c>
      <c r="N29" s="22">
        <f t="shared" si="26"/>
        <v>0.98295447776517875</v>
      </c>
      <c r="O29" s="22">
        <f t="shared" si="26"/>
        <v>0.93889890111293617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5"/>
      <c r="W29" s="145"/>
    </row>
    <row r="30" spans="3:23" ht="11.25" customHeight="1" outlineLevel="1">
      <c r="C30" s="162">
        <v>44531</v>
      </c>
      <c r="D30" s="143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1.0923495949837576</v>
      </c>
      <c r="K30" s="22">
        <f t="shared" si="27"/>
        <v>1.0725441349876081</v>
      </c>
      <c r="L30" s="22">
        <f t="shared" si="27"/>
        <v>1.0534523945115131</v>
      </c>
      <c r="M30" s="22">
        <f t="shared" si="27"/>
        <v>1.0394268496883727</v>
      </c>
      <c r="N30" s="22">
        <f t="shared" si="27"/>
        <v>1.0173411105197625</v>
      </c>
      <c r="O30" s="22">
        <f t="shared" si="27"/>
        <v>0.97174434048634073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5"/>
      <c r="W30" s="145"/>
    </row>
    <row r="31" spans="3:23" ht="11.25" customHeight="1" outlineLevel="1">
      <c r="C31" s="162">
        <v>44896</v>
      </c>
      <c r="D31" s="143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1.156798221087799</v>
      </c>
      <c r="K31" s="22">
        <f t="shared" si="28"/>
        <v>1.1358242389518769</v>
      </c>
      <c r="L31" s="22">
        <f t="shared" si="28"/>
        <v>1.1156060857876919</v>
      </c>
      <c r="M31" s="22">
        <f t="shared" si="28"/>
        <v>1.1007530338199867</v>
      </c>
      <c r="N31" s="22">
        <f t="shared" si="28"/>
        <v>1.0773642360404285</v>
      </c>
      <c r="O31" s="22">
        <f t="shared" si="28"/>
        <v>1.0290772565750348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5"/>
      <c r="W31" s="145"/>
    </row>
    <row r="32" spans="3:23" ht="11.25" customHeight="1" outlineLevel="1">
      <c r="C32" s="162" t="str">
        <v/>
      </c>
      <c r="D32" s="143" t="str">
        <f t="shared" si="21"/>
        <v/>
      </c>
      <c r="E32" s="30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5"/>
      <c r="W32" s="145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2.75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59" t="str">
        <f t="shared" ref="J36:U36" si="29">IF(YEAR(J$4)&gt;=FPFirstYear,IF(YEAR(J$4)&lt;=FPLastYear,J$4,""),"")</f>
        <v/>
      </c>
      <c r="K36" s="159" t="str">
        <f t="shared" si="29"/>
        <v/>
      </c>
      <c r="L36" s="159" t="str">
        <f t="shared" si="29"/>
        <v/>
      </c>
      <c r="M36" s="159" t="str">
        <f t="shared" si="29"/>
        <v/>
      </c>
      <c r="N36" s="159" t="str">
        <f t="shared" si="29"/>
        <v/>
      </c>
      <c r="O36" s="159" t="str">
        <f t="shared" si="29"/>
        <v/>
      </c>
      <c r="P36" s="159">
        <f t="shared" si="29"/>
        <v>45261</v>
      </c>
      <c r="Q36" s="159">
        <f t="shared" si="29"/>
        <v>45627</v>
      </c>
      <c r="R36" s="159">
        <f t="shared" si="29"/>
        <v>45992</v>
      </c>
      <c r="S36" s="159">
        <f t="shared" si="29"/>
        <v>46357</v>
      </c>
      <c r="T36" s="159">
        <f t="shared" si="29"/>
        <v>46722</v>
      </c>
      <c r="U36" s="159" t="str">
        <f t="shared" si="29"/>
        <v/>
      </c>
    </row>
    <row r="37" spans="1:51" ht="11.25" customHeight="1" outlineLevel="1">
      <c r="J37" s="110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51" ht="11.25" customHeight="1" outlineLevel="1">
      <c r="C38" s="61" t="s">
        <v>209</v>
      </c>
      <c r="D38" s="30" t="s">
        <v>101</v>
      </c>
      <c r="E38" s="30" t="str">
        <f t="shared" ref="E38:E45" si="30">percent</f>
        <v>Per cent</v>
      </c>
      <c r="J38" s="194"/>
      <c r="K38" s="150"/>
      <c r="L38" s="150"/>
      <c r="M38" s="150"/>
      <c r="N38" s="150"/>
      <c r="O38" s="150"/>
      <c r="P38" s="207">
        <v>-4.2819070653411506E-3</v>
      </c>
      <c r="Q38" s="207">
        <v>1.0180472645118233E-3</v>
      </c>
      <c r="R38" s="207">
        <v>9.2114756003280895E-4</v>
      </c>
      <c r="S38" s="207">
        <v>2.594503471293752E-3</v>
      </c>
      <c r="T38" s="207">
        <v>3.7377844890331691E-3</v>
      </c>
    </row>
    <row r="39" spans="1:51" ht="11.25" customHeight="1" outlineLevel="1">
      <c r="C39" s="61" t="s">
        <v>210</v>
      </c>
      <c r="D39" s="30" t="s">
        <v>101</v>
      </c>
      <c r="E39" s="30" t="str">
        <f t="shared" si="30"/>
        <v>Per cent</v>
      </c>
      <c r="J39" s="194"/>
      <c r="K39" s="150"/>
      <c r="L39" s="150"/>
      <c r="M39" s="150"/>
      <c r="N39" s="150"/>
      <c r="O39" s="150"/>
      <c r="P39" s="207">
        <v>5.0000000000000001E-3</v>
      </c>
      <c r="Q39" s="207">
        <v>5.0000000000000001E-3</v>
      </c>
      <c r="R39" s="207">
        <v>5.0000000000000001E-3</v>
      </c>
      <c r="S39" s="207">
        <v>3.0000000000000001E-3</v>
      </c>
      <c r="T39" s="207">
        <v>0</v>
      </c>
    </row>
    <row r="40" spans="1:51" ht="11.25" customHeight="1" outlineLevel="1">
      <c r="C40" s="61" t="s">
        <v>211</v>
      </c>
      <c r="D40" s="30" t="s">
        <v>101</v>
      </c>
      <c r="E40" s="30" t="str">
        <f t="shared" si="30"/>
        <v>Per cent</v>
      </c>
      <c r="J40" s="194"/>
      <c r="K40" s="150"/>
      <c r="L40" s="150"/>
      <c r="M40" s="150"/>
      <c r="N40" s="150"/>
      <c r="O40" s="150"/>
      <c r="P40" s="207">
        <f>P39+P38</f>
        <v>7.1809293465884948E-4</v>
      </c>
      <c r="Q40" s="207">
        <f t="shared" ref="Q40:T40" si="31">Q39+Q38</f>
        <v>6.0180472645118234E-3</v>
      </c>
      <c r="R40" s="207">
        <f t="shared" si="31"/>
        <v>5.9211475600328091E-3</v>
      </c>
      <c r="S40" s="207">
        <f t="shared" si="31"/>
        <v>5.5945034712937521E-3</v>
      </c>
      <c r="T40" s="207">
        <f t="shared" si="31"/>
        <v>3.7377844890331691E-3</v>
      </c>
    </row>
    <row r="41" spans="1:51" ht="11.25" customHeight="1" outlineLevel="1">
      <c r="C41" s="216" t="s">
        <v>215</v>
      </c>
      <c r="D41" s="30" t="s">
        <v>101</v>
      </c>
      <c r="E41" s="30" t="str">
        <f t="shared" si="30"/>
        <v>Per cent</v>
      </c>
      <c r="J41" s="194"/>
      <c r="K41" s="150"/>
      <c r="L41" s="150"/>
      <c r="M41" s="150"/>
      <c r="N41" s="150"/>
      <c r="O41" s="150"/>
      <c r="P41" s="207">
        <f>AVERAGE(0.6%,0.4%)</f>
        <v>5.0000000000000001E-3</v>
      </c>
      <c r="Q41" s="207">
        <f>AVERAGE(0.4%,0.9%)</f>
        <v>6.5000000000000006E-3</v>
      </c>
      <c r="R41" s="207">
        <f>AVERAGE(0.9%,1%)</f>
        <v>9.5000000000000015E-3</v>
      </c>
      <c r="S41" s="207">
        <f>AVERAGE(1%,1%)</f>
        <v>0.01</v>
      </c>
      <c r="T41" s="207">
        <v>0.01</v>
      </c>
      <c r="U41" s="206"/>
      <c r="V41" s="146"/>
    </row>
    <row r="42" spans="1:51" ht="11.25" customHeight="1" outlineLevel="1">
      <c r="C42" s="216" t="s">
        <v>212</v>
      </c>
      <c r="D42" s="30" t="s">
        <v>101</v>
      </c>
      <c r="E42" s="30" t="str">
        <f t="shared" si="30"/>
        <v>Per cent</v>
      </c>
      <c r="J42" s="194"/>
      <c r="K42" s="150"/>
      <c r="L42" s="150"/>
      <c r="M42" s="150"/>
      <c r="N42" s="150"/>
      <c r="O42" s="150"/>
      <c r="P42" s="207">
        <f>P41+P39</f>
        <v>0.01</v>
      </c>
      <c r="Q42" s="207">
        <f t="shared" ref="Q42:T42" si="32">Q41+Q39</f>
        <v>1.15E-2</v>
      </c>
      <c r="R42" s="207">
        <f t="shared" si="32"/>
        <v>1.4500000000000002E-2</v>
      </c>
      <c r="S42" s="207">
        <f t="shared" si="32"/>
        <v>1.3000000000000001E-2</v>
      </c>
      <c r="T42" s="207">
        <f t="shared" si="32"/>
        <v>0.01</v>
      </c>
      <c r="U42" s="206"/>
    </row>
    <row r="43" spans="1:51" ht="11.25" customHeight="1" outlineLevel="1">
      <c r="C43" s="61" t="s">
        <v>213</v>
      </c>
      <c r="D43" s="30" t="s">
        <v>101</v>
      </c>
      <c r="E43" s="30" t="str">
        <f t="shared" si="30"/>
        <v>Per cent</v>
      </c>
      <c r="J43" s="194"/>
      <c r="K43" s="150"/>
      <c r="L43" s="150"/>
      <c r="M43" s="150"/>
      <c r="N43" s="150"/>
      <c r="O43" s="150"/>
      <c r="P43" s="207">
        <f>AVERAGE(P42,P40)</f>
        <v>5.3590464673294244E-3</v>
      </c>
      <c r="Q43" s="207">
        <f t="shared" ref="Q43:T43" si="33">AVERAGE(Q42,Q40)</f>
        <v>8.759023632255912E-3</v>
      </c>
      <c r="R43" s="207">
        <f t="shared" si="33"/>
        <v>1.0210573780016406E-2</v>
      </c>
      <c r="S43" s="207">
        <f t="shared" si="33"/>
        <v>9.2972517356468762E-3</v>
      </c>
      <c r="T43" s="207">
        <f t="shared" si="33"/>
        <v>6.8688922445165846E-3</v>
      </c>
      <c r="U43" s="206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194"/>
      <c r="K44" s="150"/>
      <c r="L44" s="150"/>
      <c r="M44" s="150"/>
      <c r="N44" s="150"/>
      <c r="O44" s="150"/>
      <c r="P44" s="207"/>
      <c r="Q44" s="207"/>
      <c r="R44" s="207"/>
      <c r="S44" s="207"/>
      <c r="T44" s="207"/>
      <c r="U44" s="206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194"/>
      <c r="K45" s="150"/>
      <c r="L45" s="150"/>
      <c r="M45" s="150"/>
      <c r="N45" s="150"/>
      <c r="O45" s="150"/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06"/>
    </row>
    <row r="46" spans="1:51" ht="11.25" customHeight="1" outlineLevel="1"/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1" t="str">
        <f t="shared" ref="J47:S47" si="34">IF(J36=J4,IF(COUNTA($C38:$C45)=COUNT(J38:J45),"Ok","Check"),"")</f>
        <v/>
      </c>
      <c r="K47" s="131" t="str">
        <f t="shared" si="34"/>
        <v/>
      </c>
      <c r="L47" s="131" t="str">
        <f t="shared" si="34"/>
        <v/>
      </c>
      <c r="M47" s="131" t="str">
        <f t="shared" si="34"/>
        <v/>
      </c>
      <c r="N47" s="131" t="str">
        <f t="shared" si="34"/>
        <v/>
      </c>
      <c r="O47" s="131" t="str">
        <f t="shared" si="34"/>
        <v/>
      </c>
      <c r="P47" s="131" t="str">
        <f t="shared" si="34"/>
        <v>Ok</v>
      </c>
      <c r="Q47" s="131" t="str">
        <f t="shared" si="34"/>
        <v>Ok</v>
      </c>
      <c r="R47" s="131" t="str">
        <f t="shared" si="34"/>
        <v>Ok</v>
      </c>
      <c r="S47" s="131" t="str">
        <f t="shared" si="34"/>
        <v>Ok</v>
      </c>
      <c r="T47" s="131" t="str">
        <f>IF(T36=T4,IF(COUNTA($C38:$C45)=COUNT(T38:T45),"Ok","Check"),"")</f>
        <v>Ok</v>
      </c>
      <c r="U47" s="131" t="str">
        <f>IF(U36=U4,IF(COUNTA($C38:$C45)=COUNT(U38:U45),"Ok","Check"),"")</f>
        <v/>
      </c>
      <c r="V47" s="24"/>
      <c r="X47" s="130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7" t="s">
        <v>43</v>
      </c>
      <c r="D49" s="32" t="s">
        <v>7</v>
      </c>
      <c r="E49" s="32" t="s">
        <v>8</v>
      </c>
      <c r="J49" s="159" t="str">
        <f t="shared" ref="J49:U49" si="35">IF(YEAR(J$4)&gt;=FPFirstYear,IF(YEAR(J$4)&lt;=FPLastYear,J$4,""),"")</f>
        <v/>
      </c>
      <c r="K49" s="159" t="str">
        <f t="shared" si="35"/>
        <v/>
      </c>
      <c r="L49" s="159" t="str">
        <f t="shared" si="35"/>
        <v/>
      </c>
      <c r="M49" s="159" t="str">
        <f t="shared" si="35"/>
        <v/>
      </c>
      <c r="N49" s="159" t="str">
        <f t="shared" si="35"/>
        <v/>
      </c>
      <c r="O49" s="159" t="str">
        <f t="shared" si="35"/>
        <v/>
      </c>
      <c r="P49" s="159">
        <f t="shared" si="35"/>
        <v>45261</v>
      </c>
      <c r="Q49" s="159">
        <f t="shared" si="35"/>
        <v>45627</v>
      </c>
      <c r="R49" s="159">
        <f t="shared" si="35"/>
        <v>45992</v>
      </c>
      <c r="S49" s="159">
        <f t="shared" si="35"/>
        <v>46357</v>
      </c>
      <c r="T49" s="159">
        <f t="shared" si="35"/>
        <v>46722</v>
      </c>
      <c r="U49" s="159" t="str">
        <f t="shared" si="35"/>
        <v/>
      </c>
    </row>
    <row r="50" spans="1:51" ht="11.25" customHeight="1" outlineLevel="1"/>
    <row r="51" spans="1:51" ht="11.25" customHeight="1" outlineLevel="1">
      <c r="C51" s="147" t="str">
        <f t="shared" ref="C51:C58" si="36">C38</f>
        <v>WPI - DAE</v>
      </c>
      <c r="D51" s="30" t="s">
        <v>101</v>
      </c>
      <c r="E51" s="30" t="str">
        <f t="shared" ref="E51:E58" si="37">percent</f>
        <v>Per cent</v>
      </c>
      <c r="J51" s="194"/>
      <c r="K51" s="150"/>
      <c r="L51" s="150"/>
      <c r="M51" s="150"/>
      <c r="N51" s="150"/>
      <c r="O51" s="150"/>
      <c r="P51" s="193"/>
      <c r="Q51" s="193"/>
      <c r="R51" s="193"/>
      <c r="S51" s="193"/>
      <c r="T51" s="193"/>
      <c r="U51" s="165"/>
    </row>
    <row r="52" spans="1:51" ht="11.25" customHeight="1" outlineLevel="1">
      <c r="C52" s="147" t="str">
        <f t="shared" si="36"/>
        <v>Superannuation guarantee increases</v>
      </c>
      <c r="D52" s="30" t="s">
        <v>101</v>
      </c>
      <c r="E52" s="30" t="str">
        <f t="shared" si="37"/>
        <v>Per cent</v>
      </c>
      <c r="J52" s="194"/>
      <c r="K52" s="150"/>
      <c r="L52" s="150"/>
      <c r="M52" s="150"/>
      <c r="N52" s="150"/>
      <c r="O52" s="150"/>
      <c r="P52" s="193"/>
      <c r="Q52" s="193"/>
      <c r="R52" s="193"/>
      <c r="S52" s="193"/>
      <c r="T52" s="193"/>
      <c r="U52" s="165"/>
    </row>
    <row r="53" spans="1:51" ht="11.25" customHeight="1" outlineLevel="1">
      <c r="C53" s="147" t="str">
        <f t="shared" si="36"/>
        <v>WPI - DAE + super guarantee increases</v>
      </c>
      <c r="D53" s="30" t="s">
        <v>101</v>
      </c>
      <c r="E53" s="30" t="str">
        <f t="shared" si="37"/>
        <v>Per cent</v>
      </c>
      <c r="J53" s="194"/>
      <c r="K53" s="150"/>
      <c r="L53" s="150"/>
      <c r="M53" s="150"/>
      <c r="N53" s="150"/>
      <c r="O53" s="150"/>
      <c r="P53" s="193"/>
      <c r="Q53" s="193"/>
      <c r="R53" s="193"/>
      <c r="S53" s="193"/>
      <c r="T53" s="193"/>
      <c r="U53" s="165"/>
    </row>
    <row r="54" spans="1:51" ht="11.25" customHeight="1" outlineLevel="1">
      <c r="C54" s="147" t="str">
        <f t="shared" si="36"/>
        <v>WPI - BIS Oxford</v>
      </c>
      <c r="D54" s="30" t="s">
        <v>101</v>
      </c>
      <c r="E54" s="30" t="str">
        <f t="shared" si="37"/>
        <v>Per cent</v>
      </c>
      <c r="J54" s="194"/>
      <c r="K54" s="150"/>
      <c r="L54" s="150"/>
      <c r="M54" s="150"/>
      <c r="N54" s="150"/>
      <c r="O54" s="150"/>
      <c r="P54" s="193"/>
      <c r="Q54" s="193"/>
      <c r="R54" s="193"/>
      <c r="S54" s="193"/>
      <c r="T54" s="193"/>
      <c r="U54" s="165"/>
      <c r="V54" s="146"/>
    </row>
    <row r="55" spans="1:51" ht="11.25" customHeight="1" outlineLevel="1">
      <c r="C55" s="147" t="str">
        <f t="shared" si="36"/>
        <v>WPI - BIS Oxford + super guarantee increases</v>
      </c>
      <c r="D55" s="30" t="s">
        <v>101</v>
      </c>
      <c r="E55" s="30" t="str">
        <f t="shared" si="37"/>
        <v>Per cent</v>
      </c>
      <c r="J55" s="194"/>
      <c r="K55" s="150"/>
      <c r="L55" s="150"/>
      <c r="M55" s="150"/>
      <c r="N55" s="150"/>
      <c r="O55" s="150"/>
      <c r="P55" s="193"/>
      <c r="Q55" s="193"/>
      <c r="R55" s="193"/>
      <c r="S55" s="193"/>
      <c r="T55" s="193"/>
      <c r="U55" s="165"/>
    </row>
    <row r="56" spans="1:51" ht="11.25" customHeight="1" outlineLevel="1">
      <c r="C56" s="147" t="str">
        <f t="shared" si="36"/>
        <v>Forecast labour price growth</v>
      </c>
      <c r="D56" s="30" t="s">
        <v>101</v>
      </c>
      <c r="E56" s="30" t="str">
        <f t="shared" si="37"/>
        <v>Per cent</v>
      </c>
      <c r="J56" s="194"/>
      <c r="K56" s="150"/>
      <c r="L56" s="150"/>
      <c r="M56" s="150"/>
      <c r="N56" s="150"/>
      <c r="O56" s="150"/>
      <c r="P56" s="193">
        <v>0.62079331225465317</v>
      </c>
      <c r="Q56" s="193">
        <v>0.62079331225465317</v>
      </c>
      <c r="R56" s="193">
        <v>0.62079331225465317</v>
      </c>
      <c r="S56" s="193">
        <v>0.62079331225465317</v>
      </c>
      <c r="T56" s="193">
        <v>0.62079331225465317</v>
      </c>
      <c r="U56" s="165"/>
    </row>
    <row r="57" spans="1:51" ht="11.25" customHeight="1" outlineLevel="1">
      <c r="C57" s="147">
        <f t="shared" si="36"/>
        <v>0</v>
      </c>
      <c r="D57" s="30" t="s">
        <v>101</v>
      </c>
      <c r="E57" s="30" t="str">
        <f t="shared" si="37"/>
        <v>Per cent</v>
      </c>
      <c r="J57" s="194"/>
      <c r="K57" s="150"/>
      <c r="L57" s="150"/>
      <c r="M57" s="150"/>
      <c r="N57" s="150"/>
      <c r="O57" s="150"/>
      <c r="P57" s="193"/>
      <c r="Q57" s="193"/>
      <c r="R57" s="193"/>
      <c r="S57" s="193"/>
      <c r="T57" s="193"/>
      <c r="U57" s="165"/>
    </row>
    <row r="58" spans="1:51" ht="11.25" customHeight="1" outlineLevel="1">
      <c r="C58" s="147" t="str">
        <f t="shared" si="36"/>
        <v>CPI</v>
      </c>
      <c r="D58" s="30" t="s">
        <v>101</v>
      </c>
      <c r="E58" s="30" t="str">
        <f t="shared" si="37"/>
        <v>Per cent</v>
      </c>
      <c r="J58" s="194"/>
      <c r="K58" s="150"/>
      <c r="L58" s="150"/>
      <c r="M58" s="150"/>
      <c r="N58" s="150"/>
      <c r="O58" s="150"/>
      <c r="P58" s="193">
        <v>0.37920668774534683</v>
      </c>
      <c r="Q58" s="193">
        <v>0.37920668774534683</v>
      </c>
      <c r="R58" s="193">
        <v>0.37920668774534683</v>
      </c>
      <c r="S58" s="193">
        <v>0.37920668774534683</v>
      </c>
      <c r="T58" s="193">
        <v>0.37920668774534683</v>
      </c>
      <c r="U58" s="165"/>
    </row>
    <row r="59" spans="1:51" ht="11.25" customHeight="1" outlineLevel="1"/>
    <row r="60" spans="1:51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1" t="str">
        <f t="shared" ref="J60:S60" si="38">IF(J49=J$4,IF(SUM(J51:J58)=1,"Ok","Check"),"")</f>
        <v/>
      </c>
      <c r="K60" s="131" t="str">
        <f t="shared" si="38"/>
        <v/>
      </c>
      <c r="L60" s="131" t="str">
        <f t="shared" si="38"/>
        <v/>
      </c>
      <c r="M60" s="131" t="str">
        <f t="shared" si="38"/>
        <v/>
      </c>
      <c r="N60" s="131" t="str">
        <f t="shared" si="38"/>
        <v/>
      </c>
      <c r="O60" s="131" t="str">
        <f t="shared" si="38"/>
        <v/>
      </c>
      <c r="P60" s="131" t="str">
        <f t="shared" si="38"/>
        <v>Ok</v>
      </c>
      <c r="Q60" s="131" t="str">
        <f t="shared" si="38"/>
        <v>Ok</v>
      </c>
      <c r="R60" s="131" t="str">
        <f t="shared" si="38"/>
        <v>Ok</v>
      </c>
      <c r="S60" s="131" t="str">
        <f t="shared" si="38"/>
        <v>Ok</v>
      </c>
      <c r="T60" s="131" t="str">
        <f>IF(T49=T$4,IF(SUM(T51:T58)=1,"Ok","Check"),"")</f>
        <v>Ok</v>
      </c>
      <c r="U60" s="131" t="str">
        <f>IF(U49=U$4,IF(SUM(U51:U58)=1,"Ok","Check"),"")</f>
        <v/>
      </c>
      <c r="V60" s="24"/>
      <c r="X60" s="130" t="str">
        <f>IF(COUNTIF(J60:U60,"Check")=0,"Ok","Check")</f>
        <v>Ok</v>
      </c>
    </row>
    <row r="61" spans="1:51"/>
    <row r="62" spans="1:51" s="103" customFormat="1" ht="12.75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59" t="str">
        <f t="shared" ref="J64:U64" si="39">IF(YEAR(J$4)&gt;=PPLastYear,IF(YEAR(J$4)&lt;=FPLastYear,J$4,""),"")</f>
        <v/>
      </c>
      <c r="K64" s="159" t="str">
        <f t="shared" si="39"/>
        <v/>
      </c>
      <c r="L64" s="159" t="str">
        <f t="shared" si="39"/>
        <v/>
      </c>
      <c r="M64" s="159" t="str">
        <f t="shared" si="39"/>
        <v/>
      </c>
      <c r="N64" s="159" t="str">
        <f t="shared" si="39"/>
        <v/>
      </c>
      <c r="O64" s="159">
        <f t="shared" si="39"/>
        <v>44896</v>
      </c>
      <c r="P64" s="159">
        <f t="shared" si="39"/>
        <v>45261</v>
      </c>
      <c r="Q64" s="159">
        <f t="shared" si="39"/>
        <v>45627</v>
      </c>
      <c r="R64" s="159">
        <f t="shared" si="39"/>
        <v>45992</v>
      </c>
      <c r="S64" s="159">
        <f t="shared" si="39"/>
        <v>46357</v>
      </c>
      <c r="T64" s="159">
        <f t="shared" si="39"/>
        <v>46722</v>
      </c>
      <c r="U64" s="159" t="str">
        <f t="shared" si="39"/>
        <v/>
      </c>
    </row>
    <row r="65" spans="3:24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/>
      <c r="D66" s="30" t="s">
        <v>101</v>
      </c>
      <c r="E66" s="30" t="s">
        <v>18</v>
      </c>
      <c r="F66" s="30" t="s">
        <v>36</v>
      </c>
      <c r="G66" s="32"/>
      <c r="H66" s="32"/>
      <c r="J66" s="194"/>
      <c r="K66" s="187"/>
      <c r="L66" s="187"/>
      <c r="M66" s="187"/>
      <c r="N66" s="187"/>
      <c r="O66" s="188"/>
      <c r="P66" s="188"/>
      <c r="Q66" s="188"/>
      <c r="R66" s="188"/>
      <c r="S66" s="188"/>
      <c r="T66" s="188"/>
      <c r="U66" s="188"/>
    </row>
    <row r="67" spans="3:24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194"/>
      <c r="K67" s="187"/>
      <c r="L67" s="187"/>
      <c r="M67" s="187"/>
      <c r="N67" s="187"/>
      <c r="O67" s="188"/>
      <c r="P67" s="188"/>
      <c r="Q67" s="188"/>
      <c r="R67" s="188"/>
      <c r="S67" s="188"/>
      <c r="T67" s="188"/>
      <c r="U67" s="188"/>
    </row>
    <row r="68" spans="3:24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194"/>
      <c r="K68" s="187"/>
      <c r="L68" s="187"/>
      <c r="M68" s="187"/>
      <c r="N68" s="187"/>
      <c r="O68" s="188"/>
      <c r="P68" s="188"/>
      <c r="Q68" s="188"/>
      <c r="R68" s="188"/>
      <c r="S68" s="188"/>
      <c r="T68" s="188"/>
      <c r="U68" s="188"/>
    </row>
    <row r="69" spans="3:24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194"/>
      <c r="K69" s="187"/>
      <c r="L69" s="187"/>
      <c r="M69" s="187"/>
      <c r="N69" s="187"/>
      <c r="O69" s="188"/>
      <c r="P69" s="188"/>
      <c r="Q69" s="188"/>
      <c r="R69" s="188"/>
      <c r="S69" s="188"/>
      <c r="T69" s="188"/>
      <c r="U69" s="188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194"/>
      <c r="K70" s="187"/>
      <c r="L70" s="187"/>
      <c r="M70" s="187"/>
      <c r="N70" s="187"/>
      <c r="O70" s="188"/>
      <c r="P70" s="188"/>
      <c r="Q70" s="188"/>
      <c r="R70" s="188"/>
      <c r="S70" s="188"/>
      <c r="T70" s="188"/>
      <c r="U70" s="188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194"/>
      <c r="K71" s="187"/>
      <c r="L71" s="187"/>
      <c r="M71" s="187"/>
      <c r="N71" s="187"/>
      <c r="O71" s="188"/>
      <c r="P71" s="188"/>
      <c r="Q71" s="188"/>
      <c r="R71" s="188"/>
      <c r="S71" s="188"/>
      <c r="T71" s="188"/>
      <c r="U71" s="188"/>
    </row>
    <row r="72" spans="3:24" outlineLevel="1">
      <c r="C72" s="111"/>
      <c r="G72" s="32"/>
      <c r="H72" s="32"/>
      <c r="K72" s="23"/>
      <c r="L72" s="23"/>
      <c r="M72" s="23"/>
      <c r="N72" s="23"/>
      <c r="O72" s="23"/>
    </row>
    <row r="73" spans="3:24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1" t="str">
        <f t="shared" ref="J73:S73" si="40">IF(J64=J$4,IF(COUNTA($C66:$C71)=COUNT(J66:J71),"Ok","Check"),"")</f>
        <v/>
      </c>
      <c r="K73" s="131" t="str">
        <f t="shared" si="40"/>
        <v/>
      </c>
      <c r="L73" s="131" t="str">
        <f t="shared" si="40"/>
        <v/>
      </c>
      <c r="M73" s="131" t="str">
        <f t="shared" si="40"/>
        <v/>
      </c>
      <c r="N73" s="131" t="str">
        <f t="shared" si="40"/>
        <v/>
      </c>
      <c r="O73" s="131" t="str">
        <f t="shared" si="40"/>
        <v>Ok</v>
      </c>
      <c r="P73" s="131" t="str">
        <f t="shared" si="40"/>
        <v>Ok</v>
      </c>
      <c r="Q73" s="131" t="str">
        <f t="shared" si="40"/>
        <v>Ok</v>
      </c>
      <c r="R73" s="131" t="str">
        <f t="shared" si="40"/>
        <v>Ok</v>
      </c>
      <c r="S73" s="131" t="str">
        <f t="shared" si="40"/>
        <v>Ok</v>
      </c>
      <c r="T73" s="131" t="str">
        <f>IF(T64=T$4,IF(COUNTA($C66:$C71)=COUNT(T66:T71),"Ok","Check"),"")</f>
        <v>Ok</v>
      </c>
      <c r="U73" s="131" t="str">
        <f>IF(U64=U$4,IF(COUNTA($C66:$C71)=COUNT(U66:U71),"Ok","Check"),"")</f>
        <v/>
      </c>
      <c r="V73" s="24"/>
      <c r="X73" s="130" t="str">
        <f>IF(COUNTIF(J73:U73,"Check")=0,"Ok","Check")</f>
        <v>Ok</v>
      </c>
    </row>
    <row r="74" spans="3:24" outlineLevel="1">
      <c r="C74" s="111"/>
      <c r="G74" s="32"/>
      <c r="H74" s="32"/>
      <c r="K74" s="23"/>
      <c r="L74" s="23"/>
      <c r="M74" s="23"/>
      <c r="N74" s="23"/>
      <c r="O74" s="23"/>
    </row>
    <row r="75" spans="3:24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59" t="str">
        <f t="shared" ref="J75:U75" si="41">IF(YEAR(J$4)&gt;=FPFirstYear,IF(YEAR(J$4)&lt;=FPLastYear,J$4,""),"")</f>
        <v/>
      </c>
      <c r="K75" s="159" t="str">
        <f t="shared" si="41"/>
        <v/>
      </c>
      <c r="L75" s="159" t="str">
        <f t="shared" si="41"/>
        <v/>
      </c>
      <c r="M75" s="159" t="str">
        <f t="shared" si="41"/>
        <v/>
      </c>
      <c r="N75" s="159" t="str">
        <f t="shared" si="41"/>
        <v/>
      </c>
      <c r="O75" s="159" t="str">
        <f t="shared" si="41"/>
        <v/>
      </c>
      <c r="P75" s="159">
        <f t="shared" si="41"/>
        <v>45261</v>
      </c>
      <c r="Q75" s="159">
        <f t="shared" si="41"/>
        <v>45627</v>
      </c>
      <c r="R75" s="159">
        <f t="shared" si="41"/>
        <v>45992</v>
      </c>
      <c r="S75" s="159">
        <f t="shared" si="41"/>
        <v>46357</v>
      </c>
      <c r="T75" s="159">
        <f t="shared" si="41"/>
        <v>46722</v>
      </c>
      <c r="U75" s="159" t="str">
        <f t="shared" si="41"/>
        <v/>
      </c>
      <c r="V75" s="29" t="str">
        <f>IF(RIGHT(V$4,2)&gt;=RIGHT('Input|General'!$G$13,2),IF(RIGHT(V$4,2)&lt;='Input|General'!$G$14,'Input|Reported opex'!U$4,""),"")</f>
        <v/>
      </c>
    </row>
    <row r="76" spans="3:24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7">
        <f>C66</f>
        <v>0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2">IF(ISBLANK(I66),"",IF(ISBLANK(J66),"",LN(J66)-LN(I66)))</f>
        <v/>
      </c>
      <c r="K77" s="117" t="str">
        <f t="shared" si="42"/>
        <v/>
      </c>
      <c r="L77" s="117" t="str">
        <f t="shared" si="42"/>
        <v/>
      </c>
      <c r="M77" s="117" t="str">
        <f t="shared" si="42"/>
        <v/>
      </c>
      <c r="N77" s="117" t="str">
        <f>IF(ISBLANK(M66),"",IF(ISBLANK(N66),"",LN(N66)-LN(M66)))</f>
        <v/>
      </c>
      <c r="O77" s="117" t="str">
        <f t="shared" ref="O77:U77" si="43">IF(ISBLANK(N66),"",IF(ISBLANK(O66),"",LN(O66)-LN(N66)))</f>
        <v/>
      </c>
      <c r="P77" s="117" t="str">
        <f t="shared" si="43"/>
        <v/>
      </c>
      <c r="Q77" s="117" t="str">
        <f t="shared" si="43"/>
        <v/>
      </c>
      <c r="R77" s="117" t="str">
        <f t="shared" si="43"/>
        <v/>
      </c>
      <c r="S77" s="117" t="str">
        <f t="shared" si="43"/>
        <v/>
      </c>
      <c r="T77" s="117" t="str">
        <f t="shared" si="43"/>
        <v/>
      </c>
      <c r="U77" s="117" t="str">
        <f t="shared" si="43"/>
        <v/>
      </c>
    </row>
    <row r="78" spans="3:24" outlineLevel="1">
      <c r="C78" s="147">
        <f t="shared" ref="C78:C82" si="44">C67</f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117" t="str">
        <f t="shared" si="45"/>
        <v/>
      </c>
      <c r="P78" s="117" t="str">
        <f t="shared" si="45"/>
        <v/>
      </c>
      <c r="Q78" s="117" t="str">
        <f t="shared" si="45"/>
        <v/>
      </c>
      <c r="R78" s="117" t="str">
        <f t="shared" si="45"/>
        <v/>
      </c>
      <c r="S78" s="117" t="str">
        <f t="shared" si="45"/>
        <v/>
      </c>
      <c r="T78" s="117" t="str">
        <f t="shared" si="45"/>
        <v/>
      </c>
      <c r="U78" s="117" t="str">
        <f t="shared" si="45"/>
        <v/>
      </c>
    </row>
    <row r="79" spans="3:24" outlineLevel="1">
      <c r="C79" s="147">
        <f t="shared" si="44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  <c r="U79" s="117" t="str">
        <f t="shared" si="46"/>
        <v/>
      </c>
    </row>
    <row r="80" spans="3:24" outlineLevel="1">
      <c r="C80" s="147">
        <f t="shared" si="44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  <c r="U80" s="117" t="str">
        <f t="shared" si="47"/>
        <v/>
      </c>
    </row>
    <row r="81" spans="3:24" outlineLevel="1">
      <c r="C81" s="147">
        <f t="shared" si="44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8">IF(ISBLANK(I70),"",IF(ISBLANK(J70),"",LN(J70)-LN(I70)))</f>
        <v/>
      </c>
      <c r="K81" s="117" t="str">
        <f t="shared" si="48"/>
        <v/>
      </c>
      <c r="L81" s="117" t="str">
        <f t="shared" si="48"/>
        <v/>
      </c>
      <c r="M81" s="117" t="str">
        <f t="shared" si="48"/>
        <v/>
      </c>
      <c r="N81" s="117" t="str">
        <f t="shared" si="48"/>
        <v/>
      </c>
      <c r="O81" s="117" t="str">
        <f t="shared" si="48"/>
        <v/>
      </c>
      <c r="P81" s="117" t="str">
        <f t="shared" si="48"/>
        <v/>
      </c>
      <c r="Q81" s="117" t="str">
        <f t="shared" si="48"/>
        <v/>
      </c>
      <c r="R81" s="117" t="str">
        <f t="shared" si="48"/>
        <v/>
      </c>
      <c r="S81" s="117" t="str">
        <f t="shared" si="48"/>
        <v/>
      </c>
      <c r="T81" s="117" t="str">
        <f t="shared" si="48"/>
        <v/>
      </c>
      <c r="U81" s="117"/>
    </row>
    <row r="82" spans="3:24" outlineLevel="1">
      <c r="C82" s="147">
        <f t="shared" si="44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9">IF(ISBLANK(I71),"",IF(ISBLANK(J71),"",LN(J71)-LN(I71)))</f>
        <v/>
      </c>
      <c r="K82" s="117" t="str">
        <f t="shared" si="49"/>
        <v/>
      </c>
      <c r="L82" s="117" t="str">
        <f t="shared" si="49"/>
        <v/>
      </c>
      <c r="M82" s="117" t="str">
        <f t="shared" si="49"/>
        <v/>
      </c>
      <c r="N82" s="117" t="str">
        <f t="shared" si="49"/>
        <v/>
      </c>
      <c r="O82" s="117" t="str">
        <f t="shared" si="49"/>
        <v/>
      </c>
      <c r="P82" s="117" t="str">
        <f t="shared" si="49"/>
        <v/>
      </c>
      <c r="Q82" s="117" t="str">
        <f t="shared" si="49"/>
        <v/>
      </c>
      <c r="R82" s="117" t="str">
        <f t="shared" si="49"/>
        <v/>
      </c>
      <c r="S82" s="117" t="str">
        <f t="shared" si="49"/>
        <v/>
      </c>
      <c r="T82" s="117" t="str">
        <f t="shared" si="49"/>
        <v/>
      </c>
      <c r="U82" s="117"/>
    </row>
    <row r="83" spans="3:24" outlineLevel="1">
      <c r="C83" s="111"/>
      <c r="G83" s="32"/>
      <c r="H83" s="32"/>
      <c r="K83" s="23"/>
      <c r="L83" s="23"/>
      <c r="M83" s="23"/>
      <c r="N83" s="23"/>
      <c r="O83" s="23"/>
    </row>
    <row r="84" spans="3:24" outlineLevel="1">
      <c r="C84" s="67" t="s">
        <v>169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4" t="s">
        <v>216</v>
      </c>
      <c r="K84" s="204"/>
      <c r="L84" s="204"/>
      <c r="M84" s="204"/>
      <c r="N84" s="159"/>
      <c r="O84" s="159"/>
      <c r="P84" s="159"/>
      <c r="Q84" s="159"/>
      <c r="R84" s="159"/>
      <c r="S84" s="159"/>
      <c r="T84" s="159"/>
      <c r="U84" s="159"/>
    </row>
    <row r="85" spans="3:24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  <c r="U85" s="107"/>
    </row>
    <row r="86" spans="3:24" outlineLevel="1">
      <c r="C86" s="147">
        <f>C66</f>
        <v>0</v>
      </c>
      <c r="D86" s="30" t="s">
        <v>101</v>
      </c>
      <c r="E86" s="30" t="s">
        <v>18</v>
      </c>
      <c r="F86" s="30" t="s">
        <v>36</v>
      </c>
      <c r="G86" s="32"/>
      <c r="H86" s="32"/>
      <c r="J86" s="60">
        <v>1</v>
      </c>
      <c r="K86" s="60"/>
      <c r="L86" s="60"/>
      <c r="M86" s="60"/>
      <c r="N86" s="185"/>
      <c r="O86" s="185"/>
      <c r="P86" s="185"/>
      <c r="Q86" s="185"/>
      <c r="R86" s="185"/>
      <c r="S86" s="185"/>
      <c r="T86" s="185"/>
      <c r="U86" s="185"/>
    </row>
    <row r="87" spans="3:24" outlineLevel="1">
      <c r="C87" s="147">
        <f t="shared" ref="C87:C91" si="50">C67</f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60"/>
      <c r="K87" s="60"/>
      <c r="L87" s="60"/>
      <c r="M87" s="60"/>
      <c r="N87" s="185"/>
      <c r="O87" s="185"/>
      <c r="P87" s="185"/>
      <c r="Q87" s="185"/>
      <c r="R87" s="185"/>
      <c r="S87" s="185"/>
      <c r="T87" s="185"/>
      <c r="U87" s="185"/>
    </row>
    <row r="88" spans="3:24" outlineLevel="1">
      <c r="C88" s="147">
        <f t="shared" si="50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0"/>
      <c r="K88" s="60"/>
      <c r="L88" s="60"/>
      <c r="M88" s="60"/>
      <c r="N88" s="185"/>
      <c r="O88" s="185"/>
      <c r="P88" s="185"/>
      <c r="Q88" s="185"/>
      <c r="R88" s="185"/>
      <c r="S88" s="185"/>
      <c r="T88" s="185"/>
      <c r="U88" s="185"/>
    </row>
    <row r="89" spans="3:24" outlineLevel="1">
      <c r="C89" s="147">
        <f t="shared" si="50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0"/>
      <c r="K89" s="61"/>
      <c r="L89" s="61"/>
      <c r="M89" s="60"/>
      <c r="N89" s="185"/>
      <c r="O89" s="185"/>
      <c r="P89" s="185"/>
      <c r="Q89" s="185"/>
      <c r="R89" s="185"/>
      <c r="S89" s="185"/>
      <c r="T89" s="185"/>
      <c r="U89" s="185"/>
    </row>
    <row r="90" spans="3:24" outlineLevel="1">
      <c r="C90" s="147">
        <f t="shared" si="50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85"/>
      <c r="O90" s="185"/>
      <c r="P90" s="185"/>
      <c r="Q90" s="185"/>
      <c r="R90" s="185"/>
      <c r="S90" s="185"/>
      <c r="T90" s="185"/>
      <c r="U90" s="185"/>
    </row>
    <row r="91" spans="3:24" outlineLevel="1">
      <c r="C91" s="147">
        <f t="shared" si="50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85"/>
      <c r="O91" s="185"/>
      <c r="P91" s="185"/>
      <c r="Q91" s="185"/>
      <c r="R91" s="185"/>
      <c r="S91" s="185"/>
      <c r="T91" s="185"/>
      <c r="U91" s="185"/>
    </row>
    <row r="92" spans="3:24" outlineLevel="1">
      <c r="G92" s="32"/>
      <c r="H92" s="32"/>
    </row>
    <row r="93" spans="3:24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1" t="str">
        <f t="array" ref="J93">IF(ISBLANK(J84),IF(ISBLANK(J86:J91),"Ok","Check"),IF(SUM(J86:J91)=1,"Ok","Check"))</f>
        <v>Ok</v>
      </c>
      <c r="K93" s="131" t="str">
        <f t="array" ref="K93">IF(ISBLANK(K84),IF(ISBLANK(K86:K91),"Ok","Check"),IF(SUM(K86:K91)=1,"Ok","Check"))</f>
        <v>Ok</v>
      </c>
      <c r="L93" s="131" t="str">
        <f t="array" ref="L93">IF(ISBLANK(L84),IF(ISBLANK(L86:L91),"Ok","Check"),IF(SUM(L86:L91)=1,"Ok","Check"))</f>
        <v>Ok</v>
      </c>
      <c r="M93" s="131" t="str">
        <f t="array" ref="M93">IF(ISBLANK(M84),IF(ISBLANK(M86:M91),"Ok","Check"),IF(SUM(M86:M91)=1,"Ok","Check"))</f>
        <v>Ok</v>
      </c>
      <c r="N93" s="131" t="str">
        <f t="array" ref="N93">IF(ISBLANK(N86:N91),"",IF(SUM(N86:N91)=1,"Ok","Check"))</f>
        <v/>
      </c>
      <c r="O93" s="131" t="str">
        <f t="array" ref="O93">IF(ISBLANK(O86:O91),"",IF(SUM(O86:O91)=1,"Ok","Check"))</f>
        <v/>
      </c>
      <c r="P93" s="131" t="str">
        <f t="array" ref="P93">IF(ISBLANK(P86:P91),"",IF(SUM(P86:P91)=1,"Ok","Check"))</f>
        <v/>
      </c>
      <c r="Q93" s="131" t="str">
        <f t="array" ref="Q93">IF(ISBLANK(Q86:Q91),"",IF(SUM(Q86:Q91)=1,"Ok","Check"))</f>
        <v/>
      </c>
      <c r="R93" s="131" t="str">
        <f t="array" ref="R93">IF(ISBLANK(R86:R91),"",IF(SUM(R86:R91)=1,"Ok","Check"))</f>
        <v/>
      </c>
      <c r="S93" s="131" t="str">
        <f t="array" ref="S93">IF(ISBLANK(S86:S91),"",IF(SUM(S86:S91)=1,"Ok","Check"))</f>
        <v/>
      </c>
      <c r="T93" s="131" t="str">
        <f t="array" ref="T93">IF(ISBLANK(T86:T91),"",IF(SUM(T86:T91)=1,"Ok","Check"))</f>
        <v/>
      </c>
      <c r="U93" s="131"/>
      <c r="V93" s="24"/>
      <c r="X93" s="130" t="str">
        <f>IF(COUNTIF(K93:T93,"Check")=0,"Ok","Check")</f>
        <v>Ok</v>
      </c>
    </row>
    <row r="94" spans="3:24" outlineLevel="1"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24"/>
      <c r="X94" s="131"/>
    </row>
    <row r="95" spans="3:24" outlineLevel="1">
      <c r="C95" s="67" t="s">
        <v>170</v>
      </c>
      <c r="D95" s="32" t="s">
        <v>7</v>
      </c>
      <c r="E95" s="32" t="s">
        <v>8</v>
      </c>
      <c r="F95" s="32" t="s">
        <v>22</v>
      </c>
      <c r="J95" s="159" t="str">
        <f t="shared" ref="J95:U95" si="51">IF(YEAR(J$4)&gt;=FPFirstYear,IF(YEAR(J$4)&lt;=FPLastYear,J$4,""),"")</f>
        <v/>
      </c>
      <c r="K95" s="159" t="str">
        <f t="shared" si="51"/>
        <v/>
      </c>
      <c r="L95" s="159" t="str">
        <f t="shared" si="51"/>
        <v/>
      </c>
      <c r="M95" s="159" t="str">
        <f t="shared" si="51"/>
        <v/>
      </c>
      <c r="N95" s="159" t="str">
        <f t="shared" si="51"/>
        <v/>
      </c>
      <c r="O95" s="159" t="str">
        <f t="shared" si="51"/>
        <v/>
      </c>
      <c r="P95" s="159">
        <f t="shared" si="51"/>
        <v>45261</v>
      </c>
      <c r="Q95" s="159">
        <f t="shared" si="51"/>
        <v>45627</v>
      </c>
      <c r="R95" s="159">
        <f t="shared" si="51"/>
        <v>45992</v>
      </c>
      <c r="S95" s="159">
        <f t="shared" si="51"/>
        <v>46357</v>
      </c>
      <c r="T95" s="159">
        <f t="shared" si="51"/>
        <v>46722</v>
      </c>
      <c r="U95" s="159" t="str">
        <f t="shared" si="51"/>
        <v/>
      </c>
      <c r="V95" s="24"/>
      <c r="X95" s="131"/>
    </row>
    <row r="96" spans="3:24" outlineLevel="1"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24"/>
      <c r="X96" s="131"/>
    </row>
    <row r="97" spans="1:51" outlineLevel="1">
      <c r="C97" s="147" t="str">
        <f t="array" ref="C97:C100">TRANSPOSE(J84:M84)</f>
        <v xml:space="preserve"> </v>
      </c>
      <c r="D97" s="30" t="s">
        <v>98</v>
      </c>
      <c r="E97" s="30" t="s">
        <v>18</v>
      </c>
      <c r="F97" s="30" t="s">
        <v>36</v>
      </c>
      <c r="J97" s="117" t="str">
        <f t="shared" ref="J97:S97" si="52">IF(J$95=J$4,SUMPRODUCT(J$77:J$82,$J$86:$J$91),"")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 t="str">
        <f t="shared" si="52"/>
        <v/>
      </c>
      <c r="P97" s="117">
        <f t="shared" si="52"/>
        <v>0</v>
      </c>
      <c r="Q97" s="117">
        <f t="shared" si="52"/>
        <v>0</v>
      </c>
      <c r="R97" s="117">
        <f t="shared" si="52"/>
        <v>0</v>
      </c>
      <c r="S97" s="117">
        <f t="shared" si="52"/>
        <v>0</v>
      </c>
      <c r="T97" s="117">
        <f>IF(T$95=T$4,SUMPRODUCT(T$77:T$82,$J$86:$J$91),"")</f>
        <v>0</v>
      </c>
      <c r="U97" s="117" t="str">
        <f>IF(U$95=U$4,SUMPRODUCT(U$77:U$82,$J$86:$J$91),"")</f>
        <v/>
      </c>
      <c r="V97" s="24"/>
      <c r="X97" s="131"/>
    </row>
    <row r="98" spans="1:51" outlineLevel="1">
      <c r="C98" s="147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3">IF(J$95=J$4,SUMPRODUCT(J$77:J$82,$K$86:$K$91),"")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 t="str">
        <f t="shared" si="53"/>
        <v/>
      </c>
      <c r="P98" s="117">
        <f t="shared" si="53"/>
        <v>0</v>
      </c>
      <c r="Q98" s="117">
        <f t="shared" si="53"/>
        <v>0</v>
      </c>
      <c r="R98" s="117">
        <f t="shared" si="53"/>
        <v>0</v>
      </c>
      <c r="S98" s="117">
        <f t="shared" si="53"/>
        <v>0</v>
      </c>
      <c r="T98" s="117">
        <f>IF(T$95=T$4,SUMPRODUCT(T$77:T$82,$K$86:$K$91),"")</f>
        <v>0</v>
      </c>
      <c r="U98" s="117" t="str">
        <f>IF(U$95=U$4,SUMPRODUCT(U$77:U$82,$K$86:$K$91),"")</f>
        <v/>
      </c>
      <c r="V98" s="24"/>
      <c r="X98" s="131"/>
    </row>
    <row r="99" spans="1:51" outlineLevel="1">
      <c r="C99" s="147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4">IF(J$95=J$4,SUMPRODUCT(J$77:J$82,$L$86:$L$91),"")</f>
        <v/>
      </c>
      <c r="K99" s="117" t="str">
        <f t="shared" si="54"/>
        <v/>
      </c>
      <c r="L99" s="117" t="str">
        <f t="shared" si="54"/>
        <v/>
      </c>
      <c r="M99" s="117" t="str">
        <f t="shared" si="54"/>
        <v/>
      </c>
      <c r="N99" s="117" t="str">
        <f t="shared" si="54"/>
        <v/>
      </c>
      <c r="O99" s="117" t="str">
        <f t="shared" si="54"/>
        <v/>
      </c>
      <c r="P99" s="117">
        <f t="shared" si="54"/>
        <v>0</v>
      </c>
      <c r="Q99" s="117">
        <f t="shared" si="54"/>
        <v>0</v>
      </c>
      <c r="R99" s="117">
        <f t="shared" si="54"/>
        <v>0</v>
      </c>
      <c r="S99" s="117">
        <f t="shared" si="54"/>
        <v>0</v>
      </c>
      <c r="T99" s="117">
        <f>IF(T$95=T$4,SUMPRODUCT(T$77:T$82,$L$86:$L$91),"")</f>
        <v>0</v>
      </c>
      <c r="U99" s="117" t="str">
        <f>IF(U$95=U$4,SUMPRODUCT(U$77:U$82,$L$86:$L$91),"")</f>
        <v/>
      </c>
      <c r="V99" s="24"/>
      <c r="X99" s="131"/>
    </row>
    <row r="100" spans="1:51" outlineLevel="1">
      <c r="C100" s="147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5">IF(J$95=J$4,SUMPRODUCT(J$77:J$82,$M$86:$M$91),"")</f>
        <v/>
      </c>
      <c r="K100" s="117" t="str">
        <f t="shared" si="55"/>
        <v/>
      </c>
      <c r="L100" s="117" t="str">
        <f t="shared" si="55"/>
        <v/>
      </c>
      <c r="M100" s="117" t="str">
        <f t="shared" si="55"/>
        <v/>
      </c>
      <c r="N100" s="117" t="str">
        <f t="shared" si="55"/>
        <v/>
      </c>
      <c r="O100" s="117" t="str">
        <f t="shared" si="55"/>
        <v/>
      </c>
      <c r="P100" s="117">
        <f t="shared" si="55"/>
        <v>0</v>
      </c>
      <c r="Q100" s="117">
        <f t="shared" si="55"/>
        <v>0</v>
      </c>
      <c r="R100" s="117">
        <f t="shared" si="55"/>
        <v>0</v>
      </c>
      <c r="S100" s="117">
        <f t="shared" si="55"/>
        <v>0</v>
      </c>
      <c r="T100" s="117">
        <f>IF(T$95=T$4,SUMPRODUCT(T$77:T$82,$M$86:$M$91),"")</f>
        <v>0</v>
      </c>
      <c r="U100" s="117" t="str">
        <f>IF(U$95=U$4,SUMPRODUCT(U$77:U$82,$M$86:$M$91),"")</f>
        <v/>
      </c>
      <c r="V100" s="24"/>
      <c r="X100" s="131"/>
    </row>
    <row r="101" spans="1:51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2.75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59" t="str">
        <f t="shared" ref="J104:U104" si="56">IF(YEAR(J$4)&gt;=FPFirstYear,IF(YEAR(J$4)&lt;=FPLastYear,J$4,""),"")</f>
        <v/>
      </c>
      <c r="K104" s="159" t="str">
        <f t="shared" si="56"/>
        <v/>
      </c>
      <c r="L104" s="159" t="str">
        <f t="shared" si="56"/>
        <v/>
      </c>
      <c r="M104" s="159" t="str">
        <f t="shared" si="56"/>
        <v/>
      </c>
      <c r="N104" s="159" t="str">
        <f t="shared" si="56"/>
        <v/>
      </c>
      <c r="O104" s="159" t="str">
        <f t="shared" si="56"/>
        <v/>
      </c>
      <c r="P104" s="159">
        <f t="shared" si="56"/>
        <v>45261</v>
      </c>
      <c r="Q104" s="159">
        <f t="shared" si="56"/>
        <v>45627</v>
      </c>
      <c r="R104" s="159">
        <f t="shared" si="56"/>
        <v>45992</v>
      </c>
      <c r="S104" s="159">
        <f t="shared" si="56"/>
        <v>46357</v>
      </c>
      <c r="T104" s="159">
        <f t="shared" si="56"/>
        <v>46722</v>
      </c>
      <c r="U104" s="159" t="str">
        <f t="shared" si="56"/>
        <v/>
      </c>
    </row>
    <row r="105" spans="1:51" outlineLevel="1">
      <c r="C105" s="111"/>
      <c r="G105" s="32"/>
      <c r="H105" s="32"/>
      <c r="K105" s="23"/>
      <c r="L105" s="23"/>
      <c r="M105" s="23"/>
      <c r="N105" s="23"/>
      <c r="O105" s="23"/>
    </row>
    <row r="106" spans="1:51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195"/>
      <c r="K106" s="186"/>
      <c r="L106" s="186"/>
      <c r="M106" s="186"/>
      <c r="N106" s="186"/>
      <c r="O106" s="165"/>
      <c r="P106" s="165">
        <v>5.0000000000000001E-3</v>
      </c>
      <c r="Q106" s="165">
        <f>$P$106</f>
        <v>5.0000000000000001E-3</v>
      </c>
      <c r="R106" s="165">
        <f t="shared" ref="R106:T106" si="57">$P$106</f>
        <v>5.0000000000000001E-3</v>
      </c>
      <c r="S106" s="165">
        <f t="shared" si="57"/>
        <v>5.0000000000000001E-3</v>
      </c>
      <c r="T106" s="165">
        <f t="shared" si="57"/>
        <v>5.0000000000000001E-3</v>
      </c>
      <c r="U106" s="165"/>
    </row>
    <row r="107" spans="1:51" outlineLevel="1">
      <c r="C107" s="111"/>
      <c r="G107" s="32"/>
      <c r="H107" s="32"/>
      <c r="J107" s="164"/>
      <c r="K107" s="23"/>
      <c r="L107" s="23"/>
      <c r="M107" s="23"/>
      <c r="N107" s="23"/>
      <c r="O107" s="23"/>
      <c r="P107" s="184"/>
      <c r="Q107" s="184"/>
      <c r="R107" s="184"/>
      <c r="S107" s="184"/>
      <c r="T107" s="184"/>
      <c r="U107" s="184"/>
    </row>
    <row r="108" spans="1:51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1" t="str">
        <f t="shared" ref="J108:S108" si="58">IF(J104=J$4,IF(ISBLANK(J106),"Check","Ok"),"")</f>
        <v/>
      </c>
      <c r="K108" s="131" t="str">
        <f t="shared" si="58"/>
        <v/>
      </c>
      <c r="L108" s="131" t="str">
        <f t="shared" si="58"/>
        <v/>
      </c>
      <c r="M108" s="131" t="str">
        <f t="shared" si="58"/>
        <v/>
      </c>
      <c r="N108" s="131" t="str">
        <f t="shared" si="58"/>
        <v/>
      </c>
      <c r="O108" s="131" t="str">
        <f t="shared" si="58"/>
        <v/>
      </c>
      <c r="P108" s="131" t="str">
        <f t="shared" si="58"/>
        <v>Ok</v>
      </c>
      <c r="Q108" s="131" t="str">
        <f t="shared" si="58"/>
        <v>Ok</v>
      </c>
      <c r="R108" s="131" t="str">
        <f t="shared" si="58"/>
        <v>Ok</v>
      </c>
      <c r="S108" s="131" t="str">
        <f t="shared" si="58"/>
        <v>Ok</v>
      </c>
      <c r="T108" s="131" t="str">
        <f>IF(T104=T$4,IF(ISBLANK(T106),"Check","Ok"),"")</f>
        <v>Ok</v>
      </c>
      <c r="U108" s="131" t="str">
        <f>IF(U104=U$4,IF(ISBLANK(U106),"Check","Ok"),"")</f>
        <v/>
      </c>
      <c r="V108" s="24"/>
      <c r="X108" s="130" t="str">
        <f>IF(COUNTIF(J108:T108,"Check")=0,"Ok","Check")</f>
        <v>Ok</v>
      </c>
    </row>
    <row r="109" spans="1:51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2.75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</sheetData>
  <mergeCells count="2">
    <mergeCell ref="K3:M3"/>
    <mergeCell ref="O3:T3"/>
  </mergeCells>
  <conditionalFormatting sqref="X1">
    <cfRule type="cellIs" dxfId="158" priority="115" operator="equal">
      <formula>"Check"</formula>
    </cfRule>
    <cfRule type="cellIs" dxfId="157" priority="116" operator="equal">
      <formula>"Ok"</formula>
    </cfRule>
  </conditionalFormatting>
  <conditionalFormatting sqref="T1:U1">
    <cfRule type="cellIs" dxfId="156" priority="79" operator="equal">
      <formula>"Check"</formula>
    </cfRule>
    <cfRule type="cellIs" dxfId="155" priority="80" operator="equal">
      <formula>"Ok"</formula>
    </cfRule>
  </conditionalFormatting>
  <conditionalFormatting sqref="X60">
    <cfRule type="cellIs" dxfId="154" priority="67" operator="equal">
      <formula>"Check"</formula>
    </cfRule>
    <cfRule type="cellIs" dxfId="153" priority="68" operator="equal">
      <formula>"Ok"</formula>
    </cfRule>
  </conditionalFormatting>
  <conditionalFormatting sqref="J60:U60">
    <cfRule type="cellIs" dxfId="152" priority="59" operator="equal">
      <formula>"Check"</formula>
    </cfRule>
    <cfRule type="cellIs" dxfId="151" priority="60" operator="equal">
      <formula>"Ok"</formula>
    </cfRule>
  </conditionalFormatting>
  <conditionalFormatting sqref="J36:U36">
    <cfRule type="expression" dxfId="150" priority="50">
      <formula>J$36=J$4</formula>
    </cfRule>
  </conditionalFormatting>
  <conditionalFormatting sqref="J38:O40 J41:U44 J45:O45 U45 P38:T45">
    <cfRule type="expression" dxfId="149" priority="48">
      <formula>J$36=J$4</formula>
    </cfRule>
  </conditionalFormatting>
  <conditionalFormatting sqref="J51:T58">
    <cfRule type="expression" dxfId="148" priority="47">
      <formula>J$49=J$4</formula>
    </cfRule>
  </conditionalFormatting>
  <conditionalFormatting sqref="X108">
    <cfRule type="cellIs" dxfId="147" priority="41" operator="equal">
      <formula>"Check"</formula>
    </cfRule>
    <cfRule type="cellIs" dxfId="146" priority="42" operator="equal">
      <formula>"Ok"</formula>
    </cfRule>
  </conditionalFormatting>
  <conditionalFormatting sqref="J108:U108">
    <cfRule type="cellIs" dxfId="145" priority="39" operator="equal">
      <formula>"Check"</formula>
    </cfRule>
    <cfRule type="cellIs" dxfId="144" priority="40" operator="equal">
      <formula>"Ok"</formula>
    </cfRule>
  </conditionalFormatting>
  <conditionalFormatting sqref="X47">
    <cfRule type="cellIs" dxfId="143" priority="37" operator="equal">
      <formula>"Check"</formula>
    </cfRule>
    <cfRule type="cellIs" dxfId="142" priority="38" operator="equal">
      <formula>"Ok"</formula>
    </cfRule>
  </conditionalFormatting>
  <conditionalFormatting sqref="J47:U47">
    <cfRule type="cellIs" dxfId="141" priority="35" operator="equal">
      <formula>"Check"</formula>
    </cfRule>
    <cfRule type="cellIs" dxfId="140" priority="36" operator="equal">
      <formula>"Ok"</formula>
    </cfRule>
  </conditionalFormatting>
  <conditionalFormatting sqref="X73">
    <cfRule type="cellIs" dxfId="139" priority="33" operator="equal">
      <formula>"Check"</formula>
    </cfRule>
    <cfRule type="cellIs" dxfId="138" priority="34" operator="equal">
      <formula>"Ok"</formula>
    </cfRule>
  </conditionalFormatting>
  <conditionalFormatting sqref="J73:U73">
    <cfRule type="cellIs" dxfId="137" priority="31" operator="equal">
      <formula>"Check"</formula>
    </cfRule>
    <cfRule type="cellIs" dxfId="136" priority="32" operator="equal">
      <formula>"Ok"</formula>
    </cfRule>
  </conditionalFormatting>
  <conditionalFormatting sqref="J64:U64">
    <cfRule type="expression" dxfId="135" priority="25">
      <formula>J$64=J$4</formula>
    </cfRule>
  </conditionalFormatting>
  <conditionalFormatting sqref="J66:U71">
    <cfRule type="expression" dxfId="134" priority="23">
      <formula>J$64=J$4</formula>
    </cfRule>
  </conditionalFormatting>
  <conditionalFormatting sqref="J49:U49">
    <cfRule type="expression" dxfId="133" priority="20">
      <formula>J$36=J$4</formula>
    </cfRule>
  </conditionalFormatting>
  <conditionalFormatting sqref="J75:U75">
    <cfRule type="expression" dxfId="132" priority="19">
      <formula>J$36=J$4</formula>
    </cfRule>
  </conditionalFormatting>
  <conditionalFormatting sqref="J104:U104">
    <cfRule type="expression" dxfId="131" priority="18">
      <formula>J$36=J$4</formula>
    </cfRule>
  </conditionalFormatting>
  <conditionalFormatting sqref="J26:U32">
    <cfRule type="cellIs" dxfId="130" priority="16" operator="equal">
      <formula>0</formula>
    </cfRule>
  </conditionalFormatting>
  <conditionalFormatting sqref="J16:U22">
    <cfRule type="cellIs" dxfId="129" priority="15" operator="equal">
      <formula>0</formula>
    </cfRule>
  </conditionalFormatting>
  <conditionalFormatting sqref="X93:X100">
    <cfRule type="cellIs" dxfId="128" priority="11" operator="equal">
      <formula>"Check"</formula>
    </cfRule>
    <cfRule type="cellIs" dxfId="127" priority="12" operator="equal">
      <formula>"Ok"</formula>
    </cfRule>
  </conditionalFormatting>
  <conditionalFormatting sqref="K90:M91">
    <cfRule type="expression" dxfId="126" priority="10">
      <formula>K$84=K$4</formula>
    </cfRule>
  </conditionalFormatting>
  <conditionalFormatting sqref="J96:U96 J93:U94">
    <cfRule type="cellIs" dxfId="125" priority="8" operator="equal">
      <formula>"Check"</formula>
    </cfRule>
    <cfRule type="cellIs" dxfId="124" priority="9" operator="equal">
      <formula>"Ok"</formula>
    </cfRule>
  </conditionalFormatting>
  <conditionalFormatting sqref="J95:U95">
    <cfRule type="expression" dxfId="123" priority="7">
      <formula>J$95=J$4</formula>
    </cfRule>
  </conditionalFormatting>
  <conditionalFormatting sqref="J106:U106">
    <cfRule type="expression" dxfId="122" priority="120">
      <formula>J$104=J$4</formula>
    </cfRule>
  </conditionalFormatting>
  <conditionalFormatting sqref="K88:M89 L86:M87">
    <cfRule type="expression" dxfId="121" priority="6">
      <formula>K$84=K$4</formula>
    </cfRule>
  </conditionalFormatting>
  <conditionalFormatting sqref="U51:U58">
    <cfRule type="expression" dxfId="120" priority="4">
      <formula>U$49=U$4</formula>
    </cfRule>
  </conditionalFormatting>
  <conditionalFormatting sqref="P38:T40">
    <cfRule type="expression" dxfId="119" priority="3">
      <formula>P$36=P$4</formula>
    </cfRule>
  </conditionalFormatting>
  <conditionalFormatting sqref="P45:T45">
    <cfRule type="expression" dxfId="118" priority="1">
      <formula>P$36=P$4</formula>
    </cfRule>
  </conditionalFormatting>
  <dataValidations disablePrompts="1" count="2">
    <dataValidation type="list" allowBlank="1" showInputMessage="1" showErrorMessage="1" sqref="F109 F74 F101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W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topLeftCell="E1" zoomScale="115" zoomScaleNormal="115" workbookViewId="0">
      <selection activeCell="O13" sqref="O13:S13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33203125" style="30" customWidth="1"/>
    <col min="10" max="23" width="10.66406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1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77"/>
      <c r="E3" s="177"/>
      <c r="F3" s="177"/>
      <c r="G3" s="177"/>
      <c r="H3" s="177"/>
      <c r="I3" s="177"/>
      <c r="J3" s="155" t="s">
        <v>119</v>
      </c>
      <c r="K3" s="167"/>
      <c r="L3" s="167"/>
      <c r="M3" s="177"/>
      <c r="N3" s="219"/>
      <c r="O3" s="219"/>
      <c r="P3" s="219"/>
      <c r="Q3" s="219"/>
      <c r="R3" s="219"/>
      <c r="S3" s="21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43435</v>
      </c>
      <c r="K4" s="153">
        <f>DATE(PPFirstYear+1,MONTH('Input|General'!$G$9),1)</f>
        <v>43800</v>
      </c>
      <c r="L4" s="153">
        <f>DATE(PPFirstYear+2,MONTH('Input|General'!$G$9),1)</f>
        <v>44166</v>
      </c>
      <c r="M4" s="153">
        <f>DATE(PPFirstYear+3,MONTH('Input|General'!$G$9),1)</f>
        <v>44531</v>
      </c>
      <c r="N4" s="153">
        <f>DATE(PPFirstYear+4,MONTH('Input|General'!$G$9),1)</f>
        <v>44896</v>
      </c>
      <c r="O4" s="153">
        <f>DATE(PPFirstYear+5,MONTH('Input|General'!$G$9),1)</f>
        <v>45261</v>
      </c>
      <c r="P4" s="153">
        <f>DATE(PPFirstYear+6,MONTH('Input|General'!$G$9),1)</f>
        <v>45627</v>
      </c>
      <c r="Q4" s="153">
        <f>DATE(PPFirstYear+7,MONTH('Input|General'!$G$9),1)</f>
        <v>45992</v>
      </c>
      <c r="R4" s="153">
        <f>DATE(PPFirstYear+8,MONTH('Input|General'!$G$9),1)</f>
        <v>46357</v>
      </c>
      <c r="S4" s="153">
        <f>DATE(PPFirstYear+9,MONTH('Input|General'!$G$9),1)</f>
        <v>46722</v>
      </c>
      <c r="T4" s="153">
        <f>DATE(PPFirstYear+10,MONTH('Input|General'!$G$9),1)</f>
        <v>47088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59"/>
      <c r="J10" s="159" t="str">
        <f t="shared" ref="J10:T10" si="0">IF(YEAR(J$4)&gt;=FPFirstYear,IF(YEAR(J$4)&lt;=FPLastYear,J$4,""),"")</f>
        <v/>
      </c>
      <c r="K10" s="159" t="str">
        <f t="shared" si="0"/>
        <v/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>
        <f t="shared" si="0"/>
        <v>45261</v>
      </c>
      <c r="P10" s="159">
        <f t="shared" si="0"/>
        <v>45627</v>
      </c>
      <c r="Q10" s="159">
        <f t="shared" si="0"/>
        <v>45992</v>
      </c>
      <c r="R10" s="159">
        <f t="shared" si="0"/>
        <v>46357</v>
      </c>
      <c r="S10" s="159">
        <f t="shared" si="0"/>
        <v>46722</v>
      </c>
      <c r="T10" s="159" t="str">
        <f t="shared" si="0"/>
        <v/>
      </c>
    </row>
    <row r="11" spans="1:47" outlineLevel="1">
      <c r="G11" s="32"/>
      <c r="H11" s="32"/>
    </row>
    <row r="12" spans="1:47" outlineLevel="1">
      <c r="C12" s="61" t="s">
        <v>214</v>
      </c>
      <c r="D12" s="30" t="s">
        <v>69</v>
      </c>
      <c r="E12" s="30" t="str">
        <f t="shared" ref="E12:E20" si="1">units</f>
        <v>$millions</v>
      </c>
      <c r="F12" s="208">
        <f t="shared" ref="F12:F20" si="2">DATE(PPLastYear,MONTH(month),1)</f>
        <v>44896</v>
      </c>
      <c r="G12" s="32"/>
      <c r="H12" s="32"/>
      <c r="J12" s="150"/>
      <c r="K12" s="150"/>
      <c r="L12" s="150"/>
      <c r="M12" s="150"/>
      <c r="N12" s="150"/>
      <c r="O12" s="166">
        <v>0</v>
      </c>
      <c r="P12" s="166">
        <v>0</v>
      </c>
      <c r="Q12" s="166">
        <v>0</v>
      </c>
      <c r="R12" s="166">
        <v>0</v>
      </c>
      <c r="S12" s="166">
        <v>0</v>
      </c>
      <c r="T12" s="166"/>
    </row>
    <row r="13" spans="1:47" outlineLevel="1">
      <c r="C13" s="61" t="s">
        <v>204</v>
      </c>
      <c r="D13" s="30" t="s">
        <v>69</v>
      </c>
      <c r="E13" s="30" t="str">
        <f t="shared" si="1"/>
        <v>$millions</v>
      </c>
      <c r="F13" s="208">
        <f t="shared" si="2"/>
        <v>44896</v>
      </c>
      <c r="G13" s="32"/>
      <c r="H13" s="32"/>
      <c r="J13" s="150"/>
      <c r="K13" s="150"/>
      <c r="L13" s="150"/>
      <c r="M13" s="150"/>
      <c r="N13" s="150"/>
      <c r="O13" s="166">
        <v>0.82921000000000011</v>
      </c>
      <c r="P13" s="166">
        <v>0.82921000000000011</v>
      </c>
      <c r="Q13" s="166">
        <v>0.82921000000000011</v>
      </c>
      <c r="R13" s="166">
        <v>0.82921000000000011</v>
      </c>
      <c r="S13" s="166">
        <v>0.82921000000000011</v>
      </c>
      <c r="T13" s="166"/>
    </row>
    <row r="14" spans="1:47" outlineLevel="1">
      <c r="C14" s="61" t="s">
        <v>205</v>
      </c>
      <c r="D14" s="30" t="s">
        <v>69</v>
      </c>
      <c r="E14" s="30" t="str">
        <f t="shared" si="1"/>
        <v>$millions</v>
      </c>
      <c r="F14" s="208">
        <f t="shared" si="2"/>
        <v>44896</v>
      </c>
      <c r="G14" s="32"/>
      <c r="H14" s="32"/>
      <c r="J14" s="150"/>
      <c r="K14" s="150"/>
      <c r="L14" s="150"/>
      <c r="M14" s="150"/>
      <c r="N14" s="150"/>
      <c r="O14" s="166">
        <v>0</v>
      </c>
      <c r="P14" s="166">
        <v>0</v>
      </c>
      <c r="Q14" s="166">
        <v>0</v>
      </c>
      <c r="R14" s="166">
        <v>0</v>
      </c>
      <c r="S14" s="166">
        <v>0</v>
      </c>
      <c r="T14" s="166"/>
    </row>
    <row r="15" spans="1:47" outlineLevel="1">
      <c r="C15" s="61" t="s">
        <v>203</v>
      </c>
      <c r="D15" s="30" t="s">
        <v>69</v>
      </c>
      <c r="E15" s="30" t="str">
        <f t="shared" si="1"/>
        <v>$millions</v>
      </c>
      <c r="F15" s="208">
        <f t="shared" si="2"/>
        <v>44896</v>
      </c>
      <c r="G15" s="32"/>
      <c r="H15" s="32"/>
      <c r="J15" s="150"/>
      <c r="K15" s="150"/>
      <c r="L15" s="150"/>
      <c r="M15" s="150"/>
      <c r="N15" s="150"/>
      <c r="O15" s="166">
        <v>0</v>
      </c>
      <c r="P15" s="166">
        <v>0</v>
      </c>
      <c r="Q15" s="166">
        <v>0</v>
      </c>
      <c r="R15" s="166">
        <v>0</v>
      </c>
      <c r="S15" s="166">
        <v>0</v>
      </c>
      <c r="T15" s="166"/>
    </row>
    <row r="16" spans="1:47" outlineLevel="1">
      <c r="C16" s="61" t="s">
        <v>208</v>
      </c>
      <c r="D16" s="30" t="s">
        <v>69</v>
      </c>
      <c r="E16" s="30" t="str">
        <f t="shared" si="1"/>
        <v>$millions</v>
      </c>
      <c r="F16" s="208">
        <f t="shared" si="2"/>
        <v>44896</v>
      </c>
      <c r="G16" s="32"/>
      <c r="H16" s="32"/>
      <c r="J16" s="150"/>
      <c r="K16" s="150"/>
      <c r="L16" s="150"/>
      <c r="M16" s="150"/>
      <c r="N16" s="150"/>
      <c r="O16" s="166">
        <v>0.37658893166815344</v>
      </c>
      <c r="P16" s="166">
        <v>0.37658893166815344</v>
      </c>
      <c r="Q16" s="166">
        <v>0.37658893166815344</v>
      </c>
      <c r="R16" s="166">
        <v>0.37658893166815344</v>
      </c>
      <c r="S16" s="166">
        <v>0.37658893166815344</v>
      </c>
      <c r="T16" s="166"/>
    </row>
    <row r="17" spans="1:47" outlineLevel="1">
      <c r="C17" s="61"/>
      <c r="D17" s="30" t="s">
        <v>69</v>
      </c>
      <c r="E17" s="30" t="str">
        <f t="shared" si="1"/>
        <v>$millions</v>
      </c>
      <c r="F17" s="208">
        <f t="shared" si="2"/>
        <v>44896</v>
      </c>
      <c r="G17" s="32"/>
      <c r="H17" s="32"/>
      <c r="J17" s="150"/>
      <c r="K17" s="150"/>
      <c r="L17" s="150"/>
      <c r="M17" s="150"/>
      <c r="N17" s="150"/>
      <c r="O17" s="166"/>
      <c r="P17" s="166"/>
      <c r="Q17" s="166"/>
      <c r="R17" s="166"/>
      <c r="S17" s="166"/>
      <c r="T17" s="166"/>
    </row>
    <row r="18" spans="1:47" outlineLevel="1">
      <c r="C18" s="61"/>
      <c r="D18" s="30" t="s">
        <v>69</v>
      </c>
      <c r="E18" s="30" t="str">
        <f t="shared" si="1"/>
        <v>$millions</v>
      </c>
      <c r="F18" s="208">
        <f t="shared" si="2"/>
        <v>44896</v>
      </c>
      <c r="G18" s="32"/>
      <c r="H18" s="32"/>
      <c r="J18" s="150"/>
      <c r="K18" s="150"/>
      <c r="L18" s="150"/>
      <c r="M18" s="150"/>
      <c r="N18" s="150"/>
      <c r="O18" s="166"/>
      <c r="P18" s="166"/>
      <c r="Q18" s="166"/>
      <c r="R18" s="166"/>
      <c r="S18" s="166"/>
      <c r="T18" s="166"/>
    </row>
    <row r="19" spans="1:47" outlineLevel="1">
      <c r="C19" s="61"/>
      <c r="D19" s="30" t="s">
        <v>69</v>
      </c>
      <c r="E19" s="30" t="str">
        <f t="shared" si="1"/>
        <v>$millions</v>
      </c>
      <c r="F19" s="208">
        <f t="shared" si="2"/>
        <v>44896</v>
      </c>
      <c r="G19" s="32"/>
      <c r="H19" s="32"/>
      <c r="J19" s="150"/>
      <c r="K19" s="150"/>
      <c r="L19" s="150"/>
      <c r="M19" s="150"/>
      <c r="N19" s="150"/>
      <c r="O19" s="166"/>
      <c r="P19" s="166"/>
      <c r="Q19" s="166"/>
      <c r="R19" s="166"/>
      <c r="S19" s="166"/>
      <c r="T19" s="166"/>
    </row>
    <row r="20" spans="1:47" outlineLevel="1">
      <c r="C20" s="61"/>
      <c r="D20" s="30" t="s">
        <v>69</v>
      </c>
      <c r="E20" s="30" t="str">
        <f t="shared" si="1"/>
        <v>$millions</v>
      </c>
      <c r="F20" s="208">
        <f t="shared" si="2"/>
        <v>44896</v>
      </c>
      <c r="G20" s="32"/>
      <c r="H20" s="32"/>
      <c r="J20" s="150"/>
      <c r="K20" s="150"/>
      <c r="L20" s="150"/>
      <c r="M20" s="150"/>
      <c r="N20" s="150"/>
      <c r="O20" s="166"/>
      <c r="P20" s="166"/>
      <c r="Q20" s="166"/>
      <c r="R20" s="166"/>
      <c r="S20" s="166"/>
      <c r="T20" s="166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1" t="str">
        <f t="shared" ref="J22:T22" si="3">IF(J10=J4,IF(COUNTA($C12:$C16)=COUNT(J12:J20),"Ok","Check"),"")</f>
        <v/>
      </c>
      <c r="K22" s="131" t="str">
        <f t="shared" si="3"/>
        <v/>
      </c>
      <c r="L22" s="131" t="str">
        <f t="shared" si="3"/>
        <v/>
      </c>
      <c r="M22" s="131" t="str">
        <f t="shared" si="3"/>
        <v/>
      </c>
      <c r="N22" s="131" t="str">
        <f t="shared" si="3"/>
        <v/>
      </c>
      <c r="O22" s="131" t="str">
        <f t="shared" si="3"/>
        <v>Ok</v>
      </c>
      <c r="P22" s="131" t="str">
        <f t="shared" si="3"/>
        <v>Ok</v>
      </c>
      <c r="Q22" s="131" t="str">
        <f t="shared" si="3"/>
        <v>Ok</v>
      </c>
      <c r="R22" s="131" t="str">
        <f t="shared" si="3"/>
        <v>Ok</v>
      </c>
      <c r="S22" s="131" t="str">
        <f t="shared" si="3"/>
        <v>Ok</v>
      </c>
      <c r="T22" s="131" t="str">
        <f t="shared" si="3"/>
        <v/>
      </c>
      <c r="U22" s="24"/>
      <c r="W22" s="130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107</v>
      </c>
      <c r="D26" s="32" t="s">
        <v>7</v>
      </c>
      <c r="E26" s="32" t="s">
        <v>8</v>
      </c>
      <c r="F26" s="32" t="s">
        <v>22</v>
      </c>
      <c r="G26" s="32"/>
      <c r="H26" s="32"/>
      <c r="J26" s="159" t="str">
        <f t="shared" ref="J26:T26" si="4">IF(YEAR(J$4)&gt;=FPFirstYear,IF(YEAR(J$4)&lt;=FPLastYear,J$4,""),"")</f>
        <v/>
      </c>
      <c r="K26" s="159" t="str">
        <f t="shared" si="4"/>
        <v/>
      </c>
      <c r="L26" s="159" t="str">
        <f t="shared" si="4"/>
        <v/>
      </c>
      <c r="M26" s="159" t="str">
        <f t="shared" si="4"/>
        <v/>
      </c>
      <c r="N26" s="159" t="str">
        <f t="shared" si="4"/>
        <v/>
      </c>
      <c r="O26" s="159">
        <f t="shared" si="4"/>
        <v>45261</v>
      </c>
      <c r="P26" s="159">
        <f t="shared" si="4"/>
        <v>45627</v>
      </c>
      <c r="Q26" s="159">
        <f t="shared" si="4"/>
        <v>45992</v>
      </c>
      <c r="R26" s="159">
        <f t="shared" si="4"/>
        <v>46357</v>
      </c>
      <c r="S26" s="159">
        <f t="shared" si="4"/>
        <v>46722</v>
      </c>
      <c r="T26" s="159" t="str">
        <f t="shared" si="4"/>
        <v/>
      </c>
    </row>
    <row r="27" spans="1:47" outlineLevel="1">
      <c r="G27" s="32"/>
      <c r="H27" s="32"/>
    </row>
    <row r="28" spans="1:47" outlineLevel="1">
      <c r="C28" s="203" t="s">
        <v>207</v>
      </c>
      <c r="D28" s="30" t="s">
        <v>69</v>
      </c>
      <c r="E28" s="30" t="str">
        <f>units</f>
        <v>$millions</v>
      </c>
      <c r="F28" s="208">
        <f>DATE(PPLastYear,MONTH(month),1)</f>
        <v>44896</v>
      </c>
      <c r="G28" s="32"/>
      <c r="H28" s="32"/>
      <c r="J28" s="150"/>
      <c r="K28" s="150"/>
      <c r="L28" s="150"/>
      <c r="M28" s="150"/>
      <c r="N28" s="166"/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/>
    </row>
    <row r="29" spans="1:47" outlineLevel="1">
      <c r="C29" s="203" t="s">
        <v>206</v>
      </c>
      <c r="D29" s="30" t="s">
        <v>69</v>
      </c>
      <c r="E29" s="30" t="str">
        <f>units</f>
        <v>$millions</v>
      </c>
      <c r="F29" s="208">
        <f>DATE(PPLastYear,MONTH(month),1)</f>
        <v>44896</v>
      </c>
      <c r="G29" s="32"/>
      <c r="H29" s="32"/>
      <c r="J29" s="150"/>
      <c r="K29" s="150"/>
      <c r="L29" s="150"/>
      <c r="M29" s="150"/>
      <c r="N29" s="166"/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/>
    </row>
    <row r="30" spans="1:47" outlineLevel="1">
      <c r="C30" s="203"/>
      <c r="D30" s="30" t="s">
        <v>69</v>
      </c>
      <c r="E30" s="30" t="str">
        <f>units</f>
        <v>$millions</v>
      </c>
      <c r="F30" s="208">
        <f>DATE(PPLastYear,MONTH(month),1)</f>
        <v>44896</v>
      </c>
      <c r="G30" s="32"/>
      <c r="H30" s="32"/>
      <c r="J30" s="150"/>
      <c r="K30" s="150"/>
      <c r="L30" s="150"/>
      <c r="M30" s="150"/>
      <c r="N30" s="166"/>
      <c r="O30" s="166"/>
      <c r="P30" s="166"/>
      <c r="Q30" s="166"/>
      <c r="R30" s="166"/>
      <c r="S30" s="166"/>
      <c r="T30" s="166"/>
    </row>
    <row r="31" spans="1:47" outlineLevel="1">
      <c r="C31" s="203"/>
      <c r="D31" s="30" t="s">
        <v>69</v>
      </c>
      <c r="E31" s="30" t="str">
        <f>units</f>
        <v>$millions</v>
      </c>
      <c r="F31" s="208">
        <f>DATE(PPLastYear,MONTH(month),1)</f>
        <v>44896</v>
      </c>
      <c r="G31" s="32"/>
      <c r="H31" s="32"/>
      <c r="J31" s="150"/>
      <c r="K31" s="150"/>
      <c r="L31" s="150"/>
      <c r="M31" s="150"/>
      <c r="N31" s="166"/>
      <c r="O31" s="166"/>
      <c r="P31" s="166"/>
      <c r="Q31" s="166"/>
      <c r="R31" s="166"/>
      <c r="S31" s="166"/>
      <c r="T31" s="166"/>
    </row>
    <row r="32" spans="1:47" outlineLevel="1">
      <c r="C32" s="61"/>
      <c r="D32" s="30" t="s">
        <v>69</v>
      </c>
      <c r="E32" s="30" t="str">
        <f>units</f>
        <v>$millions</v>
      </c>
      <c r="F32" s="208">
        <f>DATE(PPLastYear,MONTH(month),1)</f>
        <v>44896</v>
      </c>
      <c r="G32" s="32"/>
      <c r="H32" s="32"/>
      <c r="J32" s="150"/>
      <c r="K32" s="150"/>
      <c r="L32" s="150"/>
      <c r="M32" s="150"/>
      <c r="N32" s="166"/>
      <c r="O32" s="166"/>
      <c r="P32" s="166"/>
      <c r="Q32" s="166"/>
      <c r="R32" s="166"/>
      <c r="S32" s="166"/>
      <c r="T32" s="166"/>
    </row>
    <row r="33" spans="1:47" outlineLevel="1">
      <c r="G33" s="32"/>
      <c r="H33" s="32"/>
    </row>
    <row r="34" spans="1:47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1" t="str">
        <f t="shared" ref="J34:T34" si="5">IF(J26=J4,IF(COUNTA($C28:$C32)=COUNT(J28:J32),"Ok","Check"),"")</f>
        <v/>
      </c>
      <c r="K34" s="131" t="str">
        <f t="shared" si="5"/>
        <v/>
      </c>
      <c r="L34" s="131" t="str">
        <f t="shared" si="5"/>
        <v/>
      </c>
      <c r="M34" s="131" t="str">
        <f t="shared" si="5"/>
        <v/>
      </c>
      <c r="N34" s="131" t="str">
        <f t="shared" si="5"/>
        <v/>
      </c>
      <c r="O34" s="131" t="str">
        <f t="shared" si="5"/>
        <v>Ok</v>
      </c>
      <c r="P34" s="131" t="str">
        <f t="shared" si="5"/>
        <v>Ok</v>
      </c>
      <c r="Q34" s="131" t="str">
        <f t="shared" si="5"/>
        <v>Ok</v>
      </c>
      <c r="R34" s="131" t="str">
        <f t="shared" si="5"/>
        <v>Ok</v>
      </c>
      <c r="S34" s="131" t="str">
        <f t="shared" si="5"/>
        <v>Ok</v>
      </c>
      <c r="T34" s="131" t="str">
        <f t="shared" si="5"/>
        <v/>
      </c>
      <c r="U34" s="24"/>
      <c r="W34" s="130" t="str">
        <f>IF(COUNTIF(J34:T34,"Check")=0,"Ok","Check")</f>
        <v>Ok</v>
      </c>
    </row>
    <row r="35" spans="1:47">
      <c r="G35" s="32"/>
      <c r="H35" s="32"/>
    </row>
    <row r="36" spans="1:47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59" t="str">
        <f t="shared" ref="J38:T38" si="6">IF(YEAR(J$4)&gt;=FPFirstYear,IF(YEAR(J$4)&lt;=FPLastYear,J$4,""),"")</f>
        <v/>
      </c>
      <c r="K38" s="159" t="str">
        <f t="shared" si="6"/>
        <v/>
      </c>
      <c r="L38" s="159" t="str">
        <f t="shared" si="6"/>
        <v/>
      </c>
      <c r="M38" s="159" t="str">
        <f t="shared" si="6"/>
        <v/>
      </c>
      <c r="N38" s="159" t="str">
        <f t="shared" si="6"/>
        <v/>
      </c>
      <c r="O38" s="159">
        <f t="shared" si="6"/>
        <v>45261</v>
      </c>
      <c r="P38" s="159">
        <f t="shared" si="6"/>
        <v>45627</v>
      </c>
      <c r="Q38" s="159">
        <f t="shared" si="6"/>
        <v>45992</v>
      </c>
      <c r="R38" s="159">
        <f t="shared" si="6"/>
        <v>46357</v>
      </c>
      <c r="S38" s="159">
        <f t="shared" si="6"/>
        <v>46722</v>
      </c>
      <c r="T38" s="159" t="str">
        <f t="shared" si="6"/>
        <v/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08">
        <f>DATE(PPLastYear,MONTH(month),1)</f>
        <v>44896</v>
      </c>
      <c r="G40" s="32"/>
      <c r="H40" s="32"/>
      <c r="I40" s="32"/>
      <c r="J40" s="166"/>
      <c r="K40" s="166"/>
      <c r="L40" s="166"/>
      <c r="M40" s="166"/>
      <c r="N40" s="166"/>
      <c r="O40" s="166">
        <v>0.62855740161351448</v>
      </c>
      <c r="P40" s="166">
        <v>0.65643291456346275</v>
      </c>
      <c r="Q40" s="166">
        <v>0.64789125453828267</v>
      </c>
      <c r="R40" s="166">
        <v>0.63057936551364968</v>
      </c>
      <c r="S40" s="166">
        <v>0.61197567016428656</v>
      </c>
      <c r="T40" s="166"/>
    </row>
    <row r="41" spans="1:47" outlineLevel="1">
      <c r="G41" s="32"/>
      <c r="H41" s="32"/>
    </row>
    <row r="42" spans="1:47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1" t="str">
        <f t="shared" ref="J42:R42" si="7">IF(J38=J4,IF(ISBLANK(J40),"Check","Ok"),"")</f>
        <v/>
      </c>
      <c r="K42" s="131" t="str">
        <f t="shared" si="7"/>
        <v/>
      </c>
      <c r="L42" s="131" t="str">
        <f t="shared" si="7"/>
        <v/>
      </c>
      <c r="M42" s="131" t="str">
        <f t="shared" si="7"/>
        <v/>
      </c>
      <c r="N42" s="131" t="str">
        <f t="shared" si="7"/>
        <v/>
      </c>
      <c r="O42" s="131" t="str">
        <f t="shared" si="7"/>
        <v>Ok</v>
      </c>
      <c r="P42" s="131" t="str">
        <f t="shared" si="7"/>
        <v>Ok</v>
      </c>
      <c r="Q42" s="131" t="str">
        <f t="shared" si="7"/>
        <v>Ok</v>
      </c>
      <c r="R42" s="131" t="str">
        <f t="shared" si="7"/>
        <v>Ok</v>
      </c>
      <c r="S42" s="131" t="str">
        <f>IF(S38=S4,IF(ISBLANK(S40),"Check","Ok"),"")</f>
        <v>Ok</v>
      </c>
      <c r="T42" s="131" t="str">
        <f>IF(T38=T4,IF(ISBLANK(T40),"Check","Ok"),"")</f>
        <v/>
      </c>
      <c r="U42" s="24"/>
      <c r="W42" s="130" t="str">
        <f>IF(COUNTIF(J42:T42,"Check")=0,"Ok","Check")</f>
        <v>Ok</v>
      </c>
    </row>
    <row r="43" spans="1:47">
      <c r="G43" s="32"/>
      <c r="H43" s="32"/>
    </row>
    <row r="44" spans="1:47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7" priority="34" operator="equal">
      <formula>"Check"</formula>
    </cfRule>
    <cfRule type="cellIs" dxfId="116" priority="35" operator="equal">
      <formula>"Ok"</formula>
    </cfRule>
  </conditionalFormatting>
  <conditionalFormatting sqref="V1">
    <cfRule type="cellIs" dxfId="115" priority="36" operator="equal">
      <formula>"Check"</formula>
    </cfRule>
    <cfRule type="cellIs" dxfId="114" priority="37" operator="equal">
      <formula>"Ok"</formula>
    </cfRule>
  </conditionalFormatting>
  <conditionalFormatting sqref="J10:T10">
    <cfRule type="expression" dxfId="113" priority="32">
      <formula>J$10=J$4</formula>
    </cfRule>
  </conditionalFormatting>
  <conditionalFormatting sqref="J17:T20 J12:N16 T12:T16">
    <cfRule type="expression" dxfId="112" priority="31">
      <formula>J$10=J$4</formula>
    </cfRule>
  </conditionalFormatting>
  <conditionalFormatting sqref="W22">
    <cfRule type="cellIs" dxfId="111" priority="27" operator="equal">
      <formula>"Check"</formula>
    </cfRule>
    <cfRule type="cellIs" dxfId="110" priority="28" operator="equal">
      <formula>"Ok"</formula>
    </cfRule>
  </conditionalFormatting>
  <conditionalFormatting sqref="J22:T22">
    <cfRule type="cellIs" dxfId="109" priority="25" operator="equal">
      <formula>"Check"</formula>
    </cfRule>
    <cfRule type="cellIs" dxfId="108" priority="26" operator="equal">
      <formula>"Ok"</formula>
    </cfRule>
  </conditionalFormatting>
  <conditionalFormatting sqref="W34">
    <cfRule type="cellIs" dxfId="107" priority="23" operator="equal">
      <formula>"Check"</formula>
    </cfRule>
    <cfRule type="cellIs" dxfId="106" priority="24" operator="equal">
      <formula>"Ok"</formula>
    </cfRule>
  </conditionalFormatting>
  <conditionalFormatting sqref="J34:T34">
    <cfRule type="cellIs" dxfId="105" priority="21" operator="equal">
      <formula>"Check"</formula>
    </cfRule>
    <cfRule type="cellIs" dxfId="104" priority="22" operator="equal">
      <formula>"Ok"</formula>
    </cfRule>
  </conditionalFormatting>
  <conditionalFormatting sqref="J28:M32 O31:O32">
    <cfRule type="expression" dxfId="103" priority="20">
      <formula>J$26=J$4</formula>
    </cfRule>
  </conditionalFormatting>
  <conditionalFormatting sqref="W42">
    <cfRule type="cellIs" dxfId="102" priority="18" operator="equal">
      <formula>"Check"</formula>
    </cfRule>
    <cfRule type="cellIs" dxfId="101" priority="19" operator="equal">
      <formula>"Ok"</formula>
    </cfRule>
  </conditionalFormatting>
  <conditionalFormatting sqref="J42:T42">
    <cfRule type="cellIs" dxfId="100" priority="16" operator="equal">
      <formula>"Check"</formula>
    </cfRule>
    <cfRule type="cellIs" dxfId="99" priority="17" operator="equal">
      <formula>"Ok"</formula>
    </cfRule>
  </conditionalFormatting>
  <conditionalFormatting sqref="P31:T32 T28:T30">
    <cfRule type="expression" dxfId="98" priority="15">
      <formula>P$10=P$4</formula>
    </cfRule>
  </conditionalFormatting>
  <conditionalFormatting sqref="N28:N32">
    <cfRule type="expression" dxfId="97" priority="14">
      <formula>N$10=N$4</formula>
    </cfRule>
  </conditionalFormatting>
  <conditionalFormatting sqref="J40:N40 T40">
    <cfRule type="expression" dxfId="96" priority="11">
      <formula>J$38=J$4</formula>
    </cfRule>
  </conditionalFormatting>
  <conditionalFormatting sqref="J26:T26">
    <cfRule type="expression" dxfId="95" priority="10">
      <formula>J$10=J$4</formula>
    </cfRule>
  </conditionalFormatting>
  <conditionalFormatting sqref="J38:T38">
    <cfRule type="expression" dxfId="94" priority="9">
      <formula>J$10=J$4</formula>
    </cfRule>
  </conditionalFormatting>
  <conditionalFormatting sqref="O12:S16">
    <cfRule type="expression" dxfId="93" priority="8">
      <formula>O$10=O$4</formula>
    </cfRule>
  </conditionalFormatting>
  <conditionalFormatting sqref="O29:S29">
    <cfRule type="expression" dxfId="92" priority="7">
      <formula>O$10=O$4</formula>
    </cfRule>
  </conditionalFormatting>
  <conditionalFormatting sqref="O40:S40">
    <cfRule type="expression" dxfId="91" priority="6">
      <formula>O$38=O$4</formula>
    </cfRule>
  </conditionalFormatting>
  <conditionalFormatting sqref="O28:S28">
    <cfRule type="expression" dxfId="90" priority="4">
      <formula>O$10=O$4</formula>
    </cfRule>
  </conditionalFormatting>
  <conditionalFormatting sqref="O30:S30">
    <cfRule type="expression" dxfId="89" priority="3">
      <formula>O$10=O$4</formula>
    </cfRule>
  </conditionalFormatting>
  <conditionalFormatting sqref="O28:S28">
    <cfRule type="expression" dxfId="88" priority="2">
      <formula>O$10=O$4</formula>
    </cfRule>
  </conditionalFormatting>
  <conditionalFormatting sqref="O29:S29">
    <cfRule type="expression" dxfId="87" priority="1">
      <formula>O$10=O$4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4"/>
  <sheetViews>
    <sheetView showGridLines="0" topLeftCell="A67" zoomScaleNormal="100" workbookViewId="0">
      <selection activeCell="T106" sqref="T106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5" style="30" customWidth="1"/>
    <col min="10" max="24" width="10.66406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1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77"/>
      <c r="E3" s="177"/>
      <c r="F3" s="177"/>
      <c r="G3" s="177"/>
      <c r="H3" s="177"/>
      <c r="I3" s="177"/>
      <c r="J3" s="167" t="s">
        <v>119</v>
      </c>
      <c r="K3" s="167"/>
      <c r="L3" s="167"/>
      <c r="M3" s="177"/>
      <c r="N3" s="219"/>
      <c r="O3" s="219"/>
      <c r="P3" s="219"/>
      <c r="Q3" s="219"/>
      <c r="R3" s="219"/>
      <c r="S3" s="219"/>
      <c r="T3" s="202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43435</v>
      </c>
      <c r="K4" s="153">
        <f>DATE(PPFirstYear+1,MONTH('Input|General'!$G$9),1)</f>
        <v>43800</v>
      </c>
      <c r="L4" s="153">
        <f>DATE(PPFirstYear+2,MONTH('Input|General'!$G$9),1)</f>
        <v>44166</v>
      </c>
      <c r="M4" s="153">
        <f>DATE(PPFirstYear+3,MONTH('Input|General'!$G$9),1)</f>
        <v>44531</v>
      </c>
      <c r="N4" s="153">
        <f>DATE(PPFirstYear+4,MONTH('Input|General'!$G$9),1)</f>
        <v>44896</v>
      </c>
      <c r="O4" s="153">
        <f>DATE(PPFirstYear+5,MONTH('Input|General'!$G$9),1)</f>
        <v>45261</v>
      </c>
      <c r="P4" s="153">
        <f>DATE(PPFirstYear+6,MONTH('Input|General'!$G$9),1)</f>
        <v>45627</v>
      </c>
      <c r="Q4" s="153">
        <f>DATE(PPFirstYear+7,MONTH('Input|General'!$G$9),1)</f>
        <v>45992</v>
      </c>
      <c r="R4" s="153">
        <f>DATE(PPFirstYear+8,MONTH('Input|General'!$G$9),1)</f>
        <v>46357</v>
      </c>
      <c r="S4" s="153">
        <f>DATE(PPFirstYear+9,MONTH('Input|General'!$G$9),1)</f>
        <v>46722</v>
      </c>
      <c r="T4" s="153">
        <f>DATE(PPFirstYear+10,MONTH('Input|General'!$G$9),1)</f>
        <v>47088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86</v>
      </c>
      <c r="C8" s="94"/>
      <c r="D8" s="94"/>
      <c r="E8" s="68" t="s">
        <v>15</v>
      </c>
      <c r="F8" s="196">
        <f>DATE(PPLastYear,MONTH('Input|General'!$G$9),1)</f>
        <v>44896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59">
        <f t="shared" ref="J10:S10" si="0">IF(YEAR(J$4)&lt;=PPLastYear,J$4,"")</f>
        <v>43435</v>
      </c>
      <c r="K10" s="159">
        <f t="shared" si="0"/>
        <v>43800</v>
      </c>
      <c r="L10" s="159">
        <f t="shared" si="0"/>
        <v>44166</v>
      </c>
      <c r="M10" s="159">
        <f t="shared" si="0"/>
        <v>44531</v>
      </c>
      <c r="N10" s="159">
        <f t="shared" si="0"/>
        <v>44896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160</v>
      </c>
      <c r="D12" s="108" t="s">
        <v>92</v>
      </c>
      <c r="E12" s="30" t="str">
        <f>'Input|Reported opex'!E57</f>
        <v>$millions</v>
      </c>
      <c r="F12" s="158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28.503311864541242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160</v>
      </c>
      <c r="D13" s="110" t="s">
        <v>30</v>
      </c>
      <c r="E13" s="30" t="str">
        <f>$E$8</f>
        <v>$millions</v>
      </c>
      <c r="F13" s="158">
        <f>$F$8</f>
        <v>44896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31.375107008810993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161</v>
      </c>
      <c r="D14" s="108" t="s">
        <v>92</v>
      </c>
      <c r="E14" s="30" t="str">
        <f>'Input|Reported opex'!E15</f>
        <v>$millions</v>
      </c>
      <c r="F14" s="158">
        <f>'Input|Reported opex'!F15</f>
        <v>43070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26.062207757972281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161</v>
      </c>
      <c r="D15" s="110" t="s">
        <v>30</v>
      </c>
      <c r="E15" s="30" t="str">
        <f>$E$8</f>
        <v>$millions</v>
      </c>
      <c r="F15" s="158">
        <f>$F$8</f>
        <v>44896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29.864988432680803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162</v>
      </c>
      <c r="D16" s="108" t="s">
        <v>92</v>
      </c>
      <c r="E16" s="30" t="str">
        <f>'Input|Reported opex'!E15</f>
        <v>$millions</v>
      </c>
      <c r="F16" s="158">
        <f>'Input|Reported opex'!F15</f>
        <v>43070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27.262266497098619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162</v>
      </c>
      <c r="D17" s="110" t="s">
        <v>30</v>
      </c>
      <c r="E17" s="30" t="str">
        <f>$E$8</f>
        <v>$millions</v>
      </c>
      <c r="F17" s="158">
        <f>$F$8</f>
        <v>44896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31.240149765725675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5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163</v>
      </c>
      <c r="D19" s="108" t="s">
        <v>92</v>
      </c>
      <c r="E19" s="30" t="str">
        <f>'Input|Reported opex'!E64</f>
        <v>$millions</v>
      </c>
      <c r="F19" s="158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5.9839347506115172E-2</v>
      </c>
      <c r="M19" s="109">
        <f>IF(YEAR(M$4)=BaseYear,'Input|Reported opex'!M57,0)</f>
        <v>0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163</v>
      </c>
      <c r="D20" s="110" t="s">
        <v>30</v>
      </c>
      <c r="E20" s="30" t="str">
        <f>$E$8</f>
        <v>$millions</v>
      </c>
      <c r="F20" s="158">
        <f>$F$8</f>
        <v>44896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6.5868343309164731E-2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164</v>
      </c>
      <c r="D21" s="108" t="s">
        <v>92</v>
      </c>
      <c r="E21" s="30" t="str">
        <f>'Input|Reported opex'!E22</f>
        <v>$millions</v>
      </c>
      <c r="F21" s="158">
        <f>'Input|Reported opex'!F29</f>
        <v>43070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0.31808805118582362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164</v>
      </c>
      <c r="D22" s="110" t="s">
        <v>30</v>
      </c>
      <c r="E22" s="30" t="str">
        <f>$E$8</f>
        <v>$millions</v>
      </c>
      <c r="F22" s="158">
        <f>$F$8</f>
        <v>44896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0.36450081502909892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165</v>
      </c>
      <c r="D23" s="108" t="s">
        <v>92</v>
      </c>
      <c r="E23" s="30" t="str">
        <f>'Input|Reported opex'!E22</f>
        <v>$millions</v>
      </c>
      <c r="F23" s="158">
        <f>'Input|Reported opex'!F29</f>
        <v>43070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0.3262331899113588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165</v>
      </c>
      <c r="D24" s="110" t="s">
        <v>30</v>
      </c>
      <c r="E24" s="30" t="str">
        <f>$E$8</f>
        <v>$millions</v>
      </c>
      <c r="F24" s="158">
        <f>$F$8</f>
        <v>44896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0.37383442467873723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3:20" outlineLevel="1">
      <c r="C26" s="113" t="s">
        <v>136</v>
      </c>
      <c r="D26" s="114" t="s">
        <v>30</v>
      </c>
      <c r="E26" s="114" t="str">
        <f>$E$8</f>
        <v>$millions</v>
      </c>
      <c r="F26" s="158">
        <f>$F$8</f>
        <v>44896</v>
      </c>
      <c r="J26" s="115">
        <f ca="1">J13</f>
        <v>0</v>
      </c>
      <c r="K26" s="115">
        <f t="shared" ref="K26:S26" ca="1" si="1">K13</f>
        <v>0</v>
      </c>
      <c r="L26" s="115">
        <f t="shared" ca="1" si="1"/>
        <v>31.375107008810993</v>
      </c>
      <c r="M26" s="115">
        <f t="shared" ca="1" si="1"/>
        <v>0</v>
      </c>
      <c r="N26" s="115">
        <f t="shared" ca="1" si="1"/>
        <v>0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outlineLevel="1">
      <c r="C27" s="123"/>
      <c r="D27" s="110"/>
      <c r="E27" s="110"/>
      <c r="F27" s="158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outlineLevel="1">
      <c r="C28" s="123" t="s">
        <v>158</v>
      </c>
      <c r="D28" s="108" t="s">
        <v>92</v>
      </c>
      <c r="E28" s="110" t="str">
        <f>'Input|Reported opex'!E69</f>
        <v>$millions</v>
      </c>
      <c r="F28" s="158">
        <f>'Input|Reported opex'!F69</f>
        <v>44896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58">
        <f>$F$8</f>
        <v>44896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3"/>
      <c r="D30" s="110"/>
      <c r="E30" s="110"/>
      <c r="F30" s="158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outlineLevel="1">
      <c r="C31" s="123" t="s">
        <v>156</v>
      </c>
      <c r="D31" s="110" t="s">
        <v>30</v>
      </c>
      <c r="E31" s="110" t="str">
        <f>$E$8</f>
        <v>$millions</v>
      </c>
      <c r="F31" s="158">
        <f>$F$8</f>
        <v>44896</v>
      </c>
      <c r="G31" s="110"/>
      <c r="H31" s="110"/>
      <c r="I31" s="110"/>
      <c r="J31" s="172">
        <f t="shared" ref="J31:S31" si="2">IF(YEAR(J$4)=PPLastYear,-SUM($J15:$S15)+SUM($J17:$S17),0)</f>
        <v>0</v>
      </c>
      <c r="K31" s="172">
        <f t="shared" si="2"/>
        <v>0</v>
      </c>
      <c r="L31" s="172">
        <f t="shared" si="2"/>
        <v>0</v>
      </c>
      <c r="M31" s="172">
        <f t="shared" si="2"/>
        <v>0</v>
      </c>
      <c r="N31" s="172">
        <f t="shared" si="2"/>
        <v>1.375161333044872</v>
      </c>
      <c r="O31" s="172">
        <f t="shared" si="2"/>
        <v>0</v>
      </c>
      <c r="P31" s="172">
        <f t="shared" si="2"/>
        <v>0</v>
      </c>
      <c r="Q31" s="172">
        <f t="shared" si="2"/>
        <v>0</v>
      </c>
      <c r="R31" s="172">
        <f t="shared" si="2"/>
        <v>0</v>
      </c>
      <c r="S31" s="172">
        <f t="shared" si="2"/>
        <v>0</v>
      </c>
      <c r="T31" s="172"/>
    </row>
    <row r="32" spans="3:20" outlineLevel="1">
      <c r="C32" s="123"/>
      <c r="D32" s="110"/>
      <c r="E32" s="110"/>
      <c r="F32" s="158"/>
      <c r="G32" s="110"/>
      <c r="H32" s="110"/>
      <c r="I32" s="110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</row>
    <row r="33" spans="3:20" outlineLevel="1">
      <c r="C33" s="123" t="s">
        <v>104</v>
      </c>
      <c r="D33" s="110" t="s">
        <v>30</v>
      </c>
      <c r="E33" s="110" t="str">
        <f>$E$8</f>
        <v>$millions</v>
      </c>
      <c r="F33" s="158">
        <f>$F$8</f>
        <v>44896</v>
      </c>
      <c r="J33" s="172">
        <f t="shared" ref="J33:S33" si="3">IF(YEAR(J$4)=PPLastYear,SUM($J26:$S26,$J29:$S29,$J31:$S31),0)</f>
        <v>0</v>
      </c>
      <c r="K33" s="172">
        <f t="shared" si="3"/>
        <v>0</v>
      </c>
      <c r="L33" s="172">
        <f t="shared" si="3"/>
        <v>0</v>
      </c>
      <c r="M33" s="172">
        <f t="shared" si="3"/>
        <v>0</v>
      </c>
      <c r="N33" s="172">
        <f t="shared" ca="1" si="3"/>
        <v>32.750268341855865</v>
      </c>
      <c r="O33" s="172">
        <f t="shared" si="3"/>
        <v>0</v>
      </c>
      <c r="P33" s="172">
        <f t="shared" si="3"/>
        <v>0</v>
      </c>
      <c r="Q33" s="172">
        <f t="shared" si="3"/>
        <v>0</v>
      </c>
      <c r="R33" s="172">
        <f t="shared" si="3"/>
        <v>0</v>
      </c>
      <c r="S33" s="172">
        <f t="shared" si="3"/>
        <v>0</v>
      </c>
      <c r="T33" s="172"/>
    </row>
    <row r="34" spans="3:20" outlineLevel="1">
      <c r="C34" s="123"/>
      <c r="D34" s="110"/>
      <c r="E34" s="110"/>
      <c r="F34" s="158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</row>
    <row r="35" spans="3:20" outlineLevel="1">
      <c r="C35" s="123" t="s">
        <v>166</v>
      </c>
      <c r="D35" s="110" t="s">
        <v>30</v>
      </c>
      <c r="E35" s="110" t="str">
        <f>$E$8</f>
        <v>$millions</v>
      </c>
      <c r="F35" s="158">
        <f>$F$8</f>
        <v>44896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-7.5201952958803053E-2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outlineLevel="1">
      <c r="C36" s="123"/>
      <c r="D36" s="110"/>
      <c r="E36" s="110"/>
      <c r="F36" s="158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outlineLevel="1">
      <c r="C37" s="123" t="str">
        <f>'Input|Reported opex'!$C$63</f>
        <v>Adjustment 1</v>
      </c>
      <c r="D37" s="108" t="s">
        <v>92</v>
      </c>
      <c r="E37" s="110" t="str">
        <f>'Input|Reported opex'!E63</f>
        <v>$millions</v>
      </c>
      <c r="F37" s="158">
        <f>'Input|Reported opex'!F63</f>
        <v>44896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58">
        <f>$F$8</f>
        <v>44896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3"/>
      <c r="D39" s="110"/>
      <c r="F39" s="158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outlineLevel="1">
      <c r="C40" s="123" t="str">
        <f>'Input|Reported opex'!$C$64</f>
        <v>Adjustment 2</v>
      </c>
      <c r="D40" s="108" t="s">
        <v>92</v>
      </c>
      <c r="E40" s="30" t="str">
        <f>'Input|Reported opex'!$E$64</f>
        <v>$millions</v>
      </c>
      <c r="F40" s="158">
        <f>'Input|Reported opex'!$F$64</f>
        <v>44896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58">
        <f>$F$8</f>
        <v>44896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3"/>
      <c r="D42" s="110"/>
      <c r="F42" s="158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outlineLevel="1">
      <c r="C43" s="123" t="str">
        <f>'Input|Reported opex'!$C$65</f>
        <v>Adjustment 3</v>
      </c>
      <c r="D43" s="108" t="s">
        <v>92</v>
      </c>
      <c r="E43" s="30" t="str">
        <f>'Input|Reported opex'!$E$65</f>
        <v>$millions</v>
      </c>
      <c r="F43" s="158">
        <f>'Input|Reported opex'!$F$65</f>
        <v>44896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58">
        <f>$F$8</f>
        <v>44896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3"/>
      <c r="D45" s="110"/>
      <c r="F45" s="158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outlineLevel="1">
      <c r="C46" s="123" t="str">
        <f>'Input|Reported opex'!$C$66</f>
        <v>Adjustment 4</v>
      </c>
      <c r="D46" s="108" t="s">
        <v>92</v>
      </c>
      <c r="E46" s="30" t="str">
        <f>'Input|Reported opex'!$E$66</f>
        <v>$millions</v>
      </c>
      <c r="F46" s="158">
        <f>'Input|Reported opex'!$F$66</f>
        <v>44896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58">
        <f>$F$8</f>
        <v>44896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3"/>
      <c r="D48" s="110"/>
      <c r="F48" s="158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outlineLevel="1">
      <c r="C49" s="123" t="str">
        <f>'Input|Reported opex'!$C$67</f>
        <v>Adjustment 5</v>
      </c>
      <c r="D49" s="108" t="s">
        <v>92</v>
      </c>
      <c r="E49" s="30" t="str">
        <f>'Input|Reported opex'!$E$67</f>
        <v>$millions</v>
      </c>
      <c r="F49" s="158">
        <f>'Input|Reported opex'!$F$67</f>
        <v>44896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58">
        <f>$F$8</f>
        <v>44896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3"/>
      <c r="D51" s="110"/>
      <c r="E51" s="110"/>
      <c r="F51" s="15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outlineLevel="1">
      <c r="C52" s="123" t="s">
        <v>89</v>
      </c>
      <c r="D52" s="110" t="s">
        <v>98</v>
      </c>
      <c r="E52" s="110" t="str">
        <f>$E$8</f>
        <v>$millions</v>
      </c>
      <c r="F52" s="158">
        <f>$F$8</f>
        <v>44896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 ca="1"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73" t="s">
        <v>167</v>
      </c>
      <c r="D54" s="112" t="s">
        <v>98</v>
      </c>
      <c r="E54" s="112" t="str">
        <f>$E$8</f>
        <v>$millions</v>
      </c>
      <c r="F54" s="174">
        <f>$F$8</f>
        <v>44896</v>
      </c>
      <c r="J54" s="172">
        <f>SUM(J33,J35,J38,J41,J44,J47,J50,J52)</f>
        <v>0</v>
      </c>
      <c r="K54" s="172">
        <f t="shared" ref="K54:S54" si="5">SUM(K33,K35,K38,K41,K44,K47,K50,K52)</f>
        <v>0</v>
      </c>
      <c r="L54" s="172">
        <f t="shared" si="5"/>
        <v>0</v>
      </c>
      <c r="M54" s="172">
        <f t="shared" si="5"/>
        <v>0</v>
      </c>
      <c r="N54" s="172">
        <f t="shared" ca="1" si="5"/>
        <v>32.675066388897065</v>
      </c>
      <c r="O54" s="172">
        <f t="shared" si="5"/>
        <v>0</v>
      </c>
      <c r="P54" s="172">
        <f t="shared" si="5"/>
        <v>0</v>
      </c>
      <c r="Q54" s="172">
        <f t="shared" si="5"/>
        <v>0</v>
      </c>
      <c r="R54" s="172">
        <f t="shared" si="5"/>
        <v>0</v>
      </c>
      <c r="S54" s="172">
        <f t="shared" si="5"/>
        <v>0</v>
      </c>
      <c r="T54" s="172"/>
    </row>
    <row r="55" spans="1:48">
      <c r="J55" s="107"/>
      <c r="K55" s="107"/>
      <c r="L55" s="107"/>
    </row>
    <row r="56" spans="1:48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outlineLevel="1">
      <c r="C58" s="67" t="s">
        <v>42</v>
      </c>
      <c r="D58" s="32" t="s">
        <v>7</v>
      </c>
      <c r="E58" s="32" t="s">
        <v>8</v>
      </c>
      <c r="F58" s="32" t="s">
        <v>22</v>
      </c>
      <c r="J58" s="159" t="str">
        <f>IF(YEAR(J$4)&gt;='Input|General'!$G$13,IF(YEAR(J$4)&lt;='Input|General'!$G$14,J$4,""),"")</f>
        <v/>
      </c>
      <c r="K58" s="159" t="str">
        <f>IF(YEAR(K$4)&gt;='Input|General'!$G$13,IF(YEAR(K$4)&lt;='Input|General'!$G$14,K$4,""),"")</f>
        <v/>
      </c>
      <c r="L58" s="159" t="str">
        <f>IF(YEAR(L$4)&gt;='Input|General'!$G$13,IF(YEAR(L$4)&lt;='Input|General'!$G$14,L$4,""),"")</f>
        <v/>
      </c>
      <c r="M58" s="159" t="str">
        <f>IF(YEAR(M$4)&gt;='Input|General'!$G$13,IF(YEAR(M$4)&lt;='Input|General'!$G$14,M$4,""),"")</f>
        <v/>
      </c>
      <c r="N58" s="159" t="str">
        <f>IF(YEAR(N$4)&gt;='Input|General'!$G$13,IF(YEAR(N$4)&lt;='Input|General'!$G$14,N$4,""),"")</f>
        <v/>
      </c>
      <c r="O58" s="159">
        <f>IF(YEAR(O$4)&gt;='Input|General'!$G$13,IF(YEAR(O$4)&lt;='Input|General'!$G$14,O$4,""),"")</f>
        <v>45261</v>
      </c>
      <c r="P58" s="159">
        <f>IF(YEAR(P$4)&gt;='Input|General'!$G$13,IF(YEAR(P$4)&lt;='Input|General'!$G$14,P$4,""),"")</f>
        <v>45627</v>
      </c>
      <c r="Q58" s="159">
        <f>IF(YEAR(Q$4)&gt;='Input|General'!$G$13,IF(YEAR(Q$4)&lt;='Input|General'!$G$14,Q$4,""),"")</f>
        <v>45992</v>
      </c>
      <c r="R58" s="159">
        <f>IF(YEAR(R$4)&gt;='Input|General'!$G$13,IF(YEAR(R$4)&lt;='Input|General'!$G$14,R$4,""),"")</f>
        <v>46357</v>
      </c>
      <c r="S58" s="159">
        <f>IF(YEAR(S$4)&gt;='Input|General'!$G$13,IF(YEAR(S$4)&lt;='Input|General'!$G$14,S$4,""),"")</f>
        <v>46722</v>
      </c>
      <c r="T58" s="159" t="str">
        <f>IF(YEAR(T$4)&gt;='Input|General'!$G$13,IF(YEAR(T$4)&lt;='Input|General'!$G$14,T$4,""),"")</f>
        <v/>
      </c>
    </row>
    <row r="59" spans="1:48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183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0</v>
      </c>
      <c r="P61" s="117">
        <f ca="1">IF(P58=P4,AVERAGE(OFFSET('Input|Rate of change'!Q97,0,0,COUNTA('Input|Rate of change'!$J$84:$M$84),1)),0)</f>
        <v>0</v>
      </c>
      <c r="Q61" s="117">
        <f ca="1">IF(Q58=Q4,AVERAGE(OFFSET('Input|Rate of change'!R97,0,0,COUNTA('Input|Rate of change'!$J$84:$M$84),1)),0)</f>
        <v>0</v>
      </c>
      <c r="R61" s="117">
        <f ca="1">IF(R58=R4,AVERAGE(OFFSET('Input|Rate of change'!S97,0,0,COUNTA('Input|Rate of change'!$J$84:$M$84),1)),0)</f>
        <v>0</v>
      </c>
      <c r="S61" s="117">
        <f ca="1">IF(S58=S4,AVERAGE(OFFSET('Input|Rate of change'!T97,0,0,COUNTA('Input|Rate of change'!$J$84:$M$84),1)),0)</f>
        <v>0</v>
      </c>
      <c r="T61" s="117">
        <f ca="1">IF(T58=T4,AVERAGE(OFFSET('Input|Rate of change'!U97,0,0,COUNTA('Input|Rate of change'!$J$84:$M$84),1)),0)</f>
        <v>0</v>
      </c>
    </row>
    <row r="62" spans="1:48" outlineLevel="1">
      <c r="C62" s="111" t="s">
        <v>186</v>
      </c>
      <c r="D62" s="110" t="s">
        <v>30</v>
      </c>
      <c r="E62" s="30" t="s">
        <v>31</v>
      </c>
      <c r="F62" s="30" t="s">
        <v>36</v>
      </c>
      <c r="J62" s="117">
        <f t="array" ref="J62">IF(J$58=J$4,PRODUCT(1+$J61:J61)-1,0)</f>
        <v>0</v>
      </c>
      <c r="K62" s="117">
        <f t="array" ref="K62">IF(K$58=K$4,PRODUCT(1+$J61:K61)-1,0)</f>
        <v>0</v>
      </c>
      <c r="L62" s="117">
        <f t="array" ref="L62">IF(L$58=L$4,PRODUCT(1+$J61:L61)-1,0)</f>
        <v>0</v>
      </c>
      <c r="M62" s="117">
        <f t="array" ref="M62">IF(M$58=M$4,PRODUCT(1+$J61:M61)-1,0)</f>
        <v>0</v>
      </c>
      <c r="N62" s="117">
        <f t="array" ref="N62">IF(N$58=N$4,PRODUCT(1+$J61:N61)-1,0)</f>
        <v>0</v>
      </c>
      <c r="O62" s="117">
        <f t="array" aca="1" ref="O62" ca="1">IF(O$58=O$4,PRODUCT(1+$J61:O61)-1,0)</f>
        <v>0</v>
      </c>
      <c r="P62" s="117">
        <f t="array" aca="1" ref="P62" ca="1">IF(P$58=P$4,PRODUCT(1+$J61:P61)-1,0)</f>
        <v>0</v>
      </c>
      <c r="Q62" s="117">
        <f t="array" aca="1" ref="Q62" ca="1">IF(Q$58=Q$4,PRODUCT(1+$J61:Q61)-1,0)</f>
        <v>0</v>
      </c>
      <c r="R62" s="117">
        <f t="array" aca="1" ref="R62" ca="1">IF(R$58=R$4,PRODUCT(1+$J61:R61)-1,0)</f>
        <v>0</v>
      </c>
      <c r="S62" s="117">
        <f t="array" aca="1" ref="S62" ca="1">IF(S$58=S$4,PRODUCT(1+$J61:S61)-1,0)</f>
        <v>0</v>
      </c>
      <c r="T62" s="117">
        <f t="array" ref="T62">IF(T$58=T$4,PRODUCT(1+$J61:T61)-1,0)</f>
        <v>0</v>
      </c>
    </row>
    <row r="63" spans="1:48" outlineLevel="1"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</row>
    <row r="64" spans="1:48" outlineLevel="1">
      <c r="C64" s="111" t="s">
        <v>184</v>
      </c>
      <c r="D64" s="110" t="s">
        <v>30</v>
      </c>
      <c r="E64" s="30" t="s">
        <v>31</v>
      </c>
      <c r="F64" s="30" t="s">
        <v>36</v>
      </c>
      <c r="J64" s="117">
        <f>SUMPRODUCT('Input|Rate of change'!K38:K45,'Input|Rate of change'!K51:K58)</f>
        <v>0</v>
      </c>
      <c r="K64" s="117">
        <f>SUMPRODUCT('Input|Rate of change'!L38:L45,'Input|Rate of change'!L51:L58)</f>
        <v>0</v>
      </c>
      <c r="L64" s="117">
        <f>SUMPRODUCT('Input|Rate of change'!M38:M45,'Input|Rate of change'!M51:M58)</f>
        <v>0</v>
      </c>
      <c r="M64" s="117">
        <f>SUMPRODUCT('Input|Rate of change'!N38:N45,'Input|Rate of change'!N51:N58)</f>
        <v>0</v>
      </c>
      <c r="N64" s="117">
        <f>SUMPRODUCT('Input|Rate of change'!O38:O45,'Input|Rate of change'!O51:O58)</f>
        <v>0</v>
      </c>
      <c r="O64" s="117">
        <f>SUMPRODUCT('Input|Rate of change'!P38:P45,'Input|Rate of change'!P51:P58)</f>
        <v>3.3268602069800313E-3</v>
      </c>
      <c r="P64" s="117">
        <f>SUMPRODUCT('Input|Rate of change'!Q38:Q45,'Input|Rate of change'!Q51:Q58)</f>
        <v>5.4375432927849304E-3</v>
      </c>
      <c r="Q64" s="117">
        <f>SUMPRODUCT('Input|Rate of change'!R38:R45,'Input|Rate of change'!R51:R58)</f>
        <v>6.3386559169168995E-3</v>
      </c>
      <c r="R64" s="117">
        <f>SUMPRODUCT('Input|Rate of change'!S38:S45,'Input|Rate of change'!S51:S58)</f>
        <v>5.7716716998375472E-3</v>
      </c>
      <c r="S64" s="117">
        <f>SUMPRODUCT('Input|Rate of change'!T38:T45,'Input|Rate of change'!T51:T58)</f>
        <v>4.2641623679937493E-3</v>
      </c>
      <c r="T64" s="117">
        <f>SUMPRODUCT('Input|Rate of change'!U38:U45,'Input|Rate of change'!U51:U58)</f>
        <v>0</v>
      </c>
      <c r="U64" s="218"/>
    </row>
    <row r="65" spans="1:48" outlineLevel="1">
      <c r="C65" s="111" t="s">
        <v>187</v>
      </c>
      <c r="D65" s="110" t="s">
        <v>30</v>
      </c>
      <c r="E65" s="30" t="s">
        <v>31</v>
      </c>
      <c r="F65" s="30" t="s">
        <v>36</v>
      </c>
      <c r="J65" s="117">
        <f t="array" ref="J65">IF(J$58=J$4,PRODUCT(1+$J64:J64)-1,0)</f>
        <v>0</v>
      </c>
      <c r="K65" s="117">
        <f t="array" ref="K65">IF(K$58=K$4,PRODUCT(1+$J64:K64)-1,0)</f>
        <v>0</v>
      </c>
      <c r="L65" s="117">
        <f t="array" ref="L65">IF(L$58=L$4,PRODUCT(1+$J64:L64)-1,0)</f>
        <v>0</v>
      </c>
      <c r="M65" s="117">
        <f t="array" ref="M65">IF(M$58=M$4,PRODUCT(1+$J64:M64)-1,0)</f>
        <v>0</v>
      </c>
      <c r="N65" s="117">
        <f t="array" ref="N65">IF(N$58=N$4,PRODUCT(1+$J64:N64)-1,0)</f>
        <v>0</v>
      </c>
      <c r="O65" s="117">
        <f t="array" ref="O65">IF(O$58=O$4,PRODUCT(1+$J64:O64)-1,0)</f>
        <v>3.3268602069800313E-3</v>
      </c>
      <c r="P65" s="117">
        <f t="array" ref="P65">IF(P$58=P$4,PRODUCT(1+$J64:P64)-1,0)</f>
        <v>8.782493446169326E-3</v>
      </c>
      <c r="Q65" s="117">
        <f t="array" ref="Q65">IF(Q$58=Q$4,PRODUCT(1+$J64:Q64)-1,0)</f>
        <v>1.5176818567134154E-2</v>
      </c>
      <c r="R65" s="117">
        <f t="array" ref="R65">IF(R$58=R$4,PRODUCT(1+$J64:R64)-1,0)</f>
        <v>2.1036085881189104E-2</v>
      </c>
      <c r="S65" s="117">
        <f t="array" ref="S65">IF(S$58=S$4,PRODUCT(1+$J64:S64)-1,0)</f>
        <v>2.5389949534967426E-2</v>
      </c>
      <c r="T65" s="117">
        <f t="array" ref="T65">IF(T$58=T$4,PRODUCT(1+$J64:T64)-1,0)</f>
        <v>0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185</v>
      </c>
      <c r="D67" s="110" t="s">
        <v>30</v>
      </c>
      <c r="E67" s="30" t="s">
        <v>31</v>
      </c>
      <c r="F67" s="30" t="s">
        <v>36</v>
      </c>
      <c r="J67" s="117">
        <f>'Input|Rate of change'!K106</f>
        <v>0</v>
      </c>
      <c r="K67" s="117">
        <f>'Input|Rate of change'!L106</f>
        <v>0</v>
      </c>
      <c r="L67" s="117">
        <f>'Input|Rate of change'!M106</f>
        <v>0</v>
      </c>
      <c r="M67" s="117">
        <f>'Input|Rate of change'!N106</f>
        <v>0</v>
      </c>
      <c r="N67" s="117">
        <f>'Input|Rate of change'!O106</f>
        <v>0</v>
      </c>
      <c r="O67" s="117">
        <f>'Input|Rate of change'!P106</f>
        <v>5.0000000000000001E-3</v>
      </c>
      <c r="P67" s="117">
        <f>'Input|Rate of change'!Q106</f>
        <v>5.0000000000000001E-3</v>
      </c>
      <c r="Q67" s="117">
        <f>'Input|Rate of change'!R106</f>
        <v>5.0000000000000001E-3</v>
      </c>
      <c r="R67" s="117">
        <f>'Input|Rate of change'!S106</f>
        <v>5.0000000000000001E-3</v>
      </c>
      <c r="S67" s="117">
        <f>'Input|Rate of change'!T106</f>
        <v>5.0000000000000001E-3</v>
      </c>
      <c r="T67" s="117">
        <f>'Input|Rate of change'!U106</f>
        <v>0</v>
      </c>
    </row>
    <row r="68" spans="1:48" outlineLevel="1">
      <c r="C68" s="111" t="s">
        <v>188</v>
      </c>
      <c r="D68" s="110" t="s">
        <v>30</v>
      </c>
      <c r="E68" s="30" t="s">
        <v>31</v>
      </c>
      <c r="F68" s="30" t="s">
        <v>36</v>
      </c>
      <c r="J68" s="117">
        <f t="array" ref="J68">IF(J$58=J$4,PRODUCT(1+$J67:J67)-1,0)</f>
        <v>0</v>
      </c>
      <c r="K68" s="117">
        <f t="array" ref="K68">IF(K$58=K$4,PRODUCT(1+$J67:K67)-1,0)</f>
        <v>0</v>
      </c>
      <c r="L68" s="117">
        <f t="array" ref="L68">IF(L$58=L$4,PRODUCT(1+$J67:L67)-1,0)</f>
        <v>0</v>
      </c>
      <c r="M68" s="117">
        <f t="array" ref="M68">IF(M$58=M$4,PRODUCT(1+$J67:M67)-1,0)</f>
        <v>0</v>
      </c>
      <c r="N68" s="117">
        <f t="array" ref="N68">IF(N$58=N$4,PRODUCT(1+$J67:N67)-1,0)</f>
        <v>0</v>
      </c>
      <c r="O68" s="117">
        <f t="array" ref="O68">IF(O$58=O$4,PRODUCT(1+$J67:O67)-1,0)</f>
        <v>4.9999999999998934E-3</v>
      </c>
      <c r="P68" s="117">
        <f t="array" ref="P68">IF(P$58=P$4,PRODUCT(1+$J67:P67)-1,0)</f>
        <v>1.0024999999999729E-2</v>
      </c>
      <c r="Q68" s="117">
        <f t="array" ref="Q68">IF(Q$58=Q$4,PRODUCT(1+$J67:Q67)-1,0)</f>
        <v>1.5075124999999634E-2</v>
      </c>
      <c r="R68" s="117">
        <f t="array" ref="R68">IF(R$58=R$4,PRODUCT(1+$J67:R67)-1,0)</f>
        <v>2.0150500624999568E-2</v>
      </c>
      <c r="S68" s="117">
        <f t="array" ref="S68">IF(S$58=S$4,PRODUCT(1+$J67:S67)-1,0)</f>
        <v>2.5251253128124374E-2</v>
      </c>
      <c r="T68" s="117">
        <f t="array" ref="T68">IF(T$58=T$4,PRODUCT(1+$J67:T67)-1,0)</f>
        <v>0</v>
      </c>
    </row>
    <row r="69" spans="1:48" outlineLevel="1">
      <c r="C69" s="111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</row>
    <row r="70" spans="1:48" outlineLevel="1">
      <c r="C70" s="118" t="s">
        <v>137</v>
      </c>
      <c r="D70" s="114" t="s">
        <v>30</v>
      </c>
      <c r="E70" s="114" t="s">
        <v>31</v>
      </c>
      <c r="F70" s="114" t="s">
        <v>36</v>
      </c>
      <c r="J70" s="142">
        <f ca="1">(1+J61)*(1+J64)*(1-J67)-1</f>
        <v>0</v>
      </c>
      <c r="K70" s="142">
        <f t="shared" ref="K70:S70" ca="1" si="6">(1+K61)*(1+K64)*(1-K67)-1</f>
        <v>0</v>
      </c>
      <c r="L70" s="142">
        <f t="shared" ca="1" si="6"/>
        <v>0</v>
      </c>
      <c r="M70" s="142">
        <f t="shared" ca="1" si="6"/>
        <v>0</v>
      </c>
      <c r="N70" s="142">
        <f t="shared" ca="1" si="6"/>
        <v>0</v>
      </c>
      <c r="O70" s="142">
        <f t="shared" ca="1" si="6"/>
        <v>-1.6897740940549077E-3</v>
      </c>
      <c r="P70" s="142">
        <f t="shared" ca="1" si="6"/>
        <v>4.1035557632107533E-4</v>
      </c>
      <c r="Q70" s="142">
        <f t="shared" ca="1" si="6"/>
        <v>1.3069626373323207E-3</v>
      </c>
      <c r="R70" s="142">
        <f t="shared" ca="1" si="6"/>
        <v>7.4281334133829979E-4</v>
      </c>
      <c r="S70" s="142">
        <f t="shared" ca="1" si="6"/>
        <v>-7.5715844384616204E-4</v>
      </c>
      <c r="T70" s="142">
        <f t="shared" ref="T70" ca="1" si="7">(1+T61)*(1+T64)*(1-T67)-1</f>
        <v>0</v>
      </c>
      <c r="U70" s="218"/>
    </row>
    <row r="71" spans="1:48" outlineLevel="1">
      <c r="C71" s="124" t="s">
        <v>138</v>
      </c>
      <c r="D71" s="110" t="s">
        <v>30</v>
      </c>
      <c r="E71" s="30" t="s">
        <v>31</v>
      </c>
      <c r="F71" s="30" t="s">
        <v>36</v>
      </c>
      <c r="J71" s="117" t="str">
        <f t="array" ref="J71">IF(J$58=J$4,PRODUCT(1+$J70:J70)-1,"")</f>
        <v/>
      </c>
      <c r="K71" s="117" t="str">
        <f t="array" ref="K71">IF(K$58=K$4,PRODUCT(1+$J70:K70)-1,"")</f>
        <v/>
      </c>
      <c r="L71" s="117" t="str">
        <f t="array" ref="L71">IF(L$58=L$4,PRODUCT(1+$J70:L70)-1,"")</f>
        <v/>
      </c>
      <c r="M71" s="117" t="str">
        <f t="array" ref="M71">IF(M$58=M$4,PRODUCT(1+$J70:M70)-1,"")</f>
        <v/>
      </c>
      <c r="N71" s="117" t="str">
        <f t="array" ref="N71">IF(N$58=N$4,PRODUCT(1+$J70:N70)-1,"")</f>
        <v/>
      </c>
      <c r="O71" s="117">
        <f t="array" aca="1" ref="O71" ca="1">IF(O$58=O$4,PRODUCT(1+$J70:O70)-1,"")</f>
        <v>-1.6897740940549077E-3</v>
      </c>
      <c r="P71" s="117">
        <f t="array" aca="1" ref="P71" ca="1">IF(P$58=P$4,PRODUCT(1+$J70:P70)-1,"")</f>
        <v>-1.2801119259560068E-3</v>
      </c>
      <c r="Q71" s="117">
        <f t="array" aca="1" ref="Q71" ca="1">IF(Q$58=Q$4,PRODUCT(1+$J70:Q70)-1,"")</f>
        <v>2.5177652917429683E-5</v>
      </c>
      <c r="R71" s="117">
        <f t="array" aca="1" ref="R71" ca="1">IF(R$58=R$4,PRODUCT(1+$J70:R70)-1,"")</f>
        <v>7.6800969655232976E-4</v>
      </c>
      <c r="S71" s="117">
        <f t="array" aca="1" ref="S71" ca="1">IF(S$58=S$4,PRODUCT(1+$J70:S70)-1,"")</f>
        <v>1.0269747679370056E-5</v>
      </c>
      <c r="T71" s="117" t="str">
        <f t="array" ref="T71">IF(T$58=T$4,PRODUCT(1+$J70:T70)-1,"")</f>
        <v/>
      </c>
    </row>
    <row r="72" spans="1:48">
      <c r="J72" s="107"/>
      <c r="K72" s="107"/>
      <c r="L72" s="107"/>
      <c r="M72" s="107"/>
      <c r="N72" s="107"/>
      <c r="O72" s="119"/>
      <c r="P72" s="119"/>
      <c r="Q72" s="119"/>
      <c r="R72" s="119"/>
      <c r="S72" s="119"/>
      <c r="T72" s="119"/>
    </row>
    <row r="73" spans="1:48" s="103" customFormat="1" ht="12.75">
      <c r="A73" s="94"/>
      <c r="B73" s="95" t="s">
        <v>90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  <c r="Y73" s="99"/>
      <c r="Z73" s="99"/>
      <c r="AA73" s="99"/>
      <c r="AB73" s="99"/>
      <c r="AC73" s="100"/>
      <c r="AD73" s="101"/>
      <c r="AE73" s="101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</row>
    <row r="74" spans="1:48" outlineLevel="1">
      <c r="C74" s="106"/>
      <c r="J74" s="107"/>
      <c r="K74" s="107"/>
      <c r="L74" s="107"/>
    </row>
    <row r="75" spans="1:48" outlineLevel="1">
      <c r="C75" s="67" t="s">
        <v>102</v>
      </c>
      <c r="D75" s="32" t="s">
        <v>7</v>
      </c>
      <c r="E75" s="32" t="s">
        <v>8</v>
      </c>
      <c r="F75" s="32" t="s">
        <v>22</v>
      </c>
      <c r="J75" s="159" t="str">
        <f>IF(YEAR(J$4)&gt;='Input|General'!$G$13,IF(YEAR(J$4)&lt;='Input|General'!$G$14,J$4,""),"")</f>
        <v/>
      </c>
      <c r="K75" s="159" t="str">
        <f>IF(YEAR(K$4)&gt;='Input|General'!$G$13,IF(YEAR(K$4)&lt;='Input|General'!$G$14,K$4,""),"")</f>
        <v/>
      </c>
      <c r="L75" s="159" t="str">
        <f>IF(YEAR(L$4)&gt;='Input|General'!$G$13,IF(YEAR(L$4)&lt;='Input|General'!$G$14,L$4,""),"")</f>
        <v/>
      </c>
      <c r="M75" s="159" t="str">
        <f>IF(YEAR(M$4)&gt;='Input|General'!$G$13,IF(YEAR(M$4)&lt;='Input|General'!$G$14,M$4,""),"")</f>
        <v/>
      </c>
      <c r="N75" s="159" t="str">
        <f>IF(YEAR(N$4)&gt;='Input|General'!$G$13,IF(YEAR(N$4)&lt;='Input|General'!$G$14,N$4,""),"")</f>
        <v/>
      </c>
      <c r="O75" s="159">
        <f>IF(YEAR(O$4)&gt;='Input|General'!$G$13,IF(YEAR(O$4)&lt;='Input|General'!$G$14,O$4,""),"")</f>
        <v>45261</v>
      </c>
      <c r="P75" s="159">
        <f>IF(YEAR(P$4)&gt;='Input|General'!$G$13,IF(YEAR(P$4)&lt;='Input|General'!$G$14,P$4,""),"")</f>
        <v>45627</v>
      </c>
      <c r="Q75" s="159">
        <f>IF(YEAR(Q$4)&gt;='Input|General'!$G$13,IF(YEAR(Q$4)&lt;='Input|General'!$G$14,Q$4,""),"")</f>
        <v>45992</v>
      </c>
      <c r="R75" s="159">
        <f>IF(YEAR(R$4)&gt;='Input|General'!$G$13,IF(YEAR(R$4)&lt;='Input|General'!$G$14,R$4,""),"")</f>
        <v>46357</v>
      </c>
      <c r="S75" s="159">
        <f>IF(YEAR(S$4)&gt;='Input|General'!$G$13,IF(YEAR(S$4)&lt;='Input|General'!$G$14,S$4,""),"")</f>
        <v>46722</v>
      </c>
      <c r="T75" s="159" t="str">
        <f>IF(YEAR(T$4)&gt;='Input|General'!$G$13,IF(YEAR(T$4)&lt;='Input|General'!$G$14,T$4,""),"")</f>
        <v/>
      </c>
    </row>
    <row r="76" spans="1:48" outlineLevel="1">
      <c r="C76" s="67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</row>
    <row r="77" spans="1:48" outlineLevel="1">
      <c r="C77" s="121" t="str">
        <f>'Input|Step changes'!C12</f>
        <v>Transformation of Technology</v>
      </c>
      <c r="D77" s="110" t="s">
        <v>30</v>
      </c>
      <c r="E77" s="30" t="str">
        <f t="shared" ref="E77:E97" si="8">$E$8</f>
        <v>$millions</v>
      </c>
      <c r="F77" s="158">
        <f t="shared" ref="F77:F87" si="9">$F$8</f>
        <v>44896</v>
      </c>
      <c r="J77" s="12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12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12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12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12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12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12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12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12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12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127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48" outlineLevel="1">
      <c r="C78" s="121" t="str">
        <f>'Input|Step changes'!C13</f>
        <v>Security of Critical Infrastructure</v>
      </c>
      <c r="D78" s="110" t="s">
        <v>30</v>
      </c>
      <c r="E78" s="30" t="str">
        <f t="shared" si="8"/>
        <v>$millions</v>
      </c>
      <c r="F78" s="158">
        <f t="shared" si="9"/>
        <v>44896</v>
      </c>
      <c r="J78" s="12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12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12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12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12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12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P78" s="12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Q78" s="12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R78" s="12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S78" s="12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0.82921000000000011</v>
      </c>
      <c r="T78" s="127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48" outlineLevel="1">
      <c r="C79" s="121" t="str">
        <f>'Input|Step changes'!C14</f>
        <v>Increase in VTS property taxes</v>
      </c>
      <c r="D79" s="110" t="s">
        <v>30</v>
      </c>
      <c r="E79" s="30" t="str">
        <f t="shared" si="8"/>
        <v>$millions</v>
      </c>
      <c r="F79" s="158">
        <f t="shared" si="9"/>
        <v>44896</v>
      </c>
      <c r="J79" s="12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12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12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12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12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12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12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12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12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12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127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48" outlineLevel="1">
      <c r="C80" s="121" t="str">
        <f>'Input|Step changes'!C15</f>
        <v>Acquisition of carbon offset certificates</v>
      </c>
      <c r="D80" s="110" t="s">
        <v>30</v>
      </c>
      <c r="E80" s="30" t="str">
        <f t="shared" si="8"/>
        <v>$millions</v>
      </c>
      <c r="F80" s="158">
        <f t="shared" si="9"/>
        <v>44896</v>
      </c>
      <c r="J80" s="12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12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12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12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12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12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12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12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12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12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127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48" outlineLevel="1">
      <c r="C81" s="121" t="str">
        <f>'Input|Step changes'!C16</f>
        <v>Augmentation and expansion related opex</v>
      </c>
      <c r="D81" s="110" t="s">
        <v>30</v>
      </c>
      <c r="E81" s="30" t="str">
        <f t="shared" si="8"/>
        <v>$millions</v>
      </c>
      <c r="F81" s="158">
        <f t="shared" si="9"/>
        <v>44896</v>
      </c>
      <c r="J81" s="12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12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12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12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12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12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0.37658893166815344</v>
      </c>
      <c r="P81" s="12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0.37658893166815344</v>
      </c>
      <c r="Q81" s="12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0.37658893166815344</v>
      </c>
      <c r="R81" s="12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0.37658893166815344</v>
      </c>
      <c r="S81" s="12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0.37658893166815344</v>
      </c>
      <c r="T81" s="127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48" outlineLevel="1">
      <c r="D82" s="110" t="s">
        <v>30</v>
      </c>
      <c r="E82" s="30" t="str">
        <f t="shared" si="8"/>
        <v>$millions</v>
      </c>
      <c r="F82" s="158">
        <f t="shared" si="9"/>
        <v>44896</v>
      </c>
      <c r="J82" s="12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12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12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12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12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12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12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12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12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12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12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48" outlineLevel="1">
      <c r="D83" s="110" t="s">
        <v>30</v>
      </c>
      <c r="E83" s="30" t="str">
        <f t="shared" si="8"/>
        <v>$millions</v>
      </c>
      <c r="F83" s="158">
        <f t="shared" si="9"/>
        <v>44896</v>
      </c>
      <c r="J83" s="12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12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12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12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12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12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12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12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12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12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127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48" outlineLevel="1">
      <c r="D84" s="110" t="s">
        <v>30</v>
      </c>
      <c r="E84" s="30" t="str">
        <f t="shared" si="8"/>
        <v>$millions</v>
      </c>
      <c r="F84" s="158">
        <f t="shared" si="9"/>
        <v>44896</v>
      </c>
      <c r="J84" s="12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12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12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12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12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12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12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12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12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12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12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8" outlineLevel="1">
      <c r="D85" s="110" t="s">
        <v>30</v>
      </c>
      <c r="E85" s="30" t="str">
        <f t="shared" si="8"/>
        <v>$millions</v>
      </c>
      <c r="F85" s="158">
        <f t="shared" si="9"/>
        <v>44896</v>
      </c>
      <c r="J85" s="12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12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12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12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12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12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12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12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12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12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12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8" outlineLevel="1">
      <c r="C86" s="121"/>
      <c r="D86" s="110"/>
      <c r="F86" s="112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</row>
    <row r="87" spans="1:48" outlineLevel="1">
      <c r="C87" s="113" t="s">
        <v>49</v>
      </c>
      <c r="D87" s="122" t="s">
        <v>30</v>
      </c>
      <c r="E87" s="122" t="str">
        <f>$E$8</f>
        <v>$millions</v>
      </c>
      <c r="F87" s="169">
        <f t="shared" si="9"/>
        <v>44896</v>
      </c>
      <c r="G87" s="32"/>
      <c r="H87" s="32"/>
      <c r="I87" s="32"/>
      <c r="J87" s="171">
        <f>SUM(J76:J86)</f>
        <v>0</v>
      </c>
      <c r="K87" s="171">
        <f t="shared" ref="K87:S87" si="10">SUM(K76:K86)</f>
        <v>0</v>
      </c>
      <c r="L87" s="171">
        <f t="shared" si="10"/>
        <v>0</v>
      </c>
      <c r="M87" s="171">
        <f t="shared" si="10"/>
        <v>0</v>
      </c>
      <c r="N87" s="171">
        <f t="shared" si="10"/>
        <v>0</v>
      </c>
      <c r="O87" s="171">
        <f t="shared" si="10"/>
        <v>1.2057989316681534</v>
      </c>
      <c r="P87" s="171">
        <f t="shared" si="10"/>
        <v>1.2057989316681534</v>
      </c>
      <c r="Q87" s="171">
        <f t="shared" si="10"/>
        <v>1.2057989316681534</v>
      </c>
      <c r="R87" s="171">
        <f t="shared" si="10"/>
        <v>1.2057989316681534</v>
      </c>
      <c r="S87" s="171">
        <f t="shared" si="10"/>
        <v>1.2057989316681534</v>
      </c>
      <c r="T87" s="171">
        <f t="shared" ref="T87" si="11">SUM(T76:T86)</f>
        <v>0</v>
      </c>
    </row>
    <row r="88" spans="1:48">
      <c r="C88" s="123"/>
      <c r="D88" s="110"/>
      <c r="E88" s="110"/>
      <c r="F88" s="110"/>
      <c r="J88" s="107"/>
      <c r="K88" s="107"/>
      <c r="L88" s="107"/>
      <c r="M88" s="107"/>
      <c r="N88" s="23"/>
      <c r="O88" s="23"/>
      <c r="P88" s="23"/>
      <c r="Q88" s="23"/>
      <c r="R88" s="23"/>
      <c r="S88" s="23"/>
      <c r="T88" s="23"/>
    </row>
    <row r="89" spans="1:48" s="103" customFormat="1" ht="12.75">
      <c r="A89" s="94"/>
      <c r="B89" s="95" t="s">
        <v>117</v>
      </c>
      <c r="C89" s="94"/>
      <c r="D89" s="94"/>
      <c r="E89" s="94"/>
      <c r="F89" s="96"/>
      <c r="G89" s="96"/>
      <c r="H89" s="96"/>
      <c r="I89" s="96"/>
      <c r="J89" s="97"/>
      <c r="K89" s="98"/>
      <c r="L89" s="97"/>
      <c r="M89" s="98"/>
      <c r="N89" s="97"/>
      <c r="O89" s="97"/>
      <c r="P89" s="97"/>
      <c r="Q89" s="97"/>
      <c r="R89" s="97"/>
      <c r="S89" s="97"/>
      <c r="T89" s="97"/>
      <c r="U89" s="97"/>
      <c r="V89" s="97"/>
      <c r="W89" s="98"/>
      <c r="X89" s="98"/>
      <c r="Y89" s="99"/>
      <c r="Z89" s="99"/>
      <c r="AA89" s="99"/>
      <c r="AB89" s="99"/>
      <c r="AC89" s="100"/>
      <c r="AD89" s="101"/>
      <c r="AE89" s="101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</row>
    <row r="90" spans="1:48" outlineLevel="1">
      <c r="C90" s="106"/>
      <c r="J90" s="107"/>
      <c r="K90" s="107"/>
      <c r="L90" s="107"/>
    </row>
    <row r="91" spans="1:48" outlineLevel="1">
      <c r="C91" s="67" t="s">
        <v>107</v>
      </c>
      <c r="D91" s="32" t="s">
        <v>7</v>
      </c>
      <c r="E91" s="32" t="s">
        <v>8</v>
      </c>
      <c r="F91" s="32" t="s">
        <v>22</v>
      </c>
      <c r="J91" s="159" t="str">
        <f>IF(YEAR(J$4)&gt;='Input|General'!$G$13,IF(YEAR(J$4)&lt;='Input|General'!$G$14,J$4,""),"")</f>
        <v/>
      </c>
      <c r="K91" s="159" t="str">
        <f>IF(YEAR(K$4)&gt;='Input|General'!$G$13,IF(YEAR(K$4)&lt;='Input|General'!$G$14,K$4,""),"")</f>
        <v/>
      </c>
      <c r="L91" s="159" t="str">
        <f>IF(YEAR(L$4)&gt;='Input|General'!$G$13,IF(YEAR(L$4)&lt;='Input|General'!$G$14,L$4,""),"")</f>
        <v/>
      </c>
      <c r="M91" s="159" t="str">
        <f>IF(YEAR(M$4)&gt;='Input|General'!$G$13,IF(YEAR(M$4)&lt;='Input|General'!$G$14,M$4,""),"")</f>
        <v/>
      </c>
      <c r="N91" s="159" t="str">
        <f>IF(YEAR(N$4)&gt;='Input|General'!$G$13,IF(YEAR(N$4)&lt;='Input|General'!$G$14,N$4,""),"")</f>
        <v/>
      </c>
      <c r="O91" s="159">
        <f>IF(YEAR(O$4)&gt;='Input|General'!$G$13,IF(YEAR(O$4)&lt;='Input|General'!$G$14,O$4,""),"")</f>
        <v>45261</v>
      </c>
      <c r="P91" s="159">
        <f>IF(YEAR(P$4)&gt;='Input|General'!$G$13,IF(YEAR(P$4)&lt;='Input|General'!$G$14,P$4,""),"")</f>
        <v>45627</v>
      </c>
      <c r="Q91" s="159">
        <f>IF(YEAR(Q$4)&gt;='Input|General'!$G$13,IF(YEAR(Q$4)&lt;='Input|General'!$G$14,Q$4,""),"")</f>
        <v>45992</v>
      </c>
      <c r="R91" s="159">
        <f>IF(YEAR(R$4)&gt;='Input|General'!$G$13,IF(YEAR(R$4)&lt;='Input|General'!$G$14,R$4,""),"")</f>
        <v>46357</v>
      </c>
      <c r="S91" s="159">
        <f>IF(YEAR(S$4)&gt;='Input|General'!$G$13,IF(YEAR(S$4)&lt;='Input|General'!$G$14,S$4,""),"")</f>
        <v>46722</v>
      </c>
      <c r="T91" s="159" t="str">
        <f>IF(YEAR(T$4)&gt;='Input|General'!$G$13,IF(YEAR(T$4)&lt;='Input|General'!$G$14,T$4,""),"")</f>
        <v/>
      </c>
    </row>
    <row r="92" spans="1:48" outlineLevel="1">
      <c r="C92" s="67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</row>
    <row r="93" spans="1:48" outlineLevel="1">
      <c r="C93" s="121" t="str">
        <f>'Input|Step changes'!C28</f>
        <v>Access Arrangement costs</v>
      </c>
      <c r="D93" s="110" t="s">
        <v>30</v>
      </c>
      <c r="E93" s="30" t="str">
        <f t="shared" si="8"/>
        <v>$millions</v>
      </c>
      <c r="F93" s="158">
        <f t="shared" ref="F93:F97" si="12">$F$8</f>
        <v>44896</v>
      </c>
      <c r="J93" s="12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12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12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12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12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12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12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12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12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12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12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48" outlineLevel="1">
      <c r="C94" s="121" t="str">
        <f>'Input|Step changes'!C29</f>
        <v>Allowances</v>
      </c>
      <c r="D94" s="110" t="s">
        <v>30</v>
      </c>
      <c r="E94" s="30" t="str">
        <f t="shared" si="8"/>
        <v>$millions</v>
      </c>
      <c r="F94" s="158">
        <f t="shared" si="12"/>
        <v>44896</v>
      </c>
      <c r="J94" s="12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12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12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12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12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12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12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12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12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12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12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48" outlineLevel="1">
      <c r="C95" s="121">
        <f>'Input|Step changes'!C30</f>
        <v>0</v>
      </c>
      <c r="D95" s="110" t="s">
        <v>30</v>
      </c>
      <c r="E95" s="30" t="str">
        <f t="shared" si="8"/>
        <v>$millions</v>
      </c>
      <c r="F95" s="158">
        <f t="shared" si="12"/>
        <v>44896</v>
      </c>
      <c r="J95" s="12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12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12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12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12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12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12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12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12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12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12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48" outlineLevel="1">
      <c r="C96" s="121">
        <f>'Input|Step changes'!C31</f>
        <v>0</v>
      </c>
      <c r="D96" s="110" t="s">
        <v>30</v>
      </c>
      <c r="E96" s="30" t="str">
        <f t="shared" si="8"/>
        <v>$millions</v>
      </c>
      <c r="F96" s="158">
        <f t="shared" si="12"/>
        <v>44896</v>
      </c>
      <c r="J96" s="12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12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12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12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12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12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12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12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12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12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12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48" outlineLevel="1">
      <c r="C97" s="121">
        <f>'Input|Step changes'!C32</f>
        <v>0</v>
      </c>
      <c r="D97" s="110" t="s">
        <v>30</v>
      </c>
      <c r="E97" s="30" t="str">
        <f t="shared" si="8"/>
        <v>$millions</v>
      </c>
      <c r="F97" s="158">
        <f t="shared" si="12"/>
        <v>44896</v>
      </c>
      <c r="J97" s="12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12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12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12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12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12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12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12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12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12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12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48" outlineLevel="1">
      <c r="C98" s="121"/>
      <c r="D98" s="110"/>
      <c r="F98" s="112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 spans="1:48" outlineLevel="1">
      <c r="C99" s="113" t="s">
        <v>118</v>
      </c>
      <c r="D99" s="122" t="s">
        <v>30</v>
      </c>
      <c r="E99" s="122" t="str">
        <f>$E$8</f>
        <v>$millions</v>
      </c>
      <c r="F99" s="169">
        <f t="shared" ref="F99" si="13">$F$8</f>
        <v>44896</v>
      </c>
      <c r="G99" s="32"/>
      <c r="H99" s="32"/>
      <c r="I99" s="32"/>
      <c r="J99" s="128">
        <f t="shared" ref="J99:T99" si="14">SUM(J92:J97)</f>
        <v>0</v>
      </c>
      <c r="K99" s="128">
        <f t="shared" si="14"/>
        <v>0</v>
      </c>
      <c r="L99" s="128">
        <f t="shared" si="14"/>
        <v>0</v>
      </c>
      <c r="M99" s="128">
        <f t="shared" si="14"/>
        <v>0</v>
      </c>
      <c r="N99" s="128">
        <f t="shared" si="14"/>
        <v>0</v>
      </c>
      <c r="O99" s="128">
        <f t="shared" si="14"/>
        <v>0</v>
      </c>
      <c r="P99" s="128">
        <f t="shared" si="14"/>
        <v>0</v>
      </c>
      <c r="Q99" s="128">
        <f t="shared" si="14"/>
        <v>0</v>
      </c>
      <c r="R99" s="128">
        <f t="shared" si="14"/>
        <v>0</v>
      </c>
      <c r="S99" s="128">
        <f t="shared" si="14"/>
        <v>0</v>
      </c>
      <c r="T99" s="128">
        <f t="shared" si="14"/>
        <v>0</v>
      </c>
    </row>
    <row r="100" spans="1:48">
      <c r="C100" s="123"/>
      <c r="D100" s="110"/>
      <c r="E100" s="110"/>
      <c r="F100" s="110"/>
      <c r="J100" s="107"/>
      <c r="K100" s="107"/>
      <c r="L100" s="107"/>
      <c r="M100" s="107"/>
      <c r="N100" s="23"/>
      <c r="O100" s="23"/>
      <c r="P100" s="23"/>
      <c r="Q100" s="23"/>
      <c r="R100" s="23"/>
      <c r="S100" s="23"/>
      <c r="T100" s="23"/>
    </row>
    <row r="101" spans="1:48" s="103" customFormat="1" ht="12.75">
      <c r="A101" s="94"/>
      <c r="B101" s="95" t="s">
        <v>91</v>
      </c>
      <c r="C101" s="94"/>
      <c r="D101" s="94"/>
      <c r="E101" s="94"/>
      <c r="F101" s="96"/>
      <c r="G101" s="96"/>
      <c r="H101" s="96"/>
      <c r="I101" s="96"/>
      <c r="J101" s="97"/>
      <c r="K101" s="98"/>
      <c r="L101" s="97"/>
      <c r="M101" s="98"/>
      <c r="N101" s="97"/>
      <c r="O101" s="97"/>
      <c r="P101" s="97"/>
      <c r="Q101" s="97"/>
      <c r="R101" s="97"/>
      <c r="S101" s="97"/>
      <c r="T101" s="97"/>
      <c r="U101" s="97"/>
      <c r="V101" s="97"/>
      <c r="W101" s="98"/>
      <c r="X101" s="98"/>
      <c r="Y101" s="99"/>
      <c r="Z101" s="99"/>
      <c r="AA101" s="99"/>
      <c r="AB101" s="99"/>
      <c r="AC101" s="100"/>
      <c r="AD101" s="101"/>
      <c r="AE101" s="101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</row>
    <row r="102" spans="1:48" outlineLevel="1">
      <c r="C102" s="106"/>
      <c r="J102" s="107"/>
      <c r="K102" s="107"/>
      <c r="L102" s="107"/>
    </row>
    <row r="103" spans="1:48" outlineLevel="1">
      <c r="C103" s="67"/>
      <c r="J103" s="159" t="str">
        <f>IF(YEAR(J$4)&gt;='Input|General'!$G$13,IF(YEAR(J$4)&lt;='Input|General'!$G$14,J$4,""),"")</f>
        <v/>
      </c>
      <c r="K103" s="159" t="str">
        <f>IF(YEAR(K$4)&gt;='Input|General'!$G$13,IF(YEAR(K$4)&lt;='Input|General'!$G$14,K$4,""),"")</f>
        <v/>
      </c>
      <c r="L103" s="159" t="str">
        <f>IF(YEAR(L$4)&gt;='Input|General'!$G$13,IF(YEAR(L$4)&lt;='Input|General'!$G$14,L$4,""),"")</f>
        <v/>
      </c>
      <c r="M103" s="159" t="str">
        <f>IF(YEAR(M$4)&gt;='Input|General'!$G$13,IF(YEAR(M$4)&lt;='Input|General'!$G$14,M$4,""),"")</f>
        <v/>
      </c>
      <c r="N103" s="159" t="str">
        <f>IF(YEAR(N$4)&gt;='Input|General'!$G$13,IF(YEAR(N$4)&lt;='Input|General'!$G$14,N$4,""),"")</f>
        <v/>
      </c>
      <c r="O103" s="159">
        <f>IF(YEAR(O$4)&gt;='Input|General'!$G$13,IF(YEAR(O$4)&lt;='Input|General'!$G$14,O$4,""),"")</f>
        <v>45261</v>
      </c>
      <c r="P103" s="159">
        <f>IF(YEAR(P$4)&gt;='Input|General'!$G$13,IF(YEAR(P$4)&lt;='Input|General'!$G$14,P$4,""),"")</f>
        <v>45627</v>
      </c>
      <c r="Q103" s="159">
        <f>IF(YEAR(Q$4)&gt;='Input|General'!$G$13,IF(YEAR(Q$4)&lt;='Input|General'!$G$14,Q$4,""),"")</f>
        <v>45992</v>
      </c>
      <c r="R103" s="159">
        <f>IF(YEAR(R$4)&gt;='Input|General'!$G$13,IF(YEAR(R$4)&lt;='Input|General'!$G$14,R$4,""),"")</f>
        <v>46357</v>
      </c>
      <c r="S103" s="159">
        <f>IF(YEAR(S$4)&gt;='Input|General'!$G$13,IF(YEAR(S$4)&lt;='Input|General'!$G$14,S$4,""),"")</f>
        <v>46722</v>
      </c>
      <c r="T103" s="159" t="str">
        <f>IF(YEAR(T$4)&gt;='Input|General'!$G$13,IF(YEAR(T$4)&lt;='Input|General'!$G$14,T$4,""),"")</f>
        <v/>
      </c>
    </row>
    <row r="104" spans="1:48" outlineLevel="1">
      <c r="C104" s="124"/>
      <c r="D104" s="110"/>
      <c r="E104" s="110"/>
      <c r="F104" s="110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</row>
    <row r="105" spans="1:48" outlineLevel="1">
      <c r="C105" s="123" t="s">
        <v>134</v>
      </c>
      <c r="D105" s="126" t="s">
        <v>30</v>
      </c>
      <c r="E105" s="126" t="str">
        <f>$E$8</f>
        <v>$millions</v>
      </c>
      <c r="F105" s="169">
        <f t="shared" ref="F105:F107" si="15">$F$8</f>
        <v>44896</v>
      </c>
      <c r="J105" s="149" t="str">
        <f t="shared" ref="J105:T105" si="16">IF(YEAR(J$4)&gt;=FPFirstYear,IF(YEAR(J$4)&lt;=FPLastYear,IF(ISBLANK(J103),"",(1+J71)*SUM($J54:$S54)+J87),""),"")</f>
        <v/>
      </c>
      <c r="K105" s="149" t="str">
        <f t="shared" si="16"/>
        <v/>
      </c>
      <c r="L105" s="149" t="str">
        <f t="shared" si="16"/>
        <v/>
      </c>
      <c r="M105" s="149" t="str">
        <f t="shared" si="16"/>
        <v/>
      </c>
      <c r="N105" s="149" t="str">
        <f t="shared" si="16"/>
        <v/>
      </c>
      <c r="O105" s="149">
        <f t="shared" ca="1" si="16"/>
        <v>33.825651839859738</v>
      </c>
      <c r="P105" s="149">
        <f t="shared" ca="1" si="16"/>
        <v>33.839037578399392</v>
      </c>
      <c r="Q105" s="149">
        <f t="shared" ca="1" si="16"/>
        <v>33.881688002045813</v>
      </c>
      <c r="R105" s="149">
        <f t="shared" ca="1" si="16"/>
        <v>33.905960088387381</v>
      </c>
      <c r="S105" s="149">
        <f t="shared" ca="1" si="16"/>
        <v>33.88120088525244</v>
      </c>
      <c r="T105" s="149" t="str">
        <f t="shared" si="16"/>
        <v/>
      </c>
    </row>
    <row r="106" spans="1:48" outlineLevel="1">
      <c r="C106" s="123" t="s">
        <v>105</v>
      </c>
      <c r="D106" s="126" t="s">
        <v>30</v>
      </c>
      <c r="E106" s="126" t="str">
        <f>$E$8</f>
        <v>$millions</v>
      </c>
      <c r="F106" s="169">
        <f t="shared" si="15"/>
        <v>44896</v>
      </c>
      <c r="J106" s="149" t="str">
        <f t="shared" ref="J106:T106" si="17">IF(YEAR(J$4)&gt;=FPFirstYear,IF(YEAR(J$4)&lt;=FPLastYear,IF(ISBLANK(J103),"",(1+J71)*SUM($J54:$S54)+J87+J99),""),"")</f>
        <v/>
      </c>
      <c r="K106" s="149" t="str">
        <f t="shared" si="17"/>
        <v/>
      </c>
      <c r="L106" s="149" t="str">
        <f t="shared" si="17"/>
        <v/>
      </c>
      <c r="M106" s="149" t="str">
        <f t="shared" si="17"/>
        <v/>
      </c>
      <c r="N106" s="149" t="str">
        <f t="shared" si="17"/>
        <v/>
      </c>
      <c r="O106" s="149">
        <f t="shared" ca="1" si="17"/>
        <v>33.825651839859738</v>
      </c>
      <c r="P106" s="149">
        <f t="shared" ca="1" si="17"/>
        <v>33.839037578399392</v>
      </c>
      <c r="Q106" s="149">
        <f t="shared" ca="1" si="17"/>
        <v>33.881688002045813</v>
      </c>
      <c r="R106" s="149">
        <f t="shared" ca="1" si="17"/>
        <v>33.905960088387381</v>
      </c>
      <c r="S106" s="149">
        <f t="shared" ca="1" si="17"/>
        <v>33.88120088525244</v>
      </c>
      <c r="T106" s="149" t="str">
        <f t="shared" si="17"/>
        <v/>
      </c>
      <c r="U106" s="65"/>
    </row>
    <row r="107" spans="1:48" outlineLevel="1">
      <c r="C107" s="123" t="s">
        <v>106</v>
      </c>
      <c r="D107" s="126" t="s">
        <v>30</v>
      </c>
      <c r="E107" s="126" t="str">
        <f>$E$8</f>
        <v>$millions</v>
      </c>
      <c r="F107" s="169">
        <f t="shared" si="15"/>
        <v>44896</v>
      </c>
      <c r="J107" s="149" t="str">
        <f>IF(YEAR(J$4)&gt;=FPFirstYear,IF(YEAR(J$4)&lt;=FPLastYear,J106+'Input|Step changes'!J40,""),"")</f>
        <v/>
      </c>
      <c r="K107" s="149" t="str">
        <f>IF(YEAR(K$4)&gt;=FPFirstYear,IF(YEAR(K$4)&lt;=FPLastYear,K106+'Input|Step changes'!K40,""),"")</f>
        <v/>
      </c>
      <c r="L107" s="149" t="str">
        <f>IF(YEAR(L$4)&gt;=FPFirstYear,IF(YEAR(L$4)&lt;=FPLastYear,L106+'Input|Step changes'!L40,""),"")</f>
        <v/>
      </c>
      <c r="M107" s="149" t="str">
        <f>IF(YEAR(M$4)&gt;=FPFirstYear,IF(YEAR(M$4)&lt;=FPLastYear,M106+'Input|Step changes'!M40,""),"")</f>
        <v/>
      </c>
      <c r="N107" s="149" t="str">
        <f>IF(YEAR(N$4)&gt;=FPFirstYear,IF(YEAR(N$4)&lt;=FPLastYear,N106+'Input|Step changes'!N40,""),"")</f>
        <v/>
      </c>
      <c r="O107" s="149">
        <f ca="1">IF(YEAR(O$4)&gt;=FPFirstYear,IF(YEAR(O$4)&lt;=FPLastYear,O106+'Input|Step changes'!O40,""),"")</f>
        <v>34.454209241473251</v>
      </c>
      <c r="P107" s="149">
        <f ca="1">IF(YEAR(P$4)&gt;=FPFirstYear,IF(YEAR(P$4)&lt;=FPLastYear,P106+'Input|Step changes'!P40,""),"")</f>
        <v>34.495470492962852</v>
      </c>
      <c r="Q107" s="149">
        <f ca="1">IF(YEAR(Q$4)&gt;=FPFirstYear,IF(YEAR(Q$4)&lt;=FPLastYear,Q106+'Input|Step changes'!Q40,""),"")</f>
        <v>34.529579256584093</v>
      </c>
      <c r="R107" s="149">
        <f ca="1">IF(YEAR(R$4)&gt;=FPFirstYear,IF(YEAR(R$4)&lt;=FPLastYear,R106+'Input|Step changes'!R40,""),"")</f>
        <v>34.536539453901028</v>
      </c>
      <c r="S107" s="149">
        <f ca="1">IF(YEAR(S$4)&gt;=FPFirstYear,IF(YEAR(S$4)&lt;=FPLastYear,S106+'Input|Step changes'!S40,""),"")</f>
        <v>34.493176555416724</v>
      </c>
      <c r="T107" s="149" t="str">
        <f>IF(YEAR(T$4)&gt;=FPFirstYear,IF(YEAR(T$4)&lt;=FPLastYear,T106+'Input|Step changes'!T40,""),"")</f>
        <v/>
      </c>
      <c r="U107" s="65"/>
    </row>
    <row r="108" spans="1:48">
      <c r="C108" s="123"/>
      <c r="D108" s="110"/>
      <c r="E108" s="110"/>
      <c r="F108" s="110"/>
      <c r="J108" s="107"/>
      <c r="K108" s="107"/>
      <c r="L108" s="107"/>
      <c r="M108" s="107"/>
      <c r="N108" s="23"/>
      <c r="O108" s="23"/>
      <c r="P108" s="23"/>
      <c r="Q108" s="23"/>
      <c r="R108" s="23"/>
      <c r="S108" s="23"/>
      <c r="T108" s="23"/>
    </row>
    <row r="109" spans="1:48" s="103" customFormat="1" ht="12.75">
      <c r="A109" s="94"/>
      <c r="B109" s="95" t="s">
        <v>21</v>
      </c>
      <c r="C109" s="94"/>
      <c r="D109" s="94"/>
      <c r="E109" s="94"/>
      <c r="F109" s="96"/>
      <c r="G109" s="96"/>
      <c r="H109" s="96"/>
      <c r="I109" s="96"/>
      <c r="J109" s="97"/>
      <c r="K109" s="98"/>
      <c r="L109" s="97"/>
      <c r="M109" s="98"/>
      <c r="N109" s="97"/>
      <c r="O109" s="97"/>
      <c r="P109" s="97"/>
      <c r="Q109" s="97"/>
      <c r="R109" s="97"/>
      <c r="S109" s="97"/>
      <c r="T109" s="97"/>
      <c r="U109" s="97"/>
      <c r="V109" s="97"/>
      <c r="W109" s="98"/>
      <c r="X109" s="98"/>
      <c r="Y109" s="99"/>
      <c r="Z109" s="99"/>
      <c r="AA109" s="99"/>
      <c r="AB109" s="99"/>
      <c r="AC109" s="100"/>
      <c r="AD109" s="101"/>
      <c r="AE109" s="101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</row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  <row r="192" s="29" customFormat="1" hidden="1"/>
    <row r="193" s="29" customFormat="1" hidden="1"/>
    <row r="194" s="29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2">
    <dataValidation type="list" allowBlank="1" showInputMessage="1" showErrorMessage="1" sqref="F100 F88 F108" xr:uid="{00000000-0002-0000-0600-000000000000}">
      <formula1>"Real 2010,Real 2011,Real 2012,Real 2013,Real 2014,Real 2015,Nominal"</formula1>
    </dataValidation>
    <dataValidation type="list" allowBlank="1" showInputMessage="1" showErrorMessage="1" sqref="F86" xr:uid="{00000000-0002-0000-0600-000001000000}">
      <formula1>$G$60:$G$69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6"/>
  <sheetViews>
    <sheetView showGridLines="0" topLeftCell="E1" workbookViewId="0">
      <selection activeCell="K16" sqref="K16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6640625" style="30" customWidth="1"/>
    <col min="6" max="6" width="10.6640625" style="30" customWidth="1"/>
    <col min="7" max="9" width="3.33203125" style="30" customWidth="1"/>
    <col min="10" max="24" width="10.66406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v2.0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1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77"/>
      <c r="E3" s="177"/>
      <c r="F3" s="177"/>
      <c r="G3" s="177"/>
      <c r="H3" s="177"/>
      <c r="I3" s="177"/>
      <c r="J3" s="167" t="s">
        <v>119</v>
      </c>
      <c r="K3" s="167"/>
      <c r="L3" s="167"/>
      <c r="M3" s="177"/>
      <c r="N3" s="219"/>
      <c r="O3" s="219"/>
      <c r="P3" s="219"/>
      <c r="Q3" s="219"/>
      <c r="R3" s="219"/>
      <c r="S3" s="219"/>
      <c r="T3" s="202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43435</v>
      </c>
      <c r="K4" s="153">
        <f>DATE(PPFirstYear+1,MONTH('Input|General'!$G$9),1)</f>
        <v>43800</v>
      </c>
      <c r="L4" s="153">
        <f>DATE(PPFirstYear+2,MONTH('Input|General'!$G$9),1)</f>
        <v>44166</v>
      </c>
      <c r="M4" s="153">
        <f>DATE(PPFirstYear+3,MONTH('Input|General'!$G$9),1)</f>
        <v>44531</v>
      </c>
      <c r="N4" s="153">
        <f>DATE(PPFirstYear+4,MONTH('Input|General'!$G$9),1)</f>
        <v>44896</v>
      </c>
      <c r="O4" s="153">
        <f>DATE(PPFirstYear+5,MONTH('Input|General'!$G$9),1)</f>
        <v>45261</v>
      </c>
      <c r="P4" s="153">
        <f>DATE(PPFirstYear+6,MONTH('Input|General'!$G$9),1)</f>
        <v>45627</v>
      </c>
      <c r="Q4" s="153">
        <f>DATE(PPFirstYear+7,MONTH('Input|General'!$G$9),1)</f>
        <v>45992</v>
      </c>
      <c r="R4" s="153">
        <f>DATE(PPFirstYear+8,MONTH('Input|General'!$G$9),1)</f>
        <v>46357</v>
      </c>
      <c r="S4" s="153">
        <f>DATE(PPFirstYear+9,MONTH('Input|General'!$G$9),1)</f>
        <v>46722</v>
      </c>
      <c r="T4" s="153">
        <f>DATE(PPFirstYear+10,MONTH('Input|General'!$G$9),1)</f>
        <v>47088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55</v>
      </c>
      <c r="C8" s="94"/>
      <c r="D8" s="94"/>
      <c r="E8" s="68" t="s">
        <v>15</v>
      </c>
      <c r="F8" s="196">
        <f>DATE(PPLastYear,MONTH('Input|General'!$G$9),1)</f>
        <v>44896</v>
      </c>
      <c r="G8" s="96"/>
      <c r="H8" s="96"/>
      <c r="I8" s="96"/>
      <c r="J8" s="148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59" t="str">
        <f>IF(YEAR(J$4)&gt;='Input|General'!$G$13,IF(YEAR(J$4)&lt;='Input|General'!$G$14,J$4,""),"")</f>
        <v/>
      </c>
      <c r="K11" s="159" t="str">
        <f>IF(YEAR(K$4)&gt;='Input|General'!$G$13,IF(YEAR(K$4)&lt;='Input|General'!$G$14,K$4,""),"")</f>
        <v/>
      </c>
      <c r="L11" s="159" t="str">
        <f>IF(YEAR(L$4)&gt;='Input|General'!$G$13,IF(YEAR(L$4)&lt;='Input|General'!$G$14,L$4,""),"")</f>
        <v/>
      </c>
      <c r="M11" s="159" t="str">
        <f>IF(YEAR(M$4)&gt;='Input|General'!$G$13,IF(YEAR(M$4)&lt;='Input|General'!$G$14,M$4,""),"")</f>
        <v/>
      </c>
      <c r="N11" s="159" t="str">
        <f>IF(YEAR(N$4)&gt;='Input|General'!$G$13,IF(YEAR(N$4)&lt;='Input|General'!$G$14,N$4,""),"")</f>
        <v/>
      </c>
      <c r="O11" s="159">
        <f>IF(YEAR(O$4)&gt;='Input|General'!$G$13,IF(YEAR(O$4)&lt;='Input|General'!$G$14,O$4,""),"")</f>
        <v>45261</v>
      </c>
      <c r="P11" s="159">
        <f>IF(YEAR(P$4)&gt;='Input|General'!$G$13,IF(YEAR(P$4)&lt;='Input|General'!$G$14,P$4,""),"")</f>
        <v>45627</v>
      </c>
      <c r="Q11" s="159">
        <f>IF(YEAR(Q$4)&gt;='Input|General'!$G$13,IF(YEAR(Q$4)&lt;='Input|General'!$G$14,Q$4,""),"")</f>
        <v>45992</v>
      </c>
      <c r="R11" s="159">
        <f>IF(YEAR(R$4)&gt;='Input|General'!$G$13,IF(YEAR(R$4)&lt;='Input|General'!$G$14,R$4,""),"")</f>
        <v>46357</v>
      </c>
      <c r="S11" s="159">
        <f>IF(YEAR(S$4)&gt;='Input|General'!$G$13,IF(YEAR(S$4)&lt;='Input|General'!$G$14,S$4,""),"")</f>
        <v>46722</v>
      </c>
      <c r="T11" s="159" t="str">
        <f>IF(YEAR(T$4)&gt;='Input|General'!$G$13,IF(YEAR(T$4)&lt;='Input|General'!$G$14,T$4,""),"")</f>
        <v/>
      </c>
      <c r="V11" s="136" t="s">
        <v>54</v>
      </c>
      <c r="W11" s="137"/>
      <c r="X11" s="137"/>
    </row>
    <row r="12" spans="1:27">
      <c r="C12" s="67"/>
      <c r="D12" s="32"/>
      <c r="E12" s="32"/>
      <c r="F12" s="32"/>
      <c r="H12" s="32"/>
      <c r="I12" s="32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V12" s="124"/>
      <c r="W12" s="141"/>
      <c r="X12" s="141"/>
    </row>
    <row r="13" spans="1:27">
      <c r="C13" s="111" t="str">
        <f>'Calc|Opex forecast'!C105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44896</v>
      </c>
      <c r="H13" s="32"/>
      <c r="I13" s="32"/>
      <c r="J13" s="175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75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75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75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75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75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33.825651839859738</v>
      </c>
      <c r="P13" s="175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33.839037578399392</v>
      </c>
      <c r="Q13" s="175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33.881688002045813</v>
      </c>
      <c r="R13" s="175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33.905960088387388</v>
      </c>
      <c r="S13" s="175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33.88120088525244</v>
      </c>
      <c r="T13" s="17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11"/>
      <c r="V13" s="150"/>
    </row>
    <row r="14" spans="1:27">
      <c r="C14" s="111" t="str">
        <f>'Calc|Opex forecast'!C93</f>
        <v>Access Arrangement costs</v>
      </c>
      <c r="D14" s="34" t="s">
        <v>103</v>
      </c>
      <c r="E14" s="30" t="str">
        <f t="shared" ref="E14:E18" si="0">$E$8</f>
        <v>$millions</v>
      </c>
      <c r="F14" s="158">
        <f t="shared" ref="F14:F18" si="1">$F$8</f>
        <v>44896</v>
      </c>
      <c r="H14" s="32"/>
      <c r="I14" s="32"/>
      <c r="J14" s="175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75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75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75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75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75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75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75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75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75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7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11"/>
      <c r="V14" s="150"/>
    </row>
    <row r="15" spans="1:27">
      <c r="C15" s="111" t="str">
        <f>'Calc|Opex forecast'!C94</f>
        <v>Allowances</v>
      </c>
      <c r="D15" s="34" t="s">
        <v>103</v>
      </c>
      <c r="E15" s="30" t="str">
        <f t="shared" si="0"/>
        <v>$millions</v>
      </c>
      <c r="F15" s="158">
        <f t="shared" si="1"/>
        <v>44896</v>
      </c>
      <c r="H15" s="32"/>
      <c r="I15" s="32"/>
      <c r="J15" s="175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75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75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75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75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75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75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75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75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75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7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11"/>
      <c r="V15" s="150"/>
    </row>
    <row r="16" spans="1:27">
      <c r="C16" s="111">
        <f>'Calc|Opex forecast'!C95</f>
        <v>0</v>
      </c>
      <c r="D16" s="34" t="s">
        <v>103</v>
      </c>
      <c r="E16" s="30" t="str">
        <f t="shared" si="0"/>
        <v>$millions</v>
      </c>
      <c r="F16" s="158">
        <f t="shared" si="1"/>
        <v>44896</v>
      </c>
      <c r="H16" s="32"/>
      <c r="I16" s="32"/>
      <c r="J16" s="175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75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75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75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75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75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75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75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75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75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7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11"/>
      <c r="V16" s="150"/>
    </row>
    <row r="17" spans="1:24">
      <c r="C17" s="111">
        <f>'Calc|Opex forecast'!C96</f>
        <v>0</v>
      </c>
      <c r="D17" s="34" t="s">
        <v>103</v>
      </c>
      <c r="E17" s="30" t="str">
        <f t="shared" si="0"/>
        <v>$millions</v>
      </c>
      <c r="F17" s="158">
        <f t="shared" si="1"/>
        <v>44896</v>
      </c>
      <c r="H17" s="32"/>
      <c r="I17" s="32"/>
      <c r="J17" s="175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75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75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75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75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75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75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75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75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75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7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11"/>
      <c r="V17" s="197"/>
    </row>
    <row r="18" spans="1:24">
      <c r="C18" s="111">
        <f>'Calc|Opex forecast'!C97</f>
        <v>0</v>
      </c>
      <c r="D18" s="34" t="s">
        <v>103</v>
      </c>
      <c r="E18" s="30" t="str">
        <f t="shared" si="0"/>
        <v>$millions</v>
      </c>
      <c r="F18" s="158">
        <f t="shared" si="1"/>
        <v>44896</v>
      </c>
      <c r="H18" s="32"/>
      <c r="I18" s="32"/>
      <c r="J18" s="175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75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75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75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75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75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75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75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75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75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7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11"/>
      <c r="V18" s="197"/>
    </row>
    <row r="19" spans="1:24">
      <c r="D19" s="34"/>
      <c r="H19" s="32"/>
      <c r="I19" s="32"/>
      <c r="N19" s="141"/>
      <c r="S19" s="23"/>
      <c r="T19" s="23"/>
    </row>
    <row r="20" spans="1:24" s="103" customFormat="1" ht="12.75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6" spans="1:24" hidden="1">
      <c r="M26" s="145"/>
      <c r="N26" s="145"/>
      <c r="O26" s="145"/>
      <c r="P26" s="145"/>
      <c r="Q26" s="145"/>
      <c r="R26" s="145"/>
      <c r="S26" s="145"/>
      <c r="T26" s="145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700-000000000000}">
      <formula1>$G$22:$G$28</formula1>
    </dataValidation>
    <dataValidation type="list" allowBlank="1" showInputMessage="1" showErrorMessage="1" sqref="F19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7" location="'Calc|Opex forecast'!A1" display="Calc | Opex forecast" xr:uid="{00000000-0004-0000-0700-000004000000}"/>
    <hyperlink ref="V1" location="'Check|List'!A1" display="Overall Check:" xr:uid="{00000000-0004-0000-0700-000005000000}"/>
    <hyperlink ref="D16" location="'Calc|Opex forecast'!A1" display="Calc | Opex forecast" xr:uid="{00000000-0004-0000-0700-000006000000}"/>
    <hyperlink ref="D18" location="'Calc|Opex forecast'!A1" display="Calc | Opex forecast" xr:uid="{00000000-0004-0000-07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5"/>
  <sheetViews>
    <sheetView showGridLines="0" workbookViewId="0">
      <selection activeCell="A86" sqref="A86:XFD104857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v2.0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6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customFormat="1" ht="12.75">
      <c r="A5" s="43"/>
      <c r="B5" s="51" t="s">
        <v>195</v>
      </c>
      <c r="C5" s="43"/>
      <c r="D5" s="43"/>
      <c r="E5" s="43"/>
      <c r="F5" s="44"/>
      <c r="G5" s="44"/>
      <c r="H5" s="44"/>
      <c r="I5" s="44"/>
      <c r="J5" s="45"/>
      <c r="K5" s="46"/>
      <c r="L5" s="45"/>
      <c r="M5" s="46"/>
      <c r="N5" s="45"/>
      <c r="O5" s="45"/>
      <c r="P5" s="45"/>
      <c r="Q5" s="45"/>
      <c r="R5" s="45"/>
      <c r="S5" s="45"/>
      <c r="T5" s="45"/>
      <c r="U5" s="45"/>
      <c r="V5" s="46"/>
      <c r="W5" s="46"/>
      <c r="X5" s="47"/>
      <c r="Y5" s="47"/>
      <c r="Z5" s="47"/>
      <c r="AA5" s="47"/>
      <c r="AB5" s="48"/>
      <c r="AC5" s="49"/>
      <c r="AD5" s="49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/>
    <row r="7" spans="1:47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47">
      <c r="C8" s="15" t="s">
        <v>196</v>
      </c>
      <c r="D8" s="16" t="s">
        <v>199</v>
      </c>
      <c r="E8" s="16"/>
      <c r="F8" s="16"/>
      <c r="G8" s="52" t="s">
        <v>196</v>
      </c>
    </row>
    <row r="9" spans="1:47">
      <c r="C9" s="15" t="s">
        <v>197</v>
      </c>
      <c r="D9" s="16" t="s">
        <v>199</v>
      </c>
      <c r="E9" s="16"/>
      <c r="F9" s="16"/>
      <c r="G9" s="52" t="s">
        <v>197</v>
      </c>
    </row>
    <row r="10" spans="1:47">
      <c r="C10" s="15" t="s">
        <v>198</v>
      </c>
      <c r="D10" s="16" t="s">
        <v>69</v>
      </c>
      <c r="E10" s="16"/>
      <c r="F10" s="16"/>
      <c r="G10" s="52" t="s">
        <v>198</v>
      </c>
      <c r="T10" s="17"/>
    </row>
    <row r="11" spans="1:47">
      <c r="C11" s="15" t="s">
        <v>200</v>
      </c>
      <c r="D11" s="16" t="s">
        <v>199</v>
      </c>
      <c r="E11" s="16"/>
      <c r="F11" s="16"/>
      <c r="G11" s="52" t="s">
        <v>200</v>
      </c>
    </row>
    <row r="12" spans="1:47">
      <c r="C12" s="15" t="s">
        <v>201</v>
      </c>
      <c r="D12" s="16" t="s">
        <v>69</v>
      </c>
      <c r="E12" s="16"/>
      <c r="F12" s="16"/>
      <c r="G12" s="52" t="s">
        <v>201</v>
      </c>
      <c r="T12" s="17"/>
    </row>
    <row r="13" spans="1:47">
      <c r="F13" s="8"/>
      <c r="G13" s="8"/>
    </row>
    <row r="14" spans="1:47" customFormat="1" ht="12.75">
      <c r="A14" s="43"/>
      <c r="B14" s="51" t="s">
        <v>19</v>
      </c>
      <c r="C14" s="43"/>
      <c r="D14" s="43"/>
      <c r="E14" s="43"/>
      <c r="F14" s="44"/>
      <c r="G14" s="44"/>
      <c r="H14" s="44"/>
      <c r="I14" s="44"/>
      <c r="J14" s="45"/>
      <c r="K14" s="46"/>
      <c r="L14" s="45"/>
      <c r="M14" s="46"/>
      <c r="N14" s="45"/>
      <c r="O14" s="45"/>
      <c r="P14" s="45"/>
      <c r="Q14" s="45"/>
      <c r="R14" s="45"/>
      <c r="S14" s="45"/>
      <c r="T14" s="45"/>
      <c r="U14" s="45"/>
      <c r="V14" s="46"/>
      <c r="W14" s="46"/>
      <c r="X14" s="47"/>
      <c r="Y14" s="47"/>
      <c r="Z14" s="47"/>
      <c r="AA14" s="47"/>
      <c r="AB14" s="48"/>
      <c r="AC14" s="49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</row>
    <row r="15" spans="1:47"/>
    <row r="16" spans="1:47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47">
      <c r="C17" s="15" t="s">
        <v>10</v>
      </c>
      <c r="D17" s="16" t="s">
        <v>69</v>
      </c>
      <c r="E17" s="16"/>
      <c r="F17" s="16"/>
      <c r="G17" s="52" t="s">
        <v>12</v>
      </c>
    </row>
    <row r="18" spans="1:47">
      <c r="C18" s="15" t="s">
        <v>13</v>
      </c>
      <c r="D18" s="16" t="s">
        <v>69</v>
      </c>
      <c r="E18" s="16"/>
      <c r="F18" s="16"/>
      <c r="G18" s="52" t="s">
        <v>20</v>
      </c>
    </row>
    <row r="19" spans="1:47">
      <c r="C19" s="15" t="s">
        <v>14</v>
      </c>
      <c r="D19" s="16" t="s">
        <v>69</v>
      </c>
      <c r="E19" s="16"/>
      <c r="F19" s="16"/>
      <c r="G19" s="52" t="s">
        <v>15</v>
      </c>
      <c r="T19" s="17"/>
    </row>
    <row r="20" spans="1:47">
      <c r="F20" s="8"/>
      <c r="G20" s="8"/>
    </row>
    <row r="21" spans="1:47">
      <c r="C21" s="15" t="s">
        <v>16</v>
      </c>
      <c r="D21" s="16" t="s">
        <v>69</v>
      </c>
      <c r="E21" s="16"/>
      <c r="F21" s="16"/>
      <c r="G21" s="52" t="s">
        <v>31</v>
      </c>
    </row>
    <row r="22" spans="1:47">
      <c r="C22" s="15" t="s">
        <v>8</v>
      </c>
      <c r="D22" s="16" t="s">
        <v>69</v>
      </c>
      <c r="E22" s="16"/>
      <c r="F22" s="16"/>
      <c r="G22" s="52" t="s">
        <v>11</v>
      </c>
    </row>
    <row r="23" spans="1:47">
      <c r="C23" s="15" t="s">
        <v>17</v>
      </c>
      <c r="D23" s="16" t="s">
        <v>69</v>
      </c>
      <c r="E23" s="16"/>
      <c r="F23" s="16"/>
      <c r="G23" s="52" t="s">
        <v>18</v>
      </c>
    </row>
    <row r="24" spans="1:47">
      <c r="C24" s="15" t="s">
        <v>37</v>
      </c>
      <c r="D24" s="16" t="s">
        <v>69</v>
      </c>
      <c r="E24" s="16"/>
      <c r="F24" s="16"/>
      <c r="G24" s="52" t="s">
        <v>38</v>
      </c>
    </row>
    <row r="25" spans="1:47">
      <c r="C25" s="15"/>
      <c r="D25" s="16"/>
      <c r="E25" s="16"/>
      <c r="F25" s="16"/>
      <c r="G25" s="8"/>
    </row>
    <row r="26" spans="1:47">
      <c r="C26" s="15" t="s">
        <v>23</v>
      </c>
      <c r="D26" s="16" t="s">
        <v>69</v>
      </c>
      <c r="E26" s="16"/>
      <c r="F26" s="16"/>
      <c r="G26" s="52" t="s">
        <v>23</v>
      </c>
    </row>
    <row r="27" spans="1:47">
      <c r="C27" s="15" t="s">
        <v>74</v>
      </c>
      <c r="D27" s="16" t="s">
        <v>69</v>
      </c>
      <c r="E27" s="16"/>
      <c r="F27" s="16"/>
      <c r="G27" s="52" t="s">
        <v>74</v>
      </c>
    </row>
    <row r="28" spans="1:47">
      <c r="C28" s="15"/>
      <c r="D28" s="16"/>
      <c r="E28" s="16"/>
      <c r="F28" s="16"/>
      <c r="G28" s="8"/>
    </row>
    <row r="29" spans="1:47" customFormat="1" ht="12.75">
      <c r="A29" s="43"/>
      <c r="B29" s="51" t="s">
        <v>120</v>
      </c>
      <c r="C29" s="43"/>
      <c r="D29" s="43"/>
      <c r="E29" s="43"/>
      <c r="F29" s="44"/>
      <c r="G29" s="44"/>
      <c r="H29" s="44"/>
      <c r="I29" s="44"/>
      <c r="J29" s="45"/>
      <c r="K29" s="46"/>
      <c r="L29" s="45"/>
      <c r="M29" s="46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7"/>
      <c r="Y29" s="47"/>
      <c r="Z29" s="47"/>
      <c r="AA29" s="47"/>
      <c r="AB29" s="48"/>
      <c r="AC29" s="49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1:47"/>
    <row r="31" spans="1:47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47">
      <c r="C32" s="15" t="s">
        <v>121</v>
      </c>
      <c r="D32" s="16" t="s">
        <v>69</v>
      </c>
      <c r="E32" s="16"/>
      <c r="F32" s="16"/>
      <c r="G32" s="151">
        <v>36526</v>
      </c>
      <c r="H32" s="14"/>
    </row>
    <row r="33" spans="1:47">
      <c r="C33" s="15" t="s">
        <v>122</v>
      </c>
      <c r="D33" s="16" t="s">
        <v>69</v>
      </c>
      <c r="E33" s="16"/>
      <c r="F33" s="16"/>
      <c r="G33" s="151">
        <v>36557</v>
      </c>
      <c r="H33" s="14"/>
    </row>
    <row r="34" spans="1:47">
      <c r="C34" s="15" t="s">
        <v>123</v>
      </c>
      <c r="D34" s="16" t="s">
        <v>69</v>
      </c>
      <c r="E34" s="16"/>
      <c r="F34" s="16"/>
      <c r="G34" s="151">
        <v>36586</v>
      </c>
      <c r="H34" s="14"/>
    </row>
    <row r="35" spans="1:47">
      <c r="C35" s="15" t="s">
        <v>124</v>
      </c>
      <c r="D35" s="16" t="s">
        <v>69</v>
      </c>
      <c r="E35" s="16"/>
      <c r="F35" s="16"/>
      <c r="G35" s="151">
        <v>36617</v>
      </c>
    </row>
    <row r="36" spans="1:47">
      <c r="C36" s="15" t="s">
        <v>125</v>
      </c>
      <c r="D36" s="16" t="s">
        <v>69</v>
      </c>
      <c r="E36" s="16"/>
      <c r="F36" s="16"/>
      <c r="G36" s="151">
        <v>36647</v>
      </c>
    </row>
    <row r="37" spans="1:47">
      <c r="C37" s="15" t="s">
        <v>126</v>
      </c>
      <c r="D37" s="16" t="s">
        <v>69</v>
      </c>
      <c r="E37" s="16"/>
      <c r="F37" s="16"/>
      <c r="G37" s="151">
        <v>36678</v>
      </c>
      <c r="T37" s="17"/>
    </row>
    <row r="38" spans="1:47">
      <c r="C38" s="15" t="s">
        <v>127</v>
      </c>
      <c r="D38" s="16" t="s">
        <v>69</v>
      </c>
      <c r="E38" s="16"/>
      <c r="F38" s="16"/>
      <c r="G38" s="151">
        <v>36708</v>
      </c>
      <c r="T38" s="17"/>
    </row>
    <row r="39" spans="1:47">
      <c r="C39" s="15" t="s">
        <v>128</v>
      </c>
      <c r="D39" s="16" t="s">
        <v>69</v>
      </c>
      <c r="E39" s="16"/>
      <c r="F39" s="16"/>
      <c r="G39" s="151">
        <v>36739</v>
      </c>
      <c r="T39" s="17"/>
    </row>
    <row r="40" spans="1:47">
      <c r="C40" s="15" t="s">
        <v>129</v>
      </c>
      <c r="D40" s="16" t="s">
        <v>69</v>
      </c>
      <c r="E40" s="16"/>
      <c r="F40" s="16"/>
      <c r="G40" s="151">
        <v>36770</v>
      </c>
      <c r="T40" s="17"/>
    </row>
    <row r="41" spans="1:47">
      <c r="C41" s="15" t="s">
        <v>130</v>
      </c>
      <c r="D41" s="16" t="s">
        <v>69</v>
      </c>
      <c r="E41" s="16"/>
      <c r="F41" s="16"/>
      <c r="G41" s="151">
        <v>36800</v>
      </c>
      <c r="T41" s="17"/>
    </row>
    <row r="42" spans="1:47">
      <c r="C42" s="15" t="s">
        <v>131</v>
      </c>
      <c r="D42" s="16" t="s">
        <v>69</v>
      </c>
      <c r="E42" s="16"/>
      <c r="F42" s="16"/>
      <c r="G42" s="151">
        <v>36831</v>
      </c>
      <c r="T42" s="17"/>
    </row>
    <row r="43" spans="1:47">
      <c r="C43" s="15" t="s">
        <v>132</v>
      </c>
      <c r="D43" s="16" t="s">
        <v>69</v>
      </c>
      <c r="E43" s="16"/>
      <c r="F43" s="16"/>
      <c r="G43" s="151">
        <v>36861</v>
      </c>
      <c r="T43" s="17"/>
    </row>
    <row r="44" spans="1:47">
      <c r="C44" s="15"/>
      <c r="D44" s="16"/>
      <c r="E44" s="16"/>
      <c r="F44" s="16"/>
      <c r="T44" s="17"/>
    </row>
    <row r="45" spans="1:47" customFormat="1" ht="12.75">
      <c r="A45" s="43"/>
      <c r="B45" s="51" t="s">
        <v>70</v>
      </c>
      <c r="C45" s="43"/>
      <c r="D45" s="43"/>
      <c r="E45" s="43"/>
      <c r="F45" s="44"/>
      <c r="G45" s="44"/>
      <c r="H45" s="44"/>
      <c r="I45" s="44"/>
      <c r="J45" s="45"/>
      <c r="K45" s="46"/>
      <c r="L45" s="45"/>
      <c r="M45" s="46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7"/>
      <c r="Y45" s="47"/>
      <c r="Z45" s="47"/>
      <c r="AA45" s="47"/>
      <c r="AB45" s="48"/>
      <c r="AC45" s="49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1:47"/>
    <row r="47" spans="1:47">
      <c r="C47" s="13" t="str">
        <f>B45</f>
        <v>Years</v>
      </c>
      <c r="D47" s="21" t="s">
        <v>7</v>
      </c>
      <c r="E47" s="21"/>
      <c r="F47" s="14"/>
      <c r="G47" s="14" t="s">
        <v>155</v>
      </c>
      <c r="H47" s="14" t="s">
        <v>153</v>
      </c>
      <c r="I47" s="14" t="s">
        <v>154</v>
      </c>
    </row>
    <row r="48" spans="1:47">
      <c r="C48" s="157">
        <v>40695</v>
      </c>
      <c r="D48" s="16" t="s">
        <v>69</v>
      </c>
      <c r="E48" s="16"/>
      <c r="F48" s="16"/>
      <c r="G48" s="152">
        <v>2011</v>
      </c>
      <c r="H48" s="179">
        <f>DATE(G48,MONTH('Input|General'!$G$9),1)</f>
        <v>40878</v>
      </c>
      <c r="I48" s="178" t="str">
        <f>G48-1&amp;"–"&amp;RIGHT(G48,2)</f>
        <v>2010–11</v>
      </c>
    </row>
    <row r="49" spans="3:20">
      <c r="C49" s="157">
        <v>41061</v>
      </c>
      <c r="D49" s="16" t="s">
        <v>69</v>
      </c>
      <c r="E49" s="16"/>
      <c r="F49" s="16"/>
      <c r="G49" s="152">
        <v>2012</v>
      </c>
      <c r="H49" s="179">
        <f>DATE(G49,MONTH('Input|General'!$G$9),1)</f>
        <v>41244</v>
      </c>
      <c r="I49" s="178" t="str">
        <f t="shared" ref="I49:I67" si="0">G49-1&amp;"–"&amp;RIGHT(G49,2)</f>
        <v>2011–12</v>
      </c>
    </row>
    <row r="50" spans="3:20">
      <c r="C50" s="157">
        <v>41426</v>
      </c>
      <c r="D50" s="16" t="s">
        <v>69</v>
      </c>
      <c r="E50" s="16"/>
      <c r="F50" s="16"/>
      <c r="G50" s="152">
        <v>2013</v>
      </c>
      <c r="H50" s="179">
        <f>DATE(G50,MONTH('Input|General'!$G$9),1)</f>
        <v>41609</v>
      </c>
      <c r="I50" s="178" t="str">
        <f t="shared" si="0"/>
        <v>2012–13</v>
      </c>
    </row>
    <row r="51" spans="3:20">
      <c r="C51" s="157">
        <v>41791</v>
      </c>
      <c r="D51" s="16" t="s">
        <v>69</v>
      </c>
      <c r="E51" s="16"/>
      <c r="F51" s="16"/>
      <c r="G51" s="152">
        <v>2014</v>
      </c>
      <c r="H51" s="179">
        <f>DATE(G51,MONTH('Input|General'!$G$9),1)</f>
        <v>41974</v>
      </c>
      <c r="I51" s="178" t="str">
        <f t="shared" si="0"/>
        <v>2013–14</v>
      </c>
    </row>
    <row r="52" spans="3:20">
      <c r="C52" s="157">
        <v>42156</v>
      </c>
      <c r="D52" s="16" t="s">
        <v>69</v>
      </c>
      <c r="E52" s="16"/>
      <c r="F52" s="16"/>
      <c r="G52" s="152">
        <v>2015</v>
      </c>
      <c r="H52" s="179">
        <f>DATE(G52,MONTH('Input|General'!$G$9),1)</f>
        <v>42339</v>
      </c>
      <c r="I52" s="178" t="str">
        <f t="shared" si="0"/>
        <v>2014–15</v>
      </c>
      <c r="T52" s="17"/>
    </row>
    <row r="53" spans="3:20">
      <c r="C53" s="157">
        <v>42522</v>
      </c>
      <c r="D53" s="16" t="s">
        <v>69</v>
      </c>
      <c r="E53" s="16"/>
      <c r="F53" s="16"/>
      <c r="G53" s="152">
        <v>2016</v>
      </c>
      <c r="H53" s="179">
        <f>DATE(G53,MONTH('Input|General'!$G$9),1)</f>
        <v>42705</v>
      </c>
      <c r="I53" s="178" t="str">
        <f t="shared" si="0"/>
        <v>2015–16</v>
      </c>
      <c r="T53" s="17"/>
    </row>
    <row r="54" spans="3:20">
      <c r="C54" s="157">
        <v>42887</v>
      </c>
      <c r="D54" s="16" t="s">
        <v>69</v>
      </c>
      <c r="E54" s="16"/>
      <c r="F54" s="16"/>
      <c r="G54" s="152">
        <v>2017</v>
      </c>
      <c r="H54" s="179">
        <f>DATE(G54,MONTH('Input|General'!$G$9),1)</f>
        <v>43070</v>
      </c>
      <c r="I54" s="178" t="str">
        <f t="shared" si="0"/>
        <v>2016–17</v>
      </c>
      <c r="T54" s="17"/>
    </row>
    <row r="55" spans="3:20">
      <c r="C55" s="157">
        <v>43252</v>
      </c>
      <c r="D55" s="16" t="s">
        <v>69</v>
      </c>
      <c r="E55" s="16"/>
      <c r="F55" s="16"/>
      <c r="G55" s="152">
        <v>2018</v>
      </c>
      <c r="H55" s="179">
        <f>DATE(G55,MONTH('Input|General'!$G$9),1)</f>
        <v>43435</v>
      </c>
      <c r="I55" s="178" t="str">
        <f t="shared" si="0"/>
        <v>2017–18</v>
      </c>
      <c r="T55" s="17"/>
    </row>
    <row r="56" spans="3:20">
      <c r="C56" s="157">
        <v>43617</v>
      </c>
      <c r="D56" s="16" t="s">
        <v>69</v>
      </c>
      <c r="E56" s="16"/>
      <c r="F56" s="16"/>
      <c r="G56" s="152">
        <v>2019</v>
      </c>
      <c r="H56" s="179">
        <f>DATE(G56,MONTH('Input|General'!$G$9),1)</f>
        <v>43800</v>
      </c>
      <c r="I56" s="178" t="str">
        <f t="shared" si="0"/>
        <v>2018–19</v>
      </c>
      <c r="T56" s="17"/>
    </row>
    <row r="57" spans="3:20">
      <c r="C57" s="157">
        <v>43983</v>
      </c>
      <c r="D57" s="16" t="s">
        <v>69</v>
      </c>
      <c r="E57" s="16"/>
      <c r="F57" s="16"/>
      <c r="G57" s="152">
        <v>2020</v>
      </c>
      <c r="H57" s="179">
        <f>DATE(G57,MONTH('Input|General'!$G$9),1)</f>
        <v>44166</v>
      </c>
      <c r="I57" s="178" t="str">
        <f t="shared" si="0"/>
        <v>2019–20</v>
      </c>
      <c r="T57" s="17"/>
    </row>
    <row r="58" spans="3:20">
      <c r="C58" s="157">
        <v>44348</v>
      </c>
      <c r="D58" s="16" t="s">
        <v>69</v>
      </c>
      <c r="E58" s="16"/>
      <c r="F58" s="16"/>
      <c r="G58" s="152">
        <v>2021</v>
      </c>
      <c r="H58" s="179">
        <f>DATE(G58,MONTH('Input|General'!$G$9),1)</f>
        <v>44531</v>
      </c>
      <c r="I58" s="178" t="str">
        <f t="shared" si="0"/>
        <v>2020–21</v>
      </c>
      <c r="T58" s="17"/>
    </row>
    <row r="59" spans="3:20">
      <c r="C59" s="157">
        <v>44713</v>
      </c>
      <c r="D59" s="16" t="s">
        <v>69</v>
      </c>
      <c r="E59" s="16"/>
      <c r="F59" s="16"/>
      <c r="G59" s="152">
        <v>2022</v>
      </c>
      <c r="H59" s="179">
        <f>DATE(G59,MONTH('Input|General'!$G$9),1)</f>
        <v>44896</v>
      </c>
      <c r="I59" s="178" t="str">
        <f t="shared" si="0"/>
        <v>2021–22</v>
      </c>
      <c r="T59" s="17"/>
    </row>
    <row r="60" spans="3:20">
      <c r="C60" s="157">
        <v>45078</v>
      </c>
      <c r="D60" s="16" t="s">
        <v>69</v>
      </c>
      <c r="E60" s="16"/>
      <c r="F60" s="16"/>
      <c r="G60" s="152">
        <v>2023</v>
      </c>
      <c r="H60" s="179">
        <f>DATE(G60,MONTH('Input|General'!$G$9),1)</f>
        <v>45261</v>
      </c>
      <c r="I60" s="178" t="str">
        <f t="shared" si="0"/>
        <v>2022–23</v>
      </c>
      <c r="T60" s="17"/>
    </row>
    <row r="61" spans="3:20">
      <c r="C61" s="157">
        <v>45444</v>
      </c>
      <c r="D61" s="16" t="s">
        <v>69</v>
      </c>
      <c r="E61" s="16"/>
      <c r="F61" s="16"/>
      <c r="G61" s="152">
        <v>2024</v>
      </c>
      <c r="H61" s="179">
        <f>DATE(G61,MONTH('Input|General'!$G$9),1)</f>
        <v>45627</v>
      </c>
      <c r="I61" s="178" t="str">
        <f t="shared" si="0"/>
        <v>2023–24</v>
      </c>
      <c r="T61" s="17"/>
    </row>
    <row r="62" spans="3:20">
      <c r="C62" s="157">
        <v>45809</v>
      </c>
      <c r="D62" s="16" t="s">
        <v>69</v>
      </c>
      <c r="E62" s="16"/>
      <c r="F62" s="16"/>
      <c r="G62" s="152">
        <v>2025</v>
      </c>
      <c r="H62" s="179">
        <f>DATE(G62,MONTH('Input|General'!$G$9),1)</f>
        <v>45992</v>
      </c>
      <c r="I62" s="178" t="str">
        <f t="shared" si="0"/>
        <v>2024–25</v>
      </c>
      <c r="T62" s="17"/>
    </row>
    <row r="63" spans="3:20">
      <c r="C63" s="157">
        <v>46174</v>
      </c>
      <c r="D63" s="16" t="s">
        <v>69</v>
      </c>
      <c r="E63" s="16"/>
      <c r="F63" s="16"/>
      <c r="G63" s="152">
        <v>2026</v>
      </c>
      <c r="H63" s="179">
        <f>DATE(G63,MONTH('Input|General'!$G$9),1)</f>
        <v>46357</v>
      </c>
      <c r="I63" s="178" t="str">
        <f t="shared" si="0"/>
        <v>2025–26</v>
      </c>
      <c r="T63" s="17"/>
    </row>
    <row r="64" spans="3:20">
      <c r="C64" s="157">
        <v>46539</v>
      </c>
      <c r="D64" s="16" t="s">
        <v>69</v>
      </c>
      <c r="E64" s="16"/>
      <c r="F64" s="16"/>
      <c r="G64" s="152">
        <v>2027</v>
      </c>
      <c r="H64" s="179">
        <f>DATE(G64,MONTH('Input|General'!$G$9),1)</f>
        <v>46722</v>
      </c>
      <c r="I64" s="178" t="str">
        <f t="shared" si="0"/>
        <v>2026–27</v>
      </c>
      <c r="T64" s="17"/>
    </row>
    <row r="65" spans="1:47">
      <c r="C65" s="157">
        <v>46905</v>
      </c>
      <c r="D65" s="16" t="s">
        <v>69</v>
      </c>
      <c r="E65" s="16"/>
      <c r="F65" s="16"/>
      <c r="G65" s="152">
        <v>2028</v>
      </c>
      <c r="H65" s="179">
        <f>DATE(G65,MONTH('Input|General'!$G$9),1)</f>
        <v>47088</v>
      </c>
      <c r="I65" s="178" t="str">
        <f t="shared" si="0"/>
        <v>2027–28</v>
      </c>
      <c r="T65" s="17"/>
    </row>
    <row r="66" spans="1:47">
      <c r="C66" s="157">
        <v>47270</v>
      </c>
      <c r="D66" s="16" t="s">
        <v>69</v>
      </c>
      <c r="E66" s="16"/>
      <c r="F66" s="16"/>
      <c r="G66" s="152">
        <v>2029</v>
      </c>
      <c r="H66" s="179">
        <f>DATE(G66,MONTH('Input|General'!$G$9),1)</f>
        <v>47453</v>
      </c>
      <c r="I66" s="178" t="str">
        <f t="shared" si="0"/>
        <v>2028–29</v>
      </c>
      <c r="T66" s="17"/>
    </row>
    <row r="67" spans="1:47">
      <c r="C67" s="157">
        <v>47635</v>
      </c>
      <c r="D67" s="16" t="s">
        <v>69</v>
      </c>
      <c r="E67" s="16"/>
      <c r="F67" s="16"/>
      <c r="G67" s="152">
        <v>2030</v>
      </c>
      <c r="H67" s="179">
        <f>DATE(G67,MONTH('Input|General'!$G$9),1)</f>
        <v>47818</v>
      </c>
      <c r="I67" s="178" t="str">
        <f t="shared" si="0"/>
        <v>2029–30</v>
      </c>
      <c r="T67" s="17"/>
    </row>
    <row r="68" spans="1:47"/>
    <row r="69" spans="1:47" customFormat="1" ht="12.75">
      <c r="A69" s="43"/>
      <c r="B69" s="51" t="s">
        <v>151</v>
      </c>
      <c r="C69" s="43"/>
      <c r="D69" s="43"/>
      <c r="E69" s="43"/>
      <c r="F69" s="44"/>
      <c r="G69" s="44"/>
      <c r="H69" s="44"/>
      <c r="I69" s="44"/>
      <c r="J69" s="45"/>
      <c r="K69" s="46"/>
      <c r="L69" s="45"/>
      <c r="M69" s="46"/>
      <c r="N69" s="45"/>
      <c r="O69" s="45"/>
      <c r="P69" s="45"/>
      <c r="Q69" s="45"/>
      <c r="R69" s="45"/>
      <c r="S69" s="45"/>
      <c r="T69" s="45"/>
      <c r="U69" s="45"/>
      <c r="V69" s="46"/>
      <c r="W69" s="46"/>
      <c r="X69" s="47"/>
      <c r="Y69" s="47"/>
      <c r="Z69" s="47"/>
      <c r="AA69" s="47"/>
      <c r="AB69" s="48"/>
      <c r="AC69" s="49"/>
      <c r="AD69" s="49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</row>
    <row r="70" spans="1:47"/>
    <row r="71" spans="1:47">
      <c r="C71" s="13" t="str">
        <f>B69</f>
        <v>Regulatory years</v>
      </c>
      <c r="D71" s="21" t="s">
        <v>7</v>
      </c>
      <c r="E71" s="21"/>
      <c r="F71" s="14"/>
      <c r="G71" s="14" t="s">
        <v>152</v>
      </c>
      <c r="H71" s="14" t="s">
        <v>119</v>
      </c>
    </row>
    <row r="72" spans="1:47">
      <c r="C72" s="15" t="s">
        <v>180</v>
      </c>
      <c r="D72" s="16" t="s">
        <v>98</v>
      </c>
      <c r="E72" s="21"/>
      <c r="F72" s="14"/>
      <c r="G72" s="178">
        <f>IF(H72="","",IF(MONTH(H72)=12,YEAR(H72),YEAR(H72)-1&amp;"–"&amp;RIGHT(YEAR(H72),2)))</f>
        <v>2017</v>
      </c>
      <c r="H72" s="179">
        <f>DATE(PPFirstYear-1,MONTH('Input|General'!$G$9),1)</f>
        <v>43070</v>
      </c>
    </row>
    <row r="73" spans="1:47">
      <c r="C73" s="15" t="s">
        <v>139</v>
      </c>
      <c r="D73" s="16" t="s">
        <v>98</v>
      </c>
      <c r="E73" s="16"/>
      <c r="F73" s="16"/>
      <c r="G73" s="178">
        <f t="shared" ref="G73:G82" si="1">IF(H73="","",IF(MONTH(H73)=12,YEAR(H73),YEAR(H73)-1&amp;"–"&amp;RIGHT(YEAR(H73),2)))</f>
        <v>2018</v>
      </c>
      <c r="H73" s="179">
        <f>DATE(PPFirstYear,MONTH('Input|General'!$G$9),1)</f>
        <v>43435</v>
      </c>
    </row>
    <row r="74" spans="1:47">
      <c r="C74" s="15" t="s">
        <v>140</v>
      </c>
      <c r="D74" s="16" t="s">
        <v>98</v>
      </c>
      <c r="E74" s="16"/>
      <c r="F74" s="16"/>
      <c r="G74" s="178">
        <f t="shared" si="1"/>
        <v>2019</v>
      </c>
      <c r="H74" s="179">
        <f>IF(PPLastYear-PPFirstYear&lt;1,"",DATE(PPFirstYear+1,MONTH('Input|General'!$G$9),1))</f>
        <v>43800</v>
      </c>
    </row>
    <row r="75" spans="1:47">
      <c r="C75" s="15" t="s">
        <v>141</v>
      </c>
      <c r="D75" s="16" t="s">
        <v>98</v>
      </c>
      <c r="E75" s="16"/>
      <c r="F75" s="16"/>
      <c r="G75" s="178">
        <f t="shared" si="1"/>
        <v>2020</v>
      </c>
      <c r="H75" s="179">
        <f>IF(PPLastYear-PPFirstYear&lt;2,"",DATE(PPFirstYear+2,MONTH('Input|General'!$G$9),1))</f>
        <v>44166</v>
      </c>
    </row>
    <row r="76" spans="1:47">
      <c r="C76" s="15" t="s">
        <v>142</v>
      </c>
      <c r="D76" s="16" t="s">
        <v>98</v>
      </c>
      <c r="E76" s="16"/>
      <c r="F76" s="16"/>
      <c r="G76" s="178">
        <f t="shared" si="1"/>
        <v>2021</v>
      </c>
      <c r="H76" s="179">
        <f>IF(PPLastYear-PPFirstYear&lt;3,"",DATE(PPFirstYear+3,MONTH('Input|General'!$G$9),1))</f>
        <v>44531</v>
      </c>
    </row>
    <row r="77" spans="1:47">
      <c r="C77" s="15" t="s">
        <v>143</v>
      </c>
      <c r="D77" s="16" t="s">
        <v>98</v>
      </c>
      <c r="E77" s="16"/>
      <c r="F77" s="16"/>
      <c r="G77" s="178">
        <f t="shared" si="1"/>
        <v>2022</v>
      </c>
      <c r="H77" s="179">
        <f>IF(PPLastYear-PPFirstYear&lt;4,"",DATE(PPFirstYear+4,MONTH('Input|General'!$G$9),1))</f>
        <v>44896</v>
      </c>
    </row>
    <row r="78" spans="1:47">
      <c r="C78" s="15" t="s">
        <v>182</v>
      </c>
      <c r="D78" s="16" t="s">
        <v>98</v>
      </c>
      <c r="E78" s="16"/>
      <c r="F78" s="16"/>
      <c r="G78" s="178" t="str">
        <f t="shared" si="1"/>
        <v/>
      </c>
      <c r="H78" s="179" t="str">
        <f>IF(PPLastYear-PPFirstYear&lt;5,"",DATE(PPFirstYear+5,MONTH('Input|General'!$G$9),1))</f>
        <v/>
      </c>
    </row>
    <row r="79" spans="1:47">
      <c r="C79" s="15" t="s">
        <v>144</v>
      </c>
      <c r="D79" s="16" t="s">
        <v>98</v>
      </c>
      <c r="E79" s="16"/>
      <c r="F79" s="16"/>
      <c r="G79" s="178">
        <f t="shared" si="1"/>
        <v>2023</v>
      </c>
      <c r="H79" s="179">
        <f>DATE(FPFirstYear,MONTH('Input|General'!$G$9),1)</f>
        <v>45261</v>
      </c>
      <c r="T79" s="17"/>
    </row>
    <row r="80" spans="1:47">
      <c r="C80" s="15" t="s">
        <v>145</v>
      </c>
      <c r="D80" s="16" t="s">
        <v>98</v>
      </c>
      <c r="E80" s="16"/>
      <c r="F80" s="16"/>
      <c r="G80" s="178">
        <f t="shared" si="1"/>
        <v>2024</v>
      </c>
      <c r="H80" s="179">
        <f>IF(FPLastYear-FPFirstYear&lt;1,"",DATE(FPFirstYear+1,MONTH('Input|General'!$G$9),1))</f>
        <v>45627</v>
      </c>
      <c r="T80" s="17"/>
    </row>
    <row r="81" spans="1:47">
      <c r="C81" s="15" t="s">
        <v>146</v>
      </c>
      <c r="D81" s="16" t="s">
        <v>98</v>
      </c>
      <c r="E81" s="16"/>
      <c r="F81" s="16"/>
      <c r="G81" s="178">
        <f t="shared" si="1"/>
        <v>2025</v>
      </c>
      <c r="H81" s="179">
        <f>IF(FPLastYear-FPFirstYear&lt;2,"",DATE(FPFirstYear+2,MONTH('Input|General'!$G$9),1))</f>
        <v>45992</v>
      </c>
      <c r="T81" s="17"/>
    </row>
    <row r="82" spans="1:47">
      <c r="C82" s="15" t="s">
        <v>147</v>
      </c>
      <c r="D82" s="16" t="s">
        <v>98</v>
      </c>
      <c r="E82" s="16"/>
      <c r="F82" s="16"/>
      <c r="G82" s="178">
        <f t="shared" si="1"/>
        <v>2026</v>
      </c>
      <c r="H82" s="179">
        <f>IF(FPLastYear-FPFirstYear&lt;3,"",DATE(FPFirstYear+3,MONTH('Input|General'!$G$9),1))</f>
        <v>46357</v>
      </c>
      <c r="T82" s="17"/>
    </row>
    <row r="83" spans="1:47">
      <c r="C83" s="15" t="s">
        <v>148</v>
      </c>
      <c r="D83" s="16" t="s">
        <v>98</v>
      </c>
      <c r="E83" s="16"/>
      <c r="F83" s="16"/>
      <c r="G83" s="178">
        <f>IF(H83="","",IF(MONTH(H83)=12,YEAR(H83),YEAR(H83)-1&amp;"–"&amp;RIGHT(YEAR(H83),2)))</f>
        <v>2027</v>
      </c>
      <c r="H83" s="179">
        <f>IF(FPLastYear-FPFirstYear&lt;4,"",DATE(FPFirstYear+4,MONTH('Input|General'!$G$9),1))</f>
        <v>46722</v>
      </c>
      <c r="T83" s="17"/>
    </row>
    <row r="84" spans="1:47">
      <c r="C84" s="15"/>
      <c r="D84" s="16"/>
      <c r="E84" s="16"/>
      <c r="F84" s="16"/>
      <c r="G84" s="199"/>
      <c r="H84" s="200"/>
      <c r="T84" s="17"/>
    </row>
    <row r="85" spans="1:47" customFormat="1" ht="12.75">
      <c r="A85" s="43"/>
      <c r="B85" s="51" t="s">
        <v>21</v>
      </c>
      <c r="C85" s="43"/>
      <c r="D85" s="43"/>
      <c r="E85" s="43"/>
      <c r="F85" s="44"/>
      <c r="G85" s="44"/>
      <c r="H85" s="44"/>
      <c r="I85" s="44"/>
      <c r="J85" s="45"/>
      <c r="K85" s="46"/>
      <c r="L85" s="45"/>
      <c r="M85" s="46"/>
      <c r="N85" s="45"/>
      <c r="O85" s="45"/>
      <c r="P85" s="45"/>
      <c r="Q85" s="45"/>
      <c r="R85" s="45"/>
      <c r="S85" s="45"/>
      <c r="T85" s="45"/>
      <c r="U85" s="45"/>
      <c r="V85" s="46"/>
      <c r="W85" s="46"/>
      <c r="X85" s="47"/>
      <c r="Y85" s="47"/>
      <c r="Z85" s="47"/>
      <c r="AA85" s="47"/>
      <c r="AB85" s="48"/>
      <c r="AC85" s="49"/>
      <c r="AD85" s="49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3"/>
  <sheetViews>
    <sheetView showGridLines="0" workbookViewId="0">
      <selection activeCell="K12" sqref="K1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v2.0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6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3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ljorg</cp:lastModifiedBy>
  <dcterms:created xsi:type="dcterms:W3CDTF">2022-06-22T05:03:33Z</dcterms:created>
  <dcterms:modified xsi:type="dcterms:W3CDTF">2022-06-24T05:27:56Z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