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700" tabRatio="691" firstSheet="4" activeTab="4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externalReferences>
    <externalReference r:id="rId8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6">'[1]Lookup|Tables'!$G$14</definedName>
    <definedName name="percent">#REF!</definedName>
    <definedName name="thousands">#REF!</definedName>
    <definedName name="unit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3" i="3" l="1"/>
  <c r="J12" i="3" l="1"/>
  <c r="L22" i="13"/>
  <c r="A5" i="14"/>
  <c r="A6" i="14"/>
  <c r="A7" i="14"/>
  <c r="A8" i="14" s="1"/>
  <c r="A9" i="14" s="1"/>
  <c r="A10" i="14" s="1"/>
  <c r="D18" i="2"/>
  <c r="D24" i="4" s="1"/>
  <c r="E18" i="2"/>
  <c r="F18" i="2" s="1"/>
  <c r="G7" i="13"/>
  <c r="F7" i="13" s="1"/>
  <c r="H7" i="13"/>
  <c r="H15" i="13" s="1"/>
  <c r="I15" i="13" s="1"/>
  <c r="J15" i="13" s="1"/>
  <c r="K15" i="13" s="1"/>
  <c r="L15" i="13" s="1"/>
  <c r="I7" i="13"/>
  <c r="J7" i="13"/>
  <c r="K7" i="13"/>
  <c r="K19" i="13" s="1"/>
  <c r="D18" i="4"/>
  <c r="D8" i="4"/>
  <c r="E7" i="4"/>
  <c r="F7" i="4"/>
  <c r="G7" i="4"/>
  <c r="H7" i="4"/>
  <c r="D7" i="4"/>
  <c r="I6" i="3"/>
  <c r="I12" i="3" s="1"/>
  <c r="E10" i="4" s="1"/>
  <c r="J6" i="3"/>
  <c r="K6" i="3"/>
  <c r="K12" i="3" s="1"/>
  <c r="L6" i="3"/>
  <c r="L16" i="3" s="1"/>
  <c r="H6" i="3"/>
  <c r="H12" i="3" s="1"/>
  <c r="D10" i="4" s="1"/>
  <c r="G19" i="13"/>
  <c r="I19" i="13"/>
  <c r="J19" i="13"/>
  <c r="I16" i="3"/>
  <c r="K16" i="3"/>
  <c r="J16" i="3"/>
  <c r="G22" i="13"/>
  <c r="D9" i="4" s="1"/>
  <c r="H22" i="13"/>
  <c r="E9" i="4" s="1"/>
  <c r="I22" i="13"/>
  <c r="F9" i="4" s="1"/>
  <c r="J22" i="13"/>
  <c r="K22" i="13"/>
  <c r="H9" i="4" s="1"/>
  <c r="G19" i="4" s="1"/>
  <c r="H8" i="4"/>
  <c r="N14" i="13"/>
  <c r="N22" i="13" s="1"/>
  <c r="E25" i="4" s="1"/>
  <c r="N9" i="13"/>
  <c r="O9" i="13" s="1"/>
  <c r="P9" i="13" s="1"/>
  <c r="Q9" i="13" s="1"/>
  <c r="G15" i="13"/>
  <c r="G8" i="4"/>
  <c r="F8" i="4"/>
  <c r="E8" i="4"/>
  <c r="B1" i="2"/>
  <c r="B1" i="10" s="1"/>
  <c r="G9" i="4"/>
  <c r="D41" i="4"/>
  <c r="J6" i="10"/>
  <c r="F8" i="10" s="1"/>
  <c r="H27" i="3"/>
  <c r="I27" i="3"/>
  <c r="O14" i="13"/>
  <c r="O22" i="13" s="1"/>
  <c r="F25" i="4" s="1"/>
  <c r="B1" i="4" l="1"/>
  <c r="C45" i="4"/>
  <c r="C43" i="4"/>
  <c r="F12" i="3"/>
  <c r="C15" i="13"/>
  <c r="C10" i="13"/>
  <c r="F30" i="3"/>
  <c r="F8" i="3"/>
  <c r="F10" i="3"/>
  <c r="F9" i="3"/>
  <c r="G10" i="4"/>
  <c r="J27" i="3"/>
  <c r="F41" i="4"/>
  <c r="L6" i="10" s="1"/>
  <c r="F24" i="4"/>
  <c r="G18" i="2"/>
  <c r="O7" i="13"/>
  <c r="O19" i="13" s="1"/>
  <c r="B1" i="13"/>
  <c r="H16" i="3"/>
  <c r="M7" i="13"/>
  <c r="N7" i="13"/>
  <c r="N19" i="13" s="1"/>
  <c r="L12" i="3"/>
  <c r="H10" i="4" s="1"/>
  <c r="P14" i="13"/>
  <c r="P22" i="13" s="1"/>
  <c r="B1" i="3"/>
  <c r="G10" i="13"/>
  <c r="E41" i="4"/>
  <c r="K6" i="10" s="1"/>
  <c r="F19" i="4"/>
  <c r="E19" i="4" s="1"/>
  <c r="D19" i="4" s="1"/>
  <c r="D21" i="4" s="1"/>
  <c r="F10" i="4"/>
  <c r="H10" i="13"/>
  <c r="I10" i="13" s="1"/>
  <c r="J10" i="13" s="1"/>
  <c r="K10" i="13" s="1"/>
  <c r="L10" i="13" s="1"/>
  <c r="H19" i="13"/>
  <c r="B1" i="5"/>
  <c r="E24" i="4"/>
  <c r="I23" i="3"/>
  <c r="E11" i="4" s="1"/>
  <c r="E12" i="4" s="1"/>
  <c r="M10" i="13" l="1"/>
  <c r="H30" i="3"/>
  <c r="H31" i="3" s="1"/>
  <c r="D26" i="4" s="1"/>
  <c r="P7" i="13"/>
  <c r="P19" i="13" s="1"/>
  <c r="G24" i="4"/>
  <c r="G41" i="4"/>
  <c r="M6" i="10" s="1"/>
  <c r="K27" i="3"/>
  <c r="H18" i="2"/>
  <c r="M19" i="13"/>
  <c r="M15" i="13"/>
  <c r="N15" i="13" s="1"/>
  <c r="O15" i="13" s="1"/>
  <c r="P15" i="13" s="1"/>
  <c r="Q14" i="13"/>
  <c r="Q22" i="13" s="1"/>
  <c r="H25" i="4" s="1"/>
  <c r="G25" i="4"/>
  <c r="E20" i="4"/>
  <c r="F14" i="4"/>
  <c r="H14" i="4"/>
  <c r="G14" i="4"/>
  <c r="H41" i="4" l="1"/>
  <c r="N6" i="10" s="1"/>
  <c r="Q7" i="13"/>
  <c r="Q19" i="13" s="1"/>
  <c r="H24" i="4"/>
  <c r="L27" i="3"/>
  <c r="Q15" i="13"/>
  <c r="N10" i="13"/>
  <c r="I30" i="3"/>
  <c r="I31" i="3" s="1"/>
  <c r="E26" i="4" s="1"/>
  <c r="O10" i="13" l="1"/>
  <c r="J30" i="3"/>
  <c r="J31" i="3" s="1"/>
  <c r="F26" i="4" s="1"/>
  <c r="K30" i="3" l="1"/>
  <c r="K31" i="3" s="1"/>
  <c r="G26" i="4" s="1"/>
  <c r="P10" i="13"/>
  <c r="L30" i="3" l="1"/>
  <c r="L31" i="3" s="1"/>
  <c r="H26" i="4" s="1"/>
  <c r="Q10" i="13"/>
  <c r="J23" i="3"/>
  <c r="F11" i="4" s="1"/>
  <c r="F12" i="4" s="1"/>
  <c r="H15" i="4" s="1"/>
  <c r="F20" i="4" l="1"/>
  <c r="G15" i="4"/>
  <c r="K23" i="3" l="1"/>
  <c r="G11" i="4" s="1"/>
  <c r="G12" i="4" s="1"/>
  <c r="H16" i="4" l="1"/>
  <c r="G20" i="4"/>
  <c r="L23" i="3" l="1"/>
  <c r="H11" i="4" s="1"/>
  <c r="H12" i="4" s="1"/>
  <c r="H20" i="4" s="1"/>
  <c r="D11" i="4" l="1"/>
  <c r="D12" i="4" s="1"/>
  <c r="E13" i="4" l="1"/>
  <c r="E18" i="4" s="1"/>
  <c r="E21" i="4" s="1"/>
  <c r="G13" i="4"/>
  <c r="G18" i="4" s="1"/>
  <c r="G21" i="4" s="1"/>
  <c r="H13" i="4"/>
  <c r="H18" i="4" s="1"/>
  <c r="H21" i="4" s="1"/>
  <c r="F13" i="4"/>
  <c r="F18" i="4" s="1"/>
  <c r="F21" i="4" s="1"/>
  <c r="D20" i="4"/>
  <c r="D35" i="4" l="1"/>
  <c r="M22" i="13" l="1"/>
  <c r="D25" i="4" s="1"/>
  <c r="D42" i="4"/>
  <c r="E42" i="4" s="1"/>
  <c r="F42" i="4" s="1"/>
  <c r="G42" i="4" s="1"/>
  <c r="H42" i="4" s="1"/>
  <c r="F27" i="4" l="1"/>
  <c r="F28" i="4" s="1"/>
  <c r="E27" i="4"/>
  <c r="E28" i="4" s="1"/>
  <c r="D27" i="4"/>
  <c r="D28" i="4" s="1"/>
  <c r="G27" i="4"/>
  <c r="G28" i="4" s="1"/>
  <c r="H27" i="4"/>
  <c r="H28" i="4" s="1"/>
  <c r="D31" i="4" l="1"/>
  <c r="D33" i="4" s="1"/>
  <c r="D34" i="4" l="1"/>
  <c r="D36" i="4" s="1"/>
  <c r="D37" i="4" s="1"/>
  <c r="D43" i="4" s="1"/>
  <c r="E43" i="4" s="1"/>
  <c r="J8" i="10" l="1"/>
  <c r="K8" i="10"/>
  <c r="F43" i="4"/>
  <c r="L8" i="10" l="1"/>
  <c r="G43" i="4"/>
  <c r="H43" i="4" l="1"/>
  <c r="M8" i="10"/>
  <c r="N8" i="10" l="1"/>
  <c r="O8" i="10" s="1"/>
  <c r="D45" i="4"/>
</calcChain>
</file>

<file path=xl/comments1.xml><?xml version="1.0" encoding="utf-8"?>
<comments xmlns="http://schemas.openxmlformats.org/spreadsheetml/2006/main">
  <authors>
    <author>Author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<sst xmlns="http://schemas.openxmlformats.org/spreadsheetml/2006/main" count="233" uniqueCount="127">
  <si>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</si>
  <si>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</si>
  <si>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</si>
  <si>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</si>
  <si>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</si>
  <si>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</si>
  <si>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</si>
  <si>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</si>
  <si>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</si>
  <si>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</si>
  <si>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</si>
  <si>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</si>
  <si>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</si>
  <si>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</si>
  <si>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</si>
  <si>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</si>
  <si>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</si>
  <si>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</si>
  <si>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</si>
  <si>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</si>
  <si>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</si>
  <si>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</si>
  <si>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</si>
  <si>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</si>
  <si>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</si>
  <si>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</si>
  <si>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</si>
  <si>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</si>
  <si>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</si>
  <si>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</si>
  <si>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</si>
  <si>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</si>
  <si>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</si>
  <si>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</si>
  <si>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</si>
  <si>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</si>
  <si>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</si>
  <si>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</si>
  <si>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</si>
  <si>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</si>
  <si>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</si>
  <si>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</si>
  <si>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</si>
  <si>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</si>
  <si>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</si>
  <si>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</si>
  <si>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</si>
  <si>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</si>
  <si>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</si>
  <si>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</si>
  <si>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</si>
  <si>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</si>
  <si>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</si>
  <si>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</si>
  <si>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</si>
  <si>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</si>
  <si>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</si>
  <si>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</si>
  <si>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</si>
  <si>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</si>
  <si>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</si>
  <si>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</si>
  <si>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</si>
  <si>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</si>
  <si>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</si>
  <si>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</si>
  <si>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</si>
  <si>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</si>
  <si>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</si>
  <si>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</si>
  <si>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</si>
  <si>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</si>
  <si>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</si>
  <si>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</si>
  <si>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</si>
  <si>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</si>
  <si>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</si>
  <si>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</si>
  <si>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</si>
  <si>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</si>
  <si>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</si>
  <si>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</si>
  <si>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</si>
  <si>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</si>
  <si>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</si>
  <si>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</si>
  <si>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</si>
  <si>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</si>
  <si>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</si>
  <si>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</si>
  <si>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</si>
  <si>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</si>
  <si>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Draft Decision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</si>
  <si>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</si>
  <si>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</si>
  <si>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</si>
  <si>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</si>
  <si>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</si>
  <si>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</si>
  <si>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</si>
  <si>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</si>
  <si>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</si>
  <si>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</si>
  <si>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</si>
  <si>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</si>
  <si>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</si>
  <si>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</si>
  <si>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</si>
  <si>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</si>
  <si>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</si>
  <si>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</si>
  <si>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</si>
  <si>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</si>
  <si>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</si>
  <si>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</si>
  <si>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</si>
  <si>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</si>
  <si>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</si>
  <si>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</si>
  <si>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</si>
  <si>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</si>
  <si>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</si>
  <si>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</si>
  <si>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</si>
  <si>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</si>
  <si>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</si>
  <si>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AusNet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</si>
</sst>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6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27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168" fontId="24" fillId="0" borderId="2" xfId="0" applyNumberFormat="1" applyFont="1" applyFill="1" applyBorder="1" applyAlignment="1">
      <alignment horizontal="right" vertical="center"/>
    </xf>
    <xf numFmtId="168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10" fontId="15" fillId="58" borderId="26" xfId="0" applyNumberFormat="1" applyFont="1" applyFill="1" applyBorder="1" applyAlignment="1">
      <alignment horizontal="center" vertical="center"/>
    </xf>
    <xf numFmtId="2" fontId="15" fillId="59" borderId="38" xfId="0" applyNumberFormat="1" applyFont="1" applyFill="1" applyBorder="1"/>
    <xf numFmtId="168" fontId="24" fillId="58" borderId="6" xfId="0" applyNumberFormat="1" applyFont="1" applyFill="1" applyBorder="1" applyAlignment="1">
      <alignment horizontal="right" vertical="center"/>
    </xf>
    <xf numFmtId="168" fontId="24" fillId="59" borderId="2" xfId="0" applyNumberFormat="1" applyFont="1" applyFill="1" applyBorder="1" applyAlignment="1">
      <alignment horizontal="right" vertical="center"/>
    </xf>
    <xf numFmtId="0" fontId="22" fillId="58" borderId="0" xfId="0" applyNumberFormat="1" applyFont="1" applyFill="1" applyBorder="1" applyAlignment="1" applyProtection="1">
      <alignment horizontal="right" vertical="center"/>
    </xf>
    <xf numFmtId="2" fontId="15" fillId="0" borderId="4" xfId="0" applyNumberFormat="1" applyFont="1" applyFill="1" applyBorder="1"/>
    <xf numFmtId="2" fontId="15" fillId="0" borderId="38" xfId="0" applyNumberFormat="1" applyFont="1" applyFill="1" applyBorder="1"/>
    <xf numFmtId="9" fontId="15" fillId="0" borderId="4" xfId="0" applyNumberFormat="1" applyFont="1" applyFill="1" applyBorder="1"/>
    <xf numFmtId="167" fontId="15" fillId="59" borderId="0" xfId="304" applyNumberFormat="1" applyFont="1" applyFill="1" applyBorder="1" applyAlignment="1">
      <alignment horizontal="right"/>
    </xf>
    <xf numFmtId="2" fontId="15" fillId="59" borderId="0" xfId="0" applyNumberFormat="1" applyFont="1" applyFill="1" applyBorder="1" applyAlignment="1">
      <alignment horizontal="right"/>
    </xf>
    <xf numFmtId="2" fontId="15" fillId="59" borderId="35" xfId="0" applyNumberFormat="1" applyFont="1" applyFill="1" applyBorder="1" applyAlignment="1">
      <alignment horizontal="right"/>
    </xf>
    <xf numFmtId="10" fontId="17" fillId="60" borderId="7" xfId="268" applyNumberFormat="1" applyFont="1" applyFill="1" applyBorder="1" applyAlignment="1" applyProtection="1">
      <alignment horizontal="right" vertical="center"/>
    </xf>
    <xf numFmtId="10" fontId="17" fillId="60" borderId="42" xfId="268" applyNumberFormat="1" applyFont="1" applyFill="1" applyBorder="1" applyAlignment="1" applyProtection="1">
      <alignment horizontal="right" vertical="center"/>
    </xf>
    <xf numFmtId="2" fontId="17" fillId="60" borderId="0" xfId="265" applyNumberFormat="1" applyFont="1" applyFill="1" applyBorder="1" applyAlignment="1" applyProtection="1">
      <alignment horizontal="right" vertical="center"/>
    </xf>
    <xf numFmtId="2" fontId="17" fillId="60" borderId="35" xfId="265" applyNumberFormat="1" applyFont="1" applyFill="1" applyBorder="1" applyAlignment="1" applyProtection="1">
      <alignment horizontal="right" vertical="center"/>
    </xf>
    <xf numFmtId="0" fontId="22" fillId="58" borderId="20" xfId="0" applyNumberFormat="1" applyFont="1" applyFill="1" applyBorder="1" applyAlignment="1" applyProtection="1">
      <alignment horizontal="right" vertical="center"/>
    </xf>
    <xf numFmtId="0" fontId="22" fillId="58" borderId="36" xfId="0" applyNumberFormat="1" applyFont="1" applyFill="1" applyBorder="1" applyAlignment="1" applyProtection="1">
      <alignment horizontal="right" vertical="center"/>
    </xf>
    <xf numFmtId="0" fontId="22" fillId="58" borderId="0" xfId="0" applyNumberFormat="1" applyFont="1" applyFill="1" applyBorder="1" applyAlignment="1" applyProtection="1">
      <alignment horizontal="center" vertical="center"/>
    </xf>
    <xf numFmtId="10" fontId="17" fillId="60" borderId="2" xfId="268" applyNumberFormat="1" applyFont="1" applyFill="1" applyBorder="1" applyAlignment="1" applyProtection="1">
      <alignment horizontal="right" vertical="center"/>
    </xf>
    <xf numFmtId="0" fontId="22" fillId="58" borderId="37" xfId="0" applyNumberFormat="1" applyFont="1" applyFill="1" applyBorder="1" applyAlignment="1" applyProtection="1">
      <alignment horizontal="center" vertical="center"/>
    </xf>
    <xf numFmtId="10" fontId="17" fillId="60" borderId="37" xfId="268" applyNumberFormat="1" applyFont="1" applyFill="1" applyBorder="1" applyAlignment="1" applyProtection="1">
      <alignment horizontal="right" vertical="center"/>
    </xf>
    <xf numFmtId="2" fontId="17" fillId="60" borderId="43" xfId="265" applyNumberFormat="1" applyFont="1" applyFill="1" applyBorder="1" applyAlignment="1" applyProtection="1">
      <alignment horizontal="right" vertical="center"/>
    </xf>
    <xf numFmtId="10" fontId="17" fillId="60" borderId="34" xfId="268" applyNumberFormat="1" applyFont="1" applyFill="1" applyBorder="1" applyAlignment="1" applyProtection="1">
      <alignment horizontal="right" vertical="center"/>
    </xf>
    <xf numFmtId="2" fontId="17" fillId="60" borderId="5" xfId="265" applyNumberFormat="1" applyFont="1" applyFill="1" applyBorder="1" applyAlignment="1" applyProtection="1">
      <alignment horizontal="right" vertical="center"/>
    </xf>
    <xf numFmtId="0" fontId="4" fillId="58" borderId="0" xfId="0" applyFont="1" applyFill="1" applyBorder="1" applyAlignment="1">
      <alignment horizontal="left" vertical="center"/>
    </xf>
    <xf numFmtId="2" fontId="24" fillId="61" borderId="24" xfId="1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0" fontId="24" fillId="61" borderId="24" xfId="1" applyFont="1" applyFill="1" applyBorder="1" applyAlignment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6"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mbo_000/Documents/AAaAER/eaAER%20Transgrid%202018-23/Capex/aexAER/20170814/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 refreshError="1">
        <row r="14">
          <cell r="G14" t="str">
            <v>Per cent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C11" sqref="C1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AusNet Services 2021-26 Draft Decision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3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3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3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3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3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7"/>
  <sheetViews>
    <sheetView zoomScale="80" zoomScaleNormal="80" workbookViewId="0">
      <selection activeCell="E10" sqref="E10"/>
    </sheetView>
  </sheetViews>
  <sheetFormatPr defaultRowHeight="14.4"/>
  <cols>
    <col min="2" max="2" width="37.88671875" customWidth="1"/>
    <col min="3" max="3" width="23.5546875" customWidth="1"/>
    <col min="4" max="4" width="70.5546875" bestFit="1" customWidth="1"/>
    <col min="5" max="5" width="75.44140625" customWidth="1"/>
  </cols>
  <sheetData>
    <row r="1" spans="1:5" ht="17.399999999999999">
      <c r="A1" s="193" t="s">
        <v>110</v>
      </c>
      <c r="B1" s="184"/>
      <c r="C1" s="184"/>
      <c r="D1" s="184"/>
      <c r="E1" s="184"/>
    </row>
    <row r="2" spans="1:5" ht="15" thickBot="1">
      <c r="A2" s="184"/>
      <c r="B2" s="184"/>
      <c r="C2" s="184"/>
      <c r="D2" s="184"/>
      <c r="E2" s="184"/>
    </row>
    <row r="3" spans="1:5">
      <c r="A3" s="185" t="s">
        <v>106</v>
      </c>
      <c r="B3" s="186" t="s">
        <v>107</v>
      </c>
      <c r="C3" s="186" t="s">
        <v>108</v>
      </c>
      <c r="D3" s="187" t="s">
        <v>109</v>
      </c>
      <c r="E3" s="194"/>
    </row>
    <row r="4" spans="1:5" ht="41.1" customHeight="1">
      <c r="A4" s="183">
        <v>1</v>
      </c>
      <c r="B4" s="184" t="s">
        <v>31</v>
      </c>
      <c r="C4" s="184" t="s">
        <v>111</v>
      </c>
      <c r="D4" s="189" t="s">
        <v>112</v>
      </c>
      <c r="E4" s="194"/>
    </row>
    <row r="5" spans="1:5" ht="41.1" customHeight="1">
      <c r="A5" s="183">
        <f>A4+1</f>
        <v>2</v>
      </c>
      <c r="B5" s="184" t="s">
        <v>75</v>
      </c>
      <c r="C5" s="184" t="s">
        <v>113</v>
      </c>
      <c r="D5" s="189" t="s">
        <v>114</v>
      </c>
      <c r="E5" s="194"/>
    </row>
    <row r="6" spans="1:5" ht="41.1" customHeight="1">
      <c r="A6" s="183">
        <f>A5+1</f>
        <v>3</v>
      </c>
      <c r="B6" s="184" t="s">
        <v>51</v>
      </c>
      <c r="C6" s="188" t="s">
        <v>115</v>
      </c>
      <c r="D6" s="189" t="s">
        <v>119</v>
      </c>
      <c r="E6" s="194"/>
    </row>
    <row r="7" spans="1:5" ht="41.1" customHeight="1">
      <c r="A7" s="183">
        <f t="shared" ref="A7:A9" si="0">A6+1</f>
        <v>4</v>
      </c>
      <c r="B7" s="184" t="s">
        <v>54</v>
      </c>
      <c r="C7" s="184" t="s">
        <v>116</v>
      </c>
      <c r="D7" s="189" t="s">
        <v>117</v>
      </c>
      <c r="E7" s="194"/>
    </row>
    <row r="8" spans="1:5" ht="41.1" customHeight="1">
      <c r="A8" s="183">
        <f t="shared" si="0"/>
        <v>5</v>
      </c>
      <c r="B8" s="184" t="s">
        <v>54</v>
      </c>
      <c r="C8" s="184" t="s">
        <v>118</v>
      </c>
      <c r="D8" s="189" t="s">
        <v>119</v>
      </c>
      <c r="E8" s="194"/>
    </row>
    <row r="9" spans="1:5" ht="41.1" customHeight="1">
      <c r="A9" s="183">
        <f t="shared" si="0"/>
        <v>6</v>
      </c>
      <c r="B9" s="184" t="s">
        <v>54</v>
      </c>
      <c r="C9" s="184" t="s">
        <v>120</v>
      </c>
      <c r="D9" s="189" t="s">
        <v>125</v>
      </c>
      <c r="E9" s="194"/>
    </row>
    <row r="10" spans="1:5" ht="41.4" customHeight="1" thickBot="1">
      <c r="A10" s="190">
        <f t="shared" ref="A10" si="1">A9+1</f>
        <v>7</v>
      </c>
      <c r="B10" s="191" t="s">
        <v>54</v>
      </c>
      <c r="C10" s="191" t="s">
        <v>123</v>
      </c>
      <c r="D10" s="196" t="s">
        <v>124</v>
      </c>
      <c r="E10" s="184"/>
    </row>
    <row r="11" spans="1:5" ht="20.100000000000001" customHeight="1">
      <c r="A11" s="184"/>
      <c r="B11" s="184"/>
      <c r="C11" s="184"/>
      <c r="D11" s="184"/>
      <c r="E11" s="184"/>
    </row>
    <row r="12" spans="1:5" ht="20.100000000000001" customHeight="1">
      <c r="A12" s="184"/>
      <c r="B12" s="184"/>
      <c r="C12" s="184"/>
      <c r="D12" s="184"/>
      <c r="E12" s="184"/>
    </row>
    <row r="13" spans="1:5" ht="20.100000000000001" customHeight="1">
      <c r="A13" s="194"/>
      <c r="B13" s="194"/>
      <c r="C13" s="194"/>
      <c r="D13" s="194"/>
      <c r="E13" s="194"/>
    </row>
    <row r="14" spans="1:5" ht="20.100000000000001" customHeight="1">
      <c r="A14" s="194"/>
      <c r="B14" s="194"/>
      <c r="C14" s="194"/>
      <c r="D14" s="194"/>
      <c r="E14" s="194"/>
    </row>
    <row r="15" spans="1:5" ht="20.100000000000001" customHeight="1">
      <c r="A15" s="194"/>
      <c r="B15" s="194"/>
      <c r="C15" s="194"/>
      <c r="D15" s="194"/>
      <c r="E15" s="194"/>
    </row>
    <row r="16" spans="1:5" ht="20.100000000000001" customHeight="1">
      <c r="A16" s="194"/>
      <c r="B16" s="194"/>
      <c r="C16" s="194"/>
      <c r="D16" s="194"/>
      <c r="E16" s="194"/>
    </row>
    <row r="17" ht="20.100000000000001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zoomScale="115" zoomScaleNormal="115" workbookViewId="0">
      <selection activeCell="G15" sqref="G15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9" width="9.44140625" style="14" customWidth="1"/>
    <col min="10" max="10" width="11.441406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AusNet Services 2021-26 Draft Decision - Capital expenditure sharing scheme model</v>
      </c>
      <c r="F1" s="99"/>
      <c r="G1" s="100" t="s">
        <v>43</v>
      </c>
      <c r="H1" s="147" t="s">
        <v>44</v>
      </c>
      <c r="I1" s="152" t="s">
        <v>32</v>
      </c>
      <c r="J1" s="192" t="s">
        <v>105</v>
      </c>
      <c r="M1" s="101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48" t="s">
        <v>126</v>
      </c>
      <c r="J6" s="79"/>
      <c r="K6" s="79"/>
      <c r="L6" s="79"/>
      <c r="M6" s="79"/>
    </row>
    <row r="7" spans="1:13" s="70" customFormat="1" ht="11.25" customHeight="1">
      <c r="C7" s="69" t="s">
        <v>85</v>
      </c>
      <c r="D7" s="148" t="s">
        <v>92</v>
      </c>
      <c r="I7" s="79"/>
      <c r="J7" s="79"/>
      <c r="K7" s="79"/>
      <c r="L7" s="79"/>
    </row>
    <row r="8" spans="1:13" s="70" customFormat="1" ht="11.25" customHeight="1">
      <c r="C8" s="69" t="s">
        <v>86</v>
      </c>
      <c r="D8" s="148" t="s">
        <v>99</v>
      </c>
      <c r="J8" s="79"/>
      <c r="K8" s="79"/>
      <c r="L8" s="79"/>
      <c r="M8" s="79"/>
    </row>
    <row r="9" spans="1:13" s="70" customFormat="1" ht="11.25" customHeight="1">
      <c r="C9" s="166" t="s">
        <v>97</v>
      </c>
      <c r="D9" s="148" t="s">
        <v>98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25" t="s">
        <v>84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74">
        <v>2016</v>
      </c>
      <c r="E13" s="174">
        <v>2017</v>
      </c>
      <c r="F13" s="174">
        <v>2018</v>
      </c>
      <c r="G13" s="174">
        <v>2019</v>
      </c>
      <c r="H13" s="174">
        <v>2020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48" t="s">
        <v>8</v>
      </c>
      <c r="E14" s="148" t="s">
        <v>8</v>
      </c>
      <c r="F14" s="148" t="s">
        <v>8</v>
      </c>
      <c r="G14" s="148" t="s">
        <v>8</v>
      </c>
      <c r="H14" s="148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48" t="s">
        <v>7</v>
      </c>
      <c r="E15" s="148" t="s">
        <v>7</v>
      </c>
      <c r="F15" s="148" t="s">
        <v>7</v>
      </c>
      <c r="G15" s="224" t="s">
        <v>7</v>
      </c>
      <c r="H15" s="148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65" t="str">
        <f>D9</f>
        <v>2021-22</v>
      </c>
      <c r="E18" s="165" t="str">
        <f>IF(LEN(D18)&gt;4,CONCATENATE(LEFT(D18,4)+1&amp;"–"&amp;IF(RIGHT(D18,2)+1&gt;9,"","0")&amp;RIGHT(D18,2)+1),D18+1)</f>
        <v>2022–23</v>
      </c>
      <c r="F18" s="165" t="str">
        <f t="shared" ref="F18:H18" si="0">IF(LEN(E18)&gt;4,CONCATENATE(LEFT(E18,4)+1&amp;"–"&amp;IF(RIGHT(E18,2)+1&gt;9,"","0")&amp;RIGHT(E18,2)+1),E18+1)</f>
        <v>2023–24</v>
      </c>
      <c r="G18" s="165" t="str">
        <f t="shared" si="0"/>
        <v>2024–25</v>
      </c>
      <c r="H18" s="165" t="str">
        <f t="shared" si="0"/>
        <v>2025–26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G108"/>
  <sheetViews>
    <sheetView showGridLines="0" topLeftCell="D1" zoomScale="115" zoomScaleNormal="115" workbookViewId="0">
      <selection activeCell="Q21" sqref="Q21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3" width="12.6640625" style="11" customWidth="1"/>
    <col min="14" max="14" width="12.5546875" style="22" customWidth="1"/>
    <col min="15" max="17" width="12.6640625" style="24" customWidth="1"/>
    <col min="18" max="19" width="2.88671875" style="24" customWidth="1"/>
    <col min="20" max="33" width="12.6640625" style="24" hidden="1" customWidth="1"/>
    <col min="34" max="16384" width="9.109375" style="24" hidden="1"/>
  </cols>
  <sheetData>
    <row r="1" spans="1:21" s="11" customFormat="1" ht="18" customHeight="1">
      <c r="B1" s="3" t="str">
        <f>'Input | General'!$B$1</f>
        <v>AusNet Services 2021-26 Draft Decision - Capital expenditure sharing scheme model</v>
      </c>
      <c r="D1" s="12"/>
      <c r="E1" s="12"/>
      <c r="F1" s="12"/>
      <c r="G1" s="99"/>
      <c r="H1" s="100" t="s">
        <v>43</v>
      </c>
      <c r="I1" s="147" t="s">
        <v>44</v>
      </c>
      <c r="J1" s="152" t="s">
        <v>32</v>
      </c>
      <c r="K1" s="182" t="s">
        <v>105</v>
      </c>
      <c r="L1" s="144"/>
      <c r="O1" s="101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56">
        <f>IF(LEN(G7)&gt;4,CONCATENATE(LEFT(G7,4)-1&amp;"–"&amp;IF(RIGHT(G7,2)="00","99",IF(RIGHT(G7,2)-1&lt;10,"0","")&amp;RIGHT(G7,2)-1)),G7-1)</f>
        <v>2015</v>
      </c>
      <c r="G7" s="155">
        <f>'Input | General'!D13</f>
        <v>2016</v>
      </c>
      <c r="H7" s="155">
        <f>'Input | General'!E13</f>
        <v>2017</v>
      </c>
      <c r="I7" s="155">
        <f>'Input | General'!F13</f>
        <v>2018</v>
      </c>
      <c r="J7" s="155">
        <f>'Input | General'!G13</f>
        <v>2019</v>
      </c>
      <c r="K7" s="155">
        <f>'Input | General'!H13</f>
        <v>2020</v>
      </c>
      <c r="L7" s="173" t="s">
        <v>100</v>
      </c>
      <c r="M7" s="155" t="str">
        <f>'Input | General'!D18</f>
        <v>2021-22</v>
      </c>
      <c r="N7" s="155" t="str">
        <f>'Input | General'!E18</f>
        <v>2022–23</v>
      </c>
      <c r="O7" s="155" t="str">
        <f>'Input | General'!F18</f>
        <v>2023–24</v>
      </c>
      <c r="P7" s="155" t="str">
        <f>'Input | General'!G18</f>
        <v>2024–25</v>
      </c>
      <c r="Q7" s="155" t="str">
        <f>'Input | General'!H18</f>
        <v>2025–26</v>
      </c>
    </row>
    <row r="8" spans="1:21" ht="11.25" customHeight="1">
      <c r="A8" s="11"/>
      <c r="B8" s="11"/>
      <c r="C8" s="80" t="s">
        <v>77</v>
      </c>
      <c r="D8" s="78" t="s">
        <v>82</v>
      </c>
      <c r="E8" s="78" t="s">
        <v>47</v>
      </c>
      <c r="F8" s="78"/>
      <c r="G8" s="149">
        <v>1.5108593012275628E-2</v>
      </c>
      <c r="H8" s="149">
        <v>1.0232558139534831E-2</v>
      </c>
      <c r="I8" s="149">
        <v>1.9337016574585641E-2</v>
      </c>
      <c r="J8" s="149">
        <v>2.0776874435411097E-2</v>
      </c>
      <c r="K8" s="149">
        <v>1.5929203539823078E-2</v>
      </c>
      <c r="L8" s="225">
        <v>9.9504938362078299E-3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82</v>
      </c>
      <c r="E9" s="78" t="s">
        <v>47</v>
      </c>
      <c r="F9" s="78"/>
      <c r="G9" s="120"/>
      <c r="H9" s="120"/>
      <c r="I9" s="120"/>
      <c r="J9" s="120"/>
      <c r="K9" s="120"/>
      <c r="L9" s="120"/>
      <c r="M9" s="149">
        <v>2.4500000000000001E-2</v>
      </c>
      <c r="N9" s="133">
        <f t="shared" ref="N9:Q9" si="0">M9</f>
        <v>2.4500000000000001E-2</v>
      </c>
      <c r="O9" s="133">
        <f t="shared" si="0"/>
        <v>2.4500000000000001E-2</v>
      </c>
      <c r="P9" s="133">
        <f t="shared" si="0"/>
        <v>2.4500000000000001E-2</v>
      </c>
      <c r="Q9" s="133">
        <f t="shared" si="0"/>
        <v>2.4500000000000001E-2</v>
      </c>
    </row>
    <row r="10" spans="1:21" ht="11.25" customHeight="1">
      <c r="A10" s="11"/>
      <c r="B10" s="11"/>
      <c r="C10" s="130" t="str">
        <f>"CPI Index (base year "&amp;F7&amp;")"</f>
        <v>CPI Index (base year 2015)</v>
      </c>
      <c r="D10" s="78" t="s">
        <v>82</v>
      </c>
      <c r="E10" s="78" t="s">
        <v>26</v>
      </c>
      <c r="F10" s="128">
        <v>1</v>
      </c>
      <c r="G10" s="115">
        <f t="shared" ref="G10:L10" si="1">IF(G7&lt;&gt;"",(F10*(1+G8)),"")</f>
        <v>1.0151085930122756</v>
      </c>
      <c r="H10" s="115">
        <f t="shared" si="1"/>
        <v>1.0254957507082152</v>
      </c>
      <c r="I10" s="115">
        <f t="shared" si="1"/>
        <v>1.0453257790368271</v>
      </c>
      <c r="J10" s="115">
        <f t="shared" si="1"/>
        <v>1.0670443814919734</v>
      </c>
      <c r="K10" s="115">
        <f t="shared" si="1"/>
        <v>1.0840415486307837</v>
      </c>
      <c r="L10" s="115">
        <f t="shared" si="1"/>
        <v>1.0948282973786276</v>
      </c>
      <c r="M10" s="87">
        <f>IF(M7&lt;&gt;"",(L10*(1+M9)),"")</f>
        <v>1.121651590664404</v>
      </c>
      <c r="N10" s="87">
        <f t="shared" ref="N10:Q10" si="2">IF(N7&lt;&gt;"",(M10*(1+N9)),"")</f>
        <v>1.1491320546356818</v>
      </c>
      <c r="O10" s="87">
        <f t="shared" si="2"/>
        <v>1.1772857899742559</v>
      </c>
      <c r="P10" s="87">
        <f t="shared" si="2"/>
        <v>1.206129291828625</v>
      </c>
      <c r="Q10" s="87">
        <f t="shared" si="2"/>
        <v>1.2356794594784264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1"/>
      <c r="L11" s="121"/>
      <c r="M11" s="121"/>
      <c r="N11" s="121"/>
      <c r="O11" s="121"/>
      <c r="P11" s="121"/>
      <c r="Q11" s="121"/>
    </row>
    <row r="12" spans="1:21" ht="11.25" customHeight="1">
      <c r="A12" s="11"/>
      <c r="B12" s="11"/>
      <c r="C12" s="80"/>
      <c r="D12" s="78"/>
      <c r="E12" s="78"/>
      <c r="F12" s="78"/>
      <c r="G12" s="117"/>
      <c r="H12" s="117"/>
      <c r="I12" s="117"/>
      <c r="J12" s="117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49">
        <v>1.5108593012275628E-2</v>
      </c>
      <c r="H13" s="149">
        <v>1.0232558139534831E-2</v>
      </c>
      <c r="I13" s="149">
        <v>1.9337016574585641E-2</v>
      </c>
      <c r="J13" s="149">
        <v>2.0776874435411097E-2</v>
      </c>
      <c r="K13" s="149">
        <v>1.5929203539823078E-2</v>
      </c>
      <c r="L13" s="149">
        <v>1.2195121951219523E-2</v>
      </c>
      <c r="M13" s="169"/>
      <c r="N13" s="117"/>
      <c r="O13" s="117"/>
      <c r="P13" s="117"/>
      <c r="Q13" s="117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1"/>
      <c r="K14" s="121"/>
      <c r="L14" s="121"/>
      <c r="M14" s="149">
        <v>2.3743086789108414E-2</v>
      </c>
      <c r="N14" s="133">
        <f t="shared" ref="N14:Q14" si="3">M14</f>
        <v>2.3743086789108414E-2</v>
      </c>
      <c r="O14" s="133">
        <f t="shared" si="3"/>
        <v>2.3743086789108414E-2</v>
      </c>
      <c r="P14" s="133">
        <f t="shared" si="3"/>
        <v>2.3743086789108414E-2</v>
      </c>
      <c r="Q14" s="133">
        <f t="shared" si="3"/>
        <v>2.3743086789108414E-2</v>
      </c>
    </row>
    <row r="15" spans="1:21" ht="11.25" customHeight="1">
      <c r="A15" s="11"/>
      <c r="B15" s="11"/>
      <c r="C15" s="130" t="str">
        <f>"CPI Index (base year "&amp;F7&amp;")"</f>
        <v>CPI Index (base year 2015)</v>
      </c>
      <c r="D15" s="78" t="s">
        <v>45</v>
      </c>
      <c r="E15" s="78" t="s">
        <v>26</v>
      </c>
      <c r="F15" s="128">
        <v>1</v>
      </c>
      <c r="G15" s="115">
        <f t="shared" ref="G15:L15" si="4">IF(G7&lt;&gt;"",(F15*(1+G13)),"")</f>
        <v>1.0151085930122756</v>
      </c>
      <c r="H15" s="115">
        <f t="shared" si="4"/>
        <v>1.0254957507082152</v>
      </c>
      <c r="I15" s="115">
        <f t="shared" si="4"/>
        <v>1.0453257790368271</v>
      </c>
      <c r="J15" s="170">
        <f t="shared" si="4"/>
        <v>1.0670443814919734</v>
      </c>
      <c r="K15" s="171">
        <f t="shared" si="4"/>
        <v>1.0840415486307837</v>
      </c>
      <c r="L15" s="170">
        <f t="shared" si="4"/>
        <v>1.0972615675165249</v>
      </c>
      <c r="M15" s="171">
        <f>IF(M7&lt;&gt;"",(L15*(1+M14)),"")</f>
        <v>1.1233139441444229</v>
      </c>
      <c r="N15" s="87">
        <f t="shared" ref="N15:Q15" si="5">IF(N7&lt;&gt;"",(M15*(1+N14)),"")</f>
        <v>1.1499848846116596</v>
      </c>
      <c r="O15" s="87">
        <f t="shared" si="5"/>
        <v>1.1772890755331571</v>
      </c>
      <c r="P15" s="87">
        <f t="shared" si="5"/>
        <v>1.20524155222941</v>
      </c>
      <c r="Q15" s="87">
        <f t="shared" si="5"/>
        <v>1.2338577070058325</v>
      </c>
    </row>
    <row r="16" spans="1:21" s="119" customFormat="1" ht="11.25" customHeight="1">
      <c r="A16" s="2"/>
      <c r="B16" s="2"/>
      <c r="C16" s="80"/>
      <c r="D16" s="118"/>
      <c r="E16" s="118"/>
      <c r="F16" s="118"/>
      <c r="G16" s="86"/>
      <c r="H16" s="86"/>
      <c r="I16" s="86"/>
      <c r="J16" s="86"/>
      <c r="K16" s="122"/>
      <c r="L16" s="122"/>
      <c r="M16" s="122"/>
      <c r="N16" s="122"/>
      <c r="O16" s="122"/>
      <c r="P16" s="122"/>
      <c r="Q16" s="122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55">
        <f>G7</f>
        <v>2016</v>
      </c>
      <c r="H19" s="155">
        <f t="shared" ref="H19:Q19" si="6">H7</f>
        <v>2017</v>
      </c>
      <c r="I19" s="155">
        <f t="shared" si="6"/>
        <v>2018</v>
      </c>
      <c r="J19" s="155">
        <f t="shared" si="6"/>
        <v>2019</v>
      </c>
      <c r="K19" s="155">
        <f t="shared" si="6"/>
        <v>2020</v>
      </c>
      <c r="L19" s="173" t="s">
        <v>100</v>
      </c>
      <c r="M19" s="155" t="str">
        <f t="shared" si="6"/>
        <v>2021-22</v>
      </c>
      <c r="N19" s="155" t="str">
        <f t="shared" si="6"/>
        <v>2022–23</v>
      </c>
      <c r="O19" s="155" t="str">
        <f t="shared" si="6"/>
        <v>2023–24</v>
      </c>
      <c r="P19" s="155" t="str">
        <f t="shared" si="6"/>
        <v>2024–25</v>
      </c>
      <c r="Q19" s="155" t="str">
        <f t="shared" si="6"/>
        <v>2025–26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49">
        <v>3.8716794887975414E-2</v>
      </c>
      <c r="H20" s="149">
        <v>3.8262336193053192E-2</v>
      </c>
      <c r="I20" s="149">
        <v>3.8013284689562443E-2</v>
      </c>
      <c r="J20" s="149">
        <v>3.7449298414674592E-2</v>
      </c>
      <c r="K20" s="149">
        <v>3.6258595682746808E-2</v>
      </c>
      <c r="L20" s="149">
        <v>1.2006969247515542E-2</v>
      </c>
      <c r="M20" s="121"/>
      <c r="N20" s="121"/>
      <c r="O20" s="121"/>
      <c r="P20" s="121"/>
      <c r="Q20" s="121"/>
    </row>
    <row r="21" spans="1:17" ht="11.25" customHeight="1">
      <c r="C21" s="143" t="s">
        <v>93</v>
      </c>
      <c r="D21" s="78" t="s">
        <v>45</v>
      </c>
      <c r="E21" s="78" t="s">
        <v>47</v>
      </c>
      <c r="F21" s="79"/>
      <c r="G21" s="168"/>
      <c r="H21" s="168"/>
      <c r="I21" s="168"/>
      <c r="J21" s="168"/>
      <c r="K21" s="168"/>
      <c r="L21" s="168"/>
      <c r="M21" s="149">
        <v>2.20316373145788E-2</v>
      </c>
      <c r="N21" s="149">
        <v>2.029120273434306E-2</v>
      </c>
      <c r="O21" s="149">
        <v>1.8550768154107056E-2</v>
      </c>
      <c r="P21" s="149">
        <v>1.6810333573871183E-2</v>
      </c>
      <c r="Q21" s="149">
        <v>1.5069898993635445E-2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34">
        <f t="shared" ref="G22:L22" si="7">IF(AND(G13&lt;&gt;"",G20&lt;&gt;""),((1+G20)*(1+G13)-1),"")</f>
        <v>5.4410344196953231E-2</v>
      </c>
      <c r="H22" s="134">
        <f t="shared" si="7"/>
        <v>4.8886415912237968E-2</v>
      </c>
      <c r="I22" s="134">
        <f t="shared" si="7"/>
        <v>5.8085364780244619E-2</v>
      </c>
      <c r="J22" s="134">
        <f t="shared" si="7"/>
        <v>5.9004252220941522E-2</v>
      </c>
      <c r="K22" s="134">
        <f t="shared" si="7"/>
        <v>5.27653697732684E-2</v>
      </c>
      <c r="L22" s="197">
        <f t="shared" si="7"/>
        <v>2.4348517652972967E-2</v>
      </c>
      <c r="M22" s="134">
        <f>IF(AND(M14&lt;&gt;"",M21&lt;&gt;""),((1+M21)*(1+M14)-1),"")</f>
        <v>4.629782318055331E-2</v>
      </c>
      <c r="N22" s="134">
        <f t="shared" ref="N22:Q22" si="8">IF(AND(N14&lt;&gt;"",N21&lt;&gt;""),((1+N21)*(1+N14)-1),"")</f>
        <v>4.4516065311028363E-2</v>
      </c>
      <c r="O22" s="134">
        <f t="shared" si="8"/>
        <v>4.2734307441502972E-2</v>
      </c>
      <c r="P22" s="134">
        <f t="shared" si="8"/>
        <v>4.0952549571977803E-2</v>
      </c>
      <c r="Q22" s="134">
        <f t="shared" si="8"/>
        <v>3.9170791702452856E-2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tabSelected="1" topLeftCell="A5" zoomScale="115" zoomScaleNormal="115" workbookViewId="0">
      <selection activeCell="K18" sqref="K18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AusNet Services 2021-26 Draft Decision - Capital expenditure sharing scheme model</v>
      </c>
      <c r="D1" s="12"/>
      <c r="E1" s="12"/>
      <c r="F1" s="12"/>
      <c r="G1" s="12"/>
      <c r="H1" s="99"/>
      <c r="I1" s="100" t="s">
        <v>43</v>
      </c>
      <c r="J1" s="147" t="s">
        <v>44</v>
      </c>
      <c r="K1" s="152" t="s">
        <v>32</v>
      </c>
      <c r="L1" s="192" t="s">
        <v>105</v>
      </c>
    </row>
    <row r="2" spans="2:14" ht="18" customHeight="1">
      <c r="B2" s="13" t="s">
        <v>33</v>
      </c>
      <c r="D2" s="13"/>
      <c r="E2" s="13"/>
      <c r="F2" s="13"/>
      <c r="G2" s="13"/>
      <c r="H2" s="22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57">
        <f>IF('Input | General'!D14="Yes",'Input | General'!D13,"n/a")</f>
        <v>2016</v>
      </c>
      <c r="I6" s="157">
        <f>IF('Input | General'!E14="Yes",'Input | General'!E13,"n/a")</f>
        <v>2017</v>
      </c>
      <c r="J6" s="157">
        <f>IF('Input | General'!F14="Yes",'Input | General'!F13,"n/a")</f>
        <v>2018</v>
      </c>
      <c r="K6" s="157">
        <f>IF('Input | General'!G14="Yes",'Input | General'!G13,"n/a")</f>
        <v>2019</v>
      </c>
      <c r="L6" s="157">
        <f>IF('Input | General'!H14="Yes",'Input | General'!H13,"n/a")</f>
        <v>2020</v>
      </c>
      <c r="M6" s="102"/>
      <c r="N6" s="102"/>
    </row>
    <row r="7" spans="2:14" s="68" customFormat="1" ht="10.5" customHeight="1">
      <c r="M7" s="102"/>
      <c r="N7" s="102"/>
    </row>
    <row r="8" spans="2:14" ht="10.5" customHeight="1">
      <c r="C8" s="80" t="s">
        <v>3</v>
      </c>
      <c r="D8" s="78" t="s">
        <v>45</v>
      </c>
      <c r="E8" s="78" t="s">
        <v>46</v>
      </c>
      <c r="F8" s="160">
        <f>'Input | Inflation and Disc Rate'!$F$7</f>
        <v>2015</v>
      </c>
      <c r="G8" s="68"/>
      <c r="H8" s="150">
        <v>362.45311038983436</v>
      </c>
      <c r="I8" s="150">
        <v>440.80264670021904</v>
      </c>
      <c r="J8" s="150">
        <v>412.99286843224741</v>
      </c>
      <c r="K8" s="150">
        <v>437.19236382097671</v>
      </c>
      <c r="L8" s="150">
        <v>417.71360111057555</v>
      </c>
      <c r="M8" s="2"/>
      <c r="N8" s="2"/>
    </row>
    <row r="9" spans="2:14" ht="10.5" customHeight="1">
      <c r="C9" s="80" t="s">
        <v>95</v>
      </c>
      <c r="D9" s="78" t="s">
        <v>45</v>
      </c>
      <c r="E9" s="78" t="s">
        <v>46</v>
      </c>
      <c r="F9" s="160">
        <f>'Input | Inflation and Disc Rate'!$F$7</f>
        <v>2015</v>
      </c>
      <c r="G9" s="68"/>
      <c r="H9" s="150">
        <v>39.336106443631593</v>
      </c>
      <c r="I9" s="150">
        <v>38.956561621772479</v>
      </c>
      <c r="J9" s="150">
        <v>40.520062107075063</v>
      </c>
      <c r="K9" s="150">
        <v>38.661075317990331</v>
      </c>
      <c r="L9" s="150">
        <v>38.927886809860617</v>
      </c>
      <c r="M9" s="2"/>
      <c r="N9" s="2"/>
    </row>
    <row r="10" spans="2:14" ht="10.5" customHeight="1">
      <c r="C10" s="80" t="s">
        <v>88</v>
      </c>
      <c r="D10" s="78" t="s">
        <v>45</v>
      </c>
      <c r="E10" s="78" t="s">
        <v>46</v>
      </c>
      <c r="F10" s="160">
        <f>'Input | Inflation and Disc Rate'!$F$7</f>
        <v>2015</v>
      </c>
      <c r="G10" s="68"/>
      <c r="H10" s="150">
        <v>1.1928582475194471</v>
      </c>
      <c r="I10" s="150">
        <v>1.1928582475194471</v>
      </c>
      <c r="J10" s="150">
        <v>1.1928582475194471</v>
      </c>
      <c r="K10" s="150">
        <v>1.1928582475194471</v>
      </c>
      <c r="L10" s="150">
        <v>1.1928582475194471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2"/>
      <c r="N11" s="102"/>
    </row>
    <row r="12" spans="2:14" ht="10.5" customHeight="1">
      <c r="C12" s="77" t="s">
        <v>5</v>
      </c>
      <c r="D12" s="76" t="s">
        <v>56</v>
      </c>
      <c r="E12" s="158" t="s">
        <v>46</v>
      </c>
      <c r="F12" s="159">
        <f>'Input | Inflation and Disc Rate'!$F$7</f>
        <v>2015</v>
      </c>
      <c r="G12" s="68"/>
      <c r="H12" s="66">
        <f>IF(H6="", "", H8-H9-H10)</f>
        <v>321.92414569868333</v>
      </c>
      <c r="I12" s="66">
        <f t="shared" ref="I12:L12" si="0">IF(I6="", "", I8-I9-I10)</f>
        <v>400.65322683092711</v>
      </c>
      <c r="J12" s="66">
        <f t="shared" si="0"/>
        <v>371.27994807765288</v>
      </c>
      <c r="K12" s="66">
        <f t="shared" si="0"/>
        <v>397.33843025546696</v>
      </c>
      <c r="L12" s="66">
        <f t="shared" si="0"/>
        <v>377.59285605319548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57">
        <f>H6</f>
        <v>2016</v>
      </c>
      <c r="I16" s="157">
        <f t="shared" ref="I16:L16" si="1">I6</f>
        <v>2017</v>
      </c>
      <c r="J16" s="157">
        <f t="shared" si="1"/>
        <v>2018</v>
      </c>
      <c r="K16" s="157">
        <f t="shared" si="1"/>
        <v>2019</v>
      </c>
      <c r="L16" s="157">
        <f t="shared" si="1"/>
        <v>2020</v>
      </c>
      <c r="M16" s="102"/>
      <c r="N16" s="102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2"/>
      <c r="N17" s="102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0">
        <v>304.65807148450688</v>
      </c>
      <c r="I18" s="150">
        <v>358.58869765357639</v>
      </c>
      <c r="J18" s="222">
        <v>412.35960133581091</v>
      </c>
      <c r="K18" s="222">
        <v>463.93345416694268</v>
      </c>
      <c r="L18" s="222">
        <v>470.6824102104776</v>
      </c>
    </row>
    <row r="19" spans="2:14" s="2" customFormat="1" ht="10.5" customHeight="1">
      <c r="B19" s="73"/>
      <c r="C19" s="80" t="s">
        <v>95</v>
      </c>
      <c r="D19" s="78" t="s">
        <v>45</v>
      </c>
      <c r="E19" s="78" t="s">
        <v>46</v>
      </c>
      <c r="F19" s="78" t="s">
        <v>49</v>
      </c>
      <c r="G19" s="132"/>
      <c r="H19" s="151">
        <v>20.721716740000002</v>
      </c>
      <c r="I19" s="151">
        <v>33.484468709999994</v>
      </c>
      <c r="J19" s="151">
        <v>54.779896070000007</v>
      </c>
      <c r="K19" s="151">
        <v>79.589038960000011</v>
      </c>
      <c r="L19" s="151">
        <v>67.929730846117451</v>
      </c>
    </row>
    <row r="20" spans="2:14" s="2" customFormat="1" ht="10.5" customHeight="1">
      <c r="B20" s="73"/>
      <c r="C20" s="131" t="s">
        <v>88</v>
      </c>
      <c r="D20" s="78" t="s">
        <v>45</v>
      </c>
      <c r="E20" s="78" t="s">
        <v>46</v>
      </c>
      <c r="F20" s="78" t="s">
        <v>49</v>
      </c>
      <c r="G20" s="132"/>
      <c r="H20" s="151">
        <v>3.6064910000000001</v>
      </c>
      <c r="I20" s="151">
        <v>0.37779512999999992</v>
      </c>
      <c r="J20" s="151">
        <v>0.48757914000000008</v>
      </c>
      <c r="K20" s="151">
        <v>13.482524692944581</v>
      </c>
      <c r="L20" s="151">
        <v>1.3137093356468954</v>
      </c>
    </row>
    <row r="21" spans="2:14" s="2" customFormat="1" ht="10.5" customHeight="1">
      <c r="B21" s="73"/>
      <c r="C21" s="145" t="s">
        <v>94</v>
      </c>
      <c r="D21" s="78" t="s">
        <v>45</v>
      </c>
      <c r="E21" s="78" t="s">
        <v>46</v>
      </c>
      <c r="F21" s="78" t="s">
        <v>49</v>
      </c>
      <c r="G21" s="68"/>
      <c r="H21" s="151"/>
      <c r="I21" s="150"/>
      <c r="J21" s="150"/>
      <c r="K21" s="150"/>
      <c r="L21" s="150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2"/>
      <c r="N22" s="102"/>
    </row>
    <row r="23" spans="2:14" s="2" customFormat="1" ht="10.5" customHeight="1">
      <c r="B23" s="73"/>
      <c r="C23" s="77" t="s">
        <v>72</v>
      </c>
      <c r="D23" s="76" t="s">
        <v>56</v>
      </c>
      <c r="E23" s="161" t="s">
        <v>46</v>
      </c>
      <c r="F23" s="161" t="s">
        <v>49</v>
      </c>
      <c r="G23" s="68"/>
      <c r="H23" s="66">
        <f>IF(H16="", "", H18-H19-H20-H21)</f>
        <v>280.32986374450689</v>
      </c>
      <c r="I23" s="66">
        <f t="shared" ref="I23:L23" si="2">IF(I16="", "", I18-I19-I20-I21)</f>
        <v>324.72643381357642</v>
      </c>
      <c r="J23" s="66">
        <f t="shared" si="2"/>
        <v>357.09212612581092</v>
      </c>
      <c r="K23" s="66">
        <f t="shared" si="2"/>
        <v>370.86189051399811</v>
      </c>
      <c r="L23" s="66">
        <f t="shared" si="2"/>
        <v>401.43897002871324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57" t="str">
        <f>'Input | General'!D18</f>
        <v>2021-22</v>
      </c>
      <c r="I27" s="157" t="str">
        <f>'Input | General'!E18</f>
        <v>2022–23</v>
      </c>
      <c r="J27" s="157" t="str">
        <f>'Input | General'!F18</f>
        <v>2023–24</v>
      </c>
      <c r="K27" s="157" t="str">
        <f>'Input | General'!G18</f>
        <v>2024–25</v>
      </c>
      <c r="L27" s="157" t="str">
        <f>'Input | General'!H18</f>
        <v>2025–26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81</v>
      </c>
      <c r="D29" s="65" t="s">
        <v>82</v>
      </c>
      <c r="E29" s="78" t="s">
        <v>46</v>
      </c>
      <c r="F29" s="78" t="s">
        <v>49</v>
      </c>
      <c r="G29" s="68"/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2"/>
      <c r="N29" s="2"/>
    </row>
    <row r="30" spans="2:14" ht="11.25" customHeight="1">
      <c r="C30" s="84" t="s">
        <v>81</v>
      </c>
      <c r="D30" s="65" t="s">
        <v>56</v>
      </c>
      <c r="E30" s="78" t="s">
        <v>46</v>
      </c>
      <c r="F30" s="78">
        <f>'Input | Inflation and Disc Rate'!$F$7</f>
        <v>2015</v>
      </c>
      <c r="G30" s="68"/>
      <c r="H30" s="175">
        <f>IF(H29&lt;&gt;"",H29/('Input | Inflation and Disc Rate'!L10*(1+'Input | Inflation and Disc Rate'!M9)^0.5),"")</f>
        <v>0</v>
      </c>
      <c r="I30" s="175">
        <f>IF(I29&lt;&gt;"",I29/('Input | Inflation and Disc Rate'!M10*(1+'Input | Inflation and Disc Rate'!N9)^0.5),"")</f>
        <v>0</v>
      </c>
      <c r="J30" s="175">
        <f>IF(J29&lt;&gt;"",J29/('Input | Inflation and Disc Rate'!N10*(1+'Input | Inflation and Disc Rate'!O9)^0.5),"")</f>
        <v>0</v>
      </c>
      <c r="K30" s="175">
        <f>IF(K29&lt;&gt;"",K29/('Input | Inflation and Disc Rate'!O10*(1+'Input | Inflation and Disc Rate'!P9)^0.5),"")</f>
        <v>0</v>
      </c>
      <c r="L30" s="175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81</v>
      </c>
      <c r="D31" s="65" t="s">
        <v>45</v>
      </c>
      <c r="E31" s="78" t="s">
        <v>46</v>
      </c>
      <c r="F31" s="78" t="s">
        <v>49</v>
      </c>
      <c r="G31" s="68"/>
      <c r="H31" s="175">
        <f>IF(H29&lt;&gt;"",H30*'Input | Inflation and Disc Rate'!L15*(1+'Input | Inflation and Disc Rate'!M14)^0.5,"")</f>
        <v>0</v>
      </c>
      <c r="I31" s="175">
        <f>IF(I29&lt;&gt;"",I30*'Input | Inflation and Disc Rate'!M15*(1+'Input | Inflation and Disc Rate'!N14)^0.5,"")</f>
        <v>0</v>
      </c>
      <c r="J31" s="175">
        <f>IF(J29&lt;&gt;"",J30*'Input | Inflation and Disc Rate'!N15*(1+'Input | Inflation and Disc Rate'!O14)^0.5,"")</f>
        <v>0</v>
      </c>
      <c r="K31" s="175">
        <f>IF(K29&lt;&gt;"",K30*'Input | Inflation and Disc Rate'!O15*(1+'Input | Inflation and Disc Rate'!P14)^0.5,"")</f>
        <v>0</v>
      </c>
      <c r="L31" s="175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10">
    <cfRule type="expression" dxfId="5" priority="19">
      <formula>IF($H$6&lt;&gt;"","FALSE","TRUE")</formula>
    </cfRule>
  </conditionalFormatting>
  <conditionalFormatting sqref="H18:L18">
    <cfRule type="expression" dxfId="4" priority="14">
      <formula>IF($H$6&lt;&gt;"","FALSE","TRUE")</formula>
    </cfRule>
  </conditionalFormatting>
  <conditionalFormatting sqref="H19:L20">
    <cfRule type="expression" dxfId="3" priority="9">
      <formula>IF($H$6&lt;&gt;"","FALSE","TRUE")</formula>
    </cfRule>
  </conditionalFormatting>
  <conditionalFormatting sqref="H29:L29">
    <cfRule type="expression" dxfId="2" priority="3">
      <formula>IF($H$6&lt;&gt;"","FALSE","TRUE")</formula>
    </cfRule>
  </conditionalFormatting>
  <conditionalFormatting sqref="H21">
    <cfRule type="expression" dxfId="1" priority="2">
      <formula>IF($H$6&lt;&gt;"","FALSE","TRUE")</formula>
    </cfRule>
  </conditionalFormatting>
  <conditionalFormatting sqref="I21:L21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4"/>
  <sheetViews>
    <sheetView topLeftCell="C1" zoomScale="115" zoomScaleNormal="115" workbookViewId="0">
      <selection activeCell="F12" sqref="F12"/>
    </sheetView>
  </sheetViews>
  <sheetFormatPr defaultColWidth="0" defaultRowHeight="0" customHeight="1" zeroHeight="1"/>
  <cols>
    <col min="1" max="2" width="1.33203125" style="2" customWidth="1"/>
    <col min="3" max="3" width="86.5546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221" t="str">
        <f>'Input | General'!$B$1</f>
        <v>AusNet Services 2021-26 Draft Decision - Capital expenditure sharing scheme model</v>
      </c>
      <c r="D1" s="100" t="s">
        <v>43</v>
      </c>
      <c r="E1" s="147" t="s">
        <v>44</v>
      </c>
      <c r="F1" s="152" t="s">
        <v>32</v>
      </c>
      <c r="G1" s="192" t="s">
        <v>105</v>
      </c>
      <c r="H1" s="195" t="s">
        <v>104</v>
      </c>
      <c r="J1" s="114"/>
      <c r="N1"/>
      <c r="Q1" s="101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2"/>
      <c r="D5" s="92"/>
      <c r="E5" s="92"/>
      <c r="F5" s="92"/>
      <c r="G5" s="92"/>
      <c r="H5" s="92"/>
      <c r="I5" s="88"/>
      <c r="J5" s="88"/>
      <c r="K5" s="88"/>
      <c r="L5" s="88"/>
      <c r="M5" s="88"/>
      <c r="N5" s="88"/>
      <c r="O5" s="88"/>
    </row>
    <row r="6" spans="2:23" ht="11.25" customHeight="1">
      <c r="C6" s="110" t="s">
        <v>11</v>
      </c>
      <c r="D6" s="111"/>
      <c r="E6" s="112"/>
      <c r="F6" s="112"/>
      <c r="G6" s="112"/>
      <c r="H6" s="112"/>
      <c r="I6" s="94"/>
    </row>
    <row r="7" spans="2:23" ht="11.25" customHeight="1">
      <c r="C7" s="109" t="s">
        <v>9</v>
      </c>
      <c r="D7" s="214">
        <f>IF('Input | General'!D14="Yes",'Input | General'!D13,"n/a")</f>
        <v>2016</v>
      </c>
      <c r="E7" s="214">
        <f>IF('Input | General'!E14="Yes",'Input | General'!E13,"n/a")</f>
        <v>2017</v>
      </c>
      <c r="F7" s="214">
        <f>IF('Input | General'!F14="Yes",'Input | General'!F13,"n/a")</f>
        <v>2018</v>
      </c>
      <c r="G7" s="214">
        <f>IF('Input | General'!G14="Yes",'Input | General'!G13,"n/a")</f>
        <v>2019</v>
      </c>
      <c r="H7" s="216">
        <f>IF('Input | General'!H14="Yes",'Input | General'!H13,"n/a")</f>
        <v>2020</v>
      </c>
      <c r="I7" s="94"/>
    </row>
    <row r="8" spans="2:23" ht="11.25" customHeight="1">
      <c r="C8" s="135" t="s">
        <v>90</v>
      </c>
      <c r="D8" s="219">
        <f>'Input | Inflation and Disc Rate'!G20</f>
        <v>3.8716794887975414E-2</v>
      </c>
      <c r="E8" s="215">
        <f>'Input | Inflation and Disc Rate'!H20</f>
        <v>3.8262336193053192E-2</v>
      </c>
      <c r="F8" s="215">
        <f>'Input | Inflation and Disc Rate'!I20</f>
        <v>3.8013284689562443E-2</v>
      </c>
      <c r="G8" s="215">
        <f>'Input | Inflation and Disc Rate'!J20</f>
        <v>3.7449298414674592E-2</v>
      </c>
      <c r="H8" s="217">
        <f>'Input | Inflation and Disc Rate'!K20</f>
        <v>3.6258595682746808E-2</v>
      </c>
      <c r="I8" s="94"/>
      <c r="J8" s="79"/>
      <c r="K8" s="79"/>
    </row>
    <row r="9" spans="2:23" ht="11.25" customHeight="1">
      <c r="C9" s="138" t="s">
        <v>91</v>
      </c>
      <c r="D9" s="215">
        <f>'Input | Inflation and Disc Rate'!G22</f>
        <v>5.4410344196953231E-2</v>
      </c>
      <c r="E9" s="215">
        <f>'Input | Inflation and Disc Rate'!H22</f>
        <v>4.8886415912237968E-2</v>
      </c>
      <c r="F9" s="215">
        <f>'Input | Inflation and Disc Rate'!I22</f>
        <v>5.8085364780244619E-2</v>
      </c>
      <c r="G9" s="215">
        <f>'Input | Inflation and Disc Rate'!J22</f>
        <v>5.9004252220941522E-2</v>
      </c>
      <c r="H9" s="217">
        <f>'Input | Inflation and Disc Rate'!K22</f>
        <v>5.27653697732684E-2</v>
      </c>
      <c r="I9" s="94"/>
      <c r="J9" s="79"/>
      <c r="K9" s="79"/>
    </row>
    <row r="10" spans="2:23" ht="11.25" customHeight="1">
      <c r="C10" s="106" t="s">
        <v>13</v>
      </c>
      <c r="D10" s="218">
        <f>'Input | Reported Capex'!H$12*'Input | Inflation and Disc Rate'!G$15*(1+'Input | Inflation and Disc Rate'!G$20)^0.5</f>
        <v>333.05398385510682</v>
      </c>
      <c r="E10" s="210">
        <f>'Input | Reported Capex'!I$12*'Input | Inflation and Disc Rate'!H$15*(1+'Input | Inflation and Disc Rate'!H$20)^0.5</f>
        <v>418.6547856201139</v>
      </c>
      <c r="F10" s="210">
        <f>'Input | Reported Capex'!J$12*'Input | Inflation and Disc Rate'!I$15*(1+'Input | Inflation and Disc Rate'!I$20)^0.5</f>
        <v>395.41633943745751</v>
      </c>
      <c r="G10" s="210">
        <f>'Input | Reported Capex'!K$12*'Input | Inflation and Disc Rate'!J$15*(1+'Input | Inflation and Disc Rate'!J$20)^0.5</f>
        <v>431.84360803814235</v>
      </c>
      <c r="H10" s="211">
        <f>'Input | Reported Capex'!L$12*'Input | Inflation and Disc Rate'!K$15*(1+'Input | Inflation and Disc Rate'!K$20)^0.5</f>
        <v>416.68106925006805</v>
      </c>
      <c r="I10" s="94"/>
      <c r="J10" s="79"/>
      <c r="K10" s="79"/>
      <c r="N10" s="129"/>
    </row>
    <row r="11" spans="2:23" ht="11.25" customHeight="1">
      <c r="C11" s="106" t="s">
        <v>15</v>
      </c>
      <c r="D11" s="220">
        <f>'Input | Reported Capex'!H23*(1+D$9)^0.5</f>
        <v>287.85527664501888</v>
      </c>
      <c r="E11" s="210">
        <f>'Input | Reported Capex'!I23*(1+E$9)^0.5</f>
        <v>332.56908345614045</v>
      </c>
      <c r="F11" s="210">
        <f>'Input | Reported Capex'!J23*(1+F$9)^0.5</f>
        <v>367.31666097818663</v>
      </c>
      <c r="G11" s="210">
        <f>'Input | Reported Capex'!K23*(1+G$9)^0.5</f>
        <v>381.64630307155596</v>
      </c>
      <c r="H11" s="211">
        <f>'Input | Reported Capex'!L23*(1+H$9)^0.5</f>
        <v>411.89386655760137</v>
      </c>
      <c r="I11" s="94"/>
      <c r="J11" s="79"/>
      <c r="K11" s="79"/>
    </row>
    <row r="12" spans="2:23" s="19" customFormat="1" ht="11.25" customHeight="1">
      <c r="C12" s="106" t="s">
        <v>17</v>
      </c>
      <c r="D12" s="146">
        <f>(D10-D11)</f>
        <v>45.198707210087946</v>
      </c>
      <c r="E12" s="136">
        <f>(E10-E11)</f>
        <v>86.085702163973451</v>
      </c>
      <c r="F12" s="136">
        <f t="shared" ref="F12:H12" si="0">(F10-F11)</f>
        <v>28.099678459270876</v>
      </c>
      <c r="G12" s="136">
        <f t="shared" si="0"/>
        <v>50.197304966586387</v>
      </c>
      <c r="H12" s="139">
        <f t="shared" si="0"/>
        <v>4.7872026924666784</v>
      </c>
      <c r="I12" s="94"/>
      <c r="J12" s="79"/>
      <c r="K12" s="79"/>
    </row>
    <row r="13" spans="2:23" ht="11.25" customHeight="1">
      <c r="C13" s="106" t="s">
        <v>67</v>
      </c>
      <c r="D13" s="89"/>
      <c r="E13" s="136">
        <f>$D$12*$E$8</f>
        <v>1.7294081307637623</v>
      </c>
      <c r="F13" s="136">
        <f>$D$12*$F$8*(1+'Input | Inflation and Disc Rate'!H13)</f>
        <v>1.7357324081005538</v>
      </c>
      <c r="G13" s="136">
        <f>$D$12*$G$8*(1+'Input | Inflation and Disc Rate'!H13)*(1+'Input | Inflation and Disc Rate'!I13)</f>
        <v>1.743046028664905</v>
      </c>
      <c r="H13" s="139">
        <f>$D$12*$H$8*(1+'Input | Inflation and Disc Rate'!H13)*(1+'Input | Inflation and Disc Rate'!I13)*(1+'Input | Inflation and Disc Rate'!J13)</f>
        <v>1.7226893624448167</v>
      </c>
      <c r="I13" s="94"/>
      <c r="J13" s="79"/>
      <c r="K13" s="79"/>
      <c r="L13" s="93"/>
      <c r="M13" s="93"/>
      <c r="N13" s="93"/>
      <c r="O13" s="93"/>
    </row>
    <row r="14" spans="2:23" ht="11.25" customHeight="1">
      <c r="C14" s="106" t="s">
        <v>68</v>
      </c>
      <c r="D14" s="89"/>
      <c r="E14" s="137"/>
      <c r="F14" s="136">
        <f>$E$12*F$8</f>
        <v>3.2724003040600045</v>
      </c>
      <c r="G14" s="136">
        <f>$E$12*G$8*(1+'Input | Inflation and Disc Rate'!I13)</f>
        <v>3.286188774014744</v>
      </c>
      <c r="H14" s="139">
        <f>$E$12*H$8*(1+'Input | Inflation and Disc Rate'!I13)*(1+'Input | Inflation and Disc Rate'!J13)</f>
        <v>3.2478100697759018</v>
      </c>
      <c r="I14" s="94"/>
      <c r="J14" s="79"/>
      <c r="K14" s="79"/>
      <c r="L14" s="93"/>
      <c r="M14" s="93"/>
      <c r="N14" s="94"/>
      <c r="O14" s="94"/>
    </row>
    <row r="15" spans="2:23" ht="11.25" customHeight="1">
      <c r="C15" s="106" t="s">
        <v>69</v>
      </c>
      <c r="D15" s="89"/>
      <c r="E15" s="136"/>
      <c r="F15" s="136"/>
      <c r="G15" s="136">
        <f>$F$12*G$8</f>
        <v>1.0523132439776386</v>
      </c>
      <c r="H15" s="139">
        <f>$F$12*$H$8*(1+'Input | Inflation and Disc Rate'!J13)</f>
        <v>1.0400234999810105</v>
      </c>
      <c r="I15" s="94"/>
      <c r="J15" s="79"/>
      <c r="K15" s="79"/>
      <c r="L15" s="93"/>
      <c r="M15" s="93"/>
      <c r="N15" s="93"/>
      <c r="O15" s="93"/>
    </row>
    <row r="16" spans="2:23" ht="11.25" customHeight="1">
      <c r="C16" s="106" t="s">
        <v>70</v>
      </c>
      <c r="D16" s="89"/>
      <c r="E16" s="136"/>
      <c r="F16" s="136"/>
      <c r="G16" s="136"/>
      <c r="H16" s="139">
        <f>$G$12*$H$8</f>
        <v>1.820083785146994</v>
      </c>
      <c r="I16" s="94"/>
      <c r="J16" s="79"/>
      <c r="K16" s="79"/>
      <c r="L16" s="93"/>
      <c r="M16" s="93"/>
      <c r="N16" s="93"/>
      <c r="O16" s="93"/>
    </row>
    <row r="17" spans="3:15" ht="11.25" customHeight="1">
      <c r="C17" s="106" t="s">
        <v>71</v>
      </c>
      <c r="D17" s="89"/>
      <c r="E17" s="136"/>
      <c r="F17" s="136"/>
      <c r="G17" s="136"/>
      <c r="H17" s="139"/>
      <c r="I17" s="94"/>
      <c r="J17" s="79"/>
      <c r="K17" s="79"/>
      <c r="L17" s="93"/>
      <c r="M17" s="93"/>
      <c r="N17" s="93"/>
      <c r="O17" s="93"/>
    </row>
    <row r="18" spans="3:15" s="19" customFormat="1" ht="11.25" customHeight="1">
      <c r="C18" s="107" t="s">
        <v>18</v>
      </c>
      <c r="D18" s="116">
        <f>SUM(D13:D17)</f>
        <v>0</v>
      </c>
      <c r="E18" s="140">
        <f>SUM(E13:E17)</f>
        <v>1.7294081307637623</v>
      </c>
      <c r="F18" s="140">
        <f t="shared" ref="F18:H18" si="1">SUM(F13:F17)</f>
        <v>5.0081327121605579</v>
      </c>
      <c r="G18" s="140">
        <f t="shared" si="1"/>
        <v>6.0815480466572875</v>
      </c>
      <c r="H18" s="141">
        <f t="shared" si="1"/>
        <v>7.830606717348723</v>
      </c>
      <c r="I18" s="94"/>
      <c r="J18" s="79"/>
      <c r="K18" s="79"/>
      <c r="L18" s="93"/>
      <c r="M18" s="93"/>
      <c r="N18" s="93"/>
      <c r="O18" s="93"/>
    </row>
    <row r="19" spans="3:15" ht="11.25" customHeight="1">
      <c r="C19" s="135" t="s">
        <v>89</v>
      </c>
      <c r="D19" s="116">
        <f>E19*(1+E$9)</f>
        <v>1.2373098286831157</v>
      </c>
      <c r="E19" s="140">
        <f>F19*(1+F$9)</f>
        <v>1.179641389107897</v>
      </c>
      <c r="F19" s="140">
        <f>G19*(1+G$9)</f>
        <v>1.114883003180843</v>
      </c>
      <c r="G19" s="140">
        <f>H19*(1+H$9)</f>
        <v>1.0527653697732684</v>
      </c>
      <c r="H19" s="142">
        <v>1</v>
      </c>
      <c r="I19" s="94"/>
      <c r="J19" s="79"/>
      <c r="K19" s="79"/>
      <c r="L19" s="94"/>
      <c r="M19" s="94"/>
      <c r="N19" s="94"/>
      <c r="O19" s="94"/>
    </row>
    <row r="20" spans="3:15" s="19" customFormat="1" ht="11.25" customHeight="1">
      <c r="C20" s="179" t="s">
        <v>102</v>
      </c>
      <c r="D20" s="146">
        <f>D12*D19</f>
        <v>55.924804674812222</v>
      </c>
      <c r="E20" s="136">
        <f>E12*E19</f>
        <v>101.55025728303833</v>
      </c>
      <c r="F20" s="136">
        <f t="shared" ref="F20:H20" si="2">F12*F19</f>
        <v>31.327853909087956</v>
      </c>
      <c r="G20" s="136">
        <f t="shared" si="2"/>
        <v>52.845984324769837</v>
      </c>
      <c r="H20" s="139">
        <f t="shared" si="2"/>
        <v>4.7872026924666784</v>
      </c>
      <c r="I20" s="94"/>
      <c r="J20" s="79"/>
      <c r="K20" s="79"/>
      <c r="L20" s="94"/>
      <c r="M20" s="94"/>
      <c r="N20" s="94"/>
      <c r="O20" s="94"/>
    </row>
    <row r="21" spans="3:15" s="19" customFormat="1" ht="11.25" customHeight="1">
      <c r="C21" s="180" t="s">
        <v>103</v>
      </c>
      <c r="D21" s="116">
        <f>D18*D19</f>
        <v>0</v>
      </c>
      <c r="E21" s="140">
        <f>E18*E19</f>
        <v>2.0400814097086561</v>
      </c>
      <c r="F21" s="140">
        <f t="shared" ref="F21:H21" si="3">F18*F19</f>
        <v>5.5834820384617831</v>
      </c>
      <c r="G21" s="140">
        <f t="shared" si="3"/>
        <v>6.4024431781330575</v>
      </c>
      <c r="H21" s="141">
        <f t="shared" si="3"/>
        <v>7.830606717348723</v>
      </c>
      <c r="I21" s="94"/>
      <c r="J21" s="79"/>
      <c r="K21" s="79"/>
      <c r="L21" s="94"/>
      <c r="M21" s="94"/>
      <c r="N21" s="94"/>
      <c r="O21" s="94"/>
    </row>
    <row r="22" spans="3:15" s="79" customFormat="1" ht="11.25" customHeight="1"/>
    <row r="23" spans="3:15" ht="11.25" customHeight="1">
      <c r="C23" s="110" t="s">
        <v>12</v>
      </c>
      <c r="D23" s="111"/>
      <c r="E23" s="112"/>
      <c r="F23" s="112"/>
      <c r="G23" s="112"/>
      <c r="H23" s="112"/>
      <c r="I23" s="94"/>
      <c r="J23" s="79"/>
      <c r="K23" s="79"/>
      <c r="L23" s="94"/>
      <c r="M23" s="94"/>
      <c r="N23" s="94"/>
      <c r="O23" s="94"/>
    </row>
    <row r="24" spans="3:15" ht="11.25" customHeight="1">
      <c r="C24" s="105" t="s">
        <v>9</v>
      </c>
      <c r="D24" s="212" t="str">
        <f>'Input | General'!$D$18</f>
        <v>2021-22</v>
      </c>
      <c r="E24" s="212" t="str">
        <f>'Input | General'!$E$18</f>
        <v>2022–23</v>
      </c>
      <c r="F24" s="212" t="str">
        <f>'Input | General'!$F$18</f>
        <v>2023–24</v>
      </c>
      <c r="G24" s="212" t="str">
        <f>'Input | General'!$G$18</f>
        <v>2024–25</v>
      </c>
      <c r="H24" s="213" t="str">
        <f>'Input | General'!$H$18</f>
        <v>2025–26</v>
      </c>
      <c r="I24" s="94"/>
      <c r="J24" s="79"/>
      <c r="K24" s="79"/>
      <c r="L24" s="94"/>
      <c r="M24" s="94"/>
      <c r="N24" s="94"/>
      <c r="O24" s="94"/>
    </row>
    <row r="25" spans="3:15" ht="11.25" customHeight="1">
      <c r="C25" s="108" t="s">
        <v>66</v>
      </c>
      <c r="D25" s="208">
        <f>'Input | Inflation and Disc Rate'!M$22</f>
        <v>4.629782318055331E-2</v>
      </c>
      <c r="E25" s="208">
        <f>'Input | Inflation and Disc Rate'!N$22</f>
        <v>4.4516065311028363E-2</v>
      </c>
      <c r="F25" s="208">
        <f>'Input | Inflation and Disc Rate'!O$22</f>
        <v>4.2734307441502972E-2</v>
      </c>
      <c r="G25" s="208">
        <f>'Input | Inflation and Disc Rate'!P$22</f>
        <v>4.0952549571977803E-2</v>
      </c>
      <c r="H25" s="209">
        <f>'Input | Inflation and Disc Rate'!Q$22</f>
        <v>3.9170791702452856E-2</v>
      </c>
      <c r="I25" s="94"/>
      <c r="J25" s="79"/>
      <c r="K25" s="79"/>
      <c r="L25" s="94"/>
      <c r="M25" s="94"/>
      <c r="N25" s="94"/>
      <c r="O25" s="94"/>
    </row>
    <row r="26" spans="3:15" ht="11.25" customHeight="1">
      <c r="C26" s="109" t="s">
        <v>14</v>
      </c>
      <c r="D26" s="210">
        <f>'Input | Reported Capex'!H31</f>
        <v>0</v>
      </c>
      <c r="E26" s="210">
        <f>'Input | Reported Capex'!I31</f>
        <v>0</v>
      </c>
      <c r="F26" s="210">
        <f>'Input | Reported Capex'!J31</f>
        <v>0</v>
      </c>
      <c r="G26" s="210">
        <f>'Input | Reported Capex'!K31</f>
        <v>0</v>
      </c>
      <c r="H26" s="211">
        <f>'Input | Reported Capex'!L31</f>
        <v>0</v>
      </c>
      <c r="I26" s="94"/>
      <c r="J26" s="79"/>
      <c r="K26" s="79"/>
      <c r="L26" s="94"/>
      <c r="M26" s="94"/>
      <c r="N26" s="94"/>
      <c r="O26" s="94"/>
    </row>
    <row r="27" spans="3:15" ht="11.25" customHeight="1">
      <c r="C27" s="109" t="s">
        <v>16</v>
      </c>
      <c r="D27" s="205">
        <f>1/((1+D25)^(0.5)*(1+'Input | Inflation and Disc Rate'!$L$22))</f>
        <v>0.95438717749429902</v>
      </c>
      <c r="E27" s="206">
        <f>1/((1+E25)^(0.5)*(1+D25)*(1+'Input | Inflation and Disc Rate'!$L$22))</f>
        <v>0.91293398163649397</v>
      </c>
      <c r="F27" s="206">
        <f>1/((1+F25)^(0.5)*(1+E25)*(1+D25)*(1+'Input | Inflation and Disc Rate'!$L$22))</f>
        <v>0.87477221341671196</v>
      </c>
      <c r="G27" s="206">
        <f>1/((1+G25)^(0.5)*(1+F25)*(1+E25)*(1+D25)*(1+'Input | Inflation and Disc Rate'!$L$22))</f>
        <v>0.83963915238652598</v>
      </c>
      <c r="H27" s="207">
        <f>1/((1+H25)^(0.5)*(1+G25)*(1+F25)*(1+E25)*(1+D25)*(1+'Input | Inflation and Disc Rate'!$L$22))</f>
        <v>0.8072977633089552</v>
      </c>
      <c r="I27" s="94"/>
      <c r="J27" s="79"/>
      <c r="K27" s="79"/>
      <c r="L27" s="94"/>
      <c r="M27" s="94"/>
      <c r="N27" s="94"/>
      <c r="O27" s="94"/>
    </row>
    <row r="28" spans="3:15" ht="11.25" customHeight="1">
      <c r="C28" s="181" t="s">
        <v>101</v>
      </c>
      <c r="D28" s="140">
        <f>D26*D27</f>
        <v>0</v>
      </c>
      <c r="E28" s="140">
        <f t="shared" ref="E28:G28" si="4">E26*E27</f>
        <v>0</v>
      </c>
      <c r="F28" s="140">
        <f t="shared" si="4"/>
        <v>0</v>
      </c>
      <c r="G28" s="140">
        <f t="shared" si="4"/>
        <v>0</v>
      </c>
      <c r="H28" s="141">
        <f>H26*H27</f>
        <v>0</v>
      </c>
      <c r="I28" s="94"/>
      <c r="J28" s="79"/>
      <c r="K28" s="79"/>
      <c r="L28" s="94"/>
      <c r="M28" s="94"/>
      <c r="N28" s="94"/>
      <c r="O28" s="94"/>
    </row>
    <row r="29" spans="3:15" ht="11.25" customHeight="1">
      <c r="C29" s="93"/>
      <c r="D29" s="95"/>
      <c r="E29" s="95"/>
      <c r="F29" s="95"/>
      <c r="G29" s="95"/>
      <c r="H29" s="95"/>
      <c r="I29" s="94"/>
      <c r="J29" s="79"/>
      <c r="K29" s="79"/>
      <c r="L29" s="94"/>
      <c r="M29" s="94"/>
      <c r="N29" s="94"/>
      <c r="O29" s="94"/>
    </row>
    <row r="30" spans="3:15" ht="11.25" customHeight="1">
      <c r="C30" s="104" t="s">
        <v>19</v>
      </c>
      <c r="D30" s="113"/>
      <c r="E30" s="93"/>
      <c r="F30" s="93"/>
      <c r="G30" s="93"/>
      <c r="H30" s="93"/>
      <c r="I30" s="94"/>
      <c r="J30" s="79"/>
      <c r="K30" s="79"/>
      <c r="L30" s="94"/>
      <c r="M30" s="94"/>
      <c r="N30" s="94"/>
      <c r="O30" s="94"/>
    </row>
    <row r="31" spans="3:15" ht="11.25" customHeight="1">
      <c r="C31" s="106" t="s">
        <v>20</v>
      </c>
      <c r="D31" s="202">
        <f>SUM(D20:H20)-SUM(D28:H28)</f>
        <v>246.43610288417503</v>
      </c>
      <c r="E31" s="93"/>
      <c r="F31" s="93"/>
      <c r="G31" s="93"/>
      <c r="H31" s="93"/>
      <c r="I31" s="94"/>
      <c r="J31" s="79"/>
      <c r="K31" s="79"/>
      <c r="L31" s="94"/>
      <c r="M31" s="94"/>
      <c r="N31" s="94"/>
      <c r="O31" s="94"/>
    </row>
    <row r="32" spans="3:15" ht="11.25" customHeight="1">
      <c r="C32" s="106" t="s">
        <v>21</v>
      </c>
      <c r="D32" s="204">
        <v>0.3</v>
      </c>
      <c r="E32" s="93"/>
      <c r="F32" s="93"/>
      <c r="G32" s="93"/>
      <c r="H32" s="93"/>
      <c r="I32" s="94"/>
      <c r="J32" s="79"/>
      <c r="K32" s="79"/>
      <c r="L32" s="94"/>
      <c r="M32" s="94"/>
      <c r="N32" s="94"/>
      <c r="O32" s="94"/>
    </row>
    <row r="33" spans="1:16382" ht="11.25" customHeight="1">
      <c r="C33" s="106" t="s">
        <v>22</v>
      </c>
      <c r="D33" s="202">
        <f>(1-D32)*D31</f>
        <v>172.50527201892251</v>
      </c>
      <c r="E33" s="93"/>
      <c r="F33" s="93"/>
      <c r="G33" s="93"/>
      <c r="H33" s="93"/>
      <c r="I33" s="94"/>
      <c r="J33" s="79"/>
      <c r="K33" s="79"/>
      <c r="L33" s="94"/>
      <c r="M33" s="94"/>
      <c r="N33" s="94"/>
      <c r="O33" s="94"/>
    </row>
    <row r="34" spans="1:16382" ht="11.25" customHeight="1">
      <c r="C34" s="106" t="s">
        <v>23</v>
      </c>
      <c r="D34" s="202">
        <f>D32*D31</f>
        <v>73.930830865252503</v>
      </c>
      <c r="E34" s="93"/>
      <c r="F34" s="93"/>
      <c r="G34" s="93"/>
      <c r="H34" s="93"/>
      <c r="I34" s="94"/>
      <c r="J34" s="79"/>
      <c r="K34" s="79"/>
      <c r="L34" s="94"/>
      <c r="M34" s="94"/>
      <c r="N34" s="94"/>
      <c r="O34" s="94"/>
    </row>
    <row r="35" spans="1:16382" ht="11.25" customHeight="1">
      <c r="C35" s="106" t="s">
        <v>24</v>
      </c>
      <c r="D35" s="202">
        <f>SUM(D21:H21)</f>
        <v>21.856613343652221</v>
      </c>
      <c r="E35" s="93"/>
      <c r="F35" s="93"/>
      <c r="G35" s="93"/>
      <c r="H35" s="93"/>
      <c r="I35" s="94"/>
      <c r="J35" s="79"/>
      <c r="K35" s="79"/>
      <c r="L35" s="94"/>
      <c r="M35" s="94"/>
      <c r="N35" s="94"/>
      <c r="O35" s="94"/>
    </row>
    <row r="36" spans="1:16382" ht="11.25" customHeight="1">
      <c r="C36" s="180" t="s">
        <v>122</v>
      </c>
      <c r="D36" s="203">
        <f>D34-D35</f>
        <v>52.074217521600282</v>
      </c>
      <c r="E36" s="93"/>
      <c r="F36" s="172"/>
      <c r="G36" s="93"/>
      <c r="H36" s="93"/>
      <c r="I36" s="94"/>
      <c r="J36" s="79"/>
      <c r="K36" s="79"/>
      <c r="L36" s="94"/>
      <c r="M36" s="94"/>
      <c r="N36" s="94"/>
      <c r="O36" s="94"/>
    </row>
    <row r="37" spans="1:16382" ht="11.25" customHeight="1">
      <c r="C37" s="176" t="s">
        <v>121</v>
      </c>
      <c r="D37" s="198">
        <f>D36*(1+'Input | Inflation and Disc Rate'!L22)</f>
        <v>53.34214752618972</v>
      </c>
      <c r="E37" s="93"/>
      <c r="F37" s="172"/>
      <c r="G37" s="93"/>
      <c r="H37" s="93"/>
      <c r="I37" s="94"/>
      <c r="J37" s="79"/>
      <c r="K37" s="79"/>
      <c r="L37" s="94"/>
      <c r="M37" s="94"/>
      <c r="N37" s="94"/>
      <c r="O37" s="94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0"/>
      <c r="D41" s="201" t="str">
        <f>'Input | General'!D18</f>
        <v>2021-22</v>
      </c>
      <c r="E41" s="201" t="str">
        <f>'Input | General'!E18</f>
        <v>2022–23</v>
      </c>
      <c r="F41" s="201" t="str">
        <f>'Input | General'!F18</f>
        <v>2023–24</v>
      </c>
      <c r="G41" s="201" t="str">
        <f>'Input | General'!G18</f>
        <v>2024–25</v>
      </c>
      <c r="H41" s="201" t="str">
        <f>'Input | General'!H18</f>
        <v>2025–26</v>
      </c>
      <c r="I41" s="91"/>
      <c r="J41" s="91"/>
      <c r="K41" s="91"/>
      <c r="L41" s="91"/>
      <c r="M41" s="91"/>
      <c r="N41" s="91"/>
      <c r="O41" s="91"/>
    </row>
    <row r="42" spans="1:16382" s="30" customFormat="1" ht="11.25" customHeight="1">
      <c r="C42" s="97" t="s">
        <v>96</v>
      </c>
      <c r="D42" s="153">
        <f>1/(1+'Input | Inflation and Disc Rate'!M21)</f>
        <v>0.97844329225221671</v>
      </c>
      <c r="E42" s="153">
        <f>D42/(1+'Input | Inflation and Disc Rate'!N21)</f>
        <v>0.95898434645915243</v>
      </c>
      <c r="F42" s="153">
        <f>E42/(1+'Input | Inflation and Disc Rate'!O21)</f>
        <v>0.94151845587146799</v>
      </c>
      <c r="G42" s="153">
        <f>F42/(1+'Input | Inflation and Disc Rate'!P21)</f>
        <v>0.92595287910010871</v>
      </c>
      <c r="H42" s="154">
        <f>G42/(1+'Input | Inflation and Disc Rate'!Q21)</f>
        <v>0.91220602642056514</v>
      </c>
      <c r="I42" s="91"/>
      <c r="J42" s="91"/>
      <c r="K42" s="91"/>
      <c r="L42" s="91"/>
      <c r="M42" s="91"/>
      <c r="N42" s="91"/>
      <c r="O42" s="91"/>
    </row>
    <row r="43" spans="1:16382" s="30" customFormat="1" ht="11.25" customHeight="1">
      <c r="C43" s="167" t="str">
        <f>CONCATENATE("CESS Payment Per Year ($", 'Output | Models'!$F$8," million)")</f>
        <v>CESS Payment Per Year ($2020–21 million)</v>
      </c>
      <c r="D43" s="200">
        <f>D37/(SUM(D42:H42))</f>
        <v>11.30823832096576</v>
      </c>
      <c r="E43" s="177">
        <f>D43</f>
        <v>11.30823832096576</v>
      </c>
      <c r="F43" s="177">
        <f t="shared" ref="F43:H43" si="5">E43</f>
        <v>11.30823832096576</v>
      </c>
      <c r="G43" s="177">
        <f t="shared" si="5"/>
        <v>11.30823832096576</v>
      </c>
      <c r="H43" s="178">
        <f t="shared" si="5"/>
        <v>11.30823832096576</v>
      </c>
      <c r="I43" s="91"/>
      <c r="J43" s="91"/>
      <c r="K43" s="91"/>
      <c r="L43" s="91"/>
      <c r="M43" s="91"/>
      <c r="N43" s="91"/>
      <c r="O43" s="91"/>
    </row>
    <row r="44" spans="1:16382" s="79" customFormat="1" ht="11.25" customHeight="1"/>
    <row r="45" spans="1:16382" s="30" customFormat="1" ht="11.25" customHeight="1">
      <c r="C45" s="167" t="str">
        <f>CONCATENATE("Total CESS Payment ($", 'Output | Models'!$F$8," million)")</f>
        <v>Total CESS Payment ($2020–21 million)</v>
      </c>
      <c r="D45" s="199">
        <f>SUM(D43:H43)</f>
        <v>56.541191604828796</v>
      </c>
      <c r="E45" s="70"/>
      <c r="F45" s="70"/>
      <c r="G45" s="70"/>
      <c r="H45" s="70"/>
      <c r="I45" s="91"/>
      <c r="J45" s="91"/>
      <c r="K45" s="91"/>
      <c r="L45" s="91"/>
      <c r="M45" s="91"/>
      <c r="N45" s="91"/>
      <c r="O45" s="91"/>
    </row>
    <row r="46" spans="1:16382" s="30" customFormat="1" ht="11.25" customHeight="1">
      <c r="C46" s="69"/>
      <c r="D46" s="96"/>
      <c r="E46" s="70"/>
      <c r="F46" s="70"/>
      <c r="G46" s="70"/>
      <c r="H46" s="70"/>
      <c r="I46" s="91"/>
      <c r="J46" s="91"/>
      <c r="K46" s="91"/>
      <c r="L46" s="91"/>
      <c r="M46" s="91"/>
      <c r="N46" s="91"/>
      <c r="O46" s="91"/>
    </row>
    <row r="47" spans="1:16382" s="30" customFormat="1" ht="11.25" customHeight="1"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</row>
    <row r="48" spans="1:16382" ht="12" customHeight="1">
      <c r="A48" s="29"/>
      <c r="B48" s="29" t="s">
        <v>30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zoomScale="115" zoomScaleNormal="115" workbookViewId="0">
      <selection activeCell="M10" sqref="M10"/>
    </sheetView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AusNet Services 2021-26 Draft Decision - Capital expenditure sharing scheme model</v>
      </c>
      <c r="C1" s="35"/>
      <c r="D1" s="35"/>
      <c r="E1" s="35"/>
      <c r="F1" s="36"/>
      <c r="G1" s="36"/>
      <c r="H1" s="36"/>
      <c r="I1" s="36"/>
      <c r="J1" s="99"/>
      <c r="K1" s="100" t="s">
        <v>43</v>
      </c>
      <c r="L1" s="147" t="s">
        <v>44</v>
      </c>
      <c r="M1" s="152" t="s">
        <v>32</v>
      </c>
      <c r="R1" s="101"/>
      <c r="S1" s="79"/>
      <c r="T1" s="79"/>
      <c r="U1" s="79"/>
      <c r="V1" s="79"/>
      <c r="W1" s="79"/>
    </row>
    <row r="2" spans="1:27" s="37" customFormat="1" ht="13.8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26"/>
      <c r="K3" s="226"/>
      <c r="L3" s="226"/>
      <c r="M3" s="42"/>
      <c r="N3" s="226"/>
      <c r="O3" s="226"/>
      <c r="P3" s="226"/>
      <c r="Q3" s="226"/>
      <c r="R3" s="226"/>
      <c r="S3" s="226"/>
      <c r="T3" s="226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62" t="str">
        <f>'Calc | CESS Revenue Increments'!D41</f>
        <v>2021-22</v>
      </c>
      <c r="K6" s="162" t="str">
        <f>'Calc | CESS Revenue Increments'!E41</f>
        <v>2022–23</v>
      </c>
      <c r="L6" s="162" t="str">
        <f>'Calc | CESS Revenue Increments'!F41</f>
        <v>2023–24</v>
      </c>
      <c r="M6" s="162" t="str">
        <f>'Calc | CESS Revenue Increments'!G41</f>
        <v>2024–25</v>
      </c>
      <c r="N6" s="162" t="str">
        <f>'Calc | CESS Revenue Increments'!H41</f>
        <v>2025–26</v>
      </c>
      <c r="O6" s="56" t="s">
        <v>83</v>
      </c>
      <c r="P6" s="126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79</v>
      </c>
      <c r="D8" s="164" t="s">
        <v>54</v>
      </c>
      <c r="E8" s="52" t="s">
        <v>46</v>
      </c>
      <c r="F8" s="163" t="str">
        <f>IF(LEN(J6)&gt;4,CONCATENATE(LEFT(J6,4)-1&amp;"–"&amp;IF(RIGHT(J6,2)="00","99",IF(RIGHT(J6,2)-1&lt;10,"0","")&amp;RIGHT(J6,2)-1)),J6-1)</f>
        <v>2020–21</v>
      </c>
      <c r="H8" s="55"/>
      <c r="I8" s="55"/>
      <c r="J8" s="123">
        <f>'Calc | CESS Revenue Increments'!D43</f>
        <v>11.30823832096576</v>
      </c>
      <c r="K8" s="123">
        <f>'Calc | CESS Revenue Increments'!E43</f>
        <v>11.30823832096576</v>
      </c>
      <c r="L8" s="123">
        <f>'Calc | CESS Revenue Increments'!F43</f>
        <v>11.30823832096576</v>
      </c>
      <c r="M8" s="123">
        <f>'Calc | CESS Revenue Increments'!G43</f>
        <v>11.30823832096576</v>
      </c>
      <c r="N8" s="123">
        <f>'Calc | CESS Revenue Increments'!H43</f>
        <v>11.30823832096576</v>
      </c>
      <c r="O8" s="60">
        <f>SUM(J8:N8)</f>
        <v>56.541191604828796</v>
      </c>
      <c r="P8" s="127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24"/>
      <c r="K10" s="124"/>
      <c r="L10" s="124"/>
      <c r="M10" s="124"/>
      <c r="N10" s="124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.2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2020-09-14T03:47:12Z</dcterms:created>
  <dcterms:modified xsi:type="dcterms:W3CDTF">2020-09-16T02:54:12Z</dcterms:modified>
  <cp:category/>
  <cp:contentStatus/>
</cp:coreProperties>
</file>