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130" yWindow="1560" windowWidth="8670" windowHeight="4785" tabRatio="925" activeTab="3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_xlnm._FilterDatabase" localSheetId="1" hidden="1">'Input|General'!$G$6:$G$16</definedName>
    <definedName name="_xlnm._FilterDatabase" localSheetId="3" hidden="1">'Input|Reported opex'!$C$60:$F$60</definedName>
    <definedName name="abba" hidden="1">{"Ownership",#N/A,FALSE,"Ownership";"Contents",#N/A,FALSE,"Contents"}</definedName>
    <definedName name="anscount" hidden="1">1</definedName>
    <definedName name="BaseYear">'Input|General'!$G$12</definedName>
    <definedName name="dollars">'Lookup|Tables'!$G$10</definedName>
    <definedName name="factor">'Lookup|Tables'!$G$17</definedName>
    <definedName name="FPFirstYear">'Input|General'!$G$15</definedName>
    <definedName name="FPLastYear">'Input|General'!$G$16</definedName>
    <definedName name="InterveningPeriod">'Input|General'!$G$14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'Input|General'!$G$11</definedName>
    <definedName name="PPLastYear">'Input|General'!$G$13</definedName>
    <definedName name="Real_to_Nominal">'Lookup|Tables'!$H$65:$H$71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thousands">'Lookup|Tables'!$G$11</definedName>
    <definedName name="unit">'Lookup|Tables'!$G$15</definedName>
    <definedName name="wrn.App._.Custodians." hidden="1">{"Ownership",#N/A,FALSE,"Ownership";"Contents",#N/A,FALSE,"Contents"}</definedName>
  </definedNames>
  <calcPr calcId="162913"/>
</workbook>
</file>

<file path=xl/calcChain.xml><?xml version="1.0" encoding="utf-8"?>
<calcChain xmlns="http://schemas.openxmlformats.org/spreadsheetml/2006/main">
  <c r="Q77" i="42" l="1"/>
  <c r="R77" i="42"/>
  <c r="S77" i="42"/>
  <c r="T77" i="42"/>
  <c r="Q78" i="42"/>
  <c r="R78" i="42"/>
  <c r="S78" i="42"/>
  <c r="T78" i="42"/>
  <c r="Q79" i="42"/>
  <c r="R79" i="42"/>
  <c r="S79" i="42"/>
  <c r="T79" i="42"/>
  <c r="Q80" i="42"/>
  <c r="R80" i="42"/>
  <c r="S80" i="42"/>
  <c r="T80" i="42"/>
  <c r="Q81" i="42"/>
  <c r="R81" i="42"/>
  <c r="S81" i="42"/>
  <c r="T81" i="42"/>
  <c r="Q82" i="42"/>
  <c r="R82" i="42"/>
  <c r="S82" i="42"/>
  <c r="T82" i="42"/>
  <c r="Q83" i="42"/>
  <c r="R83" i="42"/>
  <c r="S83" i="42"/>
  <c r="T83" i="42"/>
  <c r="Q84" i="42"/>
  <c r="R84" i="42"/>
  <c r="S84" i="42"/>
  <c r="T84" i="42"/>
  <c r="P77" i="42"/>
  <c r="P78" i="42"/>
  <c r="P79" i="42"/>
  <c r="P80" i="42"/>
  <c r="P81" i="42"/>
  <c r="P82" i="42"/>
  <c r="P83" i="42"/>
  <c r="P84" i="42"/>
  <c r="C80" i="42"/>
  <c r="C81" i="42"/>
  <c r="C82" i="42"/>
  <c r="C83" i="42"/>
  <c r="C84" i="42"/>
  <c r="C77" i="42"/>
  <c r="C78" i="42"/>
  <c r="C79" i="42"/>
  <c r="C76" i="42"/>
  <c r="O39" i="42"/>
  <c r="O42" i="42"/>
  <c r="P76" i="42" l="1"/>
  <c r="T76" i="42" l="1"/>
  <c r="S76" i="42"/>
  <c r="R76" i="42"/>
  <c r="Q76" i="42"/>
  <c r="G66" i="55" l="1"/>
  <c r="F66" i="55"/>
  <c r="F65" i="55"/>
  <c r="G65" i="55" s="1"/>
  <c r="G64" i="55"/>
  <c r="F64" i="55"/>
  <c r="F68" i="55" s="1"/>
  <c r="F63" i="55"/>
  <c r="G63" i="55" s="1"/>
  <c r="G62" i="55"/>
  <c r="G61" i="55"/>
  <c r="G60" i="55"/>
  <c r="G59" i="55"/>
  <c r="G58" i="55"/>
  <c r="G57" i="55"/>
  <c r="G56" i="55"/>
  <c r="G55" i="55"/>
  <c r="G54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G41" i="55"/>
  <c r="G40" i="55"/>
  <c r="G39" i="55"/>
  <c r="G38" i="55"/>
  <c r="G37" i="55"/>
  <c r="G36" i="55"/>
  <c r="G35" i="55"/>
  <c r="G34" i="55"/>
  <c r="G33" i="55"/>
  <c r="G32" i="55"/>
  <c r="G31" i="55"/>
  <c r="G30" i="55"/>
  <c r="G29" i="55"/>
  <c r="G28" i="55"/>
  <c r="G27" i="55"/>
  <c r="G26" i="55"/>
  <c r="G25" i="55"/>
  <c r="G68" i="55" l="1"/>
  <c r="F67" i="55"/>
  <c r="G67" i="55" s="1"/>
  <c r="G73" i="4" l="1"/>
  <c r="G74" i="4"/>
  <c r="G75" i="4"/>
  <c r="G76" i="4"/>
  <c r="G72" i="4"/>
  <c r="H52" i="4"/>
  <c r="H53" i="4"/>
  <c r="H54" i="4"/>
  <c r="H55" i="4"/>
  <c r="H56" i="4"/>
  <c r="H57" i="4"/>
  <c r="H58" i="4"/>
  <c r="H59" i="4"/>
  <c r="H60" i="4"/>
  <c r="H51" i="4"/>
  <c r="T4" i="44" l="1"/>
  <c r="T11" i="44" s="1"/>
  <c r="S4" i="44"/>
  <c r="S11" i="44" s="1"/>
  <c r="R4" i="44"/>
  <c r="R11" i="44" s="1"/>
  <c r="Q4" i="44"/>
  <c r="Q11" i="44" s="1"/>
  <c r="P4" i="44"/>
  <c r="P11" i="44" s="1"/>
  <c r="O4" i="44"/>
  <c r="N4" i="44"/>
  <c r="M4" i="44"/>
  <c r="L4" i="44"/>
  <c r="K4" i="44"/>
  <c r="J4" i="44"/>
  <c r="T4" i="42"/>
  <c r="S4" i="42"/>
  <c r="R4" i="42"/>
  <c r="Q4" i="42"/>
  <c r="P4" i="42"/>
  <c r="O4" i="42"/>
  <c r="N4" i="42"/>
  <c r="M4" i="42"/>
  <c r="L4" i="42"/>
  <c r="K4" i="42"/>
  <c r="J4" i="42"/>
  <c r="T4" i="53"/>
  <c r="S4" i="53"/>
  <c r="R4" i="53"/>
  <c r="Q4" i="53"/>
  <c r="P4" i="53"/>
  <c r="O4" i="53"/>
  <c r="N4" i="53"/>
  <c r="M4" i="53"/>
  <c r="L4" i="53"/>
  <c r="K4" i="53"/>
  <c r="J4" i="53"/>
  <c r="J4" i="2"/>
  <c r="K4" i="2"/>
  <c r="U4" i="2"/>
  <c r="T4" i="2"/>
  <c r="S4" i="2"/>
  <c r="R4" i="2"/>
  <c r="Q4" i="2"/>
  <c r="P4" i="2"/>
  <c r="O4" i="2"/>
  <c r="N4" i="2"/>
  <c r="M4" i="2"/>
  <c r="L4" i="2"/>
  <c r="T4" i="58"/>
  <c r="S4" i="58"/>
  <c r="R4" i="58"/>
  <c r="Q4" i="58"/>
  <c r="P4" i="58"/>
  <c r="O4" i="58"/>
  <c r="N4" i="58"/>
  <c r="M4" i="58"/>
  <c r="L4" i="58"/>
  <c r="K4" i="58"/>
  <c r="J4" i="58"/>
  <c r="Q107" i="2" l="1"/>
  <c r="T107" i="2"/>
  <c r="U107" i="2"/>
  <c r="S107" i="2"/>
  <c r="P30" i="42"/>
  <c r="Q30" i="42"/>
  <c r="R30" i="42"/>
  <c r="S30" i="42"/>
  <c r="T30" i="42"/>
  <c r="E43" i="58" l="1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49" i="58"/>
  <c r="F50" i="58"/>
  <c r="F42" i="58"/>
  <c r="F24" i="42"/>
  <c r="E24" i="42"/>
  <c r="E25" i="42"/>
  <c r="K16" i="42"/>
  <c r="J16" i="42"/>
  <c r="K33" i="58"/>
  <c r="L33" i="58"/>
  <c r="M33" i="58"/>
  <c r="N33" i="58"/>
  <c r="O33" i="58"/>
  <c r="P33" i="58"/>
  <c r="Q33" i="58"/>
  <c r="R33" i="58"/>
  <c r="S33" i="58"/>
  <c r="T33" i="58"/>
  <c r="J33" i="58"/>
  <c r="X52" i="58"/>
  <c r="S52" i="58"/>
  <c r="R52" i="58"/>
  <c r="Q52" i="58"/>
  <c r="P52" i="58"/>
  <c r="O52" i="58"/>
  <c r="N52" i="58"/>
  <c r="M52" i="58"/>
  <c r="L52" i="58"/>
  <c r="K52" i="58"/>
  <c r="J52" i="58"/>
  <c r="T38" i="58"/>
  <c r="T16" i="42" s="1"/>
  <c r="S38" i="58"/>
  <c r="S16" i="42" s="1"/>
  <c r="R38" i="58"/>
  <c r="R16" i="42" s="1"/>
  <c r="Q38" i="58"/>
  <c r="Q16" i="42" s="1"/>
  <c r="P38" i="58"/>
  <c r="P16" i="42" s="1"/>
  <c r="O38" i="58"/>
  <c r="O16" i="42" s="1"/>
  <c r="N38" i="58"/>
  <c r="N16" i="42" s="1"/>
  <c r="M38" i="58"/>
  <c r="M16" i="42" s="1"/>
  <c r="L38" i="58"/>
  <c r="L16" i="42" s="1"/>
  <c r="K38" i="58"/>
  <c r="J38" i="58"/>
  <c r="F38" i="58"/>
  <c r="F16" i="42" s="1"/>
  <c r="E38" i="58"/>
  <c r="E16" i="42" s="1"/>
  <c r="D38" i="58"/>
  <c r="K10" i="58" l="1"/>
  <c r="L10" i="58"/>
  <c r="M10" i="58"/>
  <c r="N10" i="58"/>
  <c r="O10" i="58"/>
  <c r="P10" i="58"/>
  <c r="Q10" i="58"/>
  <c r="R10" i="58"/>
  <c r="S10" i="58"/>
  <c r="T10" i="58"/>
  <c r="J10" i="58"/>
  <c r="E17" i="42"/>
  <c r="E18" i="42"/>
  <c r="C97" i="2" a="1"/>
  <c r="C98" i="2" s="1"/>
  <c r="C16" i="16"/>
  <c r="D16" i="16" s="1"/>
  <c r="G16" i="16"/>
  <c r="S14" i="54"/>
  <c r="S11" i="54"/>
  <c r="S10" i="54"/>
  <c r="S9" i="54"/>
  <c r="C101" i="2" l="1"/>
  <c r="C97" i="2"/>
  <c r="C100" i="2"/>
  <c r="C99" i="2"/>
  <c r="T65" i="42"/>
  <c r="T67" i="42"/>
  <c r="H72" i="4"/>
  <c r="H73" i="4" s="1"/>
  <c r="H74" i="4" s="1"/>
  <c r="H75" i="4" s="1"/>
  <c r="H76" i="4" s="1"/>
  <c r="H71" i="4"/>
  <c r="H66" i="4"/>
  <c r="H67" i="4"/>
  <c r="H68" i="4"/>
  <c r="H69" i="4"/>
  <c r="H70" i="4"/>
  <c r="H65" i="4"/>
  <c r="T36" i="53"/>
  <c r="T40" i="53" s="1"/>
  <c r="P36" i="53"/>
  <c r="Q10" i="53"/>
  <c r="R10" i="53"/>
  <c r="S36" i="53"/>
  <c r="U77" i="2"/>
  <c r="U81" i="2"/>
  <c r="U82" i="2"/>
  <c r="L10" i="2"/>
  <c r="M10" i="2"/>
  <c r="N10" i="2"/>
  <c r="O10" i="2"/>
  <c r="P10" i="2"/>
  <c r="Q12" i="2"/>
  <c r="R12" i="2"/>
  <c r="S12" i="2"/>
  <c r="T12" i="2"/>
  <c r="U12" i="2"/>
  <c r="K10" i="2"/>
  <c r="O83" i="58"/>
  <c r="O57" i="58"/>
  <c r="N57" i="58"/>
  <c r="M57" i="58"/>
  <c r="L57" i="58"/>
  <c r="K57" i="58"/>
  <c r="J57" i="58"/>
  <c r="T15" i="58"/>
  <c r="U36" i="2" l="1"/>
  <c r="U47" i="2" s="1"/>
  <c r="Q36" i="53"/>
  <c r="R100" i="42"/>
  <c r="R48" i="42"/>
  <c r="R51" i="42"/>
  <c r="R39" i="42"/>
  <c r="R35" i="42"/>
  <c r="R42" i="42"/>
  <c r="R45" i="42"/>
  <c r="R37" i="42"/>
  <c r="R33" i="42"/>
  <c r="R24" i="42"/>
  <c r="N63" i="42"/>
  <c r="N48" i="42"/>
  <c r="N37" i="42"/>
  <c r="N33" i="42"/>
  <c r="N51" i="42"/>
  <c r="N39" i="42"/>
  <c r="N42" i="42"/>
  <c r="N35" i="42"/>
  <c r="N45" i="42"/>
  <c r="N24" i="42"/>
  <c r="T74" i="42"/>
  <c r="T42" i="42"/>
  <c r="T45" i="42"/>
  <c r="T37" i="42"/>
  <c r="T33" i="42"/>
  <c r="T48" i="42"/>
  <c r="T51" i="42"/>
  <c r="T39" i="42"/>
  <c r="T35" i="42"/>
  <c r="T24" i="42"/>
  <c r="R36" i="53"/>
  <c r="Q90" i="42"/>
  <c r="Q51" i="42"/>
  <c r="Q39" i="42"/>
  <c r="Q35" i="42"/>
  <c r="Q42" i="42"/>
  <c r="Q45" i="42"/>
  <c r="Q37" i="42"/>
  <c r="Q33" i="42"/>
  <c r="Q48" i="42"/>
  <c r="Q24" i="42"/>
  <c r="M63" i="42"/>
  <c r="M51" i="42"/>
  <c r="M39" i="42"/>
  <c r="M42" i="42"/>
  <c r="M35" i="42"/>
  <c r="M45" i="42"/>
  <c r="M48" i="42"/>
  <c r="M37" i="42"/>
  <c r="M33" i="42"/>
  <c r="M24" i="42"/>
  <c r="U64" i="2"/>
  <c r="U95" i="2"/>
  <c r="T10" i="53"/>
  <c r="J63" i="42"/>
  <c r="J51" i="42"/>
  <c r="J39" i="42"/>
  <c r="J35" i="42"/>
  <c r="J42" i="42"/>
  <c r="J45" i="42"/>
  <c r="J37" i="42"/>
  <c r="J33" i="42"/>
  <c r="J48" i="42"/>
  <c r="J24" i="42"/>
  <c r="J22" i="42"/>
  <c r="P74" i="42"/>
  <c r="P42" i="42"/>
  <c r="P45" i="42"/>
  <c r="P37" i="42"/>
  <c r="P33" i="42"/>
  <c r="P48" i="42"/>
  <c r="P51" i="42"/>
  <c r="P39" i="42"/>
  <c r="P35" i="42"/>
  <c r="P24" i="42"/>
  <c r="L63" i="42"/>
  <c r="L42" i="42"/>
  <c r="L35" i="42"/>
  <c r="L45" i="42"/>
  <c r="L48" i="42"/>
  <c r="L37" i="42"/>
  <c r="L33" i="42"/>
  <c r="L51" i="42"/>
  <c r="L39" i="42"/>
  <c r="L24" i="42"/>
  <c r="J10" i="2"/>
  <c r="C16" i="2" s="1" a="1"/>
  <c r="C20" i="2" s="1"/>
  <c r="R26" i="53"/>
  <c r="S90" i="42"/>
  <c r="S45" i="42"/>
  <c r="S37" i="42"/>
  <c r="S33" i="42"/>
  <c r="S48" i="42"/>
  <c r="S51" i="42"/>
  <c r="S39" i="42"/>
  <c r="S35" i="42"/>
  <c r="S42" i="42"/>
  <c r="S24" i="42"/>
  <c r="O63" i="42"/>
  <c r="O45" i="42"/>
  <c r="O48" i="42"/>
  <c r="O51" i="42"/>
  <c r="O24" i="42"/>
  <c r="K63" i="42"/>
  <c r="K45" i="42"/>
  <c r="K48" i="42"/>
  <c r="K37" i="42"/>
  <c r="K33" i="42"/>
  <c r="K51" i="42"/>
  <c r="K39" i="42"/>
  <c r="K42" i="42"/>
  <c r="K35" i="42"/>
  <c r="K24" i="42"/>
  <c r="K10" i="42"/>
  <c r="K30" i="42" s="1"/>
  <c r="P90" i="42"/>
  <c r="L10" i="42"/>
  <c r="L30" i="42" s="1"/>
  <c r="Q60" i="42"/>
  <c r="P100" i="42"/>
  <c r="J10" i="42"/>
  <c r="J30" i="42" s="1"/>
  <c r="R64" i="2"/>
  <c r="S95" i="2"/>
  <c r="S26" i="53"/>
  <c r="Q64" i="2"/>
  <c r="R95" i="2"/>
  <c r="P26" i="53"/>
  <c r="T26" i="53"/>
  <c r="O10" i="42"/>
  <c r="O30" i="42" s="1"/>
  <c r="P60" i="42"/>
  <c r="S100" i="42"/>
  <c r="Q49" i="2"/>
  <c r="Q75" i="2"/>
  <c r="Q95" i="2"/>
  <c r="Q105" i="2"/>
  <c r="Q26" i="53"/>
  <c r="M10" i="42"/>
  <c r="M30" i="42" s="1"/>
  <c r="S60" i="42"/>
  <c r="Q74" i="42"/>
  <c r="T90" i="42"/>
  <c r="S74" i="42"/>
  <c r="R90" i="42"/>
  <c r="Q100" i="42"/>
  <c r="T60" i="42"/>
  <c r="R74" i="42"/>
  <c r="T100" i="42"/>
  <c r="N10" i="42"/>
  <c r="N30" i="42" s="1"/>
  <c r="F25" i="42"/>
  <c r="R60" i="42"/>
  <c r="T36" i="2"/>
  <c r="S49" i="2"/>
  <c r="S75" i="2"/>
  <c r="T49" i="2"/>
  <c r="P64" i="2"/>
  <c r="T75" i="2"/>
  <c r="T105" i="2"/>
  <c r="S105" i="2"/>
  <c r="K14" i="2"/>
  <c r="S36" i="2"/>
  <c r="R49" i="2"/>
  <c r="T64" i="2"/>
  <c r="R75" i="2"/>
  <c r="R105" i="2"/>
  <c r="N24" i="2"/>
  <c r="Q36" i="2"/>
  <c r="R36" i="2"/>
  <c r="U49" i="2"/>
  <c r="U60" i="2" s="1"/>
  <c r="S64" i="2"/>
  <c r="U75" i="2"/>
  <c r="T95" i="2"/>
  <c r="U105" i="2"/>
  <c r="U109" i="2" s="1"/>
  <c r="S10" i="53"/>
  <c r="P10" i="53"/>
  <c r="N14" i="2"/>
  <c r="M24" i="2"/>
  <c r="O14" i="2"/>
  <c r="J14" i="2"/>
  <c r="M14" i="2"/>
  <c r="P24" i="2"/>
  <c r="L24" i="2"/>
  <c r="P14" i="2"/>
  <c r="L14" i="2"/>
  <c r="O24" i="2"/>
  <c r="K24" i="2"/>
  <c r="P12" i="2"/>
  <c r="C22" i="2" l="1"/>
  <c r="P22" i="2" s="1"/>
  <c r="O22" i="2" s="1"/>
  <c r="C19" i="2"/>
  <c r="C17" i="2"/>
  <c r="C18" i="2"/>
  <c r="J24" i="2"/>
  <c r="C16" i="2"/>
  <c r="C21" i="2"/>
  <c r="O21" i="2" s="1"/>
  <c r="C26" i="2" a="1"/>
  <c r="C26" i="2" s="1"/>
  <c r="F18" i="42"/>
  <c r="F17" i="42"/>
  <c r="J93" i="2" a="1"/>
  <c r="J93" i="2" s="1"/>
  <c r="K93" i="2" a="1"/>
  <c r="K93" i="2" s="1"/>
  <c r="L93" i="2" a="1"/>
  <c r="L93" i="2" s="1"/>
  <c r="M93" i="2" a="1"/>
  <c r="M93" i="2" s="1"/>
  <c r="E22" i="2" l="1"/>
  <c r="D22" i="2"/>
  <c r="C31" i="2"/>
  <c r="C32" i="2"/>
  <c r="E32" i="2" s="1"/>
  <c r="C27" i="2"/>
  <c r="C28" i="2"/>
  <c r="C29" i="2"/>
  <c r="D32" i="2"/>
  <c r="C30" i="2"/>
  <c r="U78" i="2"/>
  <c r="U80" i="2"/>
  <c r="U79" i="2"/>
  <c r="P32" i="2"/>
  <c r="U101" i="2" l="1"/>
  <c r="U97" i="2"/>
  <c r="U98" i="2"/>
  <c r="U99" i="2"/>
  <c r="U100" i="2"/>
  <c r="U73" i="2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5" i="16"/>
  <c r="C14" i="16"/>
  <c r="C13" i="16"/>
  <c r="C12" i="16"/>
  <c r="C11" i="16"/>
  <c r="T63" i="42" l="1"/>
  <c r="T69" i="42" s="1"/>
  <c r="F70" i="58" l="1"/>
  <c r="F65" i="58"/>
  <c r="F66" i="58"/>
  <c r="F67" i="58"/>
  <c r="F68" i="58"/>
  <c r="F64" i="58"/>
  <c r="C80" i="4" l="1"/>
  <c r="K70" i="58" l="1"/>
  <c r="L70" i="58"/>
  <c r="M70" i="58"/>
  <c r="N70" i="58"/>
  <c r="O70" i="58"/>
  <c r="P70" i="58"/>
  <c r="Q70" i="58"/>
  <c r="R70" i="58"/>
  <c r="S70" i="58"/>
  <c r="J70" i="58"/>
  <c r="X79" i="58"/>
  <c r="X29" i="58"/>
  <c r="T93" i="2" l="1" a="1"/>
  <c r="T93" i="2" s="1"/>
  <c r="S93" i="2" a="1"/>
  <c r="S93" i="2" s="1"/>
  <c r="R93" i="2" a="1"/>
  <c r="R93" i="2" s="1"/>
  <c r="Q93" i="2"/>
  <c r="Q93" i="2" a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W93" i="2" l="1"/>
  <c r="S1" i="58" l="1"/>
  <c r="F20" i="42"/>
  <c r="F26" i="42" l="1"/>
  <c r="E26" i="42"/>
  <c r="F23" i="42"/>
  <c r="E23" i="42"/>
  <c r="F21" i="42"/>
  <c r="E21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31" i="42" l="1"/>
  <c r="F30" i="42"/>
  <c r="F31" i="42"/>
  <c r="C31" i="42"/>
  <c r="E91" i="58"/>
  <c r="E30" i="42" s="1"/>
  <c r="F37" i="42" l="1"/>
  <c r="E37" i="42"/>
  <c r="K79" i="58"/>
  <c r="L79" i="58"/>
  <c r="M79" i="58"/>
  <c r="N79" i="58"/>
  <c r="O79" i="58"/>
  <c r="P79" i="58"/>
  <c r="Q79" i="58"/>
  <c r="R79" i="58"/>
  <c r="S79" i="58"/>
  <c r="J79" i="58"/>
  <c r="E70" i="58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41" i="4"/>
  <c r="C40" i="4"/>
  <c r="F33" i="42" l="1"/>
  <c r="E33" i="42"/>
  <c r="F28" i="42"/>
  <c r="E28" i="42"/>
  <c r="N36" i="53"/>
  <c r="L36" i="53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Q101" i="2" l="1"/>
  <c r="T101" i="2"/>
  <c r="S101" i="2"/>
  <c r="R101" i="2"/>
  <c r="R98" i="2"/>
  <c r="R97" i="2"/>
  <c r="R100" i="2"/>
  <c r="R99" i="2"/>
  <c r="K99" i="2"/>
  <c r="K98" i="2"/>
  <c r="K97" i="2"/>
  <c r="K100" i="2"/>
  <c r="O99" i="2"/>
  <c r="O98" i="2"/>
  <c r="O97" i="2"/>
  <c r="O100" i="2"/>
  <c r="S99" i="2"/>
  <c r="S98" i="2"/>
  <c r="S97" i="2"/>
  <c r="S100" i="2"/>
  <c r="L100" i="2"/>
  <c r="L99" i="2"/>
  <c r="L98" i="2"/>
  <c r="L97" i="2"/>
  <c r="P100" i="2"/>
  <c r="P99" i="2"/>
  <c r="P98" i="2"/>
  <c r="P97" i="2"/>
  <c r="T100" i="2"/>
  <c r="T99" i="2"/>
  <c r="T97" i="2"/>
  <c r="T98" i="2"/>
  <c r="N98" i="2"/>
  <c r="N99" i="2"/>
  <c r="N100" i="2"/>
  <c r="N97" i="2"/>
  <c r="M97" i="2"/>
  <c r="M100" i="2"/>
  <c r="M99" i="2"/>
  <c r="M98" i="2"/>
  <c r="Q97" i="2"/>
  <c r="Q100" i="2"/>
  <c r="Q99" i="2"/>
  <c r="Q98" i="2"/>
  <c r="J98" i="2"/>
  <c r="J99" i="2"/>
  <c r="J97" i="2"/>
  <c r="J100" i="2"/>
  <c r="J20" i="42"/>
  <c r="L22" i="42"/>
  <c r="L20" i="42"/>
  <c r="N22" i="42"/>
  <c r="N20" i="42"/>
  <c r="P22" i="42"/>
  <c r="P20" i="42"/>
  <c r="R22" i="42"/>
  <c r="R20" i="42"/>
  <c r="K22" i="42"/>
  <c r="K20" i="42"/>
  <c r="M22" i="42"/>
  <c r="M20" i="42"/>
  <c r="O22" i="42"/>
  <c r="O20" i="42"/>
  <c r="Q22" i="42"/>
  <c r="Q20" i="42"/>
  <c r="S22" i="42"/>
  <c r="S20" i="42"/>
  <c r="L12" i="42"/>
  <c r="J12" i="42"/>
  <c r="K12" i="42"/>
  <c r="M12" i="42"/>
  <c r="O12" i="42"/>
  <c r="Q12" i="42"/>
  <c r="S12" i="42"/>
  <c r="N12" i="42"/>
  <c r="P12" i="42"/>
  <c r="R12" i="42"/>
  <c r="K12" i="2"/>
  <c r="J12" i="2"/>
  <c r="M12" i="2"/>
  <c r="L12" i="2"/>
  <c r="J26" i="53"/>
  <c r="J10" i="53"/>
  <c r="L10" i="53"/>
  <c r="N26" i="53"/>
  <c r="N10" i="53"/>
  <c r="L26" i="53"/>
  <c r="J36" i="53"/>
  <c r="K36" i="53"/>
  <c r="K26" i="53"/>
  <c r="K10" i="53"/>
  <c r="M36" i="53"/>
  <c r="M26" i="53"/>
  <c r="M10" i="53"/>
  <c r="S8" i="54"/>
  <c r="J14" i="42"/>
  <c r="F51" i="42"/>
  <c r="C51" i="42"/>
  <c r="F48" i="42"/>
  <c r="C48" i="42"/>
  <c r="F45" i="42"/>
  <c r="C45" i="42"/>
  <c r="F42" i="42"/>
  <c r="C42" i="42"/>
  <c r="F39" i="42"/>
  <c r="C39" i="42"/>
  <c r="F14" i="42"/>
  <c r="E14" i="42"/>
  <c r="F12" i="42"/>
  <c r="E12" i="42"/>
  <c r="S63" i="42" l="1"/>
  <c r="Q63" i="42"/>
  <c r="R63" i="42"/>
  <c r="P63" i="42"/>
  <c r="E89" i="58"/>
  <c r="E88" i="58"/>
  <c r="E87" i="58"/>
  <c r="E86" i="58"/>
  <c r="E85" i="58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E45" i="42" l="1"/>
  <c r="E48" i="42"/>
  <c r="E39" i="42"/>
  <c r="E51" i="42"/>
  <c r="F22" i="42"/>
  <c r="E22" i="42"/>
  <c r="E42" i="42"/>
  <c r="E20" i="42"/>
  <c r="F16" i="44"/>
  <c r="F15" i="44"/>
  <c r="F14" i="44"/>
  <c r="Q21" i="42" l="1"/>
  <c r="P21" i="42"/>
  <c r="O21" i="42"/>
  <c r="S21" i="42"/>
  <c r="R21" i="42"/>
  <c r="E16" i="44"/>
  <c r="E15" i="44"/>
  <c r="E14" i="44"/>
  <c r="C15" i="44"/>
  <c r="C16" i="44"/>
  <c r="C13" i="44"/>
  <c r="C14" i="44"/>
  <c r="O11" i="44"/>
  <c r="N11" i="44"/>
  <c r="M11" i="44"/>
  <c r="L11" i="44"/>
  <c r="K11" i="44"/>
  <c r="J11" i="44"/>
  <c r="F102" i="42"/>
  <c r="E102" i="42"/>
  <c r="L14" i="44" l="1"/>
  <c r="L15" i="44"/>
  <c r="L16" i="44"/>
  <c r="L13" i="44"/>
  <c r="M16" i="44"/>
  <c r="M14" i="44"/>
  <c r="M15" i="44"/>
  <c r="M13" i="44"/>
  <c r="J14" i="44"/>
  <c r="J16" i="44"/>
  <c r="J13" i="44"/>
  <c r="J15" i="44"/>
  <c r="N16" i="44"/>
  <c r="N13" i="44"/>
  <c r="N14" i="44"/>
  <c r="N15" i="44"/>
  <c r="K15" i="44"/>
  <c r="K13" i="44"/>
  <c r="K16" i="44"/>
  <c r="K14" i="44"/>
  <c r="O15" i="44"/>
  <c r="O16" i="44"/>
  <c r="O14" i="44"/>
  <c r="O13" i="44"/>
  <c r="F104" i="42"/>
  <c r="F103" i="42"/>
  <c r="F96" i="42"/>
  <c r="F94" i="42"/>
  <c r="F93" i="42"/>
  <c r="F92" i="42"/>
  <c r="F86" i="42"/>
  <c r="F84" i="42"/>
  <c r="F83" i="42"/>
  <c r="F82" i="42"/>
  <c r="F81" i="42"/>
  <c r="F80" i="42"/>
  <c r="F79" i="42"/>
  <c r="F78" i="42"/>
  <c r="F77" i="42"/>
  <c r="F76" i="42"/>
  <c r="S40" i="53"/>
  <c r="Q40" i="53"/>
  <c r="O40" i="53"/>
  <c r="N22" i="53"/>
  <c r="M40" i="53"/>
  <c r="L22" i="53"/>
  <c r="K40" i="53"/>
  <c r="J22" i="53"/>
  <c r="N12" i="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9" i="2"/>
  <c r="S109" i="2"/>
  <c r="Q109" i="2"/>
  <c r="O109" i="2"/>
  <c r="M109" i="2"/>
  <c r="C24" i="4"/>
  <c r="O12" i="2" l="1"/>
  <c r="K14" i="42"/>
  <c r="M14" i="42"/>
  <c r="O14" i="42"/>
  <c r="Q14" i="42"/>
  <c r="S14" i="42"/>
  <c r="N14" i="42"/>
  <c r="P14" i="42"/>
  <c r="R14" i="42"/>
  <c r="O22" i="53"/>
  <c r="M22" i="53"/>
  <c r="K22" i="53"/>
  <c r="J32" i="53"/>
  <c r="L32" i="53"/>
  <c r="N32" i="53"/>
  <c r="J40" i="53"/>
  <c r="L40" i="53"/>
  <c r="N40" i="53"/>
  <c r="P40" i="53"/>
  <c r="R40" i="53"/>
  <c r="K32" i="53"/>
  <c r="M32" i="53"/>
  <c r="O32" i="53"/>
  <c r="K47" i="2"/>
  <c r="M47" i="2"/>
  <c r="Q60" i="2"/>
  <c r="O47" i="2"/>
  <c r="S60" i="2"/>
  <c r="L47" i="2"/>
  <c r="L109" i="2"/>
  <c r="L73" i="2"/>
  <c r="N47" i="2"/>
  <c r="N109" i="2"/>
  <c r="N73" i="2"/>
  <c r="P109" i="2"/>
  <c r="P73" i="2"/>
  <c r="R60" i="2"/>
  <c r="R109" i="2"/>
  <c r="R73" i="2"/>
  <c r="T60" i="2"/>
  <c r="T109" i="2"/>
  <c r="T73" i="2"/>
  <c r="J109" i="2"/>
  <c r="J73" i="2"/>
  <c r="J47" i="2"/>
  <c r="S73" i="2"/>
  <c r="Q73" i="2"/>
  <c r="M73" i="2"/>
  <c r="K73" i="2"/>
  <c r="N22" i="2" l="1"/>
  <c r="O32" i="2"/>
  <c r="J70" i="42" a="1"/>
  <c r="J70" i="42" s="1"/>
  <c r="L70" i="42" a="1"/>
  <c r="L70" i="42" s="1"/>
  <c r="K70" i="42" a="1"/>
  <c r="K70" i="42" s="1"/>
  <c r="W73" i="2"/>
  <c r="X40" i="53"/>
  <c r="W60" i="2"/>
  <c r="W109" i="2"/>
  <c r="N21" i="42" l="1"/>
  <c r="M22" i="2"/>
  <c r="N32" i="2"/>
  <c r="P47" i="2"/>
  <c r="S47" i="2"/>
  <c r="Q47" i="2"/>
  <c r="R47" i="2"/>
  <c r="T47" i="2"/>
  <c r="L22" i="2" l="1"/>
  <c r="M32" i="2"/>
  <c r="M21" i="42"/>
  <c r="W47" i="2"/>
  <c r="T22" i="53" l="1"/>
  <c r="Q22" i="53"/>
  <c r="S22" i="53"/>
  <c r="L21" i="42"/>
  <c r="K22" i="2"/>
  <c r="L32" i="2"/>
  <c r="C52" i="42"/>
  <c r="F52" i="42"/>
  <c r="E52" i="42"/>
  <c r="C49" i="42"/>
  <c r="C46" i="42"/>
  <c r="C43" i="42"/>
  <c r="C40" i="42"/>
  <c r="F49" i="42"/>
  <c r="E49" i="42"/>
  <c r="F46" i="42"/>
  <c r="E46" i="42"/>
  <c r="F43" i="42"/>
  <c r="E43" i="42"/>
  <c r="F40" i="42"/>
  <c r="E40" i="42"/>
  <c r="R22" i="53" l="1"/>
  <c r="J22" i="2"/>
  <c r="J32" i="2" s="1"/>
  <c r="K32" i="2"/>
  <c r="K21" i="42"/>
  <c r="E86" i="42"/>
  <c r="P22" i="53" l="1"/>
  <c r="X22" i="53" s="1"/>
  <c r="J21" i="42"/>
  <c r="E104" i="42" l="1"/>
  <c r="F15" i="42" l="1"/>
  <c r="F56" i="42"/>
  <c r="F54" i="42"/>
  <c r="C92" i="42" l="1"/>
  <c r="C93" i="42"/>
  <c r="C94" i="42"/>
  <c r="F13" i="44"/>
  <c r="E56" i="42"/>
  <c r="F35" i="42"/>
  <c r="E54" i="42"/>
  <c r="F13" i="42"/>
  <c r="E13" i="42"/>
  <c r="E15" i="42"/>
  <c r="E13" i="44"/>
  <c r="E103" i="42"/>
  <c r="E76" i="42"/>
  <c r="E77" i="42"/>
  <c r="E78" i="42"/>
  <c r="E79" i="42"/>
  <c r="E80" i="42"/>
  <c r="E81" i="42"/>
  <c r="E82" i="42"/>
  <c r="E83" i="42"/>
  <c r="E84" i="42"/>
  <c r="E92" i="42"/>
  <c r="E93" i="42"/>
  <c r="E94" i="42"/>
  <c r="E96" i="42"/>
  <c r="E35" i="42"/>
  <c r="B2" i="55"/>
  <c r="S12" i="54"/>
  <c r="S16" i="54"/>
  <c r="G15" i="16"/>
  <c r="T1" i="55"/>
  <c r="G11" i="16" s="1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P65" i="42"/>
  <c r="Q65" i="42"/>
  <c r="R65" i="42"/>
  <c r="S65" i="42"/>
  <c r="P67" i="42"/>
  <c r="Q67" i="42"/>
  <c r="R67" i="42"/>
  <c r="S67" i="42"/>
  <c r="C78" i="2"/>
  <c r="C79" i="2"/>
  <c r="C80" i="2"/>
  <c r="C81" i="2"/>
  <c r="C82" i="2"/>
  <c r="C77" i="2"/>
  <c r="S7" i="54"/>
  <c r="S13" i="54"/>
  <c r="S15" i="54"/>
  <c r="D12" i="16"/>
  <c r="D13" i="16"/>
  <c r="D14" i="16"/>
  <c r="D15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R13" i="42" l="1"/>
  <c r="S13" i="42"/>
  <c r="P13" i="42"/>
  <c r="Q13" i="42"/>
  <c r="O13" i="42"/>
  <c r="N13" i="42"/>
  <c r="M13" i="42"/>
  <c r="L13" i="42"/>
  <c r="K13" i="42"/>
  <c r="J13" i="42"/>
  <c r="M69" i="42"/>
  <c r="K69" i="42"/>
  <c r="L69" i="42"/>
  <c r="R69" i="42"/>
  <c r="T1" i="2"/>
  <c r="G13" i="16" s="1"/>
  <c r="S1" i="54"/>
  <c r="G10" i="16" s="1"/>
  <c r="N69" i="42"/>
  <c r="J69" i="42"/>
  <c r="M70" i="42" l="1" a="1"/>
  <c r="M70" i="42" s="1"/>
  <c r="N70" i="42" a="1"/>
  <c r="N70" i="42" s="1"/>
  <c r="P69" i="42"/>
  <c r="O69" i="42"/>
  <c r="S69" i="42"/>
  <c r="Q69" i="42"/>
  <c r="T70" i="42" l="1" a="1"/>
  <c r="T70" i="42" s="1"/>
  <c r="S70" i="42" a="1"/>
  <c r="S70" i="42" s="1"/>
  <c r="Q70" i="42" a="1"/>
  <c r="Q70" i="42" s="1"/>
  <c r="R70" i="42" a="1"/>
  <c r="R70" i="42" s="1"/>
  <c r="O70" i="42" a="1"/>
  <c r="O70" i="42" s="1"/>
  <c r="P70" i="42" a="1"/>
  <c r="P70" i="42" s="1"/>
  <c r="P21" i="2" l="1"/>
  <c r="J43" i="42"/>
  <c r="N43" i="42"/>
  <c r="K43" i="42"/>
  <c r="O49" i="42"/>
  <c r="L49" i="42"/>
  <c r="K40" i="42"/>
  <c r="L40" i="42"/>
  <c r="P40" i="42"/>
  <c r="S46" i="42"/>
  <c r="L46" i="42"/>
  <c r="S52" i="42"/>
  <c r="L52" i="42"/>
  <c r="P52" i="42"/>
  <c r="R43" i="42"/>
  <c r="M49" i="42"/>
  <c r="S40" i="42"/>
  <c r="K52" i="42"/>
  <c r="S43" i="42"/>
  <c r="P43" i="42"/>
  <c r="M43" i="42"/>
  <c r="R49" i="42"/>
  <c r="K49" i="42"/>
  <c r="Q40" i="42"/>
  <c r="R40" i="42"/>
  <c r="J40" i="42"/>
  <c r="R46" i="42"/>
  <c r="Q46" i="42"/>
  <c r="N52" i="42"/>
  <c r="Q52" i="42"/>
  <c r="R52" i="42"/>
  <c r="O52" i="42"/>
  <c r="Q43" i="42"/>
  <c r="N49" i="42"/>
  <c r="O40" i="42"/>
  <c r="P46" i="42"/>
  <c r="J52" i="42"/>
  <c r="L43" i="42"/>
  <c r="Q49" i="42"/>
  <c r="S49" i="42"/>
  <c r="J49" i="42"/>
  <c r="N40" i="42"/>
  <c r="M40" i="42"/>
  <c r="K46" i="42"/>
  <c r="O46" i="42"/>
  <c r="M46" i="42"/>
  <c r="M52" i="42"/>
  <c r="P49" i="42"/>
  <c r="J46" i="42"/>
  <c r="N46" i="42"/>
  <c r="N93" i="42"/>
  <c r="O93" i="42"/>
  <c r="M93" i="42"/>
  <c r="N78" i="42"/>
  <c r="J78" i="42"/>
  <c r="N92" i="42"/>
  <c r="L92" i="42"/>
  <c r="K77" i="42"/>
  <c r="N77" i="42"/>
  <c r="K84" i="42"/>
  <c r="O84" i="42"/>
  <c r="M80" i="42"/>
  <c r="J80" i="42"/>
  <c r="J76" i="42"/>
  <c r="K76" i="42"/>
  <c r="L82" i="42"/>
  <c r="K82" i="42"/>
  <c r="K81" i="42"/>
  <c r="N81" i="42"/>
  <c r="J94" i="42"/>
  <c r="T94" i="42"/>
  <c r="T16" i="44" s="1"/>
  <c r="K83" i="42"/>
  <c r="L83" i="42"/>
  <c r="K79" i="42"/>
  <c r="J79" i="42"/>
  <c r="J92" i="42"/>
  <c r="L77" i="42"/>
  <c r="L80" i="42"/>
  <c r="O81" i="42"/>
  <c r="R94" i="42"/>
  <c r="R16" i="44" s="1"/>
  <c r="N79" i="42"/>
  <c r="J93" i="42"/>
  <c r="P93" i="42"/>
  <c r="P15" i="44" s="1"/>
  <c r="R93" i="42"/>
  <c r="R15" i="44" s="1"/>
  <c r="K78" i="42"/>
  <c r="O92" i="42"/>
  <c r="J77" i="42"/>
  <c r="M84" i="42"/>
  <c r="J84" i="42"/>
  <c r="K80" i="42"/>
  <c r="J82" i="42"/>
  <c r="N94" i="42"/>
  <c r="O94" i="42"/>
  <c r="K94" i="42"/>
  <c r="N83" i="42"/>
  <c r="M79" i="42"/>
  <c r="Q93" i="42"/>
  <c r="Q15" i="44" s="1"/>
  <c r="K93" i="42"/>
  <c r="L78" i="42"/>
  <c r="O77" i="42"/>
  <c r="L84" i="42"/>
  <c r="N80" i="42"/>
  <c r="M81" i="42"/>
  <c r="P94" i="42"/>
  <c r="P16" i="44" s="1"/>
  <c r="L79" i="42"/>
  <c r="T93" i="42"/>
  <c r="T15" i="44" s="1"/>
  <c r="L93" i="42"/>
  <c r="S93" i="42"/>
  <c r="S15" i="44" s="1"/>
  <c r="O78" i="42"/>
  <c r="M78" i="42"/>
  <c r="K92" i="42"/>
  <c r="M92" i="42"/>
  <c r="M77" i="42"/>
  <c r="N84" i="42"/>
  <c r="O80" i="42"/>
  <c r="M76" i="42"/>
  <c r="N76" i="42"/>
  <c r="O76" i="42"/>
  <c r="N82" i="42"/>
  <c r="M82" i="42"/>
  <c r="L81" i="42"/>
  <c r="M94" i="42"/>
  <c r="L94" i="42"/>
  <c r="S94" i="42"/>
  <c r="S16" i="44" s="1"/>
  <c r="O83" i="42"/>
  <c r="J83" i="42"/>
  <c r="O79" i="42"/>
  <c r="L76" i="42"/>
  <c r="O82" i="42"/>
  <c r="J81" i="42"/>
  <c r="Q94" i="42"/>
  <c r="Q16" i="44" s="1"/>
  <c r="M83" i="42"/>
  <c r="S25" i="42"/>
  <c r="S26" i="42" s="1"/>
  <c r="R25" i="42"/>
  <c r="R26" i="42" s="1"/>
  <c r="Q25" i="42"/>
  <c r="Q26" i="42" s="1"/>
  <c r="K17" i="42"/>
  <c r="K18" i="42" s="1"/>
  <c r="J17" i="42"/>
  <c r="J18" i="42" s="1"/>
  <c r="P17" i="42"/>
  <c r="P18" i="42" s="1"/>
  <c r="Q17" i="42"/>
  <c r="Q18" i="42" s="1"/>
  <c r="N21" i="2"/>
  <c r="M19" i="2"/>
  <c r="M29" i="2" s="1"/>
  <c r="N20" i="2"/>
  <c r="O20" i="2" s="1"/>
  <c r="J16" i="2"/>
  <c r="K17" i="2"/>
  <c r="K27" i="2" s="1"/>
  <c r="L18" i="2"/>
  <c r="L28" i="2" s="1"/>
  <c r="D21" i="2"/>
  <c r="E21" i="2"/>
  <c r="D17" i="2"/>
  <c r="E17" i="2"/>
  <c r="E18" i="2"/>
  <c r="D18" i="2"/>
  <c r="E31" i="2"/>
  <c r="D31" i="2"/>
  <c r="S31" i="2"/>
  <c r="R28" i="42" s="1"/>
  <c r="R31" i="2"/>
  <c r="Q31" i="2"/>
  <c r="T31" i="2"/>
  <c r="E27" i="2"/>
  <c r="D27" i="2"/>
  <c r="S27" i="2"/>
  <c r="R27" i="2"/>
  <c r="Q27" i="2"/>
  <c r="T27" i="2"/>
  <c r="D19" i="2"/>
  <c r="E19" i="2"/>
  <c r="P20" i="2"/>
  <c r="P30" i="2" s="1"/>
  <c r="E20" i="2"/>
  <c r="D20" i="2"/>
  <c r="E16" i="2"/>
  <c r="D16" i="2"/>
  <c r="E29" i="2"/>
  <c r="D29" i="2"/>
  <c r="Q29" i="2"/>
  <c r="T29" i="2"/>
  <c r="S29" i="2"/>
  <c r="R29" i="2"/>
  <c r="E30" i="2"/>
  <c r="D30" i="2"/>
  <c r="S30" i="2"/>
  <c r="R30" i="2"/>
  <c r="Q30" i="2"/>
  <c r="T30" i="2"/>
  <c r="D26" i="2"/>
  <c r="E26" i="2"/>
  <c r="Q26" i="2"/>
  <c r="T26" i="2"/>
  <c r="S26" i="2"/>
  <c r="R26" i="2"/>
  <c r="E28" i="2"/>
  <c r="D28" i="2"/>
  <c r="Q28" i="2"/>
  <c r="T28" i="2"/>
  <c r="S28" i="2"/>
  <c r="R28" i="2"/>
  <c r="O17" i="42" l="1"/>
  <c r="O18" i="42" s="1"/>
  <c r="T17" i="42"/>
  <c r="T18" i="42" s="1"/>
  <c r="L17" i="42"/>
  <c r="L18" i="42" s="1"/>
  <c r="J25" i="42"/>
  <c r="J26" i="42" s="1"/>
  <c r="L25" i="42"/>
  <c r="L26" i="42" s="1"/>
  <c r="K25" i="42"/>
  <c r="K26" i="42" s="1"/>
  <c r="R17" i="42"/>
  <c r="R18" i="42" s="1"/>
  <c r="N17" i="42"/>
  <c r="N18" i="42" s="1"/>
  <c r="M17" i="42"/>
  <c r="M18" i="42" s="1"/>
  <c r="M25" i="42"/>
  <c r="M26" i="42" s="1"/>
  <c r="N25" i="42"/>
  <c r="N26" i="42" s="1"/>
  <c r="P25" i="42"/>
  <c r="P26" i="42" s="1"/>
  <c r="T86" i="42"/>
  <c r="S17" i="42"/>
  <c r="S18" i="42" s="1"/>
  <c r="O25" i="42"/>
  <c r="O26" i="42" s="1"/>
  <c r="T25" i="42"/>
  <c r="T26" i="42" s="1"/>
  <c r="P28" i="42"/>
  <c r="S28" i="42"/>
  <c r="M21" i="2"/>
  <c r="O30" i="2"/>
  <c r="K18" i="2"/>
  <c r="K28" i="2" s="1"/>
  <c r="O31" i="2"/>
  <c r="J17" i="2"/>
  <c r="J27" i="2" s="1"/>
  <c r="L19" i="2"/>
  <c r="L29" i="2" s="1"/>
  <c r="M18" i="2"/>
  <c r="L17" i="2"/>
  <c r="L27" i="2" s="1"/>
  <c r="P31" i="2"/>
  <c r="M20" i="2"/>
  <c r="M30" i="2" s="1"/>
  <c r="N31" i="2"/>
  <c r="N19" i="2"/>
  <c r="O19" i="2" s="1"/>
  <c r="Q28" i="42"/>
  <c r="J26" i="2"/>
  <c r="N30" i="2"/>
  <c r="N29" i="2" l="1"/>
  <c r="L21" i="2"/>
  <c r="L20" i="2"/>
  <c r="L30" i="2" s="1"/>
  <c r="M17" i="2"/>
  <c r="K19" i="2"/>
  <c r="K29" i="2" s="1"/>
  <c r="N18" i="2"/>
  <c r="O18" i="2" s="1"/>
  <c r="J18" i="2"/>
  <c r="J28" i="2" s="1"/>
  <c r="M31" i="2"/>
  <c r="M28" i="42"/>
  <c r="M28" i="2"/>
  <c r="N28" i="2" l="1"/>
  <c r="P18" i="2"/>
  <c r="P28" i="2" s="1"/>
  <c r="O29" i="2"/>
  <c r="P19" i="2"/>
  <c r="N28" i="42"/>
  <c r="O28" i="42"/>
  <c r="L28" i="42"/>
  <c r="K21" i="2"/>
  <c r="J19" i="2"/>
  <c r="J29" i="2" s="1"/>
  <c r="N17" i="2"/>
  <c r="O17" i="2" s="1"/>
  <c r="M27" i="2"/>
  <c r="K20" i="2"/>
  <c r="K30" i="2" s="1"/>
  <c r="L31" i="2"/>
  <c r="P29" i="2" l="1"/>
  <c r="S31" i="42"/>
  <c r="L31" i="42"/>
  <c r="Q31" i="42"/>
  <c r="N31" i="42"/>
  <c r="O31" i="42"/>
  <c r="K31" i="42"/>
  <c r="P31" i="42"/>
  <c r="M31" i="42"/>
  <c r="R31" i="42"/>
  <c r="J31" i="42"/>
  <c r="K28" i="42"/>
  <c r="J21" i="2"/>
  <c r="J31" i="2" s="1"/>
  <c r="J20" i="2"/>
  <c r="J30" i="2" s="1"/>
  <c r="P17" i="2"/>
  <c r="P27" i="2" s="1"/>
  <c r="N27" i="2"/>
  <c r="O28" i="2"/>
  <c r="K31" i="2"/>
  <c r="J96" i="42" l="1"/>
  <c r="K54" i="42"/>
  <c r="K56" i="42" s="1"/>
  <c r="S86" i="42"/>
  <c r="L86" i="42"/>
  <c r="S54" i="42"/>
  <c r="S56" i="42" s="1"/>
  <c r="P86" i="42"/>
  <c r="J86" i="42"/>
  <c r="P54" i="42"/>
  <c r="P56" i="42" s="1"/>
  <c r="K86" i="42"/>
  <c r="Q86" i="42"/>
  <c r="L96" i="42"/>
  <c r="Q54" i="42"/>
  <c r="Q56" i="42" s="1"/>
  <c r="N86" i="42"/>
  <c r="K96" i="42"/>
  <c r="R86" i="42"/>
  <c r="R54" i="42"/>
  <c r="R56" i="42" s="1"/>
  <c r="O86" i="42"/>
  <c r="N96" i="42"/>
  <c r="M86" i="42"/>
  <c r="J54" i="42"/>
  <c r="O96" i="42"/>
  <c r="M96" i="42"/>
  <c r="J28" i="42"/>
  <c r="O27" i="2"/>
  <c r="J56" i="42" l="1"/>
  <c r="L54" i="42"/>
  <c r="K16" i="2" l="1"/>
  <c r="L56" i="42"/>
  <c r="K26" i="2" l="1"/>
  <c r="L16" i="2"/>
  <c r="M16" i="2" l="1"/>
  <c r="L26" i="2"/>
  <c r="N16" i="2" l="1"/>
  <c r="O16" i="2" s="1"/>
  <c r="M26" i="2"/>
  <c r="L14" i="42"/>
  <c r="N26" i="2" l="1"/>
  <c r="O26" i="2" l="1"/>
  <c r="P16" i="2"/>
  <c r="P26" i="2" l="1"/>
  <c r="J15" i="42"/>
  <c r="K23" i="42"/>
  <c r="Q23" i="42"/>
  <c r="J23" i="42"/>
  <c r="O23" i="42"/>
  <c r="P23" i="42"/>
  <c r="M23" i="42"/>
  <c r="S23" i="42"/>
  <c r="L23" i="42"/>
  <c r="R23" i="42"/>
  <c r="N23" i="42"/>
  <c r="N15" i="42"/>
  <c r="R15" i="42"/>
  <c r="M15" i="42"/>
  <c r="Q15" i="42"/>
  <c r="S15" i="42"/>
  <c r="P15" i="42"/>
  <c r="K15" i="42"/>
  <c r="O15" i="42"/>
  <c r="L15" i="42"/>
  <c r="M54" i="42"/>
  <c r="O33" i="42" l="1"/>
  <c r="O37" i="42"/>
  <c r="M56" i="42"/>
  <c r="O35" i="42" l="1"/>
  <c r="N54" i="42" l="1"/>
  <c r="N56" i="42" s="1"/>
  <c r="Q32" i="53" l="1"/>
  <c r="P32" i="53"/>
  <c r="P92" i="42"/>
  <c r="Q92" i="42" l="1"/>
  <c r="Q14" i="44" s="1"/>
  <c r="P14" i="44"/>
  <c r="P96" i="42"/>
  <c r="R32" i="53"/>
  <c r="R92" i="42"/>
  <c r="Q96" i="42" l="1"/>
  <c r="S32" i="53"/>
  <c r="S92" i="42"/>
  <c r="R14" i="44"/>
  <c r="R96" i="42"/>
  <c r="S14" i="44" l="1"/>
  <c r="S96" i="42"/>
  <c r="T32" i="53"/>
  <c r="X32" i="53" s="1"/>
  <c r="S1" i="53" s="1"/>
  <c r="G14" i="16" s="1"/>
  <c r="S1" i="16" s="1"/>
  <c r="T92" i="42"/>
  <c r="W1" i="44" l="1"/>
  <c r="V1" i="54"/>
  <c r="W1" i="58"/>
  <c r="W1" i="53"/>
  <c r="W1" i="42"/>
  <c r="W1" i="55"/>
  <c r="W1" i="2"/>
  <c r="V1" i="4"/>
  <c r="T14" i="44"/>
  <c r="T96" i="42"/>
  <c r="O43" i="42" l="1"/>
  <c r="O54" i="42" l="1"/>
  <c r="O56" i="42" l="1"/>
  <c r="P102" i="42" s="1"/>
  <c r="P13" i="44" s="1"/>
  <c r="Q102" i="42"/>
  <c r="Q13" i="44" s="1"/>
  <c r="S102" i="42"/>
  <c r="S13" i="44" s="1"/>
  <c r="T102" i="42"/>
  <c r="T13" i="44" s="1"/>
  <c r="P103" i="42"/>
  <c r="Q103" i="42"/>
  <c r="R103" i="42"/>
  <c r="S103" i="42"/>
  <c r="T103" i="42"/>
  <c r="R102" i="42" l="1"/>
  <c r="R13" i="44" s="1"/>
  <c r="P104" i="42"/>
  <c r="Q104" i="42"/>
  <c r="S104" i="42"/>
  <c r="T104" i="42"/>
  <c r="R104" i="42"/>
</calcChain>
</file>

<file path=xl/sharedStrings.xml><?xml version="1.0" encoding="utf-8"?>
<sst xmlns="http://schemas.openxmlformats.org/spreadsheetml/2006/main" count="738" uniqueCount="217">
  <si>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</si>
  <si>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</si>
  <si>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</si>
  <si>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</si>
  <si>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</si>
  <si>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</si>
  <si>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</si>
  <si>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</si>
  <si>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</si>
  <si>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</si>
  <si>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</si>
  <si>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</si>
  <si>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</si>
  <si>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</si>
  <si>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</si>
  <si>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</si>
  <si>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</si>
  <si>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</si>
  <si>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</si>
  <si>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</si>
  <si>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</si>
  <si>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</si>
  <si>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</si>
  <si>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</si>
  <si>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</si>
  <si>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</si>
  <si>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</si>
  <si>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</si>
  <si>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</si>
  <si>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</si>
  <si>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</si>
  <si>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</si>
  <si>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</si>
  <si>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</si>
  <si>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</si>
  <si>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</si>
  <si>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</si>
  <si>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</si>
  <si>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</si>
  <si>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</si>
  <si>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</si>
  <si>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</si>
  <si>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</si>
  <si>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</si>
  <si>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</si>
  <si>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</si>
  <si>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</si>
  <si>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</si>
  <si>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</si>
  <si>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</si>
  <si>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</si>
  <si>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</si>
  <si>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</si>
  <si>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</si>
  <si>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</si>
  <si>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</si>
  <si>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</si>
  <si>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</si>
  <si>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</si>
  <si>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</si>
  <si>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</si>
  <si>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</si>
  <si>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</si>
  <si>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</si>
  <si>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</si>
  <si>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</si>
  <si>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</si>
  <si>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</si>
  <si>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</si>
  <si>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</si>
  <si>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</si>
  <si>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</si>
  <si>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</si>
  <si>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</si>
  <si>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</si>
  <si>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</si>
  <si>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</si>
  <si>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</si>
  <si>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</si>
  <si>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</si>
  <si>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</si>
  <si>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</si>
  <si>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</si>
  <si>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</si>
  <si>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</si>
  <si>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</si>
  <si>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</si>
  <si>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</si>
  <si>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</si>
  <si>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</si>
  <si>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</si>
  <si>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</si>
  <si>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</si>
  <si>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</si>
  <si>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</si>
  <si>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</si>
  <si>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</si>
  <si>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</si>
  <si>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</si>
  <si>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</si>
  <si>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</si>
  <si>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</si>
  <si>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</si>
  <si>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</si>
  <si>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</si>
  <si>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</si>
  <si>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</si>
  <si>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</si>
  <si>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</si>
  <si>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</si>
  <si>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</si>
  <si>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</si>
  <si>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</si>
  <si>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</si>
  <si>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</si>
  <si>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</si>
  <si>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</si>
  <si>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</si>
  <si>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</si>
  <si>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</si>
  <si>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</si>
  <si>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</si>
  <si>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</si>
  <si>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</si>
  <si>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</si>
  <si>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</si>
  <si>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</si>
  <si>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</si>
  <si>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</si>
  <si>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</si>
  <si>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</si>
  <si>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</si>
  <si>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</si>
  <si>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</si>
  <si>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</si>
  <si>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</si>
  <si>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</si>
  <si>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</si>
  <si>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</si>
  <si>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</si>
  <si>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</si>
  <si>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</si>
  <si>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</si>
  <si>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</si>
  <si>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</si>
  <si>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</si>
  <si>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</si>
  <si>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</si>
  <si>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</si>
  <si>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</si>
  <si>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</si>
  <si>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</si>
  <si>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</si>
  <si>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</si>
  <si>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</si>
  <si>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</si>
  <si>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</si>
  <si>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</si>
  <si>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</si>
  <si>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</si>
  <si>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</si>
  <si>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</si>
  <si>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</si>
  <si>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Reported opex, category specific forecasts</t>
  </si>
  <si>
    <t>Base year opex allowance, category specific forecasts</t>
  </si>
  <si>
    <t>Remove estimated final year opex for categories forecast specifically</t>
  </si>
  <si>
    <t>Adjusted final year opex</t>
  </si>
  <si>
    <t>Customer numbers (#)</t>
  </si>
  <si>
    <t>Circuit Length (km)</t>
  </si>
  <si>
    <t>Ratcheted Maximum Demand (MW)</t>
  </si>
  <si>
    <t>Energy throughput (GWh)</t>
  </si>
  <si>
    <t>Output weights</t>
  </si>
  <si>
    <t>SFA CD</t>
  </si>
  <si>
    <t>LSE CD</t>
  </si>
  <si>
    <t>LSE TLG</t>
  </si>
  <si>
    <t>MPFP</t>
  </si>
  <si>
    <t>Forecast output growth</t>
  </si>
  <si>
    <t>Movement in provisions</t>
  </si>
  <si>
    <t>Total opex to be trended</t>
  </si>
  <si>
    <t>Non-recurrent efficiency gain in the base year</t>
  </si>
  <si>
    <t>Categories of opex to be excluded from forecast opex (excluding category specific forecasts)</t>
  </si>
  <si>
    <t>Option 1</t>
  </si>
  <si>
    <t>Option 2</t>
  </si>
  <si>
    <t>Final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</si>
  <si>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</si>
  <si>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</si>
  <si>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</si>
  <si>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</si>
  <si>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DMIA expenditure</t>
  </si>
  <si>
    <t>GSL payments</t>
  </si>
  <si>
    <t>Scrapping of assets</t>
  </si>
  <si>
    <t>Previous period year 5.5</t>
  </si>
  <si>
    <t>HY 2021</t>
  </si>
  <si>
    <t>Year ending for current regulatory period</t>
  </si>
  <si>
    <t>Year ending for next regulatory period</t>
  </si>
  <si>
    <t>Previous regulatory control period, first year</t>
  </si>
  <si>
    <t>Intervening period, year</t>
  </si>
  <si>
    <t>Input | Rate of change</t>
  </si>
  <si>
    <t>Calc | Opex Forecast</t>
  </si>
  <si>
    <t>Output | Models</t>
  </si>
  <si>
    <t>SFA TLG</t>
  </si>
  <si>
    <t>2021 half year allowance, total</t>
  </si>
  <si>
    <t>2021 half year allowance, total, annualised</t>
  </si>
  <si>
    <t>Input | Opex allowances  2016 to 2020</t>
  </si>
  <si>
    <t>Input | Opex allowances  2021 half year</t>
  </si>
  <si>
    <t>2021 half year allowance, category specific forecasts</t>
  </si>
  <si>
    <t>2021 half year allowance, category specific forecasts, annualised</t>
  </si>
  <si>
    <t>AER opex model v1.9</t>
  </si>
  <si>
    <t>Ausnet</t>
  </si>
  <si>
    <t>GSL</t>
  </si>
  <si>
    <t>Metering - reallocation adjustment</t>
  </si>
  <si>
    <t>Security</t>
  </si>
  <si>
    <t>Adjustment 2</t>
  </si>
  <si>
    <t>REFCL</t>
  </si>
  <si>
    <t>IT Opex</t>
  </si>
  <si>
    <t>5 minute meter data</t>
  </si>
  <si>
    <t>Innovation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</si>
</sst>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3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&quot;$&quot;* #,##0_);_(&quot;$&quot;* \(#,##0\);_(&quot;$&quot;* &quot;-&quot;_);_(@_)"/>
    <numFmt numFmtId="167" formatCode="_(* #,##0_);_(* \(#,##0\);_(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0_);\(#,##0.000\);_(&quot;-&quot;_)"/>
    <numFmt numFmtId="173" formatCode="_(#,##0.00_);\(#,##0.00\);_(&quot;-&quot;_)"/>
    <numFmt numFmtId="174" formatCode="[$-C09]dd\-mmm\-yy;@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1" formatCode="&quot;Warning&quot;;&quot;Warning&quot;;&quot;OK&quot;"/>
    <numFmt numFmtId="202" formatCode="mmmm"/>
    <numFmt numFmtId="203" formatCode="mmm\ yyyy"/>
    <numFmt numFmtId="204" formatCode="0.00_ ;\-0.00\ "/>
    <numFmt numFmtId="205" formatCode="0_ ;\-0\ "/>
    <numFmt numFmtId="206" formatCode="0.00000%"/>
  </numFmts>
  <fonts count="90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66">
    <xf numFmtId="0" fontId="0" fillId="0" borderId="0"/>
    <xf numFmtId="170" fontId="4" fillId="7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71" fontId="13" fillId="0" borderId="5">
      <alignment horizontal="right" vertical="center"/>
      <protection locked="0"/>
    </xf>
    <xf numFmtId="164" fontId="11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7" fontId="13" fillId="0" borderId="0"/>
    <xf numFmtId="177" fontId="13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0"/>
    <xf numFmtId="166" fontId="25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/>
    <xf numFmtId="167" fontId="20" fillId="4" borderId="0" applyNumberFormat="0" applyFont="0" applyBorder="0" applyAlignment="0">
      <alignment horizontal="right"/>
    </xf>
    <xf numFmtId="167" fontId="20" fillId="4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4" borderId="11" applyNumberFormat="0" applyAlignment="0" applyProtection="0"/>
    <xf numFmtId="0" fontId="30" fillId="31" borderId="12" applyNumberFormat="0" applyAlignment="0" applyProtection="0"/>
    <xf numFmtId="167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179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5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3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4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5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81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2" borderId="11" applyNumberFormat="0" applyAlignment="0" applyProtection="0"/>
    <xf numFmtId="167" fontId="20" fillId="36" borderId="0" applyFont="0" applyBorder="0" applyAlignment="0">
      <alignment horizontal="right"/>
      <protection locked="0"/>
    </xf>
    <xf numFmtId="167" fontId="20" fillId="36" borderId="0" applyFont="0" applyBorder="0" applyAlignment="0">
      <alignment horizontal="right"/>
      <protection locked="0"/>
    </xf>
    <xf numFmtId="182" fontId="20" fillId="6" borderId="0" applyFont="0" applyBorder="0">
      <alignment horizontal="right"/>
      <protection locked="0"/>
    </xf>
    <xf numFmtId="182" fontId="20" fillId="6" borderId="0" applyFont="0" applyBorder="0">
      <alignment horizontal="right"/>
      <protection locked="0"/>
    </xf>
    <xf numFmtId="167" fontId="20" fillId="10" borderId="0" applyFont="0" applyBorder="0">
      <alignment horizontal="right"/>
      <protection locked="0"/>
    </xf>
    <xf numFmtId="167" fontId="20" fillId="10" borderId="0" applyFont="0" applyBorder="0">
      <alignment horizontal="right"/>
      <protection locked="0"/>
    </xf>
    <xf numFmtId="0" fontId="13" fillId="4" borderId="0"/>
    <xf numFmtId="0" fontId="48" fillId="0" borderId="16" applyNumberFormat="0" applyFill="0" applyAlignment="0" applyProtection="0"/>
    <xf numFmtId="183" fontId="49" fillId="0" borderId="0"/>
    <xf numFmtId="0" fontId="50" fillId="0" borderId="0" applyFill="0" applyBorder="0">
      <alignment horizontal="left" vertical="center"/>
    </xf>
    <xf numFmtId="0" fontId="51" fillId="15" borderId="0" applyNumberFormat="0" applyBorder="0" applyAlignment="0" applyProtection="0"/>
    <xf numFmtId="184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3" borderId="17" applyNumberFormat="0" applyFont="0" applyAlignment="0" applyProtection="0"/>
    <xf numFmtId="0" fontId="54" fillId="14" borderId="18" applyNumberFormat="0" applyAlignment="0" applyProtection="0"/>
    <xf numFmtId="185" fontId="20" fillId="0" borderId="0" applyFill="0" applyBorder="0"/>
    <xf numFmtId="185" fontId="20" fillId="0" borderId="0" applyFill="0" applyBorder="0"/>
    <xf numFmtId="185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1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6" fontId="56" fillId="0" borderId="19"/>
    <xf numFmtId="0" fontId="57" fillId="0" borderId="20">
      <alignment horizontal="center"/>
    </xf>
    <xf numFmtId="3" fontId="31" fillId="0" borderId="0" applyFont="0" applyFill="0" applyBorder="0" applyAlignment="0" applyProtection="0"/>
    <xf numFmtId="0" fontId="31" fillId="37" borderId="0" applyNumberFormat="0" applyFont="0" applyBorder="0" applyAlignment="0" applyProtection="0"/>
    <xf numFmtId="187" fontId="20" fillId="0" borderId="0"/>
    <xf numFmtId="187" fontId="20" fillId="0" borderId="0"/>
    <xf numFmtId="187" fontId="20" fillId="0" borderId="0"/>
    <xf numFmtId="188" fontId="13" fillId="0" borderId="0" applyFill="0" applyBorder="0">
      <alignment horizontal="right" vertical="center"/>
    </xf>
    <xf numFmtId="189" fontId="13" fillId="0" borderId="0" applyFill="0" applyBorder="0">
      <alignment horizontal="right" vertical="center"/>
    </xf>
    <xf numFmtId="190" fontId="13" fillId="0" borderId="0" applyFill="0" applyBorder="0">
      <alignment horizontal="right" vertical="center"/>
    </xf>
    <xf numFmtId="0" fontId="20" fillId="13" borderId="0" applyNumberFormat="0" applyFont="0" applyBorder="0" applyAlignment="0" applyProtection="0"/>
    <xf numFmtId="0" fontId="20" fillId="13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9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3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1" applyNumberFormat="0" applyFill="0" applyAlignment="0" applyProtection="0"/>
    <xf numFmtId="0" fontId="68" fillId="0" borderId="0" applyNumberFormat="0" applyFill="0" applyBorder="0" applyAlignment="0" applyProtection="0"/>
    <xf numFmtId="191" fontId="20" fillId="0" borderId="7" applyBorder="0" applyProtection="0">
      <alignment horizontal="right"/>
    </xf>
    <xf numFmtId="191" fontId="20" fillId="0" borderId="7" applyBorder="0" applyProtection="0">
      <alignment horizontal="right"/>
    </xf>
    <xf numFmtId="191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4" fillId="42" borderId="0"/>
    <xf numFmtId="201" fontId="75" fillId="0" borderId="23">
      <alignment horizontal="center"/>
    </xf>
    <xf numFmtId="0" fontId="76" fillId="43" borderId="6">
      <alignment horizontal="center" vertical="center"/>
    </xf>
    <xf numFmtId="0" fontId="20" fillId="44" borderId="11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5" borderId="0"/>
    <xf numFmtId="0" fontId="20" fillId="38" borderId="24" applyNumberFormat="0" applyFont="0" applyAlignment="0"/>
    <xf numFmtId="0" fontId="82" fillId="7" borderId="25" applyNumberFormat="0"/>
    <xf numFmtId="0" fontId="83" fillId="46" borderId="0"/>
    <xf numFmtId="0" fontId="84" fillId="46" borderId="0" applyNumberFormat="0"/>
    <xf numFmtId="0" fontId="85" fillId="46" borderId="0"/>
    <xf numFmtId="0" fontId="86" fillId="47" borderId="6" applyNumberFormat="0">
      <alignment horizontal="center" vertical="center"/>
    </xf>
    <xf numFmtId="0" fontId="87" fillId="48" borderId="11" applyNumberFormat="0" applyAlignment="0">
      <alignment horizontal="right"/>
    </xf>
    <xf numFmtId="0" fontId="22" fillId="38" borderId="24" applyNumberFormat="0" applyAlignment="0"/>
    <xf numFmtId="0" fontId="75" fillId="0" borderId="0" applyNumberFormat="0" applyFill="0" applyBorder="0"/>
    <xf numFmtId="0" fontId="88" fillId="49" borderId="24" applyNumberFormat="0">
      <protection locked="0"/>
    </xf>
    <xf numFmtId="164" fontId="11" fillId="0" borderId="0" applyFont="0" applyFill="0" applyBorder="0" applyAlignment="0" applyProtection="0"/>
    <xf numFmtId="0" fontId="1" fillId="0" borderId="0"/>
  </cellStyleXfs>
  <cellXfs count="227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/>
    <xf numFmtId="168" fontId="4" fillId="3" borderId="0" xfId="0" applyNumberFormat="1" applyFont="1" applyFill="1"/>
    <xf numFmtId="168" fontId="5" fillId="0" borderId="0" xfId="0" applyNumberFormat="1" applyFont="1"/>
    <xf numFmtId="168" fontId="4" fillId="0" borderId="0" xfId="0" applyNumberFormat="1" applyFont="1"/>
    <xf numFmtId="168" fontId="6" fillId="0" borderId="0" xfId="0" applyNumberFormat="1" applyFont="1"/>
    <xf numFmtId="168" fontId="7" fillId="0" borderId="0" xfId="0" applyNumberFormat="1" applyFont="1" applyAlignment="1" applyProtection="1"/>
    <xf numFmtId="0" fontId="4" fillId="5" borderId="0" xfId="0" applyFont="1" applyFill="1" applyBorder="1"/>
    <xf numFmtId="0" fontId="4" fillId="6" borderId="0" xfId="0" applyFont="1" applyFill="1" applyBorder="1"/>
    <xf numFmtId="168" fontId="10" fillId="0" borderId="0" xfId="0" applyNumberFormat="1" applyFont="1"/>
    <xf numFmtId="168" fontId="6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left" indent="1"/>
    </xf>
    <xf numFmtId="168" fontId="5" fillId="0" borderId="0" xfId="0" applyNumberFormat="1" applyFont="1" applyAlignment="1">
      <alignment horizontal="center"/>
    </xf>
    <xf numFmtId="168" fontId="0" fillId="0" borderId="0" xfId="0" applyNumberFormat="1"/>
    <xf numFmtId="164" fontId="10" fillId="0" borderId="6" xfId="0" applyNumberFormat="1" applyFont="1" applyBorder="1" applyAlignment="1">
      <alignment horizontal="center"/>
    </xf>
    <xf numFmtId="168" fontId="15" fillId="0" borderId="0" xfId="3" applyNumberFormat="1" applyFont="1" applyAlignment="1" applyProtection="1"/>
    <xf numFmtId="168" fontId="5" fillId="3" borderId="0" xfId="0" applyNumberFormat="1" applyFont="1" applyFill="1"/>
    <xf numFmtId="168" fontId="16" fillId="0" borderId="0" xfId="0" applyNumberFormat="1" applyFont="1" applyAlignment="1">
      <alignment horizontal="center"/>
    </xf>
    <xf numFmtId="172" fontId="13" fillId="0" borderId="0" xfId="5" applyNumberFormat="1" applyFont="1" applyFill="1" applyBorder="1" applyAlignment="1" applyProtection="1">
      <alignment horizontal="center" vertical="center"/>
    </xf>
    <xf numFmtId="173" fontId="10" fillId="0" borderId="0" xfId="5" applyNumberFormat="1" applyFont="1" applyFill="1" applyBorder="1" applyAlignment="1" applyProtection="1">
      <alignment horizontal="center" vertical="center"/>
    </xf>
    <xf numFmtId="173" fontId="18" fillId="0" borderId="0" xfId="5" applyNumberFormat="1" applyFont="1" applyFill="1" applyBorder="1" applyAlignment="1" applyProtection="1">
      <alignment horizontal="center" vertical="center"/>
    </xf>
    <xf numFmtId="174" fontId="4" fillId="0" borderId="0" xfId="0" applyNumberFormat="1" applyFont="1"/>
    <xf numFmtId="176" fontId="13" fillId="0" borderId="0" xfId="5" applyNumberFormat="1" applyFont="1" applyFill="1" applyBorder="1" applyAlignment="1" applyProtection="1">
      <alignment horizontal="center" vertical="center"/>
    </xf>
    <xf numFmtId="168" fontId="4" fillId="3" borderId="0" xfId="0" applyNumberFormat="1" applyFont="1" applyFill="1" applyProtection="1"/>
    <xf numFmtId="168" fontId="5" fillId="3" borderId="0" xfId="0" applyNumberFormat="1" applyFont="1" applyFill="1" applyAlignment="1" applyProtection="1">
      <alignment horizontal="center"/>
    </xf>
    <xf numFmtId="168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/>
    </xf>
    <xf numFmtId="168" fontId="10" fillId="0" borderId="0" xfId="0" applyNumberFormat="1" applyFont="1" applyProtection="1"/>
    <xf numFmtId="168" fontId="16" fillId="0" borderId="0" xfId="0" applyNumberFormat="1" applyFont="1" applyAlignment="1" applyProtection="1">
      <alignment horizontal="center"/>
    </xf>
    <xf numFmtId="168" fontId="6" fillId="0" borderId="0" xfId="0" applyNumberFormat="1" applyFont="1" applyAlignment="1" applyProtection="1">
      <alignment horizontal="center"/>
    </xf>
    <xf numFmtId="168" fontId="15" fillId="0" borderId="0" xfId="3" applyNumberFormat="1" applyFont="1" applyAlignment="1" applyProtection="1">
      <alignment horizontal="center"/>
    </xf>
    <xf numFmtId="0" fontId="69" fillId="38" borderId="0" xfId="0" applyFont="1" applyFill="1" applyBorder="1" applyAlignment="1">
      <alignment horizontal="left" vertical="center"/>
    </xf>
    <xf numFmtId="0" fontId="69" fillId="38" borderId="0" xfId="0" applyFont="1" applyFill="1" applyBorder="1" applyAlignment="1">
      <alignment horizontal="left" indent="9"/>
    </xf>
    <xf numFmtId="0" fontId="70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4" fontId="21" fillId="38" borderId="0" xfId="0" applyNumberFormat="1" applyFont="1" applyFill="1" applyBorder="1" applyAlignment="1">
      <alignment horizontal="center"/>
    </xf>
    <xf numFmtId="0" fontId="71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2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2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1" fillId="39" borderId="4" xfId="0" applyFont="1" applyFill="1" applyBorder="1"/>
    <xf numFmtId="169" fontId="4" fillId="41" borderId="3" xfId="0" applyNumberFormat="1" applyFont="1" applyFill="1" applyBorder="1" applyAlignment="1" applyProtection="1">
      <alignment horizontal="center"/>
      <protection locked="0"/>
    </xf>
    <xf numFmtId="0" fontId="71" fillId="38" borderId="0" xfId="0" applyFont="1" applyFill="1" applyBorder="1" applyAlignment="1">
      <alignment horizontal="left"/>
    </xf>
    <xf numFmtId="0" fontId="71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4" fillId="40" borderId="0" xfId="0" applyFont="1" applyFill="1" applyBorder="1" applyAlignment="1">
      <alignment horizontal="center"/>
    </xf>
    <xf numFmtId="10" fontId="4" fillId="41" borderId="3" xfId="2" applyNumberFormat="1" applyFont="1" applyFill="1" applyBorder="1" applyAlignment="1" applyProtection="1">
      <alignment horizontal="center"/>
      <protection locked="0"/>
    </xf>
    <xf numFmtId="49" fontId="4" fillId="41" borderId="3" xfId="0" applyNumberFormat="1" applyFont="1" applyFill="1" applyBorder="1" applyAlignment="1" applyProtection="1">
      <alignment horizontal="left" indent="1"/>
      <protection locked="0"/>
    </xf>
    <xf numFmtId="168" fontId="16" fillId="0" borderId="0" xfId="0" applyNumberFormat="1" applyFont="1" applyAlignment="1" applyProtection="1">
      <alignment horizontal="center" wrapText="1"/>
    </xf>
    <xf numFmtId="192" fontId="4" fillId="41" borderId="3" xfId="0" applyNumberFormat="1" applyFont="1" applyFill="1" applyBorder="1" applyAlignment="1" applyProtection="1">
      <alignment horizontal="center"/>
      <protection locked="0"/>
    </xf>
    <xf numFmtId="196" fontId="4" fillId="0" borderId="0" xfId="0" applyNumberFormat="1" applyFont="1" applyAlignment="1" applyProtection="1">
      <alignment horizontal="left"/>
    </xf>
    <xf numFmtId="194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 wrapText="1"/>
    </xf>
    <xf numFmtId="168" fontId="6" fillId="0" borderId="0" xfId="0" applyNumberFormat="1" applyFont="1" applyProtection="1"/>
    <xf numFmtId="168" fontId="17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9" fillId="38" borderId="0" xfId="0" applyFont="1" applyFill="1" applyBorder="1" applyAlignment="1" applyProtection="1">
      <alignment horizontal="left" vertical="center"/>
    </xf>
    <xf numFmtId="0" fontId="69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4" fillId="40" borderId="0" xfId="0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164" fontId="21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1" fillId="38" borderId="1" xfId="0" applyFont="1" applyFill="1" applyBorder="1" applyAlignment="1" applyProtection="1">
      <alignment horizontal="left"/>
    </xf>
    <xf numFmtId="0" fontId="71" fillId="38" borderId="1" xfId="0" applyFont="1" applyFill="1" applyBorder="1" applyAlignment="1" applyProtection="1">
      <alignment horizontal="left" indent="9"/>
    </xf>
    <xf numFmtId="0" fontId="21" fillId="38" borderId="2" xfId="0" applyNumberFormat="1" applyFont="1" applyFill="1" applyBorder="1" applyProtection="1"/>
    <xf numFmtId="0" fontId="21" fillId="38" borderId="2" xfId="0" applyFont="1" applyFill="1" applyBorder="1" applyProtection="1"/>
    <xf numFmtId="0" fontId="72" fillId="38" borderId="2" xfId="0" applyNumberFormat="1" applyFont="1" applyFill="1" applyBorder="1" applyProtection="1"/>
    <xf numFmtId="0" fontId="72" fillId="39" borderId="4" xfId="0" applyFont="1" applyFill="1" applyBorder="1" applyProtection="1"/>
    <xf numFmtId="0" fontId="72" fillId="39" borderId="4" xfId="0" applyFont="1" applyFill="1" applyBorder="1" applyAlignment="1" applyProtection="1">
      <alignment horizontal="center"/>
    </xf>
    <xf numFmtId="0" fontId="17" fillId="39" borderId="4" xfId="0" applyFont="1" applyFill="1" applyBorder="1" applyAlignment="1" applyProtection="1">
      <alignment horizontal="center" vertical="center"/>
    </xf>
    <xf numFmtId="0" fontId="17" fillId="39" borderId="4" xfId="0" applyFont="1" applyFill="1" applyBorder="1" applyAlignment="1" applyProtection="1">
      <alignment vertical="center"/>
    </xf>
    <xf numFmtId="0" fontId="72" fillId="39" borderId="4" xfId="0" applyFont="1" applyFill="1" applyBorder="1" applyAlignment="1" applyProtection="1">
      <alignment wrapText="1"/>
    </xf>
    <xf numFmtId="165" fontId="17" fillId="39" borderId="4" xfId="0" applyNumberFormat="1" applyFont="1" applyFill="1" applyBorder="1" applyAlignment="1" applyProtection="1">
      <alignment horizontal="center" wrapText="1"/>
    </xf>
    <xf numFmtId="0" fontId="72" fillId="3" borderId="0" xfId="0" applyFont="1" applyFill="1" applyBorder="1" applyAlignment="1" applyProtection="1">
      <alignment wrapText="1"/>
    </xf>
    <xf numFmtId="0" fontId="72" fillId="3" borderId="0" xfId="0" applyFont="1" applyFill="1" applyAlignment="1" applyProtection="1">
      <alignment wrapText="1"/>
    </xf>
    <xf numFmtId="0" fontId="72" fillId="3" borderId="0" xfId="0" applyFont="1" applyFill="1" applyProtection="1"/>
    <xf numFmtId="0" fontId="72" fillId="0" borderId="0" xfId="0" applyFont="1" applyFill="1" applyProtection="1"/>
    <xf numFmtId="0" fontId="72" fillId="0" borderId="0" xfId="0" applyFont="1" applyProtection="1"/>
    <xf numFmtId="0" fontId="0" fillId="39" borderId="4" xfId="0" applyFill="1" applyBorder="1" applyProtection="1"/>
    <xf numFmtId="0" fontId="21" fillId="39" borderId="4" xfId="0" applyFont="1" applyFill="1" applyBorder="1" applyProtection="1"/>
    <xf numFmtId="0" fontId="22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5" fontId="22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6" fillId="0" borderId="0" xfId="0" applyNumberFormat="1" applyFont="1" applyFill="1" applyBorder="1" applyProtection="1"/>
    <xf numFmtId="168" fontId="5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Border="1" applyAlignment="1" applyProtection="1">
      <alignment horizontal="left" indent="1"/>
    </xf>
    <xf numFmtId="168" fontId="4" fillId="0" borderId="0" xfId="0" applyNumberFormat="1" applyFont="1" applyAlignment="1" applyProtection="1">
      <alignment horizontal="center"/>
    </xf>
    <xf numFmtId="168" fontId="15" fillId="0" borderId="0" xfId="3" applyNumberFormat="1" applyFont="1" applyFill="1" applyAlignment="1" applyProtection="1">
      <alignment horizontal="center"/>
    </xf>
    <xf numFmtId="197" fontId="4" fillId="0" borderId="0" xfId="0" applyNumberFormat="1" applyFont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Alignment="1" applyProtection="1">
      <alignment horizontal="left" indent="1"/>
    </xf>
    <xf numFmtId="168" fontId="5" fillId="0" borderId="7" xfId="0" applyNumberFormat="1" applyFont="1" applyBorder="1" applyAlignment="1" applyProtection="1">
      <alignment horizontal="center"/>
    </xf>
    <xf numFmtId="168" fontId="6" fillId="0" borderId="8" xfId="0" applyNumberFormat="1" applyFont="1" applyBorder="1" applyAlignment="1" applyProtection="1">
      <alignment horizontal="left" indent="1"/>
    </xf>
    <xf numFmtId="168" fontId="5" fillId="0" borderId="8" xfId="0" applyNumberFormat="1" applyFont="1" applyBorder="1" applyAlignment="1" applyProtection="1">
      <alignment horizontal="center"/>
    </xf>
    <xf numFmtId="197" fontId="6" fillId="0" borderId="0" xfId="0" applyNumberFormat="1" applyFont="1" applyAlignment="1" applyProtection="1">
      <alignment horizontal="center"/>
    </xf>
    <xf numFmtId="168" fontId="5" fillId="0" borderId="0" xfId="0" applyNumberFormat="1" applyFont="1" applyAlignment="1" applyProtection="1">
      <alignment horizontal="left"/>
    </xf>
    <xf numFmtId="10" fontId="4" fillId="0" borderId="0" xfId="2" applyNumberFormat="1" applyFont="1" applyAlignment="1" applyProtection="1">
      <alignment horizontal="center"/>
    </xf>
    <xf numFmtId="168" fontId="6" fillId="0" borderId="8" xfId="0" applyNumberFormat="1" applyFont="1" applyBorder="1" applyProtection="1"/>
    <xf numFmtId="175" fontId="4" fillId="0" borderId="0" xfId="0" applyNumberFormat="1" applyFont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Fill="1" applyAlignment="1" applyProtection="1">
      <alignment horizontal="left" indent="2"/>
    </xf>
    <xf numFmtId="168" fontId="16" fillId="0" borderId="8" xfId="0" applyNumberFormat="1" applyFont="1" applyBorder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left" indent="1"/>
    </xf>
    <xf numFmtId="168" fontId="6" fillId="0" borderId="0" xfId="0" applyNumberFormat="1" applyFont="1" applyBorder="1" applyProtection="1"/>
    <xf numFmtId="194" fontId="6" fillId="0" borderId="0" xfId="0" applyNumberFormat="1" applyFont="1" applyBorder="1" applyAlignment="1" applyProtection="1">
      <alignment horizontal="center"/>
    </xf>
    <xf numFmtId="168" fontId="16" fillId="0" borderId="0" xfId="0" applyNumberFormat="1" applyFont="1" applyBorder="1" applyAlignment="1" applyProtection="1">
      <alignment horizontal="center"/>
    </xf>
    <xf numFmtId="200" fontId="4" fillId="0" borderId="0" xfId="0" applyNumberFormat="1" applyFont="1" applyAlignment="1" applyProtection="1">
      <alignment horizontal="center"/>
    </xf>
    <xf numFmtId="200" fontId="6" fillId="0" borderId="0" xfId="0" applyNumberFormat="1" applyFont="1" applyAlignment="1" applyProtection="1">
      <alignment horizontal="center"/>
    </xf>
    <xf numFmtId="198" fontId="10" fillId="0" borderId="4" xfId="5" applyNumberFormat="1" applyFont="1" applyFill="1" applyBorder="1" applyAlignment="1" applyProtection="1">
      <alignment horizontal="center" vertical="center"/>
    </xf>
    <xf numFmtId="49" fontId="5" fillId="41" borderId="22" xfId="0" applyNumberFormat="1" applyFont="1" applyFill="1" applyBorder="1" applyAlignment="1" applyProtection="1">
      <alignment horizontal="center"/>
      <protection locked="0"/>
    </xf>
    <xf numFmtId="164" fontId="10" fillId="0" borderId="3" xfId="0" applyNumberFormat="1" applyFont="1" applyBorder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0" fontId="8" fillId="38" borderId="2" xfId="0" applyFont="1" applyFill="1" applyBorder="1" applyProtection="1"/>
    <xf numFmtId="0" fontId="9" fillId="38" borderId="2" xfId="0" applyNumberFormat="1" applyFont="1" applyFill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168" fontId="6" fillId="0" borderId="7" xfId="0" applyNumberFormat="1" applyFont="1" applyBorder="1" applyProtection="1"/>
    <xf numFmtId="168" fontId="4" fillId="0" borderId="7" xfId="0" applyNumberFormat="1" applyFont="1" applyBorder="1" applyProtection="1"/>
    <xf numFmtId="168" fontId="6" fillId="0" borderId="4" xfId="0" applyNumberFormat="1" applyFont="1" applyBorder="1" applyAlignment="1" applyProtection="1">
      <alignment horizontal="left"/>
    </xf>
    <xf numFmtId="168" fontId="5" fillId="0" borderId="4" xfId="0" applyNumberFormat="1" applyFont="1" applyBorder="1" applyAlignment="1" applyProtection="1">
      <alignment horizontal="center"/>
    </xf>
    <xf numFmtId="164" fontId="4" fillId="0" borderId="0" xfId="0" applyNumberFormat="1" applyFont="1" applyProtection="1"/>
    <xf numFmtId="168" fontId="4" fillId="0" borderId="0" xfId="0" applyNumberFormat="1" applyFont="1" applyBorder="1" applyProtection="1"/>
    <xf numFmtId="10" fontId="4" fillId="0" borderId="0" xfId="2" applyNumberFormat="1" applyFont="1" applyBorder="1" applyAlignment="1" applyProtection="1">
      <alignment horizontal="center"/>
    </xf>
    <xf numFmtId="168" fontId="5" fillId="0" borderId="0" xfId="6" applyNumberFormat="1" applyFont="1" applyAlignment="1" applyProtection="1">
      <alignment horizontal="center"/>
    </xf>
    <xf numFmtId="175" fontId="4" fillId="0" borderId="0" xfId="0" applyNumberFormat="1" applyFont="1" applyProtection="1"/>
    <xf numFmtId="193" fontId="4" fillId="8" borderId="3" xfId="0" applyNumberFormat="1" applyFont="1" applyFill="1" applyBorder="1" applyAlignment="1" applyProtection="1">
      <alignment horizontal="left" indent="1"/>
    </xf>
    <xf numFmtId="0" fontId="73" fillId="39" borderId="4" xfId="0" applyFont="1" applyFill="1" applyBorder="1" applyAlignment="1" applyProtection="1"/>
    <xf numFmtId="195" fontId="5" fillId="41" borderId="3" xfId="2" applyNumberFormat="1" applyFont="1" applyFill="1" applyBorder="1" applyAlignment="1" applyProtection="1">
      <alignment horizontal="center"/>
      <protection locked="0"/>
    </xf>
    <xf numFmtId="199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Protection="1">
      <protection locked="0"/>
    </xf>
    <xf numFmtId="202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0" applyNumberFormat="1" applyFont="1" applyFill="1" applyBorder="1" applyAlignment="1" applyProtection="1">
      <alignment horizontal="center"/>
      <protection locked="0"/>
    </xf>
    <xf numFmtId="203" fontId="72" fillId="39" borderId="4" xfId="0" applyNumberFormat="1" applyFont="1" applyFill="1" applyBorder="1" applyAlignment="1" applyProtection="1">
      <alignment horizontal="center" wrapText="1"/>
    </xf>
    <xf numFmtId="203" fontId="89" fillId="38" borderId="2" xfId="0" applyNumberFormat="1" applyFont="1" applyFill="1" applyBorder="1" applyAlignment="1" applyProtection="1">
      <alignment horizontal="center"/>
    </xf>
    <xf numFmtId="203" fontId="72" fillId="38" borderId="2" xfId="0" applyNumberFormat="1" applyFont="1" applyFill="1" applyBorder="1" applyAlignment="1" applyProtection="1">
      <alignment horizontal="left"/>
    </xf>
    <xf numFmtId="203" fontId="6" fillId="0" borderId="7" xfId="0" applyNumberFormat="1" applyFont="1" applyBorder="1" applyAlignment="1" applyProtection="1">
      <alignment horizontal="center"/>
    </xf>
    <xf numFmtId="203" fontId="4" fillId="0" borderId="0" xfId="0" applyNumberFormat="1" applyFont="1" applyAlignment="1">
      <alignment horizontal="left" indent="1"/>
    </xf>
    <xf numFmtId="203" fontId="5" fillId="0" borderId="0" xfId="0" applyNumberFormat="1" applyFont="1" applyAlignment="1" applyProtection="1">
      <alignment horizontal="center"/>
    </xf>
    <xf numFmtId="203" fontId="5" fillId="41" borderId="22" xfId="0" applyNumberFormat="1" applyFont="1" applyFill="1" applyBorder="1" applyAlignment="1" applyProtection="1">
      <alignment horizontal="center"/>
      <protection locked="0"/>
    </xf>
    <xf numFmtId="203" fontId="6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Fill="1" applyBorder="1" applyProtection="1"/>
    <xf numFmtId="203" fontId="4" fillId="0" borderId="0" xfId="0" applyNumberFormat="1" applyFont="1" applyAlignment="1" applyProtection="1">
      <alignment horizontal="left" indent="1"/>
    </xf>
    <xf numFmtId="168" fontId="12" fillId="0" borderId="0" xfId="3" applyNumberFormat="1" applyAlignment="1" applyProtection="1">
      <alignment horizontal="center"/>
    </xf>
    <xf numFmtId="10" fontId="4" fillId="41" borderId="26" xfId="2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  <protection locked="0"/>
    </xf>
    <xf numFmtId="195" fontId="4" fillId="0" borderId="0" xfId="2" applyNumberFormat="1" applyFont="1" applyFill="1" applyBorder="1" applyAlignment="1" applyProtection="1">
      <alignment horizontal="center"/>
      <protection locked="0"/>
    </xf>
    <xf numFmtId="203" fontId="4" fillId="41" borderId="3" xfId="2" applyNumberFormat="1" applyFont="1" applyFill="1" applyBorder="1" applyAlignment="1" applyProtection="1">
      <alignment horizontal="center"/>
      <protection locked="0"/>
    </xf>
    <xf numFmtId="0" fontId="72" fillId="38" borderId="27" xfId="0" applyNumberFormat="1" applyFont="1" applyFill="1" applyBorder="1" applyAlignment="1" applyProtection="1"/>
    <xf numFmtId="168" fontId="4" fillId="0" borderId="0" xfId="0" applyNumberFormat="1" applyFont="1" applyBorder="1" applyAlignment="1" applyProtection="1">
      <alignment horizontal="center"/>
    </xf>
    <xf numFmtId="203" fontId="16" fillId="0" borderId="0" xfId="0" applyNumberFormat="1" applyFont="1" applyAlignment="1" applyProtection="1">
      <alignment horizontal="center"/>
    </xf>
    <xf numFmtId="200" fontId="4" fillId="0" borderId="0" xfId="0" applyNumberFormat="1" applyFont="1" applyBorder="1" applyAlignment="1" applyProtection="1">
      <alignment horizontal="center"/>
    </xf>
    <xf numFmtId="200" fontId="6" fillId="0" borderId="0" xfId="0" applyNumberFormat="1" applyFont="1" applyBorder="1" applyAlignment="1" applyProtection="1">
      <alignment horizontal="center"/>
    </xf>
    <xf numFmtId="197" fontId="6" fillId="0" borderId="0" xfId="0" applyNumberFormat="1" applyFont="1" applyBorder="1" applyAlignment="1" applyProtection="1">
      <alignment horizontal="center"/>
    </xf>
    <xf numFmtId="168" fontId="6" fillId="0" borderId="7" xfId="0" applyNumberFormat="1" applyFont="1" applyBorder="1" applyAlignment="1" applyProtection="1">
      <alignment horizontal="left" indent="1"/>
    </xf>
    <xf numFmtId="203" fontId="5" fillId="0" borderId="7" xfId="0" applyNumberFormat="1" applyFont="1" applyBorder="1" applyAlignment="1" applyProtection="1">
      <alignment horizontal="center"/>
    </xf>
    <xf numFmtId="204" fontId="4" fillId="0" borderId="0" xfId="2" applyNumberFormat="1" applyFont="1" applyFill="1" applyBorder="1" applyAlignment="1" applyProtection="1">
      <alignment horizontal="center"/>
    </xf>
    <xf numFmtId="0" fontId="12" fillId="38" borderId="0" xfId="3" applyFill="1" applyBorder="1" applyAlignment="1">
      <alignment horizontal="right"/>
    </xf>
    <xf numFmtId="0" fontId="72" fillId="38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203" fontId="4" fillId="0" borderId="3" xfId="0" applyNumberFormat="1" applyFont="1" applyFill="1" applyBorder="1" applyAlignment="1" applyProtection="1">
      <alignment horizontal="center"/>
      <protection locked="0"/>
    </xf>
    <xf numFmtId="2" fontId="10" fillId="0" borderId="4" xfId="5" applyNumberFormat="1" applyFont="1" applyFill="1" applyBorder="1" applyAlignment="1" applyProtection="1">
      <alignment horizontal="center" vertical="center"/>
    </xf>
    <xf numFmtId="0" fontId="12" fillId="38" borderId="0" xfId="3" applyFill="1" applyBorder="1" applyAlignment="1" applyProtection="1">
      <alignment horizontal="right"/>
    </xf>
    <xf numFmtId="194" fontId="4" fillId="0" borderId="0" xfId="0" applyNumberFormat="1" applyFont="1" applyProtection="1">
      <protection locked="0"/>
    </xf>
    <xf numFmtId="194" fontId="6" fillId="0" borderId="0" xfId="0" applyNumberFormat="1" applyFont="1" applyProtection="1">
      <protection locked="0"/>
    </xf>
    <xf numFmtId="49" fontId="5" fillId="0" borderId="22" xfId="0" applyNumberFormat="1" applyFont="1" applyFill="1" applyBorder="1" applyAlignment="1" applyProtection="1">
      <alignment horizontal="center"/>
    </xf>
    <xf numFmtId="203" fontId="5" fillId="0" borderId="22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181" fontId="4" fillId="0" borderId="0" xfId="2" applyNumberFormat="1" applyFont="1" applyAlignment="1" applyProtection="1">
      <alignment horizontal="center"/>
      <protection locked="0"/>
    </xf>
    <xf numFmtId="173" fontId="10" fillId="0" borderId="0" xfId="5" applyNumberFormat="1" applyFont="1" applyFill="1" applyBorder="1" applyAlignment="1" applyProtection="1">
      <alignment horizontal="center" vertical="center"/>
      <protection locked="0"/>
    </xf>
    <xf numFmtId="168" fontId="13" fillId="0" borderId="0" xfId="5" applyNumberFormat="1" applyFont="1" applyFill="1" applyBorder="1" applyAlignment="1" applyProtection="1">
      <alignment horizontal="center" vertical="center"/>
      <protection locked="0"/>
    </xf>
    <xf numFmtId="168" fontId="4" fillId="0" borderId="0" xfId="0" applyNumberFormat="1" applyFont="1" applyAlignment="1" applyProtection="1">
      <alignment horizontal="center"/>
      <protection locked="0"/>
    </xf>
    <xf numFmtId="168" fontId="4" fillId="0" borderId="0" xfId="0" applyNumberFormat="1" applyFont="1" applyFill="1" applyProtection="1"/>
    <xf numFmtId="49" fontId="4" fillId="0" borderId="3" xfId="0" applyNumberFormat="1" applyFont="1" applyFill="1" applyBorder="1" applyAlignment="1" applyProtection="1">
      <alignment horizontal="left" indent="1"/>
      <protection locked="0"/>
    </xf>
    <xf numFmtId="203" fontId="4" fillId="0" borderId="0" xfId="2" applyNumberFormat="1" applyFont="1" applyFill="1" applyBorder="1" applyAlignment="1" applyProtection="1">
      <alignment horizontal="center"/>
      <protection locked="0"/>
    </xf>
    <xf numFmtId="168" fontId="16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181" fontId="4" fillId="0" borderId="0" xfId="2" applyNumberFormat="1" applyFont="1" applyFill="1" applyBorder="1" applyAlignment="1" applyProtection="1">
      <alignment horizontal="center"/>
      <protection locked="0"/>
    </xf>
    <xf numFmtId="203" fontId="5" fillId="0" borderId="22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  <protection locked="0"/>
    </xf>
    <xf numFmtId="203" fontId="17" fillId="8" borderId="9" xfId="0" applyNumberFormat="1" applyFont="1" applyFill="1" applyBorder="1" applyAlignment="1" applyProtection="1">
      <alignment horizontal="center"/>
      <protection locked="0"/>
    </xf>
    <xf numFmtId="205" fontId="4" fillId="0" borderId="0" xfId="0" applyNumberFormat="1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Protection="1">
      <protection locked="0"/>
    </xf>
    <xf numFmtId="203" fontId="13" fillId="8" borderId="9" xfId="0" applyNumberFormat="1" applyFont="1" applyFill="1" applyBorder="1" applyAlignment="1" applyProtection="1">
      <alignment horizontal="center"/>
      <protection locked="0"/>
    </xf>
    <xf numFmtId="193" fontId="6" fillId="8" borderId="28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203" fontId="4" fillId="0" borderId="0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Border="1" applyAlignment="1">
      <alignment horizontal="center"/>
    </xf>
    <xf numFmtId="168" fontId="5" fillId="41" borderId="3" xfId="0" applyNumberFormat="1" applyFont="1" applyFill="1" applyBorder="1" applyAlignment="1" applyProtection="1">
      <alignment horizontal="center"/>
    </xf>
    <xf numFmtId="203" fontId="5" fillId="41" borderId="3" xfId="0" applyNumberFormat="1" applyFont="1" applyFill="1" applyBorder="1" applyAlignment="1" applyProtection="1">
      <alignment horizontal="center"/>
    </xf>
    <xf numFmtId="0" fontId="70" fillId="38" borderId="0" xfId="3" applyFont="1" applyFill="1" applyBorder="1" applyAlignment="1" applyProtection="1"/>
    <xf numFmtId="10" fontId="4" fillId="41" borderId="3" xfId="2" applyNumberFormat="1" applyFont="1" applyFill="1" applyBorder="1" applyAlignment="1" applyProtection="1">
      <alignment horizontal="center"/>
    </xf>
    <xf numFmtId="0" fontId="72" fillId="38" borderId="2" xfId="0" applyNumberFormat="1" applyFont="1" applyFill="1" applyBorder="1" applyAlignment="1" applyProtection="1">
      <alignment horizontal="center"/>
    </xf>
    <xf numFmtId="203" fontId="72" fillId="39" borderId="4" xfId="0" applyNumberFormat="1" applyFont="1" applyFill="1" applyBorder="1" applyAlignment="1" applyProtection="1">
      <alignment horizontal="center" vertical="center" wrapText="1"/>
    </xf>
    <xf numFmtId="192" fontId="4" fillId="41" borderId="29" xfId="0" applyNumberFormat="1" applyFont="1" applyFill="1" applyBorder="1" applyAlignment="1" applyProtection="1">
      <alignment horizontal="center"/>
      <protection locked="0"/>
    </xf>
    <xf numFmtId="10" fontId="4" fillId="0" borderId="30" xfId="2" applyNumberFormat="1" applyFont="1" applyBorder="1" applyAlignment="1" applyProtection="1">
      <alignment horizontal="center"/>
    </xf>
    <xf numFmtId="193" fontId="4" fillId="8" borderId="0" xfId="0" applyNumberFormat="1" applyFont="1" applyFill="1" applyBorder="1" applyAlignment="1" applyProtection="1">
      <alignment horizontal="left" indent="1"/>
    </xf>
    <xf numFmtId="164" fontId="4" fillId="0" borderId="0" xfId="0" applyNumberFormat="1" applyFont="1" applyProtection="1"/>
    <xf numFmtId="10" fontId="4" fillId="0" borderId="0" xfId="2" applyNumberFormat="1" applyFont="1" applyProtection="1"/>
    <xf numFmtId="164" fontId="4" fillId="0" borderId="0" xfId="0" applyNumberFormat="1" applyFont="1" applyProtection="1"/>
    <xf numFmtId="206" fontId="4" fillId="0" borderId="0" xfId="2" applyNumberFormat="1" applyFont="1" applyProtection="1"/>
    <xf numFmtId="0" fontId="72" fillId="38" borderId="2" xfId="0" applyNumberFormat="1" applyFont="1" applyFill="1" applyBorder="1" applyAlignment="1" applyProtection="1">
      <alignment horizontal="center"/>
    </xf>
  </cellXfs>
  <cellStyles count="266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 9" xfId="264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1" xfId="265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5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DAEEF3"/>
      <color rgb="FF006100"/>
      <color rgb="FFC6EFCE"/>
      <color rgb="FF9C0006"/>
      <color rgb="FFFFFF99"/>
      <color rgb="FFFFFFCC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9"/>
  <sheetViews>
    <sheetView showGridLines="0" workbookViewId="0">
      <selection activeCell="A38" sqref="A38:XFD39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207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62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60</v>
      </c>
      <c r="D7" s="7" t="s">
        <v>61</v>
      </c>
    </row>
    <row r="8" spans="1:47">
      <c r="C8" s="19" t="s">
        <v>35</v>
      </c>
      <c r="D8" s="7" t="s">
        <v>95</v>
      </c>
    </row>
    <row r="9" spans="1:47">
      <c r="C9" s="19" t="s">
        <v>56</v>
      </c>
      <c r="D9" s="7" t="s">
        <v>57</v>
      </c>
    </row>
    <row r="10" spans="1:47">
      <c r="C10" s="19" t="s">
        <v>197</v>
      </c>
      <c r="D10" s="7" t="s">
        <v>184</v>
      </c>
    </row>
    <row r="11" spans="1:47">
      <c r="C11" s="19" t="s">
        <v>59</v>
      </c>
      <c r="D11" s="7" t="s">
        <v>50</v>
      </c>
    </row>
    <row r="12" spans="1:47">
      <c r="C12" s="19" t="s">
        <v>198</v>
      </c>
      <c r="D12" s="7" t="s">
        <v>185</v>
      </c>
    </row>
    <row r="13" spans="1:47">
      <c r="C13" s="19" t="s">
        <v>199</v>
      </c>
      <c r="D13" s="7" t="s">
        <v>186</v>
      </c>
    </row>
    <row r="14" spans="1:47">
      <c r="C14" s="19" t="s">
        <v>52</v>
      </c>
      <c r="D14" s="7" t="s">
        <v>58</v>
      </c>
    </row>
    <row r="15" spans="1:47">
      <c r="C15" s="19" t="s">
        <v>25</v>
      </c>
      <c r="D15" s="7" t="s">
        <v>51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  <row r="35" hidden="1"/>
    <row r="36" hidden="1"/>
    <row r="37" hidden="1"/>
    <row r="38" hidden="1"/>
    <row r="39" hidden="1"/>
  </sheetData>
  <hyperlinks>
    <hyperlink ref="C12" location="'Calc|Opex forecast'!A1" display="Calc | Opex Forecast_final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_final"/>
    <hyperlink ref="C11" location="'Input|Step changes'!A1" display="Input | Step changes"/>
    <hyperlink ref="C8" location="'Input|Inflation'!A1" display="Input | Inflation"/>
    <hyperlink ref="C13" location="'Output|Models'!A1" display="Output | Models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9"/>
  <sheetViews>
    <sheetView showGridLines="0" zoomScaleNormal="100" workbookViewId="0">
      <selection activeCell="D12" sqref="D12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IF(COUNTA($S$5:$S$17)=COUNTIF($S5:$S18,"OK"),"OK","Check")</f>
        <v>OK</v>
      </c>
      <c r="U1" s="185" t="s">
        <v>24</v>
      </c>
      <c r="V1" s="76" t="str">
        <f>'Check|List'!$S$1</f>
        <v>Check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92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93</v>
      </c>
      <c r="D6" s="32" t="s">
        <v>7</v>
      </c>
      <c r="E6" s="32"/>
      <c r="F6" s="33"/>
      <c r="G6" s="33" t="s">
        <v>66</v>
      </c>
      <c r="H6" s="33"/>
      <c r="I6" s="29"/>
    </row>
    <row r="7" spans="1:47">
      <c r="C7" s="29" t="s">
        <v>63</v>
      </c>
      <c r="D7" s="30" t="s">
        <v>67</v>
      </c>
      <c r="E7" s="29"/>
      <c r="F7" s="29"/>
      <c r="G7" s="52" t="s">
        <v>208</v>
      </c>
      <c r="H7" s="29"/>
      <c r="I7" s="29"/>
      <c r="S7" s="131" t="str">
        <f>IF(COUNTBLANK($G7),"Check","Ok")</f>
        <v>Ok</v>
      </c>
    </row>
    <row r="8" spans="1:47">
      <c r="C8" s="29" t="s">
        <v>136</v>
      </c>
      <c r="D8" s="30" t="s">
        <v>68</v>
      </c>
      <c r="E8" s="29"/>
      <c r="F8" s="29"/>
      <c r="G8" s="52" t="s">
        <v>137</v>
      </c>
      <c r="H8" s="29"/>
      <c r="I8" s="29"/>
      <c r="S8" s="131" t="str">
        <f>IF(COUNTBLANK($G8),"Check","Ok")</f>
        <v>Ok</v>
      </c>
    </row>
    <row r="9" spans="1:47">
      <c r="C9" s="29" t="s">
        <v>193</v>
      </c>
      <c r="D9" s="30" t="s">
        <v>67</v>
      </c>
      <c r="E9" s="29"/>
      <c r="F9" s="29"/>
      <c r="G9" s="151">
        <v>36861</v>
      </c>
      <c r="H9" s="29"/>
      <c r="I9" s="29"/>
      <c r="S9" s="131" t="str">
        <f>IF(COUNTBLANK($G9),"Check","Ok")</f>
        <v>Ok</v>
      </c>
    </row>
    <row r="10" spans="1:47">
      <c r="C10" s="29" t="s">
        <v>194</v>
      </c>
      <c r="D10" s="30" t="s">
        <v>67</v>
      </c>
      <c r="E10" s="29"/>
      <c r="F10" s="29"/>
      <c r="G10" s="151">
        <v>36678</v>
      </c>
      <c r="H10" s="29"/>
      <c r="I10" s="29"/>
      <c r="S10" s="131" t="str">
        <f>IF(COUNTBLANK($G10),"Check","Ok")</f>
        <v>Ok</v>
      </c>
    </row>
    <row r="11" spans="1:47">
      <c r="C11" s="29" t="s">
        <v>195</v>
      </c>
      <c r="D11" s="30" t="s">
        <v>67</v>
      </c>
      <c r="E11" s="29"/>
      <c r="F11" s="29"/>
      <c r="G11" s="152">
        <v>2016</v>
      </c>
      <c r="H11" s="29"/>
      <c r="I11" s="29"/>
      <c r="S11" s="131" t="str">
        <f>IF(COUNTBLANK($G11),"Check","Ok")</f>
        <v>Ok</v>
      </c>
    </row>
    <row r="12" spans="1:47">
      <c r="C12" s="29" t="s">
        <v>70</v>
      </c>
      <c r="D12" s="30" t="s">
        <v>67</v>
      </c>
      <c r="E12" s="29"/>
      <c r="F12" s="29"/>
      <c r="G12" s="152">
        <v>2018</v>
      </c>
      <c r="H12" s="29"/>
      <c r="I12" s="29"/>
      <c r="S12" s="131" t="str">
        <f t="shared" ref="S12:S16" si="0">IF(COUNTBLANK($G12),"Check","Ok")</f>
        <v>Ok</v>
      </c>
    </row>
    <row r="13" spans="1:47">
      <c r="C13" s="29" t="s">
        <v>151</v>
      </c>
      <c r="D13" s="30" t="s">
        <v>67</v>
      </c>
      <c r="E13" s="29"/>
      <c r="F13" s="29"/>
      <c r="G13" s="152">
        <v>2020</v>
      </c>
      <c r="H13" s="29"/>
      <c r="I13" s="29"/>
      <c r="S13" s="131" t="str">
        <f t="shared" si="0"/>
        <v>Ok</v>
      </c>
    </row>
    <row r="14" spans="1:47">
      <c r="C14" s="29" t="s">
        <v>196</v>
      </c>
      <c r="D14" s="30" t="s">
        <v>67</v>
      </c>
      <c r="E14" s="29"/>
      <c r="F14" s="29"/>
      <c r="G14" s="152">
        <v>2021</v>
      </c>
      <c r="H14" s="29"/>
      <c r="I14" s="29"/>
      <c r="S14" s="131" t="str">
        <f>IF(COUNTBLANK($G14),"Check","Ok")</f>
        <v>Ok</v>
      </c>
    </row>
    <row r="15" spans="1:47">
      <c r="C15" s="29" t="s">
        <v>64</v>
      </c>
      <c r="D15" s="30" t="s">
        <v>67</v>
      </c>
      <c r="E15" s="29"/>
      <c r="F15" s="29"/>
      <c r="G15" s="152">
        <v>2022</v>
      </c>
      <c r="H15" s="29"/>
      <c r="I15" s="29"/>
      <c r="S15" s="131" t="str">
        <f t="shared" si="0"/>
        <v>Ok</v>
      </c>
    </row>
    <row r="16" spans="1:47">
      <c r="C16" s="29" t="s">
        <v>65</v>
      </c>
      <c r="D16" s="30" t="s">
        <v>67</v>
      </c>
      <c r="E16" s="29"/>
      <c r="F16" s="29"/>
      <c r="G16" s="152">
        <v>2026</v>
      </c>
      <c r="H16" s="29"/>
      <c r="I16" s="29"/>
      <c r="S16" s="131" t="str">
        <f t="shared" si="0"/>
        <v>Ok</v>
      </c>
    </row>
    <row r="17" spans="1:47">
      <c r="D17" s="29"/>
      <c r="E17" s="29"/>
      <c r="F17" s="29"/>
      <c r="G17" s="29"/>
      <c r="H17" s="29"/>
      <c r="I17" s="29"/>
    </row>
    <row r="18" spans="1:47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  <c r="X18" s="99"/>
      <c r="Y18" s="99"/>
      <c r="Z18" s="99"/>
      <c r="AA18" s="99"/>
      <c r="AB18" s="100"/>
      <c r="AC18" s="101"/>
      <c r="AD18" s="101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 hidden="1">
      <c r="G28" s="32"/>
      <c r="H28" s="32"/>
    </row>
    <row r="29" spans="1:47" hidden="1"/>
  </sheetData>
  <dataConsolidate/>
  <conditionalFormatting sqref="W16:W17">
    <cfRule type="cellIs" dxfId="250" priority="13" operator="equal">
      <formula>"Check"</formula>
    </cfRule>
    <cfRule type="cellIs" dxfId="249" priority="14" operator="equal">
      <formula>"Ok"</formula>
    </cfRule>
  </conditionalFormatting>
  <conditionalFormatting sqref="V1">
    <cfRule type="cellIs" dxfId="248" priority="3" operator="equal">
      <formula>"Check"</formula>
    </cfRule>
    <cfRule type="cellIs" dxfId="247" priority="4" operator="equal">
      <formula>"Ok"</formula>
    </cfRule>
  </conditionalFormatting>
  <conditionalFormatting sqref="S7:S16">
    <cfRule type="cellIs" dxfId="246" priority="5" operator="equal">
      <formula>"Check"</formula>
    </cfRule>
    <cfRule type="cellIs" dxfId="245" priority="6" operator="equal">
      <formula>"Ok"</formula>
    </cfRule>
  </conditionalFormatting>
  <conditionalFormatting sqref="S1">
    <cfRule type="cellIs" dxfId="244" priority="1" operator="equal">
      <formula>"Check"</formula>
    </cfRule>
    <cfRule type="cellIs" dxfId="243" priority="2" operator="equal">
      <formula>"Ok"</formula>
    </cfRule>
  </conditionalFormatting>
  <dataValidations count="4">
    <dataValidation type="list" allowBlank="1" showInputMessage="1" showErrorMessage="1" sqref="F13:F15">
      <formula1>#REF!</formula1>
    </dataValidation>
    <dataValidation type="list" allowBlank="1" showInputMessage="1" showErrorMessage="1" sqref="G8">
      <formula1>"draft,final"</formula1>
    </dataValidation>
    <dataValidation type="list" allowBlank="1" showInputMessage="1" showErrorMessage="1" sqref="F16:F17">
      <formula1>"Real 2010,Real 2011,Real 2012,Real 2013,Real 2014,Real 2015,Nominal"</formula1>
    </dataValidation>
    <dataValidation type="list" allowBlank="1" showInputMessage="1" showErrorMessage="1" sqref="I13:I17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'Lookup|Tables'!$G$25:$G$36</xm:f>
          </x14:formula1>
          <xm:sqref>G9:G10</xm:sqref>
        </x14:dataValidation>
        <x14:dataValidation type="list" allowBlank="1" showInputMessage="1" showErrorMessage="1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102"/>
  <sheetViews>
    <sheetView showGridLines="0" workbookViewId="0">
      <selection activeCell="C1" sqref="C1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IF(COUNTA($T$5:$T$85)=COUNTIF($T5:$T86,"OK"),"OK","Check")</f>
        <v>OK</v>
      </c>
      <c r="V1" s="185" t="s">
        <v>24</v>
      </c>
      <c r="W1" s="76" t="str">
        <f>'Check|List'!$S$1</f>
        <v>Check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92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96</v>
      </c>
      <c r="E6" s="62" t="s">
        <v>134</v>
      </c>
      <c r="F6" s="62" t="s">
        <v>96</v>
      </c>
      <c r="G6" s="62" t="s">
        <v>134</v>
      </c>
      <c r="H6" s="62"/>
      <c r="I6" s="29"/>
      <c r="J6" s="29"/>
    </row>
    <row r="7" spans="1:48">
      <c r="C7" s="67" t="s">
        <v>7</v>
      </c>
      <c r="D7" s="66" t="s">
        <v>94</v>
      </c>
      <c r="E7" s="66" t="s">
        <v>30</v>
      </c>
      <c r="F7" s="66" t="s">
        <v>94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82</v>
      </c>
      <c r="E8" s="66" t="s">
        <v>16</v>
      </c>
      <c r="F8" s="66" t="s">
        <v>82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IF(C9&gt;EOMONTH(DATE('Input|General'!$G$13,MONTH('Input|General'!$G$9),1),0),"Ok",IF(ISBLANK($D9),"Check","Ok"))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IF(C10&gt;EOMONTH(DATE('Input|General'!$G$13,MONTH('Input|General'!$G$9),1),0),"Ok",IF(ISBLANK($D10),"Check","Ok"))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IF(C11&gt;EOMONTH(DATE('Input|General'!$G$13,MONTH('Input|General'!$G$9),1),0),"Ok",IF(ISBLANK($D11),"Check","Ok"))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IF(C12&gt;EOMONTH(DATE('Input|General'!$G$13,MONTH('Input|General'!$G$9),1),0),"Ok",IF(ISBLANK($D12),"Check","Ok"))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IF(C13&gt;EOMONTH(DATE('Input|General'!$G$13,MONTH('Input|General'!$G$9),1),0),"Ok",IF(ISBLANK($D13),"Check","Ok"))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IF(C14&gt;EOMONTH(DATE('Input|General'!$G$13,MONTH('Input|General'!$G$9),1),0),"Ok",IF(ISBLANK($D14),"Check","Ok"))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IF(C15&gt;EOMONTH(DATE('Input|General'!$G$13,MONTH('Input|General'!$G$9),1),0),"Ok",IF(ISBLANK($D15),"Check","Ok"))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IF(C16&gt;EOMONTH(DATE('Input|General'!$G$13,MONTH('Input|General'!$G$9),1),0),"Ok",IF(ISBLANK($D16),"Check","Ok"))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IF(C17&gt;EOMONTH(DATE('Input|General'!$G$13,MONTH('Input|General'!$G$9),1),0),"Ok",IF(ISBLANK($D17),"Check","Ok"))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IF(C18&gt;EOMONTH(DATE('Input|General'!$G$13,MONTH('Input|General'!$G$9),1),0),"Ok",IF(ISBLANK($D18),"Check","Ok"))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IF(C19&gt;EOMONTH(DATE('Input|General'!$G$13,MONTH('Input|General'!$G$9),1),0),"Ok",IF(ISBLANK($D19),"Check","Ok"))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IF(C20&gt;EOMONTH(DATE('Input|General'!$G$13,MONTH('Input|General'!$G$9),1),0),"Ok",IF(ISBLANK($D20),"Check","Ok"))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6"/>
      <c r="I21" s="29"/>
      <c r="J21" s="29"/>
      <c r="T21" s="131" t="str">
        <f>IF(C21&gt;EOMONTH(DATE('Input|General'!$G$13,MONTH('Input|General'!$G$9),1),0),"Ok",IF(ISBLANK($F21),"Check","Ok"))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6"/>
      <c r="I22" s="29"/>
      <c r="J22" s="29"/>
      <c r="T22" s="131" t="str">
        <f>IF(C22&gt;EOMONTH(DATE('Input|General'!$G$13,MONTH('Input|General'!$G$9),1),0),"Ok",IF(ISBLANK($F22),"Check","Ok"))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6"/>
      <c r="I23" s="29"/>
      <c r="J23" s="29"/>
      <c r="T23" s="131" t="str">
        <f>IF(C23&gt;EOMONTH(DATE('Input|General'!$G$13,MONTH('Input|General'!$G$9),1),0),"Ok",IF(ISBLANK($F23),"Check","Ok"))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6"/>
      <c r="I24" s="29"/>
      <c r="J24" s="29"/>
      <c r="T24" s="131" t="str">
        <f>IF(C24&gt;EOMONTH(DATE('Input|General'!$G$13,MONTH('Input|General'!$G$9),1),0),"Ok",IF(ISBLANK($F24),"Check","Ok"))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6"/>
      <c r="I25" s="29"/>
      <c r="J25" s="29"/>
      <c r="T25" s="131" t="str">
        <f>IF(C25&gt;EOMONTH(DATE('Input|General'!$G$13,MONTH('Input|General'!$G$9),1),0),"Ok",IF(ISBLANK($F25),"Check","Ok"))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8" si="1">IF(ISBLANK(F26),"",F26/F22-1)</f>
        <v>3.5490605427975108E-2</v>
      </c>
      <c r="H26" s="186"/>
      <c r="I26" s="29"/>
      <c r="J26" s="29"/>
      <c r="T26" s="131" t="str">
        <f>IF(C26&gt;EOMONTH(DATE('Input|General'!$G$13,MONTH('Input|General'!$G$9),1),0),"Ok",IF(ISBLANK($F26),"Check","Ok"))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6"/>
      <c r="I27" s="29"/>
      <c r="J27" s="29"/>
      <c r="T27" s="131" t="str">
        <f>IF(C27&gt;EOMONTH(DATE('Input|General'!$G$13,MONTH('Input|General'!$G$9),1),0),"Ok",IF(ISBLANK($F27),"Check","Ok"))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6"/>
      <c r="I28" s="29"/>
      <c r="J28" s="29"/>
      <c r="T28" s="131" t="str">
        <f>IF(C28&gt;EOMONTH(DATE('Input|General'!$G$13,MONTH('Input|General'!$G$9),1),0),"Ok",IF(ISBLANK($F28),"Check","Ok"))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6"/>
      <c r="I29" s="29"/>
      <c r="J29" s="29"/>
      <c r="T29" s="131" t="str">
        <f>IF(C29&gt;EOMONTH(DATE('Input|General'!$G$13,MONTH('Input|General'!$G$9),1),0),"Ok",IF(ISBLANK($F29),"Check","Ok"))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6"/>
      <c r="I30" s="29"/>
      <c r="J30" s="29"/>
      <c r="T30" s="131" t="str">
        <f>IF(C30&gt;EOMONTH(DATE('Input|General'!$G$13,MONTH('Input|General'!$G$9),1),0),"Ok",IF(ISBLANK($F30),"Check","Ok"))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6"/>
      <c r="I31" s="29"/>
      <c r="J31" s="29"/>
      <c r="T31" s="131" t="str">
        <f>IF(C31&gt;EOMONTH(DATE('Input|General'!$G$13,MONTH('Input|General'!$G$9),1),0),"Ok",IF(ISBLANK($F31),"Check","Ok"))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6"/>
      <c r="I32" s="29"/>
      <c r="J32" s="29"/>
      <c r="T32" s="131" t="str">
        <f>IF(C32&gt;EOMONTH(DATE('Input|General'!$G$13,MONTH('Input|General'!$G$9),1),0),"Ok",IF(ISBLANK($F32),"Check","Ok"))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6"/>
      <c r="I33" s="29"/>
      <c r="J33" s="29"/>
      <c r="T33" s="131" t="str">
        <f>IF(C33&gt;EOMONTH(DATE('Input|General'!$G$13,MONTH('Input|General'!$G$9),1),0),"Ok",IF(ISBLANK($F33),"Check","Ok"))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6"/>
      <c r="I34" s="29"/>
      <c r="J34" s="29"/>
      <c r="T34" s="131" t="str">
        <f>IF(C34&gt;EOMONTH(DATE('Input|General'!$G$13,MONTH('Input|General'!$G$9),1),0),"Ok",IF(ISBLANK($F34),"Check","Ok"))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6"/>
      <c r="I35" s="29"/>
      <c r="J35" s="29"/>
      <c r="T35" s="131" t="str">
        <f>IF(C35&gt;EOMONTH(DATE('Input|General'!$G$13,MONTH('Input|General'!$G$9),1),0),"Ok",IF(ISBLANK($F35),"Check","Ok"))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6"/>
      <c r="I36" s="29"/>
      <c r="J36" s="29"/>
      <c r="T36" s="131" t="str">
        <f>IF(C36&gt;EOMONTH(DATE('Input|General'!$G$13,MONTH('Input|General'!$G$9),1),0),"Ok",IF(ISBLANK($F36),"Check","Ok"))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6"/>
      <c r="I37" s="29"/>
      <c r="J37" s="29"/>
      <c r="T37" s="131" t="str">
        <f>IF(C37&gt;EOMONTH(DATE('Input|General'!$G$13,MONTH('Input|General'!$G$9),1),0),"Ok",IF(ISBLANK($F37),"Check","Ok"))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6"/>
      <c r="I38" s="29"/>
      <c r="J38" s="29"/>
      <c r="T38" s="131" t="str">
        <f>IF(C38&gt;EOMONTH(DATE('Input|General'!$G$13,MONTH('Input|General'!$G$9),1),0),"Ok",IF(ISBLANK($F38),"Check","Ok"))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6"/>
      <c r="I39" s="29"/>
      <c r="J39" s="29"/>
      <c r="T39" s="131" t="str">
        <f>IF(C39&gt;EOMONTH(DATE('Input|General'!$G$13,MONTH('Input|General'!$G$9),1),0),"Ok",IF(ISBLANK($F39),"Check","Ok"))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6"/>
      <c r="I40" s="29"/>
      <c r="J40" s="29"/>
      <c r="T40" s="131" t="str">
        <f>IF(C40&gt;EOMONTH(DATE('Input|General'!$G$13,MONTH('Input|General'!$G$9),1),0),"Ok",IF(ISBLANK($F40),"Check","Ok"))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6"/>
      <c r="I41" s="29"/>
      <c r="J41" s="29"/>
      <c r="T41" s="131" t="str">
        <f>IF(C41&gt;EOMONTH(DATE('Input|General'!$G$13,MONTH('Input|General'!$G$9),1),0),"Ok",IF(ISBLANK($F41),"Check","Ok"))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6"/>
      <c r="I42" s="29"/>
      <c r="J42" s="29"/>
      <c r="T42" s="131" t="str">
        <f>IF(C42&gt;EOMONTH(DATE('Input|General'!$G$13,MONTH('Input|General'!$G$9),1),0),"Ok",IF(ISBLANK($F42),"Check","Ok"))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6"/>
      <c r="I43" s="29"/>
      <c r="J43" s="29"/>
      <c r="T43" s="131" t="str">
        <f>IF(C43&gt;EOMONTH(DATE('Input|General'!$G$13,MONTH('Input|General'!$G$9),1),0),"Ok",IF(ISBLANK($F43),"Check","Ok"))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6"/>
      <c r="I44" s="29"/>
      <c r="J44" s="29"/>
      <c r="T44" s="131" t="str">
        <f>IF(C44&gt;EOMONTH(DATE('Input|General'!$G$13,MONTH('Input|General'!$G$9),1),0),"Ok",IF(ISBLANK($F44),"Check","Ok"))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6"/>
      <c r="I45" s="29"/>
      <c r="J45" s="29"/>
      <c r="T45" s="131" t="str">
        <f>IF(C45&gt;EOMONTH(DATE('Input|General'!$G$13,MONTH('Input|General'!$G$9),1),0),"Ok",IF(ISBLANK($F45),"Check","Ok"))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6"/>
      <c r="I46" s="29"/>
      <c r="J46" s="29"/>
      <c r="T46" s="131" t="str">
        <f>IF(C46&gt;EOMONTH(DATE('Input|General'!$G$13,MONTH('Input|General'!$G$9),1),0),"Ok",IF(ISBLANK($F46),"Check","Ok"))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6"/>
      <c r="I47" s="29"/>
      <c r="J47" s="29"/>
      <c r="T47" s="131" t="str">
        <f>IF(C47&gt;EOMONTH(DATE('Input|General'!$G$13,MONTH('Input|General'!$G$9),1),0),"Ok",IF(ISBLANK($F47),"Check","Ok"))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6"/>
      <c r="I48" s="29"/>
      <c r="J48" s="29"/>
      <c r="T48" s="131" t="str">
        <f>IF(C48&gt;EOMONTH(DATE('Input|General'!$G$13,MONTH('Input|General'!$G$9),1),0),"Ok",IF(ISBLANK($F48),"Check","Ok"))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6"/>
      <c r="I49" s="29"/>
      <c r="J49" s="29"/>
      <c r="T49" s="131" t="str">
        <f>IF(C49&gt;EOMONTH(DATE('Input|General'!$G$13,MONTH('Input|General'!$G$9),1),0),"Ok",IF(ISBLANK($F49),"Check","Ok"))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7"/>
      <c r="I50" s="29"/>
      <c r="J50" s="29"/>
      <c r="T50" s="131" t="str">
        <f>IF(C50&gt;EOMONTH(DATE('Input|General'!$G$13,MONTH('Input|General'!$G$9),1),0),"Ok",IF(ISBLANK($F50),"Check","Ok"))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6"/>
      <c r="I51" s="29"/>
      <c r="J51" s="29"/>
      <c r="T51" s="131" t="str">
        <f>IF(C51&gt;EOMONTH(DATE('Input|General'!$G$13,MONTH('Input|General'!$G$9),1),0),"Ok",IF(ISBLANK($F51),"Check","Ok"))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6"/>
      <c r="I52" s="29"/>
      <c r="J52" s="29"/>
      <c r="T52" s="131" t="str">
        <f>IF(C52&gt;EOMONTH(DATE('Input|General'!$G$13,MONTH('Input|General'!$G$9),1),0),"Ok",IF(ISBLANK($F52),"Check","Ok"))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6"/>
      <c r="I53" s="29"/>
      <c r="J53" s="29"/>
      <c r="T53" s="131" t="str">
        <f>IF(C53&gt;EOMONTH(DATE('Input|General'!$G$13,MONTH('Input|General'!$G$9),1),0),"Ok",IF(ISBLANK($F53),"Check","Ok"))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6"/>
      <c r="I54" s="29"/>
      <c r="J54" s="29"/>
      <c r="T54" s="131" t="str">
        <f>IF(C54&gt;EOMONTH(DATE('Input|General'!$G$13,MONTH('Input|General'!$G$9),1),0),"Ok",IF(ISBLANK($F54),"Check","Ok"))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113.53087500000001</v>
      </c>
      <c r="G55" s="117">
        <f t="shared" si="1"/>
        <v>1.9128141831238787E-2</v>
      </c>
      <c r="H55" s="186"/>
      <c r="I55" s="29"/>
      <c r="J55" s="29"/>
      <c r="T55" s="131" t="str">
        <f>IF(C55&gt;EOMONTH(DATE('Input|General'!$G$13,MONTH('Input|General'!$G$9),1),0),"Ok",IF(ISBLANK($F55),"Check","Ok"))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6"/>
      <c r="I56" s="29"/>
      <c r="J56" s="29"/>
      <c r="T56" s="131" t="str">
        <f>IF(C56&gt;EOMONTH(DATE('Input|General'!$G$13,MONTH('Input|General'!$G$9),1),0),"Ok",IF(ISBLANK($F56),"Check","Ok"))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6"/>
      <c r="I57" s="29"/>
      <c r="J57" s="29"/>
      <c r="T57" s="131" t="str">
        <f>IF(C57&gt;EOMONTH(DATE('Input|General'!$G$13,MONTH('Input|General'!$G$9),1),0),"Ok",IF(ISBLANK($F57),"Check","Ok"))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6"/>
      <c r="I58" s="29"/>
      <c r="J58" s="29"/>
      <c r="T58" s="131" t="str">
        <f>IF(C58&gt;EOMONTH(DATE('Input|General'!$G$13,MONTH('Input|General'!$G$9),1),0),"Ok",IF(ISBLANK($F58),"Check","Ok"))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1.6463583144232796E-2</v>
      </c>
      <c r="H59" s="186"/>
      <c r="I59" s="29"/>
      <c r="J59" s="29"/>
      <c r="T59" s="131" t="str">
        <f>IF(C59&gt;EOMONTH(DATE('Input|General'!$G$13,MONTH('Input|General'!$G$9),1),0),"Ok",IF(ISBLANK($F59),"Check","Ok"))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6"/>
      <c r="I60" s="29"/>
      <c r="J60" s="29"/>
      <c r="T60" s="131" t="str">
        <f>IF(C60&gt;EOMONTH(DATE('Input|General'!$G$13,MONTH('Input|General'!$G$9),1),0),"Ok",IF(ISBLANK($F60),"Check","Ok"))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6"/>
      <c r="I61" s="29"/>
      <c r="J61" s="29"/>
      <c r="T61" s="131" t="str">
        <f>IF(C61&gt;EOMONTH(DATE('Input|General'!$G$13,MONTH('Input|General'!$G$9),1),0),"Ok",IF(ISBLANK($F61),"Check","Ok"))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6"/>
      <c r="I62" s="29"/>
      <c r="J62" s="29"/>
      <c r="T62" s="131" t="str">
        <f>IF(C62&gt;EOMONTH(DATE('Input|General'!$G$13,MONTH('Input|General'!$G$9),1),0),"Ok",IF(ISBLANK($F62),"Check","Ok"))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f>AVERAGE(F62,F64)</f>
        <v>116.02625</v>
      </c>
      <c r="G63" s="117">
        <f t="shared" si="1"/>
        <v>5.4267764298092658E-3</v>
      </c>
      <c r="H63" s="186"/>
      <c r="I63" s="29"/>
      <c r="J63" s="29"/>
      <c r="T63" s="131" t="str">
        <f>IF(C63&gt;EOMONTH(DATE('Input|General'!$G$13,MONTH('Input|General'!$G$9),1),0),"Ok",IF(ISBLANK($F63),"Check","Ok"))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f>(F60*(1+1.25%))</f>
        <v>117.6525</v>
      </c>
      <c r="G64" s="117">
        <f t="shared" si="1"/>
        <v>1.2499999999999956E-2</v>
      </c>
      <c r="H64" s="186"/>
      <c r="I64" s="29"/>
      <c r="J64" s="29"/>
      <c r="T64" s="131" t="str">
        <f>IF(C64&gt;EOMONTH(DATE('Input|General'!$G$13,MONTH('Input|General'!$G$9),1),0),"Ok",IF(ISBLANK($F64),"Check","Ok"))</f>
        <v>Ok</v>
      </c>
    </row>
    <row r="65" spans="3:20" ht="12" thickBot="1">
      <c r="C65" s="64">
        <v>44286</v>
      </c>
      <c r="D65" s="29"/>
      <c r="E65" s="29"/>
      <c r="F65" s="63">
        <f>AVERAGE(F64,F66)</f>
        <v>117.74225000000001</v>
      </c>
      <c r="G65" s="117">
        <f t="shared" si="1"/>
        <v>9.7963121783877227E-3</v>
      </c>
      <c r="H65" s="186"/>
      <c r="I65" s="29"/>
      <c r="J65" s="29"/>
      <c r="T65" s="131" t="str">
        <f>IF(C65&gt;EOMONTH(DATE('Input|General'!$G$13,MONTH('Input|General'!$G$9),1),0),"Ok",IF(ISBLANK($F65),"Check","Ok"))</f>
        <v>Ok</v>
      </c>
    </row>
    <row r="66" spans="3:20" ht="12" thickBot="1">
      <c r="C66" s="64">
        <v>44377</v>
      </c>
      <c r="D66" s="29"/>
      <c r="E66" s="29"/>
      <c r="F66" s="219">
        <f>F62*(1+3%)</f>
        <v>117.83200000000001</v>
      </c>
      <c r="G66" s="220">
        <f>IF(ISBLANK(F66),"",F66/F64-1)</f>
        <v>1.5256794373259552E-3</v>
      </c>
      <c r="H66" s="186"/>
      <c r="I66" s="29"/>
      <c r="J66" s="29"/>
      <c r="T66" s="131" t="str">
        <f>IF(C66&gt;EOMONTH(DATE('Input|General'!$G$13,MONTH('Input|General'!$G$9),1),0),"Ok",IF(ISBLANK($F66),"Check","Ok"))</f>
        <v>Ok</v>
      </c>
    </row>
    <row r="67" spans="3:20">
      <c r="C67" s="64">
        <v>44469</v>
      </c>
      <c r="D67" s="29"/>
      <c r="E67" s="29"/>
      <c r="F67" s="63">
        <f>AVERAGE(F66,F68)</f>
        <v>118.3305125</v>
      </c>
      <c r="G67" s="117">
        <f t="shared" si="1"/>
        <v>1.9859837752232767E-2</v>
      </c>
      <c r="H67" s="186"/>
      <c r="I67" s="29"/>
      <c r="J67" s="29"/>
      <c r="T67" s="131" t="str">
        <f>IF(C67&gt;EOMONTH(DATE('Input|General'!$G$13,MONTH('Input|General'!$G$9),1),0),"Ok",IF(ISBLANK($F67),"Check","Ok"))</f>
        <v>Ok</v>
      </c>
    </row>
    <row r="68" spans="3:20">
      <c r="C68" s="64">
        <v>44561</v>
      </c>
      <c r="D68" s="29"/>
      <c r="E68" s="29"/>
      <c r="F68" s="63">
        <f>F64*(1+1%)</f>
        <v>118.829025</v>
      </c>
      <c r="G68" s="117">
        <f t="shared" si="1"/>
        <v>1.0000000000000009E-2</v>
      </c>
      <c r="H68" s="186"/>
      <c r="I68" s="29"/>
      <c r="J68" s="29"/>
      <c r="T68" s="131" t="str">
        <f>IF(C68&gt;EOMONTH(DATE('Input|General'!$G$13,MONTH('Input|General'!$G$9),1),0),"Ok",IF(ISBLANK($F68),"Check","Ok"))</f>
        <v>Ok</v>
      </c>
    </row>
    <row r="69" spans="3:20">
      <c r="C69" s="64">
        <v>44651</v>
      </c>
      <c r="D69" s="29"/>
      <c r="E69" s="29"/>
      <c r="F69" s="63"/>
      <c r="G69" s="117" t="str">
        <f t="shared" ref="G69:G84" si="2">IF(ISBLANK(F69),"",F69/F65-1)</f>
        <v/>
      </c>
      <c r="H69" s="186"/>
      <c r="I69" s="29"/>
      <c r="J69" s="29"/>
      <c r="T69" s="131" t="str">
        <f>IF(C69&gt;EOMONTH(DATE('Input|General'!$G$13,MONTH('Input|General'!$G$9),1),0),"Ok",IF(ISBLANK($F69),"Check","Ok"))</f>
        <v>Ok</v>
      </c>
    </row>
    <row r="70" spans="3:20">
      <c r="C70" s="64">
        <v>44742</v>
      </c>
      <c r="D70" s="29"/>
      <c r="E70" s="29"/>
      <c r="F70" s="63"/>
      <c r="G70" s="117" t="str">
        <f t="shared" si="2"/>
        <v/>
      </c>
      <c r="H70" s="186"/>
      <c r="I70" s="29"/>
      <c r="J70" s="29"/>
      <c r="T70" s="131" t="str">
        <f>IF(C70&gt;EOMONTH(DATE('Input|General'!$G$13,MONTH('Input|General'!$G$9),1),0),"Ok",IF(ISBLANK($F70),"Check","Ok"))</f>
        <v>Ok</v>
      </c>
    </row>
    <row r="71" spans="3:20">
      <c r="C71" s="64">
        <v>44834</v>
      </c>
      <c r="D71" s="29"/>
      <c r="E71" s="29"/>
      <c r="F71" s="63"/>
      <c r="G71" s="117" t="str">
        <f t="shared" si="2"/>
        <v/>
      </c>
      <c r="H71" s="186"/>
      <c r="I71" s="29"/>
      <c r="J71" s="29"/>
      <c r="T71" s="131" t="str">
        <f>IF(C71&gt;EOMONTH(DATE('Input|General'!$G$13,MONTH('Input|General'!$G$9),1),0),"Ok",IF(ISBLANK($F71),"Check","Ok"))</f>
        <v>Ok</v>
      </c>
    </row>
    <row r="72" spans="3:20">
      <c r="C72" s="64">
        <v>44926</v>
      </c>
      <c r="D72" s="29"/>
      <c r="E72" s="29"/>
      <c r="F72" s="63"/>
      <c r="G72" s="117" t="str">
        <f t="shared" si="2"/>
        <v/>
      </c>
      <c r="H72" s="186"/>
      <c r="I72" s="29"/>
      <c r="J72" s="29"/>
      <c r="T72" s="131" t="str">
        <f>IF(C72&gt;EOMONTH(DATE('Input|General'!$G$13,MONTH('Input|General'!$G$9),1),0),"Ok",IF(ISBLANK($F72),"Check","Ok"))</f>
        <v>Ok</v>
      </c>
    </row>
    <row r="73" spans="3:20">
      <c r="C73" s="64">
        <v>45016</v>
      </c>
      <c r="D73" s="29"/>
      <c r="E73" s="29"/>
      <c r="F73" s="63"/>
      <c r="G73" s="117" t="str">
        <f t="shared" si="2"/>
        <v/>
      </c>
      <c r="H73" s="186"/>
      <c r="I73" s="29"/>
      <c r="J73" s="29"/>
      <c r="T73" s="131" t="str">
        <f>IF(C73&gt;EOMONTH(DATE('Input|General'!$G$13,MONTH('Input|General'!$G$9),1),0),"Ok",IF(ISBLANK($F73),"Check","Ok"))</f>
        <v>Ok</v>
      </c>
    </row>
    <row r="74" spans="3:20">
      <c r="C74" s="64">
        <v>45107</v>
      </c>
      <c r="D74" s="29"/>
      <c r="E74" s="29"/>
      <c r="F74" s="63"/>
      <c r="G74" s="117" t="str">
        <f t="shared" si="2"/>
        <v/>
      </c>
      <c r="H74" s="186"/>
      <c r="I74" s="29"/>
      <c r="J74" s="29"/>
      <c r="T74" s="131" t="str">
        <f>IF(C74&gt;EOMONTH(DATE('Input|General'!$G$13,MONTH('Input|General'!$G$9),1),0),"Ok",IF(ISBLANK($F74),"Check","Ok"))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2"/>
        <v/>
      </c>
      <c r="H75" s="186"/>
      <c r="I75" s="29"/>
      <c r="J75" s="29"/>
      <c r="T75" s="131" t="str">
        <f>IF(C75&gt;EOMONTH(DATE('Input|General'!$G$13,MONTH('Input|General'!$G$9),1),0),"Ok",IF(ISBLANK($F75),"Check","Ok"))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2"/>
        <v/>
      </c>
      <c r="H76" s="186"/>
      <c r="I76" s="29"/>
      <c r="J76" s="29"/>
      <c r="T76" s="131" t="str">
        <f>IF(C76&gt;EOMONTH(DATE('Input|General'!$G$13,MONTH('Input|General'!$G$9),1),0),"Ok",IF(ISBLANK($F76),"Check","Ok"))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2"/>
        <v/>
      </c>
      <c r="H77" s="186"/>
      <c r="I77" s="29"/>
      <c r="J77" s="29"/>
      <c r="T77" s="131" t="str">
        <f>IF(C77&gt;EOMONTH(DATE('Input|General'!$G$13,MONTH('Input|General'!$G$9),1),0),"Ok",IF(ISBLANK($F77),"Check","Ok"))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2"/>
        <v/>
      </c>
      <c r="H78" s="186"/>
      <c r="I78" s="29"/>
      <c r="J78" s="29"/>
      <c r="T78" s="131" t="str">
        <f>IF(C78&gt;EOMONTH(DATE('Input|General'!$G$13,MONTH('Input|General'!$G$9),1),0),"Ok",IF(ISBLANK($F78),"Check","Ok"))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2"/>
        <v/>
      </c>
      <c r="H79" s="186"/>
      <c r="I79" s="29"/>
      <c r="J79" s="29"/>
      <c r="T79" s="131" t="str">
        <f>IF(C79&gt;EOMONTH(DATE('Input|General'!$G$13,MONTH('Input|General'!$G$9),1),0),"Ok",IF(ISBLANK($F79),"Check","Ok"))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2"/>
        <v/>
      </c>
      <c r="H80" s="186"/>
      <c r="I80" s="29"/>
      <c r="J80" s="29"/>
      <c r="T80" s="131" t="str">
        <f>IF(C80&gt;EOMONTH(DATE('Input|General'!$G$13,MONTH('Input|General'!$G$9),1),0),"Ok",IF(ISBLANK($F80),"Check","Ok"))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2"/>
        <v/>
      </c>
      <c r="H81" s="186"/>
      <c r="I81" s="29"/>
      <c r="J81" s="29"/>
      <c r="T81" s="131" t="str">
        <f>IF(C81&gt;EOMONTH(DATE('Input|General'!$G$13,MONTH('Input|General'!$G$9),1),0),"Ok",IF(ISBLANK($F81),"Check","Ok"))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2"/>
        <v/>
      </c>
      <c r="H82" s="186"/>
      <c r="I82" s="29"/>
      <c r="J82" s="29"/>
      <c r="T82" s="131" t="str">
        <f>IF(C82&gt;EOMONTH(DATE('Input|General'!$G$13,MONTH('Input|General'!$G$9),1),0),"Ok",IF(ISBLANK($F82),"Check","Ok"))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2"/>
        <v/>
      </c>
      <c r="H83" s="186"/>
      <c r="I83" s="29"/>
      <c r="J83" s="29"/>
      <c r="T83" s="131" t="str">
        <f>IF(C83&gt;EOMONTH(DATE('Input|General'!$G$13,MONTH('Input|General'!$G$9),1),0),"Ok",IF(ISBLANK($F83),"Check","Ok"))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2"/>
        <v/>
      </c>
      <c r="H84" s="186"/>
      <c r="I84" s="29"/>
      <c r="J84" s="29"/>
      <c r="T84" s="131" t="str">
        <f>IF(C84&gt;EOMONTH(DATE('Input|General'!$G$13,MONTH('Input|General'!$G$9),1),0),"Ok",IF(ISBLANK($F84),"Check","Ok"))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</sheetData>
  <conditionalFormatting sqref="X14:X50 T85 X63:X85">
    <cfRule type="cellIs" dxfId="242" priority="11" operator="equal">
      <formula>"Check"</formula>
    </cfRule>
    <cfRule type="cellIs" dxfId="241" priority="12" operator="equal">
      <formula>"Ok"</formula>
    </cfRule>
  </conditionalFormatting>
  <conditionalFormatting sqref="W1">
    <cfRule type="cellIs" dxfId="240" priority="7" operator="equal">
      <formula>"Check"</formula>
    </cfRule>
    <cfRule type="cellIs" dxfId="239" priority="8" operator="equal">
      <formula>"Ok"</formula>
    </cfRule>
  </conditionalFormatting>
  <conditionalFormatting sqref="T1">
    <cfRule type="cellIs" dxfId="238" priority="5" operator="equal">
      <formula>"Check"</formula>
    </cfRule>
    <cfRule type="cellIs" dxfId="237" priority="6" operator="equal">
      <formula>"Ok"</formula>
    </cfRule>
  </conditionalFormatting>
  <conditionalFormatting sqref="X51:X57">
    <cfRule type="cellIs" dxfId="236" priority="3" operator="equal">
      <formula>"Check"</formula>
    </cfRule>
    <cfRule type="cellIs" dxfId="235" priority="4" operator="equal">
      <formula>"Ok"</formula>
    </cfRule>
  </conditionalFormatting>
  <conditionalFormatting sqref="X58:X62 T9:T84">
    <cfRule type="cellIs" dxfId="234" priority="1" operator="equal">
      <formula>"Check"</formula>
    </cfRule>
    <cfRule type="cellIs" dxfId="233" priority="2" operator="equal">
      <formula>"Ok"</formula>
    </cfRule>
  </conditionalFormatting>
  <dataValidations disablePrompts="1" count="2">
    <dataValidation type="list" allowBlank="1" showInputMessage="1" showErrorMessage="1" sqref="G85">
      <formula1>"Real 2010,Real 2011,Real 2012,Real 2013,Real 2014,Real 2015,Nominal"</formula1>
    </dataValidation>
    <dataValidation type="list" allowBlank="1" showInputMessage="1" showErrorMessage="1" sqref="J12:J8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X95"/>
  <sheetViews>
    <sheetView tabSelected="1" topLeftCell="B1" zoomScale="115" zoomScaleNormal="115" workbookViewId="0">
      <selection activeCell="C1" sqref="C1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4" width="10.83203125" style="103" customWidth="1"/>
    <col min="25" max="16384" width="9.33203125" style="103" hidden="1"/>
  </cols>
  <sheetData>
    <row r="1" spans="1:24" ht="15.75">
      <c r="A1" s="69"/>
      <c r="B1" s="70"/>
      <c r="C1" s="70" t="str">
        <f>Index!$B$1</f>
        <v>AER opex model v1.9</v>
      </c>
      <c r="D1" s="70"/>
      <c r="E1" s="70"/>
      <c r="F1" s="71"/>
      <c r="G1" s="71"/>
      <c r="H1" s="71"/>
      <c r="I1" s="71"/>
      <c r="J1" s="215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81</v>
      </c>
      <c r="S1" s="76" t="str">
        <f>IF(COUNTA($X$29:$X$288)=COUNTIF($X$29:$X$288,"OK"),"OK","Check")</f>
        <v>OK</v>
      </c>
      <c r="T1" s="76"/>
      <c r="U1" s="69"/>
      <c r="V1" s="185" t="s">
        <v>24</v>
      </c>
      <c r="W1" s="76" t="str">
        <f>'Check|List'!$S$1</f>
        <v>Check</v>
      </c>
      <c r="X1" s="69"/>
    </row>
    <row r="2" spans="1:24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>
      <c r="A3" s="133"/>
      <c r="B3" s="133"/>
      <c r="C3" s="134"/>
      <c r="D3" s="135"/>
      <c r="E3" s="135"/>
      <c r="F3" s="135"/>
      <c r="G3" s="135"/>
      <c r="H3" s="135"/>
      <c r="I3" s="135"/>
      <c r="J3" s="155" t="s">
        <v>120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2.75">
      <c r="A8" s="94"/>
      <c r="B8" s="95" t="s">
        <v>203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>
      <c r="A10" s="29"/>
      <c r="B10" s="29"/>
      <c r="C10" s="67" t="s">
        <v>75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T10" si="0">IF(YEAR(J$4)&lt;=PPLastYear,J$4,"")</f>
        <v>42705</v>
      </c>
      <c r="K10" s="156">
        <f t="shared" si="0"/>
        <v>43070</v>
      </c>
      <c r="L10" s="156">
        <f t="shared" si="0"/>
        <v>43435</v>
      </c>
      <c r="M10" s="156">
        <f t="shared" si="0"/>
        <v>43800</v>
      </c>
      <c r="N10" s="156">
        <f t="shared" si="0"/>
        <v>44166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37" t="s">
        <v>53</v>
      </c>
      <c r="V10" s="138"/>
      <c r="W10" s="138"/>
      <c r="X10" s="29"/>
    </row>
    <row r="11" spans="1:24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150"/>
      <c r="P12" s="29"/>
      <c r="Q12" s="29"/>
      <c r="R12" s="29"/>
      <c r="S12" s="29"/>
      <c r="T12" s="29"/>
      <c r="U12" s="29"/>
      <c r="V12" s="29"/>
      <c r="W12" s="29"/>
      <c r="X12" s="29"/>
    </row>
    <row r="13" spans="1:24">
      <c r="A13" s="29"/>
      <c r="B13" s="29"/>
      <c r="C13" s="61" t="s">
        <v>72</v>
      </c>
      <c r="D13" s="30" t="s">
        <v>68</v>
      </c>
      <c r="E13" s="169" t="s">
        <v>15</v>
      </c>
      <c r="F13" s="169">
        <v>42339</v>
      </c>
      <c r="G13" s="32"/>
      <c r="H13" s="32"/>
      <c r="I13" s="30"/>
      <c r="J13" s="161">
        <v>225.08547496799454</v>
      </c>
      <c r="K13" s="161">
        <v>229.27205179208548</v>
      </c>
      <c r="L13" s="161">
        <v>234.81195269310936</v>
      </c>
      <c r="M13" s="161">
        <v>239.39972553975127</v>
      </c>
      <c r="N13" s="161">
        <v>244.94778767791999</v>
      </c>
      <c r="O13" s="150"/>
      <c r="P13" s="150"/>
      <c r="Q13" s="150"/>
      <c r="R13" s="150"/>
      <c r="S13" s="150"/>
      <c r="T13" s="150"/>
      <c r="U13" s="29"/>
      <c r="V13" s="29"/>
      <c r="W13" s="29"/>
      <c r="X13" s="29"/>
    </row>
    <row r="14" spans="1:24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>
      <c r="A15" s="29"/>
      <c r="B15" s="29"/>
      <c r="C15" s="139" t="s">
        <v>72</v>
      </c>
      <c r="D15" s="140" t="str">
        <f>D13</f>
        <v>AER</v>
      </c>
      <c r="E15" s="201" t="str">
        <f>E13</f>
        <v>$millions</v>
      </c>
      <c r="F15" s="201">
        <f>F13</f>
        <v>42339</v>
      </c>
      <c r="G15" s="32"/>
      <c r="H15" s="32"/>
      <c r="I15" s="30"/>
      <c r="J15" s="129">
        <f>J13</f>
        <v>225.08547496799454</v>
      </c>
      <c r="K15" s="129">
        <f t="shared" ref="K15:T15" si="1">K13</f>
        <v>229.27205179208548</v>
      </c>
      <c r="L15" s="129">
        <f t="shared" si="1"/>
        <v>234.81195269310936</v>
      </c>
      <c r="M15" s="129">
        <f t="shared" si="1"/>
        <v>239.39972553975127</v>
      </c>
      <c r="N15" s="129">
        <f t="shared" si="1"/>
        <v>244.94778767791999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>
        <f t="shared" si="1"/>
        <v>0</v>
      </c>
      <c r="U15" s="29"/>
      <c r="V15" s="29"/>
      <c r="W15" s="29"/>
      <c r="X15" s="29"/>
    </row>
    <row r="16" spans="1:24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>
      <c r="A17" s="29"/>
      <c r="B17" s="29"/>
      <c r="C17" s="67" t="s">
        <v>160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68</v>
      </c>
      <c r="E19" s="30" t="str">
        <f>$E$29</f>
        <v>$millions</v>
      </c>
      <c r="F19" s="158">
        <f t="shared" ref="F19:F27" si="2">$F$15</f>
        <v>42339</v>
      </c>
      <c r="G19" s="32"/>
      <c r="H19" s="32"/>
      <c r="I19" s="30"/>
      <c r="J19" s="161">
        <v>1.7456371682521112</v>
      </c>
      <c r="K19" s="161">
        <v>1.8263681574112083</v>
      </c>
      <c r="L19" s="161">
        <v>1.9490550282039449</v>
      </c>
      <c r="M19" s="161">
        <v>2.0522074583479255</v>
      </c>
      <c r="N19" s="161">
        <v>2.1657096335281971</v>
      </c>
      <c r="O19" s="150"/>
      <c r="P19" s="150"/>
      <c r="Q19" s="150"/>
      <c r="R19" s="150"/>
      <c r="S19" s="150"/>
      <c r="T19" s="150"/>
      <c r="U19" s="29"/>
      <c r="V19" s="29"/>
      <c r="W19" s="29"/>
      <c r="X19" s="29"/>
    </row>
    <row r="20" spans="1:24">
      <c r="A20" s="29"/>
      <c r="B20" s="29"/>
      <c r="C20" s="61" t="s">
        <v>209</v>
      </c>
      <c r="D20" s="30" t="s">
        <v>68</v>
      </c>
      <c r="E20" s="30" t="str">
        <f t="shared" ref="E20:E27" si="3">$E$15</f>
        <v>$millions</v>
      </c>
      <c r="F20" s="158">
        <f t="shared" si="2"/>
        <v>42339</v>
      </c>
      <c r="G20" s="32"/>
      <c r="H20" s="32"/>
      <c r="I20" s="30"/>
      <c r="J20" s="161">
        <v>8.3000000000000007</v>
      </c>
      <c r="K20" s="161">
        <v>8.3000000000000007</v>
      </c>
      <c r="L20" s="161">
        <v>8.3000000000000007</v>
      </c>
      <c r="M20" s="161">
        <v>8.3000000000000007</v>
      </c>
      <c r="N20" s="161">
        <v>8.3000000000000007</v>
      </c>
      <c r="O20" s="150"/>
      <c r="P20" s="150"/>
      <c r="Q20" s="150"/>
      <c r="R20" s="150"/>
      <c r="S20" s="150"/>
      <c r="T20" s="150"/>
      <c r="U20" s="29"/>
      <c r="V20" s="29"/>
      <c r="W20" s="29"/>
      <c r="X20" s="29"/>
    </row>
    <row r="21" spans="1:24">
      <c r="A21" s="29"/>
      <c r="B21" s="29"/>
      <c r="C21" s="61"/>
      <c r="D21" s="30" t="s">
        <v>68</v>
      </c>
      <c r="E21" s="30" t="str">
        <f t="shared" si="3"/>
        <v>$millions</v>
      </c>
      <c r="F21" s="158">
        <f t="shared" si="2"/>
        <v>42339</v>
      </c>
      <c r="G21" s="32"/>
      <c r="H21" s="32"/>
      <c r="I21" s="30"/>
      <c r="J21" s="161"/>
      <c r="K21" s="161"/>
      <c r="L21" s="161"/>
      <c r="M21" s="161"/>
      <c r="N21" s="161"/>
      <c r="O21" s="150"/>
      <c r="P21" s="150"/>
      <c r="Q21" s="150"/>
      <c r="R21" s="150"/>
      <c r="S21" s="150"/>
      <c r="T21" s="150"/>
      <c r="U21" s="29"/>
      <c r="V21" s="29"/>
      <c r="W21" s="29"/>
      <c r="X21" s="29"/>
    </row>
    <row r="22" spans="1:24">
      <c r="A22" s="29"/>
      <c r="B22" s="29"/>
      <c r="C22" s="61"/>
      <c r="D22" s="30" t="s">
        <v>68</v>
      </c>
      <c r="E22" s="30" t="str">
        <f t="shared" si="3"/>
        <v>$millions</v>
      </c>
      <c r="F22" s="158">
        <f t="shared" si="2"/>
        <v>42339</v>
      </c>
      <c r="G22" s="32"/>
      <c r="H22" s="32"/>
      <c r="I22" s="30"/>
      <c r="J22" s="161"/>
      <c r="K22" s="161"/>
      <c r="L22" s="161"/>
      <c r="M22" s="161"/>
      <c r="N22" s="161"/>
      <c r="O22" s="150"/>
      <c r="P22" s="150"/>
      <c r="Q22" s="150"/>
      <c r="R22" s="150"/>
      <c r="S22" s="150"/>
      <c r="T22" s="150"/>
      <c r="U22" s="29"/>
      <c r="V22" s="29"/>
      <c r="W22" s="29"/>
      <c r="X22" s="29"/>
    </row>
    <row r="23" spans="1:24">
      <c r="A23" s="29"/>
      <c r="B23" s="29"/>
      <c r="C23" s="61"/>
      <c r="D23" s="30" t="s">
        <v>68</v>
      </c>
      <c r="E23" s="30" t="str">
        <f t="shared" si="3"/>
        <v>$millions</v>
      </c>
      <c r="F23" s="158">
        <f t="shared" si="2"/>
        <v>42339</v>
      </c>
      <c r="G23" s="32"/>
      <c r="H23" s="32"/>
      <c r="I23" s="30"/>
      <c r="J23" s="161"/>
      <c r="K23" s="161"/>
      <c r="L23" s="161"/>
      <c r="M23" s="161"/>
      <c r="N23" s="161"/>
      <c r="O23" s="150"/>
      <c r="P23" s="150"/>
      <c r="Q23" s="150"/>
      <c r="R23" s="150"/>
      <c r="S23" s="150"/>
      <c r="T23" s="150"/>
      <c r="U23" s="29"/>
      <c r="V23" s="29"/>
      <c r="W23" s="29"/>
      <c r="X23" s="29"/>
    </row>
    <row r="24" spans="1:24">
      <c r="A24" s="29"/>
      <c r="B24" s="29"/>
      <c r="C24" s="61"/>
      <c r="D24" s="30" t="s">
        <v>68</v>
      </c>
      <c r="E24" s="30" t="str">
        <f t="shared" si="3"/>
        <v>$millions</v>
      </c>
      <c r="F24" s="158">
        <f t="shared" si="2"/>
        <v>42339</v>
      </c>
      <c r="G24" s="32"/>
      <c r="H24" s="32"/>
      <c r="I24" s="30"/>
      <c r="J24" s="161"/>
      <c r="K24" s="161"/>
      <c r="L24" s="161"/>
      <c r="M24" s="161"/>
      <c r="N24" s="161"/>
      <c r="O24" s="150"/>
      <c r="P24" s="150"/>
      <c r="Q24" s="150"/>
      <c r="R24" s="150"/>
      <c r="S24" s="150"/>
      <c r="T24" s="150"/>
      <c r="U24" s="29"/>
      <c r="V24" s="29"/>
      <c r="W24" s="29"/>
      <c r="X24" s="29"/>
    </row>
    <row r="25" spans="1:24">
      <c r="A25" s="29"/>
      <c r="B25" s="29"/>
      <c r="C25" s="61"/>
      <c r="D25" s="30" t="s">
        <v>68</v>
      </c>
      <c r="E25" s="30" t="str">
        <f t="shared" si="3"/>
        <v>$millions</v>
      </c>
      <c r="F25" s="158">
        <f t="shared" si="2"/>
        <v>42339</v>
      </c>
      <c r="G25" s="32"/>
      <c r="H25" s="32"/>
      <c r="I25" s="30"/>
      <c r="J25" s="161"/>
      <c r="K25" s="161"/>
      <c r="L25" s="161"/>
      <c r="M25" s="161"/>
      <c r="N25" s="161"/>
      <c r="O25" s="150"/>
      <c r="P25" s="150"/>
      <c r="Q25" s="150"/>
      <c r="R25" s="150"/>
      <c r="S25" s="150"/>
      <c r="T25" s="150"/>
      <c r="U25" s="29"/>
      <c r="V25" s="29"/>
      <c r="W25" s="29"/>
      <c r="X25" s="29"/>
    </row>
    <row r="26" spans="1:24">
      <c r="A26" s="29"/>
      <c r="B26" s="29"/>
      <c r="C26" s="61"/>
      <c r="D26" s="30" t="s">
        <v>68</v>
      </c>
      <c r="E26" s="30" t="str">
        <f t="shared" si="3"/>
        <v>$millions</v>
      </c>
      <c r="F26" s="158">
        <f t="shared" si="2"/>
        <v>42339</v>
      </c>
      <c r="G26" s="32"/>
      <c r="H26" s="32"/>
      <c r="I26" s="30"/>
      <c r="J26" s="161"/>
      <c r="K26" s="161"/>
      <c r="L26" s="161"/>
      <c r="M26" s="161"/>
      <c r="N26" s="161"/>
      <c r="O26" s="150"/>
      <c r="P26" s="150"/>
      <c r="Q26" s="150"/>
      <c r="R26" s="150"/>
      <c r="S26" s="150"/>
      <c r="T26" s="150"/>
      <c r="U26" s="29"/>
      <c r="V26" s="29"/>
      <c r="W26" s="29"/>
      <c r="X26" s="29"/>
    </row>
    <row r="27" spans="1:24">
      <c r="A27" s="29"/>
      <c r="B27" s="29"/>
      <c r="C27" s="61"/>
      <c r="D27" s="30" t="s">
        <v>68</v>
      </c>
      <c r="E27" s="30" t="str">
        <f t="shared" si="3"/>
        <v>$millions</v>
      </c>
      <c r="F27" s="158">
        <f t="shared" si="2"/>
        <v>42339</v>
      </c>
      <c r="G27" s="32"/>
      <c r="H27" s="32"/>
      <c r="I27" s="30"/>
      <c r="J27" s="161"/>
      <c r="K27" s="161"/>
      <c r="L27" s="161"/>
      <c r="M27" s="161"/>
      <c r="N27" s="161"/>
      <c r="O27" s="150"/>
      <c r="P27" s="150"/>
      <c r="Q27" s="150"/>
      <c r="R27" s="150"/>
      <c r="S27" s="150"/>
      <c r="T27" s="150"/>
      <c r="U27" s="29"/>
      <c r="V27" s="29"/>
      <c r="W27" s="29"/>
      <c r="X27" s="29"/>
    </row>
    <row r="28" spans="1:24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>
      <c r="A29" s="29"/>
      <c r="B29" s="29"/>
      <c r="C29" s="139" t="s">
        <v>158</v>
      </c>
      <c r="D29" s="140" t="s">
        <v>30</v>
      </c>
      <c r="E29" s="130" t="s">
        <v>15</v>
      </c>
      <c r="F29" s="159">
        <f>F27</f>
        <v>42339</v>
      </c>
      <c r="G29" s="32"/>
      <c r="H29" s="32"/>
      <c r="I29" s="30"/>
      <c r="J29" s="129">
        <f>SUM(J19:J27)</f>
        <v>10.045637168252112</v>
      </c>
      <c r="K29" s="129">
        <f t="shared" ref="K29:S29" si="4">SUM(K19:K27)</f>
        <v>10.126368157411209</v>
      </c>
      <c r="L29" s="129">
        <f t="shared" si="4"/>
        <v>10.249055028203946</v>
      </c>
      <c r="M29" s="129">
        <f t="shared" si="4"/>
        <v>10.352207458347927</v>
      </c>
      <c r="N29" s="129">
        <f t="shared" si="4"/>
        <v>10.465709633528197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2.75">
      <c r="A31" s="94"/>
      <c r="B31" s="95" t="s">
        <v>204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2"/>
      <c r="H32" s="32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>
      <c r="A33" s="29"/>
      <c r="B33" s="29"/>
      <c r="C33" s="67" t="s">
        <v>75</v>
      </c>
      <c r="D33" s="32" t="s">
        <v>7</v>
      </c>
      <c r="E33" s="32" t="s">
        <v>8</v>
      </c>
      <c r="F33" s="32" t="s">
        <v>22</v>
      </c>
      <c r="G33" s="32"/>
      <c r="H33" s="32"/>
      <c r="I33" s="30"/>
      <c r="J33" s="156" t="str">
        <f t="shared" ref="J33:T33" si="5">IF(YEAR(J$4)=InterveningPeriod,J$4,"")</f>
        <v/>
      </c>
      <c r="K33" s="156" t="str">
        <f t="shared" si="5"/>
        <v/>
      </c>
      <c r="L33" s="156" t="str">
        <f t="shared" si="5"/>
        <v/>
      </c>
      <c r="M33" s="156" t="str">
        <f t="shared" si="5"/>
        <v/>
      </c>
      <c r="N33" s="156" t="str">
        <f t="shared" si="5"/>
        <v/>
      </c>
      <c r="O33" s="156">
        <f t="shared" si="5"/>
        <v>44348</v>
      </c>
      <c r="P33" s="156" t="str">
        <f t="shared" si="5"/>
        <v/>
      </c>
      <c r="Q33" s="156" t="str">
        <f t="shared" si="5"/>
        <v/>
      </c>
      <c r="R33" s="156" t="str">
        <f t="shared" si="5"/>
        <v/>
      </c>
      <c r="S33" s="156" t="str">
        <f t="shared" si="5"/>
        <v/>
      </c>
      <c r="T33" s="156" t="str">
        <f t="shared" si="5"/>
        <v/>
      </c>
      <c r="U33" s="137" t="s">
        <v>53</v>
      </c>
      <c r="V33" s="138"/>
      <c r="W33" s="138"/>
      <c r="X33" s="29"/>
    </row>
    <row r="34" spans="1:24">
      <c r="A34" s="29"/>
      <c r="B34" s="29"/>
      <c r="C34" s="111"/>
      <c r="D34" s="30"/>
      <c r="E34" s="30"/>
      <c r="F34" s="30"/>
      <c r="G34" s="32"/>
      <c r="H34" s="32"/>
      <c r="I34" s="30"/>
      <c r="J34" s="23"/>
      <c r="K34" s="23"/>
      <c r="L34" s="23"/>
      <c r="M34" s="23"/>
      <c r="N34" s="23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>
      <c r="A35" s="29"/>
      <c r="B35" s="29"/>
      <c r="C35" s="111"/>
      <c r="D35" s="30"/>
      <c r="E35" s="110"/>
      <c r="F35" s="30"/>
      <c r="G35" s="32"/>
      <c r="H35" s="32"/>
      <c r="I35" s="30"/>
      <c r="J35" s="23"/>
      <c r="K35" s="23"/>
      <c r="L35" s="23"/>
      <c r="M35" s="23"/>
      <c r="N35" s="23"/>
      <c r="O35" s="150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61" t="s">
        <v>72</v>
      </c>
      <c r="D36" s="30" t="s">
        <v>68</v>
      </c>
      <c r="E36" s="169" t="s">
        <v>15</v>
      </c>
      <c r="F36" s="169">
        <v>44166</v>
      </c>
      <c r="G36" s="32"/>
      <c r="H36" s="32"/>
      <c r="I36" s="30"/>
      <c r="J36" s="161"/>
      <c r="K36" s="161"/>
      <c r="L36" s="161"/>
      <c r="M36" s="161"/>
      <c r="N36" s="161"/>
      <c r="O36" s="161">
        <v>134.92569340710057</v>
      </c>
      <c r="P36" s="161"/>
      <c r="Q36" s="161"/>
      <c r="R36" s="161"/>
      <c r="S36" s="161"/>
      <c r="T36" s="161"/>
      <c r="U36" s="29"/>
      <c r="V36" s="29"/>
      <c r="W36" s="29"/>
      <c r="X36" s="29"/>
    </row>
    <row r="37" spans="1:24">
      <c r="A37" s="29"/>
      <c r="B37" s="29"/>
      <c r="C37" s="111"/>
      <c r="D37" s="30"/>
      <c r="E37" s="30"/>
      <c r="F37" s="30"/>
      <c r="G37" s="32"/>
      <c r="H37" s="32"/>
      <c r="I37" s="30"/>
      <c r="J37" s="23"/>
      <c r="K37" s="23"/>
      <c r="L37" s="23"/>
      <c r="M37" s="23"/>
      <c r="N37" s="23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>
      <c r="A38" s="29"/>
      <c r="B38" s="29"/>
      <c r="C38" s="139" t="s">
        <v>72</v>
      </c>
      <c r="D38" s="140" t="str">
        <f>D36</f>
        <v>AER</v>
      </c>
      <c r="E38" s="201" t="str">
        <f>E36</f>
        <v>$millions</v>
      </c>
      <c r="F38" s="201">
        <f>F36</f>
        <v>44166</v>
      </c>
      <c r="G38" s="32"/>
      <c r="H38" s="32"/>
      <c r="I38" s="30"/>
      <c r="J38" s="129">
        <f>J36</f>
        <v>0</v>
      </c>
      <c r="K38" s="129">
        <f t="shared" ref="K38:T38" si="6">K36</f>
        <v>0</v>
      </c>
      <c r="L38" s="129">
        <f t="shared" si="6"/>
        <v>0</v>
      </c>
      <c r="M38" s="129">
        <f t="shared" si="6"/>
        <v>0</v>
      </c>
      <c r="N38" s="129">
        <f t="shared" si="6"/>
        <v>0</v>
      </c>
      <c r="O38" s="129">
        <f t="shared" si="6"/>
        <v>134.92569340710057</v>
      </c>
      <c r="P38" s="129">
        <f t="shared" si="6"/>
        <v>0</v>
      </c>
      <c r="Q38" s="129">
        <f t="shared" si="6"/>
        <v>0</v>
      </c>
      <c r="R38" s="129">
        <f t="shared" si="6"/>
        <v>0</v>
      </c>
      <c r="S38" s="129">
        <f t="shared" si="6"/>
        <v>0</v>
      </c>
      <c r="T38" s="129">
        <f t="shared" si="6"/>
        <v>0</v>
      </c>
      <c r="U38" s="29"/>
      <c r="V38" s="29"/>
      <c r="W38" s="29"/>
      <c r="X38" s="29"/>
    </row>
    <row r="39" spans="1:24">
      <c r="A39" s="29"/>
      <c r="B39" s="29"/>
      <c r="C39" s="111"/>
      <c r="D39" s="30"/>
      <c r="E39" s="30"/>
      <c r="F39" s="30"/>
      <c r="G39" s="32"/>
      <c r="H39" s="32"/>
      <c r="I39" s="30"/>
      <c r="J39" s="23"/>
      <c r="K39" s="23"/>
      <c r="L39" s="23"/>
      <c r="M39" s="23"/>
      <c r="N39" s="23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>
      <c r="A40" s="29"/>
      <c r="B40" s="29"/>
      <c r="C40" s="67" t="s">
        <v>160</v>
      </c>
      <c r="D40" s="30"/>
      <c r="E40" s="30"/>
      <c r="F40" s="30"/>
      <c r="G40" s="32"/>
      <c r="H40" s="32"/>
      <c r="I40" s="30"/>
      <c r="J40" s="23"/>
      <c r="K40" s="23"/>
      <c r="L40" s="23"/>
      <c r="M40" s="23"/>
      <c r="N40" s="23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>
      <c r="A41" s="29"/>
      <c r="B41" s="29"/>
      <c r="C41" s="111"/>
      <c r="D41" s="30"/>
      <c r="E41" s="30"/>
      <c r="F41" s="30"/>
      <c r="G41" s="32"/>
      <c r="H41" s="32"/>
      <c r="I41" s="30"/>
      <c r="J41" s="23"/>
      <c r="K41" s="23"/>
      <c r="L41" s="23"/>
      <c r="M41" s="23"/>
      <c r="N41" s="23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>
      <c r="A42" s="29"/>
      <c r="B42" s="29"/>
      <c r="C42" s="61" t="s">
        <v>39</v>
      </c>
      <c r="D42" s="30" t="s">
        <v>68</v>
      </c>
      <c r="E42" s="30" t="str">
        <f>$E$52</f>
        <v>$millions</v>
      </c>
      <c r="F42" s="158">
        <f>$F$52</f>
        <v>44166</v>
      </c>
      <c r="G42" s="32"/>
      <c r="H42" s="32"/>
      <c r="I42" s="30"/>
      <c r="J42" s="161"/>
      <c r="K42" s="161"/>
      <c r="L42" s="161"/>
      <c r="M42" s="161"/>
      <c r="N42" s="161"/>
      <c r="O42" s="161">
        <v>1.1510319909904236</v>
      </c>
      <c r="P42" s="150"/>
      <c r="Q42" s="150"/>
      <c r="R42" s="150"/>
      <c r="S42" s="150"/>
      <c r="T42" s="150"/>
      <c r="U42" s="29"/>
      <c r="V42" s="29"/>
      <c r="W42" s="29"/>
      <c r="X42" s="29"/>
    </row>
    <row r="43" spans="1:24">
      <c r="A43" s="29"/>
      <c r="B43" s="29"/>
      <c r="C43" s="61" t="s">
        <v>209</v>
      </c>
      <c r="D43" s="30" t="s">
        <v>68</v>
      </c>
      <c r="E43" s="30" t="str">
        <f t="shared" ref="E43:E50" si="7">$E$52</f>
        <v>$millions</v>
      </c>
      <c r="F43" s="158">
        <f t="shared" ref="F43:F50" si="8">$F$52</f>
        <v>44166</v>
      </c>
      <c r="G43" s="32"/>
      <c r="H43" s="32"/>
      <c r="I43" s="30"/>
      <c r="J43" s="161"/>
      <c r="K43" s="161"/>
      <c r="L43" s="161"/>
      <c r="M43" s="161"/>
      <c r="N43" s="161"/>
      <c r="O43" s="161">
        <v>4.5042239391143921</v>
      </c>
      <c r="P43" s="150"/>
      <c r="Q43" s="150"/>
      <c r="R43" s="150"/>
      <c r="S43" s="150"/>
      <c r="T43" s="150"/>
      <c r="U43" s="29"/>
      <c r="V43" s="29"/>
      <c r="W43" s="29"/>
      <c r="X43" s="29"/>
    </row>
    <row r="44" spans="1:24">
      <c r="A44" s="29"/>
      <c r="B44" s="29"/>
      <c r="C44" s="61"/>
      <c r="D44" s="30" t="s">
        <v>68</v>
      </c>
      <c r="E44" s="30" t="str">
        <f t="shared" si="7"/>
        <v>$millions</v>
      </c>
      <c r="F44" s="158">
        <f t="shared" si="8"/>
        <v>44166</v>
      </c>
      <c r="G44" s="32"/>
      <c r="H44" s="32"/>
      <c r="I44" s="30"/>
      <c r="J44" s="161"/>
      <c r="K44" s="161"/>
      <c r="L44" s="161"/>
      <c r="M44" s="161"/>
      <c r="N44" s="161"/>
      <c r="O44" s="161"/>
      <c r="P44" s="150"/>
      <c r="Q44" s="150"/>
      <c r="R44" s="150"/>
      <c r="S44" s="150"/>
      <c r="T44" s="150"/>
      <c r="U44" s="29"/>
      <c r="V44" s="29"/>
      <c r="W44" s="29"/>
      <c r="X44" s="29"/>
    </row>
    <row r="45" spans="1:24">
      <c r="A45" s="29"/>
      <c r="B45" s="29"/>
      <c r="C45" s="61"/>
      <c r="D45" s="30" t="s">
        <v>68</v>
      </c>
      <c r="E45" s="30" t="str">
        <f t="shared" si="7"/>
        <v>$millions</v>
      </c>
      <c r="F45" s="158">
        <f t="shared" si="8"/>
        <v>44166</v>
      </c>
      <c r="G45" s="32"/>
      <c r="H45" s="32"/>
      <c r="I45" s="30"/>
      <c r="J45" s="161"/>
      <c r="K45" s="161"/>
      <c r="L45" s="161"/>
      <c r="M45" s="161"/>
      <c r="N45" s="161"/>
      <c r="O45" s="161"/>
      <c r="P45" s="150"/>
      <c r="Q45" s="150"/>
      <c r="R45" s="150"/>
      <c r="S45" s="150"/>
      <c r="T45" s="150"/>
      <c r="U45" s="29"/>
      <c r="V45" s="29"/>
      <c r="W45" s="29"/>
      <c r="X45" s="29"/>
    </row>
    <row r="46" spans="1:24">
      <c r="A46" s="29"/>
      <c r="B46" s="29"/>
      <c r="C46" s="61"/>
      <c r="D46" s="30" t="s">
        <v>68</v>
      </c>
      <c r="E46" s="30" t="str">
        <f t="shared" si="7"/>
        <v>$millions</v>
      </c>
      <c r="F46" s="158">
        <f t="shared" si="8"/>
        <v>44166</v>
      </c>
      <c r="G46" s="32"/>
      <c r="H46" s="32"/>
      <c r="I46" s="30"/>
      <c r="J46" s="161"/>
      <c r="K46" s="161"/>
      <c r="L46" s="161"/>
      <c r="M46" s="161"/>
      <c r="N46" s="161"/>
      <c r="O46" s="161"/>
      <c r="P46" s="150"/>
      <c r="Q46" s="150"/>
      <c r="R46" s="150"/>
      <c r="S46" s="150"/>
      <c r="T46" s="150"/>
      <c r="U46" s="29"/>
      <c r="V46" s="29"/>
      <c r="W46" s="29"/>
      <c r="X46" s="29"/>
    </row>
    <row r="47" spans="1:24">
      <c r="A47" s="29"/>
      <c r="B47" s="29"/>
      <c r="C47" s="61"/>
      <c r="D47" s="30" t="s">
        <v>68</v>
      </c>
      <c r="E47" s="30" t="str">
        <f t="shared" si="7"/>
        <v>$millions</v>
      </c>
      <c r="F47" s="158">
        <f t="shared" si="8"/>
        <v>44166</v>
      </c>
      <c r="G47" s="32"/>
      <c r="H47" s="32"/>
      <c r="I47" s="30"/>
      <c r="J47" s="161"/>
      <c r="K47" s="161"/>
      <c r="L47" s="161"/>
      <c r="M47" s="161"/>
      <c r="N47" s="161"/>
      <c r="O47" s="161"/>
      <c r="P47" s="150"/>
      <c r="Q47" s="150"/>
      <c r="R47" s="150"/>
      <c r="S47" s="150"/>
      <c r="T47" s="150"/>
      <c r="U47" s="29"/>
      <c r="V47" s="29"/>
      <c r="W47" s="29"/>
      <c r="X47" s="29"/>
    </row>
    <row r="48" spans="1:24">
      <c r="A48" s="29"/>
      <c r="B48" s="29"/>
      <c r="C48" s="61"/>
      <c r="D48" s="30" t="s">
        <v>68</v>
      </c>
      <c r="E48" s="30" t="str">
        <f t="shared" si="7"/>
        <v>$millions</v>
      </c>
      <c r="F48" s="158">
        <f t="shared" si="8"/>
        <v>44166</v>
      </c>
      <c r="G48" s="32"/>
      <c r="H48" s="32"/>
      <c r="I48" s="30"/>
      <c r="J48" s="161"/>
      <c r="K48" s="161"/>
      <c r="L48" s="161"/>
      <c r="M48" s="161"/>
      <c r="N48" s="161"/>
      <c r="O48" s="161"/>
      <c r="P48" s="150"/>
      <c r="Q48" s="150"/>
      <c r="R48" s="150"/>
      <c r="S48" s="150"/>
      <c r="T48" s="150"/>
      <c r="U48" s="29"/>
      <c r="V48" s="29"/>
      <c r="W48" s="29"/>
      <c r="X48" s="29"/>
    </row>
    <row r="49" spans="1:24">
      <c r="A49" s="29"/>
      <c r="B49" s="29"/>
      <c r="C49" s="61"/>
      <c r="D49" s="30" t="s">
        <v>68</v>
      </c>
      <c r="E49" s="30" t="str">
        <f t="shared" si="7"/>
        <v>$millions</v>
      </c>
      <c r="F49" s="158">
        <f t="shared" si="8"/>
        <v>44166</v>
      </c>
      <c r="G49" s="32"/>
      <c r="H49" s="32"/>
      <c r="I49" s="30"/>
      <c r="J49" s="161"/>
      <c r="K49" s="161"/>
      <c r="L49" s="161"/>
      <c r="M49" s="161"/>
      <c r="N49" s="161"/>
      <c r="O49" s="161"/>
      <c r="P49" s="150"/>
      <c r="Q49" s="150"/>
      <c r="R49" s="150"/>
      <c r="S49" s="150"/>
      <c r="T49" s="150"/>
      <c r="U49" s="29"/>
      <c r="V49" s="29"/>
      <c r="W49" s="29"/>
      <c r="X49" s="29"/>
    </row>
    <row r="50" spans="1:24">
      <c r="A50" s="29"/>
      <c r="B50" s="29"/>
      <c r="C50" s="61"/>
      <c r="D50" s="30" t="s">
        <v>68</v>
      </c>
      <c r="E50" s="30" t="str">
        <f t="shared" si="7"/>
        <v>$millions</v>
      </c>
      <c r="F50" s="158">
        <f t="shared" si="8"/>
        <v>44166</v>
      </c>
      <c r="G50" s="32"/>
      <c r="H50" s="32"/>
      <c r="I50" s="30"/>
      <c r="J50" s="161"/>
      <c r="K50" s="161"/>
      <c r="L50" s="161"/>
      <c r="M50" s="161"/>
      <c r="N50" s="161"/>
      <c r="O50" s="161"/>
      <c r="P50" s="150"/>
      <c r="Q50" s="150"/>
      <c r="R50" s="150"/>
      <c r="S50" s="150"/>
      <c r="T50" s="150"/>
      <c r="U50" s="29"/>
      <c r="V50" s="29"/>
      <c r="W50" s="29"/>
      <c r="X50" s="29"/>
    </row>
    <row r="51" spans="1:24">
      <c r="A51" s="29"/>
      <c r="B51" s="29"/>
      <c r="C51" s="111"/>
      <c r="D51" s="30"/>
      <c r="E51" s="30"/>
      <c r="F51" s="30"/>
      <c r="G51" s="32"/>
      <c r="H51" s="32"/>
      <c r="I51" s="30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9"/>
      <c r="V51" s="29"/>
      <c r="W51" s="29"/>
      <c r="X51" s="29"/>
    </row>
    <row r="52" spans="1:24">
      <c r="A52" s="29"/>
      <c r="B52" s="29"/>
      <c r="C52" s="139" t="s">
        <v>158</v>
      </c>
      <c r="D52" s="140" t="s">
        <v>30</v>
      </c>
      <c r="E52" s="130" t="s">
        <v>15</v>
      </c>
      <c r="F52" s="159">
        <v>44166</v>
      </c>
      <c r="G52" s="32"/>
      <c r="H52" s="32"/>
      <c r="I52" s="30"/>
      <c r="J52" s="129">
        <f>SUM(J42:J50)</f>
        <v>0</v>
      </c>
      <c r="K52" s="129">
        <f t="shared" ref="K52:S52" si="9">SUM(K42:K50)</f>
        <v>0</v>
      </c>
      <c r="L52" s="129">
        <f t="shared" si="9"/>
        <v>0</v>
      </c>
      <c r="M52" s="129">
        <f t="shared" si="9"/>
        <v>0</v>
      </c>
      <c r="N52" s="129">
        <f t="shared" si="9"/>
        <v>0</v>
      </c>
      <c r="O52" s="129">
        <f t="shared" si="9"/>
        <v>5.6552559301048158</v>
      </c>
      <c r="P52" s="129">
        <f t="shared" si="9"/>
        <v>0</v>
      </c>
      <c r="Q52" s="129">
        <f t="shared" si="9"/>
        <v>0</v>
      </c>
      <c r="R52" s="129">
        <f t="shared" si="9"/>
        <v>0</v>
      </c>
      <c r="S52" s="129">
        <f t="shared" si="9"/>
        <v>0</v>
      </c>
      <c r="T52" s="129"/>
      <c r="U52" s="29"/>
      <c r="V52" s="29"/>
      <c r="W52" s="29"/>
      <c r="X52" s="29" t="str">
        <f>IF(COUNTIF(J42:S50,"&lt;0")&gt;0,"Check","Ok")</f>
        <v>Ok</v>
      </c>
    </row>
    <row r="53" spans="1:24">
      <c r="A53" s="29"/>
      <c r="B53" s="29"/>
      <c r="C53" s="29"/>
      <c r="D53" s="30"/>
      <c r="E53" s="30"/>
      <c r="F53" s="30"/>
      <c r="G53" s="32"/>
      <c r="H53" s="32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12.75">
      <c r="A54" s="94"/>
      <c r="B54" s="95" t="s">
        <v>56</v>
      </c>
      <c r="C54" s="94"/>
      <c r="D54" s="94"/>
      <c r="E54" s="94"/>
      <c r="F54" s="96"/>
      <c r="G54" s="96"/>
      <c r="H54" s="96"/>
      <c r="I54" s="96"/>
      <c r="J54" s="97"/>
      <c r="K54" s="98"/>
      <c r="L54" s="97"/>
      <c r="M54" s="98"/>
      <c r="N54" s="97"/>
      <c r="O54" s="97"/>
      <c r="P54" s="97"/>
      <c r="Q54" s="97"/>
      <c r="R54" s="97"/>
      <c r="S54" s="97"/>
      <c r="T54" s="97"/>
      <c r="U54" s="97"/>
      <c r="V54" s="97"/>
      <c r="W54" s="98"/>
      <c r="X54" s="98"/>
    </row>
    <row r="55" spans="1:24">
      <c r="A55" s="29"/>
      <c r="B55" s="29"/>
      <c r="C55" s="29"/>
      <c r="D55" s="30"/>
      <c r="E55" s="30"/>
      <c r="F55" s="30"/>
      <c r="G55" s="30"/>
      <c r="H55" s="30"/>
      <c r="I55" s="30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>
      <c r="A56" s="29"/>
      <c r="B56" s="29"/>
      <c r="C56" s="29"/>
      <c r="D56" s="30"/>
      <c r="E56" s="30"/>
      <c r="F56" s="30"/>
      <c r="G56" s="30"/>
      <c r="H56" s="30"/>
      <c r="I56" s="30"/>
      <c r="J56" s="161" t="s">
        <v>23</v>
      </c>
      <c r="K56" s="161" t="s">
        <v>23</v>
      </c>
      <c r="L56" s="161" t="s">
        <v>23</v>
      </c>
      <c r="M56" s="161" t="s">
        <v>23</v>
      </c>
      <c r="N56" s="161" t="s">
        <v>73</v>
      </c>
      <c r="O56" s="161" t="s">
        <v>73</v>
      </c>
      <c r="P56" s="161"/>
      <c r="Q56" s="161"/>
      <c r="R56" s="161"/>
      <c r="S56" s="161"/>
      <c r="T56" s="161"/>
      <c r="U56" s="29"/>
      <c r="V56" s="29"/>
      <c r="W56" s="29"/>
      <c r="X56" s="29"/>
    </row>
    <row r="57" spans="1:24">
      <c r="A57" s="29"/>
      <c r="B57" s="29"/>
      <c r="C57" s="67" t="s">
        <v>75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6">
        <f>J$4</f>
        <v>42705</v>
      </c>
      <c r="K57" s="156">
        <f t="shared" ref="K57:O57" si="10">K$4</f>
        <v>43070</v>
      </c>
      <c r="L57" s="156">
        <f t="shared" si="10"/>
        <v>43435</v>
      </c>
      <c r="M57" s="156">
        <f t="shared" si="10"/>
        <v>43800</v>
      </c>
      <c r="N57" s="156">
        <f t="shared" si="10"/>
        <v>44166</v>
      </c>
      <c r="O57" s="156">
        <f t="shared" si="10"/>
        <v>44348</v>
      </c>
      <c r="P57" s="156"/>
      <c r="Q57" s="156"/>
      <c r="R57" s="156"/>
      <c r="S57" s="156"/>
      <c r="T57" s="156"/>
      <c r="U57" s="137" t="s">
        <v>53</v>
      </c>
      <c r="V57" s="138"/>
      <c r="W57" s="138"/>
      <c r="X57" s="29"/>
    </row>
    <row r="58" spans="1:24">
      <c r="A58" s="29"/>
      <c r="B58" s="29"/>
      <c r="C58" s="111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>
      <c r="A59" s="29"/>
      <c r="B59" s="29"/>
      <c r="C59" s="111"/>
      <c r="D59" s="30"/>
      <c r="E59" s="30"/>
      <c r="F59" s="30"/>
      <c r="G59" s="32"/>
      <c r="H59" s="32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>
      <c r="A60" s="29"/>
      <c r="B60" s="29"/>
      <c r="C60" s="61" t="s">
        <v>72</v>
      </c>
      <c r="D60" s="30" t="s">
        <v>74</v>
      </c>
      <c r="E60" s="213" t="str">
        <f>$E$79</f>
        <v>$millions</v>
      </c>
      <c r="F60" s="214" t="s">
        <v>99</v>
      </c>
      <c r="G60" s="32"/>
      <c r="H60" s="32"/>
      <c r="I60" s="30"/>
      <c r="J60" s="161">
        <v>240.51147599755791</v>
      </c>
      <c r="K60" s="161">
        <v>216.72910674238398</v>
      </c>
      <c r="L60" s="161">
        <v>205.57865474835609</v>
      </c>
      <c r="M60" s="161">
        <v>211.75328101467809</v>
      </c>
      <c r="N60" s="161">
        <v>0</v>
      </c>
      <c r="O60" s="161">
        <v>0</v>
      </c>
      <c r="P60" s="150"/>
      <c r="Q60" s="150"/>
      <c r="R60" s="150"/>
      <c r="S60" s="150"/>
      <c r="T60" s="150"/>
      <c r="U60" s="29"/>
      <c r="V60" s="29"/>
      <c r="W60" s="29"/>
      <c r="X60" s="29"/>
    </row>
    <row r="61" spans="1:24">
      <c r="A61" s="29"/>
      <c r="B61" s="29"/>
      <c r="C61" s="111"/>
      <c r="D61" s="30"/>
      <c r="E61" s="30"/>
      <c r="F61" s="158"/>
      <c r="G61" s="32"/>
      <c r="H61" s="32"/>
      <c r="I61" s="30"/>
      <c r="J61" s="161"/>
      <c r="K61" s="161"/>
      <c r="L61" s="161"/>
      <c r="M61" s="161"/>
      <c r="N61" s="161"/>
      <c r="O61" s="161"/>
      <c r="P61" s="150"/>
      <c r="Q61" s="150"/>
      <c r="R61" s="150"/>
      <c r="S61" s="150"/>
      <c r="T61" s="150"/>
      <c r="U61" s="29"/>
      <c r="V61" s="29"/>
      <c r="W61" s="29"/>
      <c r="X61" s="29"/>
    </row>
    <row r="62" spans="1:24">
      <c r="A62" s="29"/>
      <c r="B62" s="29"/>
      <c r="C62" s="67" t="s">
        <v>180</v>
      </c>
      <c r="D62" s="30"/>
      <c r="E62" s="30"/>
      <c r="F62" s="158"/>
      <c r="G62" s="32"/>
      <c r="H62" s="32"/>
      <c r="I62" s="30"/>
      <c r="J62" s="161"/>
      <c r="K62" s="161"/>
      <c r="L62" s="161"/>
      <c r="M62" s="161"/>
      <c r="N62" s="161"/>
      <c r="O62" s="161"/>
      <c r="P62" s="150"/>
      <c r="Q62" s="150"/>
      <c r="R62" s="150"/>
      <c r="S62" s="150"/>
      <c r="T62" s="150"/>
      <c r="U62" s="29"/>
      <c r="V62" s="29"/>
      <c r="W62" s="29"/>
      <c r="X62" s="29"/>
    </row>
    <row r="63" spans="1:24">
      <c r="A63" s="29"/>
      <c r="B63" s="29"/>
      <c r="C63" s="67"/>
      <c r="D63" s="30"/>
      <c r="E63" s="30"/>
      <c r="F63" s="158"/>
      <c r="G63" s="32"/>
      <c r="H63" s="32"/>
      <c r="I63" s="30"/>
      <c r="J63" s="161"/>
      <c r="K63" s="161"/>
      <c r="L63" s="161"/>
      <c r="M63" s="161"/>
      <c r="N63" s="161"/>
      <c r="O63" s="161"/>
      <c r="P63" s="150"/>
      <c r="Q63" s="150"/>
      <c r="R63" s="150"/>
      <c r="S63" s="150"/>
      <c r="T63" s="150"/>
      <c r="U63" s="29"/>
      <c r="V63" s="29"/>
      <c r="W63" s="29"/>
      <c r="X63" s="29"/>
    </row>
    <row r="64" spans="1:24">
      <c r="A64" s="29"/>
      <c r="B64" s="29"/>
      <c r="C64" s="61" t="s">
        <v>177</v>
      </c>
      <c r="D64" s="30" t="s">
        <v>74</v>
      </c>
      <c r="E64" s="30" t="str">
        <f>$E$79</f>
        <v>$millions</v>
      </c>
      <c r="F64" s="158" t="str">
        <f>$F$60</f>
        <v>nominal</v>
      </c>
      <c r="G64" s="32"/>
      <c r="H64" s="32"/>
      <c r="I64" s="30"/>
      <c r="J64" s="161">
        <v>-0.42218142367227329</v>
      </c>
      <c r="K64" s="161">
        <v>0.58126924664361124</v>
      </c>
      <c r="L64" s="161">
        <v>-1.9837386090981766</v>
      </c>
      <c r="M64" s="161">
        <v>6.9823342347697031</v>
      </c>
      <c r="N64" s="161">
        <v>0</v>
      </c>
      <c r="O64" s="161">
        <v>0</v>
      </c>
      <c r="P64" s="150"/>
      <c r="Q64" s="150"/>
      <c r="R64" s="150"/>
      <c r="S64" s="150"/>
      <c r="T64" s="150"/>
      <c r="U64" s="29"/>
      <c r="V64" s="29"/>
      <c r="W64" s="29"/>
      <c r="X64" s="29"/>
    </row>
    <row r="65" spans="1:24">
      <c r="A65" s="29"/>
      <c r="B65" s="29"/>
      <c r="C65" s="61" t="s">
        <v>188</v>
      </c>
      <c r="D65" s="30" t="s">
        <v>74</v>
      </c>
      <c r="E65" s="30" t="str">
        <f>$E$79</f>
        <v>$millions</v>
      </c>
      <c r="F65" s="158" t="str">
        <f t="shared" ref="F65:F68" si="11">$F$60</f>
        <v>nominal</v>
      </c>
      <c r="G65" s="32"/>
      <c r="H65" s="32"/>
      <c r="I65" s="30"/>
      <c r="J65" s="161">
        <v>7.7478299999999958E-2</v>
      </c>
      <c r="K65" s="161">
        <v>0.26055693000000002</v>
      </c>
      <c r="L65" s="161">
        <v>0.22754147999999996</v>
      </c>
      <c r="M65" s="161">
        <v>0.2849562499999998</v>
      </c>
      <c r="N65" s="161">
        <v>0</v>
      </c>
      <c r="O65" s="161">
        <v>0</v>
      </c>
      <c r="P65" s="150"/>
      <c r="Q65" s="150"/>
      <c r="R65" s="150"/>
      <c r="S65" s="150"/>
      <c r="T65" s="150"/>
      <c r="U65" s="29"/>
      <c r="V65" s="29"/>
      <c r="W65" s="29"/>
      <c r="X65" s="29"/>
    </row>
    <row r="66" spans="1:24">
      <c r="A66" s="29"/>
      <c r="B66" s="29"/>
      <c r="C66" s="61" t="s">
        <v>190</v>
      </c>
      <c r="D66" s="30" t="s">
        <v>74</v>
      </c>
      <c r="E66" s="30" t="str">
        <f>$E$79</f>
        <v>$millions</v>
      </c>
      <c r="F66" s="158" t="str">
        <f t="shared" si="11"/>
        <v>nominal</v>
      </c>
      <c r="G66" s="32"/>
      <c r="H66" s="32"/>
      <c r="I66" s="30"/>
      <c r="J66" s="161"/>
      <c r="K66" s="161"/>
      <c r="L66" s="161"/>
      <c r="M66" s="161"/>
      <c r="N66" s="161"/>
      <c r="O66" s="150"/>
      <c r="P66" s="150"/>
      <c r="Q66" s="150"/>
      <c r="R66" s="150"/>
      <c r="S66" s="150"/>
      <c r="T66" s="150"/>
      <c r="U66" s="29"/>
      <c r="V66" s="29"/>
      <c r="W66" s="29"/>
      <c r="X66" s="29"/>
    </row>
    <row r="67" spans="1:24">
      <c r="A67" s="29"/>
      <c r="B67" s="29"/>
      <c r="C67" s="61"/>
      <c r="D67" s="30" t="s">
        <v>74</v>
      </c>
      <c r="E67" s="30" t="str">
        <f>$E$79</f>
        <v>$millions</v>
      </c>
      <c r="F67" s="158" t="str">
        <f t="shared" si="11"/>
        <v>nominal</v>
      </c>
      <c r="G67" s="32"/>
      <c r="H67" s="32"/>
      <c r="I67" s="30"/>
      <c r="J67" s="161"/>
      <c r="K67" s="161"/>
      <c r="L67" s="161"/>
      <c r="M67" s="161"/>
      <c r="N67" s="161"/>
      <c r="O67" s="150"/>
      <c r="P67" s="150"/>
      <c r="Q67" s="150"/>
      <c r="R67" s="150"/>
      <c r="S67" s="150"/>
      <c r="T67" s="150"/>
      <c r="U67" s="29"/>
      <c r="V67" s="29"/>
      <c r="W67" s="29"/>
      <c r="X67" s="29"/>
    </row>
    <row r="68" spans="1:24">
      <c r="A68" s="29"/>
      <c r="B68" s="29"/>
      <c r="C68" s="61"/>
      <c r="D68" s="30" t="s">
        <v>74</v>
      </c>
      <c r="E68" s="30" t="str">
        <f>$E$79</f>
        <v>$millions</v>
      </c>
      <c r="F68" s="158" t="str">
        <f t="shared" si="11"/>
        <v>nominal</v>
      </c>
      <c r="G68" s="32"/>
      <c r="H68" s="32"/>
      <c r="I68" s="30"/>
      <c r="J68" s="161"/>
      <c r="K68" s="161"/>
      <c r="L68" s="161"/>
      <c r="M68" s="161"/>
      <c r="N68" s="161"/>
      <c r="O68" s="150"/>
      <c r="P68" s="150"/>
      <c r="Q68" s="150"/>
      <c r="R68" s="150"/>
      <c r="S68" s="150"/>
      <c r="T68" s="150"/>
      <c r="U68" s="29"/>
      <c r="V68" s="29"/>
      <c r="W68" s="29"/>
      <c r="X68" s="29"/>
    </row>
    <row r="69" spans="1:24">
      <c r="A69" s="29"/>
      <c r="B69" s="29"/>
      <c r="C69" s="111"/>
      <c r="D69" s="30"/>
      <c r="E69" s="30"/>
      <c r="F69" s="30"/>
      <c r="G69" s="32"/>
      <c r="H69" s="32"/>
      <c r="I69" s="30"/>
      <c r="J69" s="29"/>
      <c r="K69" s="29"/>
      <c r="L69" s="29"/>
      <c r="M69" s="29"/>
      <c r="N69" s="141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24">
      <c r="A70" s="29"/>
      <c r="B70" s="29"/>
      <c r="C70" s="139" t="s">
        <v>178</v>
      </c>
      <c r="D70" s="140" t="s">
        <v>30</v>
      </c>
      <c r="E70" s="188" t="str">
        <f>$E$79</f>
        <v>$millions</v>
      </c>
      <c r="F70" s="189" t="str">
        <f>F60</f>
        <v>nominal</v>
      </c>
      <c r="G70" s="32"/>
      <c r="H70" s="32"/>
      <c r="I70" s="30"/>
      <c r="J70" s="129">
        <f>J60-SUM(J64:J68)</f>
        <v>240.85617912123018</v>
      </c>
      <c r="K70" s="129">
        <f t="shared" ref="K70:S70" si="12">K60-SUM(K64:K68)</f>
        <v>215.88728056574035</v>
      </c>
      <c r="L70" s="129">
        <f t="shared" si="12"/>
        <v>207.33485187745427</v>
      </c>
      <c r="M70" s="129">
        <f t="shared" si="12"/>
        <v>204.48599052990841</v>
      </c>
      <c r="N70" s="129">
        <f t="shared" si="12"/>
        <v>0</v>
      </c>
      <c r="O70" s="129">
        <f t="shared" si="12"/>
        <v>0</v>
      </c>
      <c r="P70" s="129">
        <f t="shared" si="12"/>
        <v>0</v>
      </c>
      <c r="Q70" s="129">
        <f t="shared" si="12"/>
        <v>0</v>
      </c>
      <c r="R70" s="129">
        <f t="shared" si="12"/>
        <v>0</v>
      </c>
      <c r="S70" s="129">
        <f t="shared" si="12"/>
        <v>0</v>
      </c>
      <c r="T70" s="129"/>
      <c r="U70" s="29"/>
      <c r="V70" s="29"/>
      <c r="W70" s="29"/>
      <c r="X70" s="29"/>
    </row>
    <row r="71" spans="1:24">
      <c r="A71" s="29"/>
      <c r="B71" s="29"/>
      <c r="C71" s="29"/>
      <c r="D71" s="30"/>
      <c r="E71" s="30"/>
      <c r="F71" s="30"/>
      <c r="G71" s="30"/>
      <c r="H71" s="30"/>
      <c r="I71" s="30"/>
      <c r="J71" s="162"/>
      <c r="K71" s="162"/>
      <c r="L71" s="162"/>
      <c r="M71" s="162"/>
      <c r="N71" s="162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>
      <c r="A72" s="29"/>
      <c r="B72" s="29"/>
      <c r="C72" s="67" t="s">
        <v>110</v>
      </c>
      <c r="D72" s="30"/>
      <c r="E72" s="30"/>
      <c r="F72" s="30"/>
      <c r="G72" s="30"/>
      <c r="H72" s="30"/>
      <c r="I72" s="30"/>
      <c r="J72" s="162"/>
      <c r="K72" s="162"/>
      <c r="L72" s="162"/>
      <c r="M72" s="162"/>
      <c r="N72" s="162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>
      <c r="A73" s="29"/>
      <c r="B73" s="29"/>
      <c r="C73" s="29"/>
      <c r="D73" s="30"/>
      <c r="E73" s="30"/>
      <c r="F73" s="30"/>
      <c r="G73" s="30"/>
      <c r="H73" s="30"/>
      <c r="I73" s="30"/>
      <c r="J73" s="162"/>
      <c r="K73" s="162"/>
      <c r="L73" s="162"/>
      <c r="M73" s="162"/>
      <c r="N73" s="162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spans="1:24">
      <c r="A74" s="29"/>
      <c r="B74" s="29"/>
      <c r="C74" s="61" t="s">
        <v>39</v>
      </c>
      <c r="D74" s="30" t="s">
        <v>74</v>
      </c>
      <c r="E74" s="30" t="str">
        <f>$E$79</f>
        <v>$millions</v>
      </c>
      <c r="F74" s="158" t="str">
        <f t="shared" ref="F74:F77" si="13">$F$79</f>
        <v>nominal</v>
      </c>
      <c r="G74" s="32"/>
      <c r="H74" s="32"/>
      <c r="I74" s="30"/>
      <c r="J74" s="161"/>
      <c r="K74" s="161"/>
      <c r="L74" s="161"/>
      <c r="M74" s="161"/>
      <c r="N74" s="161"/>
      <c r="O74" s="161"/>
      <c r="P74" s="150"/>
      <c r="Q74" s="150"/>
      <c r="R74" s="150"/>
      <c r="S74" s="150"/>
      <c r="T74" s="150"/>
      <c r="U74" s="29"/>
      <c r="V74" s="29"/>
      <c r="W74" s="29"/>
      <c r="X74" s="29"/>
    </row>
    <row r="75" spans="1:24">
      <c r="A75" s="29"/>
      <c r="B75" s="29"/>
      <c r="C75" s="61" t="s">
        <v>189</v>
      </c>
      <c r="D75" s="30" t="s">
        <v>74</v>
      </c>
      <c r="E75" s="30" t="str">
        <f>$E$79</f>
        <v>$millions</v>
      </c>
      <c r="F75" s="158" t="str">
        <f t="shared" si="13"/>
        <v>nominal</v>
      </c>
      <c r="G75" s="32"/>
      <c r="H75" s="32"/>
      <c r="I75" s="30"/>
      <c r="J75" s="161">
        <v>17.667649999999998</v>
      </c>
      <c r="K75" s="161">
        <v>3.4766400000000002</v>
      </c>
      <c r="L75" s="161">
        <v>6.5871000000000004</v>
      </c>
      <c r="M75" s="161">
        <v>11.65239</v>
      </c>
      <c r="N75" s="161">
        <v>0</v>
      </c>
      <c r="O75" s="161">
        <v>0</v>
      </c>
      <c r="P75" s="150"/>
      <c r="Q75" s="150"/>
      <c r="R75" s="150"/>
      <c r="S75" s="150"/>
      <c r="T75" s="150"/>
      <c r="U75" s="29"/>
      <c r="V75" s="29"/>
      <c r="W75" s="29"/>
      <c r="X75" s="29"/>
    </row>
    <row r="76" spans="1:24">
      <c r="A76" s="29"/>
      <c r="B76" s="29"/>
      <c r="C76" s="61"/>
      <c r="D76" s="30" t="s">
        <v>74</v>
      </c>
      <c r="E76" s="30" t="str">
        <f>$E$79</f>
        <v>$millions</v>
      </c>
      <c r="F76" s="158" t="str">
        <f t="shared" si="13"/>
        <v>nominal</v>
      </c>
      <c r="G76" s="32"/>
      <c r="H76" s="32"/>
      <c r="I76" s="30"/>
      <c r="J76" s="161"/>
      <c r="K76" s="161"/>
      <c r="L76" s="161"/>
      <c r="M76" s="161"/>
      <c r="N76" s="161"/>
      <c r="O76" s="161"/>
      <c r="P76" s="150"/>
      <c r="Q76" s="150"/>
      <c r="R76" s="150"/>
      <c r="S76" s="150"/>
      <c r="T76" s="150"/>
      <c r="U76" s="29"/>
      <c r="V76" s="29"/>
      <c r="W76" s="29"/>
      <c r="X76" s="29"/>
    </row>
    <row r="77" spans="1:24">
      <c r="A77" s="29"/>
      <c r="B77" s="29"/>
      <c r="C77" s="61"/>
      <c r="D77" s="30" t="s">
        <v>74</v>
      </c>
      <c r="E77" s="30" t="str">
        <f>$E$79</f>
        <v>$millions</v>
      </c>
      <c r="F77" s="158" t="str">
        <f t="shared" si="13"/>
        <v>nominal</v>
      </c>
      <c r="G77" s="32"/>
      <c r="H77" s="32"/>
      <c r="I77" s="30"/>
      <c r="J77" s="161"/>
      <c r="K77" s="161"/>
      <c r="L77" s="161"/>
      <c r="M77" s="161"/>
      <c r="N77" s="161"/>
      <c r="O77" s="161"/>
      <c r="P77" s="150"/>
      <c r="Q77" s="150"/>
      <c r="R77" s="150"/>
      <c r="S77" s="150"/>
      <c r="T77" s="150"/>
      <c r="U77" s="29"/>
      <c r="V77" s="29"/>
      <c r="W77" s="29"/>
      <c r="X77" s="29"/>
    </row>
    <row r="78" spans="1:24">
      <c r="A78" s="29"/>
      <c r="B78" s="29"/>
      <c r="C78" s="111"/>
      <c r="D78" s="30"/>
      <c r="E78" s="30"/>
      <c r="F78" s="30"/>
      <c r="G78" s="32"/>
      <c r="H78" s="32"/>
      <c r="I78" s="30"/>
      <c r="J78" s="29"/>
      <c r="K78" s="29"/>
      <c r="L78" s="29"/>
      <c r="M78" s="29"/>
      <c r="N78" s="141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>
      <c r="A79" s="29"/>
      <c r="B79" s="29"/>
      <c r="C79" s="139" t="s">
        <v>158</v>
      </c>
      <c r="D79" s="140" t="s">
        <v>30</v>
      </c>
      <c r="E79" s="130" t="s">
        <v>15</v>
      </c>
      <c r="F79" s="159" t="s">
        <v>99</v>
      </c>
      <c r="G79" s="32"/>
      <c r="H79" s="32"/>
      <c r="I79" s="30"/>
      <c r="J79" s="184">
        <f>SUM(J74:J77)</f>
        <v>17.667649999999998</v>
      </c>
      <c r="K79" s="184">
        <f t="shared" ref="K79:S79" si="14">SUM(K74:K77)</f>
        <v>3.4766400000000002</v>
      </c>
      <c r="L79" s="184">
        <f t="shared" si="14"/>
        <v>6.5871000000000004</v>
      </c>
      <c r="M79" s="184">
        <f t="shared" si="14"/>
        <v>11.65239</v>
      </c>
      <c r="N79" s="184">
        <f t="shared" si="14"/>
        <v>0</v>
      </c>
      <c r="O79" s="184">
        <f t="shared" si="14"/>
        <v>0</v>
      </c>
      <c r="P79" s="184">
        <f t="shared" si="14"/>
        <v>0</v>
      </c>
      <c r="Q79" s="184">
        <f t="shared" si="14"/>
        <v>0</v>
      </c>
      <c r="R79" s="184">
        <f t="shared" si="14"/>
        <v>0</v>
      </c>
      <c r="S79" s="184">
        <f t="shared" si="14"/>
        <v>0</v>
      </c>
      <c r="T79" s="184"/>
      <c r="U79" s="29"/>
      <c r="V79" s="29"/>
      <c r="W79" s="29"/>
      <c r="X79" s="29" t="str">
        <f>IF(COUNTIF(J74:S77,"&lt;0")&gt;0,"Check","Ok")</f>
        <v>Ok</v>
      </c>
    </row>
    <row r="80" spans="1:24">
      <c r="A80" s="29"/>
      <c r="B80" s="29"/>
      <c r="C80" s="29"/>
      <c r="D80" s="30"/>
      <c r="E80" s="30"/>
      <c r="F80" s="30"/>
      <c r="G80" s="32"/>
      <c r="H80" s="32"/>
      <c r="I80" s="3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24" ht="12.75">
      <c r="A81" s="94"/>
      <c r="B81" s="95" t="s">
        <v>111</v>
      </c>
      <c r="C81" s="94"/>
      <c r="D81" s="94"/>
      <c r="E81" s="94"/>
      <c r="F81" s="96"/>
      <c r="G81" s="96"/>
      <c r="H81" s="96"/>
      <c r="I81" s="96"/>
      <c r="J81" s="97"/>
      <c r="K81" s="98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</row>
    <row r="82" spans="1:24">
      <c r="A82" s="29"/>
      <c r="B82" s="29"/>
      <c r="C82" s="29"/>
      <c r="D82" s="30"/>
      <c r="E82" s="30"/>
      <c r="F82" s="30"/>
      <c r="G82" s="30"/>
      <c r="H82" s="30"/>
      <c r="I82" s="3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>
      <c r="A83" s="29"/>
      <c r="B83" s="29"/>
      <c r="C83" s="67" t="s">
        <v>112</v>
      </c>
      <c r="D83" s="32" t="s">
        <v>7</v>
      </c>
      <c r="E83" s="32" t="s">
        <v>8</v>
      </c>
      <c r="F83" s="32" t="s">
        <v>22</v>
      </c>
      <c r="G83" s="32"/>
      <c r="H83" s="32"/>
      <c r="I83" s="32"/>
      <c r="J83" s="156"/>
      <c r="K83" s="156"/>
      <c r="L83" s="156"/>
      <c r="M83" s="156"/>
      <c r="N83" s="156"/>
      <c r="O83" s="156">
        <f>O4</f>
        <v>44348</v>
      </c>
      <c r="P83" s="156"/>
      <c r="Q83" s="156"/>
      <c r="R83" s="156"/>
      <c r="S83" s="156"/>
      <c r="T83" s="156"/>
      <c r="U83" s="29"/>
      <c r="V83" s="29"/>
      <c r="W83" s="29"/>
      <c r="X83" s="29"/>
    </row>
    <row r="84" spans="1:24">
      <c r="A84" s="29"/>
      <c r="B84" s="29"/>
      <c r="C84" s="67"/>
      <c r="D84" s="32"/>
      <c r="E84" s="32"/>
      <c r="F84" s="32"/>
      <c r="G84" s="32"/>
      <c r="H84" s="32"/>
      <c r="I84" s="32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29"/>
      <c r="V84" s="29"/>
      <c r="W84" s="29"/>
      <c r="X84" s="29"/>
    </row>
    <row r="85" spans="1:24">
      <c r="A85" s="29"/>
      <c r="B85" s="29"/>
      <c r="C85" s="61" t="s">
        <v>210</v>
      </c>
      <c r="D85" s="30" t="s">
        <v>34</v>
      </c>
      <c r="E85" s="30" t="str">
        <f>$E$79</f>
        <v>$millions</v>
      </c>
      <c r="F85" s="169">
        <v>44348</v>
      </c>
      <c r="G85" s="32"/>
      <c r="H85" s="32"/>
      <c r="I85" s="32"/>
      <c r="J85" s="161"/>
      <c r="K85" s="161"/>
      <c r="L85" s="161"/>
      <c r="M85" s="161"/>
      <c r="N85" s="161"/>
      <c r="O85" s="161">
        <v>1.560171673556775</v>
      </c>
      <c r="P85" s="161"/>
      <c r="Q85" s="161"/>
      <c r="R85" s="161"/>
      <c r="S85" s="161"/>
      <c r="T85" s="161"/>
      <c r="U85" s="29"/>
      <c r="V85" s="142"/>
      <c r="W85" s="142"/>
      <c r="X85" s="29"/>
    </row>
    <row r="86" spans="1:24">
      <c r="A86" s="29"/>
      <c r="B86" s="29"/>
      <c r="C86" s="61" t="s">
        <v>212</v>
      </c>
      <c r="D86" s="30" t="s">
        <v>34</v>
      </c>
      <c r="E86" s="30" t="str">
        <f t="shared" ref="E86:E91" si="15">$E$79</f>
        <v>$millions</v>
      </c>
      <c r="F86" s="169">
        <v>44348</v>
      </c>
      <c r="G86" s="32"/>
      <c r="H86" s="32"/>
      <c r="I86" s="32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24"/>
      <c r="V86" s="142"/>
      <c r="W86" s="142"/>
      <c r="X86" s="29"/>
    </row>
    <row r="87" spans="1:24">
      <c r="A87" s="29"/>
      <c r="B87" s="29"/>
      <c r="C87" s="61" t="s">
        <v>113</v>
      </c>
      <c r="D87" s="30" t="s">
        <v>34</v>
      </c>
      <c r="E87" s="30" t="str">
        <f t="shared" si="15"/>
        <v>$millions</v>
      </c>
      <c r="F87" s="169">
        <v>44348</v>
      </c>
      <c r="G87" s="32"/>
      <c r="H87" s="32"/>
      <c r="I87" s="32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24"/>
      <c r="V87" s="142"/>
      <c r="W87" s="142"/>
      <c r="X87" s="29"/>
    </row>
    <row r="88" spans="1:24">
      <c r="A88" s="29"/>
      <c r="B88" s="29"/>
      <c r="C88" s="61" t="s">
        <v>114</v>
      </c>
      <c r="D88" s="30" t="s">
        <v>34</v>
      </c>
      <c r="E88" s="30" t="str">
        <f t="shared" si="15"/>
        <v>$millions</v>
      </c>
      <c r="F88" s="169">
        <v>44348</v>
      </c>
      <c r="G88" s="32"/>
      <c r="H88" s="32"/>
      <c r="I88" s="32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24"/>
      <c r="V88" s="142"/>
      <c r="W88" s="142"/>
      <c r="X88" s="29"/>
    </row>
    <row r="89" spans="1:24">
      <c r="A89" s="29"/>
      <c r="B89" s="29"/>
      <c r="C89" s="61" t="s">
        <v>115</v>
      </c>
      <c r="D89" s="30" t="s">
        <v>34</v>
      </c>
      <c r="E89" s="30" t="str">
        <f t="shared" si="15"/>
        <v>$millions</v>
      </c>
      <c r="F89" s="169">
        <v>44348</v>
      </c>
      <c r="G89" s="32"/>
      <c r="H89" s="32"/>
      <c r="I89" s="32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24"/>
      <c r="V89" s="142"/>
      <c r="W89" s="142"/>
      <c r="X89" s="29"/>
    </row>
    <row r="90" spans="1:24" s="102" customFormat="1">
      <c r="A90" s="195"/>
      <c r="B90" s="195"/>
      <c r="C90" s="196"/>
      <c r="D90" s="105"/>
      <c r="E90" s="105"/>
      <c r="F90" s="197"/>
      <c r="G90" s="198"/>
      <c r="H90" s="198"/>
      <c r="I90" s="198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04"/>
      <c r="V90" s="162"/>
      <c r="W90" s="162"/>
      <c r="X90" s="195"/>
    </row>
    <row r="91" spans="1:24">
      <c r="A91" s="29"/>
      <c r="B91" s="29"/>
      <c r="C91" s="61" t="s">
        <v>179</v>
      </c>
      <c r="D91" s="30" t="s">
        <v>34</v>
      </c>
      <c r="E91" s="30" t="str">
        <f t="shared" si="15"/>
        <v>$millions</v>
      </c>
      <c r="F91" s="169">
        <v>44348</v>
      </c>
      <c r="G91" s="32"/>
      <c r="H91" s="32"/>
      <c r="I91" s="32"/>
      <c r="J91" s="161"/>
      <c r="K91" s="161"/>
      <c r="L91" s="161"/>
      <c r="M91" s="161"/>
      <c r="N91" s="161"/>
      <c r="O91" s="161">
        <v>-4.3578307413102673</v>
      </c>
      <c r="P91" s="161"/>
      <c r="Q91" s="161"/>
      <c r="R91" s="161"/>
      <c r="S91" s="161"/>
      <c r="T91" s="161"/>
      <c r="U91" s="124"/>
      <c r="V91" s="142"/>
      <c r="W91" s="142"/>
      <c r="X91" s="29"/>
    </row>
    <row r="92" spans="1:24" s="102" customFormat="1">
      <c r="A92" s="195"/>
      <c r="B92" s="195"/>
      <c r="C92" s="196"/>
      <c r="D92" s="105"/>
      <c r="E92" s="105"/>
      <c r="F92" s="197"/>
      <c r="G92" s="198"/>
      <c r="H92" s="198"/>
      <c r="I92" s="198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04"/>
      <c r="V92" s="162"/>
      <c r="W92" s="162"/>
      <c r="X92" s="195"/>
    </row>
    <row r="93" spans="1:24">
      <c r="A93" s="29"/>
      <c r="B93" s="29"/>
      <c r="C93" s="61" t="s">
        <v>88</v>
      </c>
      <c r="D93" s="30" t="s">
        <v>34</v>
      </c>
      <c r="E93" s="30" t="s">
        <v>31</v>
      </c>
      <c r="F93" s="32"/>
      <c r="G93" s="32"/>
      <c r="H93" s="32"/>
      <c r="I93" s="32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124"/>
      <c r="V93" s="142"/>
      <c r="W93" s="142"/>
      <c r="X93" s="29"/>
    </row>
    <row r="94" spans="1:24">
      <c r="A94" s="29"/>
      <c r="B94" s="29"/>
      <c r="C94" s="111"/>
      <c r="D94" s="30"/>
      <c r="E94" s="30"/>
      <c r="F94" s="30"/>
      <c r="G94" s="32"/>
      <c r="H94" s="32"/>
      <c r="I94" s="30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</row>
    <row r="95" spans="1:24" ht="12.75">
      <c r="A95" s="94"/>
      <c r="B95" s="95" t="s">
        <v>21</v>
      </c>
      <c r="C95" s="94"/>
      <c r="D95" s="94"/>
      <c r="E95" s="94"/>
      <c r="F95" s="96"/>
      <c r="G95" s="96"/>
      <c r="H95" s="96"/>
      <c r="I95" s="96"/>
      <c r="J95" s="97"/>
      <c r="K95" s="98"/>
      <c r="L95" s="97"/>
      <c r="M95" s="98"/>
      <c r="N95" s="97"/>
      <c r="O95" s="97"/>
      <c r="P95" s="97"/>
      <c r="Q95" s="97"/>
      <c r="R95" s="97"/>
      <c r="S95" s="97"/>
      <c r="T95" s="97"/>
      <c r="U95" s="97"/>
      <c r="V95" s="97"/>
      <c r="W95" s="98"/>
      <c r="X95" s="98"/>
    </row>
  </sheetData>
  <conditionalFormatting sqref="X60 X74:X77 X64:X68">
    <cfRule type="cellIs" dxfId="232" priority="53" operator="equal">
      <formula>"Check"</formula>
    </cfRule>
    <cfRule type="cellIs" dxfId="231" priority="54" operator="equal">
      <formula>"Ok"</formula>
    </cfRule>
  </conditionalFormatting>
  <conditionalFormatting sqref="X79">
    <cfRule type="cellIs" dxfId="230" priority="51" operator="equal">
      <formula>"Check"</formula>
    </cfRule>
    <cfRule type="cellIs" dxfId="229" priority="52" operator="equal">
      <formula>"Ok"</formula>
    </cfRule>
  </conditionalFormatting>
  <conditionalFormatting sqref="X15">
    <cfRule type="cellIs" dxfId="228" priority="49" operator="equal">
      <formula>"Check"</formula>
    </cfRule>
    <cfRule type="cellIs" dxfId="227" priority="50" operator="equal">
      <formula>"Ok"</formula>
    </cfRule>
  </conditionalFormatting>
  <conditionalFormatting sqref="W1">
    <cfRule type="cellIs" dxfId="226" priority="47" operator="equal">
      <formula>"Check"</formula>
    </cfRule>
    <cfRule type="cellIs" dxfId="225" priority="48" operator="equal">
      <formula>"Ok"</formula>
    </cfRule>
  </conditionalFormatting>
  <conditionalFormatting sqref="S1:T1">
    <cfRule type="cellIs" dxfId="224" priority="45" operator="equal">
      <formula>"Check"</formula>
    </cfRule>
    <cfRule type="cellIs" dxfId="223" priority="46" operator="equal">
      <formula>"Ok"</formula>
    </cfRule>
  </conditionalFormatting>
  <conditionalFormatting sqref="J15:T15">
    <cfRule type="cellIs" dxfId="222" priority="44" operator="equal">
      <formula>0</formula>
    </cfRule>
  </conditionalFormatting>
  <conditionalFormatting sqref="J79:S79">
    <cfRule type="cellIs" dxfId="221" priority="43" operator="equal">
      <formula>0</formula>
    </cfRule>
  </conditionalFormatting>
  <conditionalFormatting sqref="X71:X73">
    <cfRule type="cellIs" dxfId="220" priority="41" operator="equal">
      <formula>"Check"</formula>
    </cfRule>
    <cfRule type="cellIs" dxfId="219" priority="42" operator="equal">
      <formula>"Ok"</formula>
    </cfRule>
  </conditionalFormatting>
  <conditionalFormatting sqref="J56:T56 N60:T60 J74:S77 J64:T68">
    <cfRule type="expression" dxfId="218" priority="39">
      <formula>J$57=J$4</formula>
    </cfRule>
  </conditionalFormatting>
  <conditionalFormatting sqref="P13:T13 J19:T27">
    <cfRule type="expression" dxfId="217" priority="38">
      <formula>J$10=J$4</formula>
    </cfRule>
  </conditionalFormatting>
  <conditionalFormatting sqref="J60:O60">
    <cfRule type="expression" dxfId="216" priority="35">
      <formula>J$10=J$4</formula>
    </cfRule>
  </conditionalFormatting>
  <conditionalFormatting sqref="X70">
    <cfRule type="cellIs" dxfId="215" priority="33" operator="equal">
      <formula>"Check"</formula>
    </cfRule>
    <cfRule type="cellIs" dxfId="214" priority="34" operator="equal">
      <formula>"Ok"</formula>
    </cfRule>
  </conditionalFormatting>
  <conditionalFormatting sqref="J70:S70">
    <cfRule type="cellIs" dxfId="213" priority="31" operator="equal">
      <formula>0</formula>
    </cfRule>
  </conditionalFormatting>
  <conditionalFormatting sqref="J91:T91 J93:T93 J85:T89">
    <cfRule type="expression" dxfId="212" priority="30">
      <formula>J$83=J$4</formula>
    </cfRule>
  </conditionalFormatting>
  <conditionalFormatting sqref="X29">
    <cfRule type="cellIs" dxfId="211" priority="26" operator="equal">
      <formula>"Check"</formula>
    </cfRule>
    <cfRule type="cellIs" dxfId="210" priority="27" operator="equal">
      <formula>"Ok"</formula>
    </cfRule>
  </conditionalFormatting>
  <conditionalFormatting sqref="J29:T29">
    <cfRule type="cellIs" dxfId="209" priority="25" operator="equal">
      <formula>0</formula>
    </cfRule>
  </conditionalFormatting>
  <conditionalFormatting sqref="N13">
    <cfRule type="expression" dxfId="208" priority="22">
      <formula>N$57=N$4</formula>
    </cfRule>
  </conditionalFormatting>
  <conditionalFormatting sqref="J13:N13">
    <cfRule type="expression" dxfId="207" priority="21">
      <formula>J$10=J$4</formula>
    </cfRule>
  </conditionalFormatting>
  <conditionalFormatting sqref="O60">
    <cfRule type="expression" dxfId="206" priority="19">
      <formula>O$10=O$4</formula>
    </cfRule>
  </conditionalFormatting>
  <conditionalFormatting sqref="T79">
    <cfRule type="cellIs" dxfId="205" priority="18" operator="equal">
      <formula>0</formula>
    </cfRule>
  </conditionalFormatting>
  <conditionalFormatting sqref="T74:T77">
    <cfRule type="expression" dxfId="204" priority="17">
      <formula>T$57=T$4</formula>
    </cfRule>
  </conditionalFormatting>
  <conditionalFormatting sqref="T70">
    <cfRule type="cellIs" dxfId="203" priority="16" operator="equal">
      <formula>0</formula>
    </cfRule>
  </conditionalFormatting>
  <conditionalFormatting sqref="O12:O13">
    <cfRule type="expression" dxfId="202" priority="14">
      <formula>O$10=O$4</formula>
    </cfRule>
  </conditionalFormatting>
  <conditionalFormatting sqref="X38">
    <cfRule type="cellIs" dxfId="201" priority="12" operator="equal">
      <formula>"Check"</formula>
    </cfRule>
    <cfRule type="cellIs" dxfId="200" priority="13" operator="equal">
      <formula>"Ok"</formula>
    </cfRule>
  </conditionalFormatting>
  <conditionalFormatting sqref="J38:T38">
    <cfRule type="cellIs" dxfId="199" priority="11" operator="equal">
      <formula>0</formula>
    </cfRule>
  </conditionalFormatting>
  <conditionalFormatting sqref="J42:N50 P42:T50">
    <cfRule type="expression" dxfId="198" priority="10">
      <formula>J$33=J$4</formula>
    </cfRule>
  </conditionalFormatting>
  <conditionalFormatting sqref="X52">
    <cfRule type="cellIs" dxfId="197" priority="8" operator="equal">
      <formula>"Check"</formula>
    </cfRule>
    <cfRule type="cellIs" dxfId="196" priority="9" operator="equal">
      <formula>"Ok"</formula>
    </cfRule>
  </conditionalFormatting>
  <conditionalFormatting sqref="J52:T52">
    <cfRule type="cellIs" dxfId="195" priority="7" operator="equal">
      <formula>0</formula>
    </cfRule>
  </conditionalFormatting>
  <conditionalFormatting sqref="J36">
    <cfRule type="expression" dxfId="194" priority="5">
      <formula>J$33=J$4</formula>
    </cfRule>
  </conditionalFormatting>
  <conditionalFormatting sqref="O35">
    <cfRule type="expression" dxfId="193" priority="4">
      <formula>O$10=O$4</formula>
    </cfRule>
  </conditionalFormatting>
  <conditionalFormatting sqref="K36:T36">
    <cfRule type="expression" dxfId="192" priority="2">
      <formula>K$33=K$4</formula>
    </cfRule>
  </conditionalFormatting>
  <conditionalFormatting sqref="O42:O50">
    <cfRule type="expression" dxfId="191" priority="1">
      <formula>O$33=O$4</formula>
    </cfRule>
  </conditionalFormatting>
  <dataValidations count="1">
    <dataValidation type="list" allowBlank="1" showInputMessage="1" showErrorMessage="1" sqref="J56:T56">
      <formula1>"Actual,Estimate"</formula1>
    </dataValidation>
  </dataValidations>
  <hyperlinks>
    <hyperlink ref="V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'Lookup|Tables'!$H$41:$H$60</xm:f>
          </x14:formula1>
          <xm:sqref>F15 F29 F13 F85:F92 F38 F52 F36</xm:sqref>
        </x14:dataValidation>
        <x14:dataValidation type="list" allowBlank="1" showInputMessage="1" showErrorMessage="1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>
          <x14:formula1>
            <xm:f>'Lookup|Tables'!$H$41:$H$61</xm:f>
          </x14:formula1>
          <xm:sqref>F60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87"/>
  <sheetViews>
    <sheetView showGridLines="0" topLeftCell="E7" workbookViewId="0">
      <selection activeCell="H27" sqref="H27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IF(COUNTIF(W5:W110,"Check")=0,"Ok","Check")</f>
        <v>Check</v>
      </c>
      <c r="V1" s="185" t="s">
        <v>24</v>
      </c>
      <c r="W1" s="76" t="str">
        <f>'Check|List'!$S$1</f>
        <v>Check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0"/>
      <c r="E3" s="180"/>
      <c r="F3" s="180"/>
      <c r="G3" s="180"/>
      <c r="H3" s="180"/>
      <c r="I3" s="180"/>
      <c r="J3" s="155" t="s">
        <v>120</v>
      </c>
      <c r="K3" s="226"/>
      <c r="L3" s="226"/>
      <c r="M3" s="226"/>
      <c r="N3" s="180"/>
      <c r="O3" s="226"/>
      <c r="P3" s="226"/>
      <c r="Q3" s="226"/>
      <c r="R3" s="226"/>
      <c r="S3" s="226"/>
      <c r="T3" s="226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42339</v>
      </c>
      <c r="K4" s="218">
        <f>DATE(PPFirstYear,MONTH('Input|General'!$G$9),1)</f>
        <v>42705</v>
      </c>
      <c r="L4" s="218">
        <f>DATE(PPFirstYear+1,MONTH('Input|General'!$G$9),1)</f>
        <v>43070</v>
      </c>
      <c r="M4" s="218">
        <f>DATE(PPFirstYear+2,MONTH('Input|General'!$G$9),1)</f>
        <v>43435</v>
      </c>
      <c r="N4" s="218">
        <f>DATE(PPFirstYear+3,MONTH('Input|General'!$G$9),1)</f>
        <v>43800</v>
      </c>
      <c r="O4" s="218">
        <f>DATE(PPFirstYear+4,MONTH('Input|General'!$G$9),1)</f>
        <v>44166</v>
      </c>
      <c r="P4" s="218">
        <f>DATE(PPFirstYear+5,MONTH('Input|General'!$G$10),1)</f>
        <v>44348</v>
      </c>
      <c r="Q4" s="218">
        <f>DATE(PPFirstYear+6,MONTH('Input|General'!$G$10),1)</f>
        <v>44713</v>
      </c>
      <c r="R4" s="218">
        <f>DATE(PPFirstYear+7,MONTH('Input|General'!$G$10),1)</f>
        <v>45078</v>
      </c>
      <c r="S4" s="218">
        <f>DATE(PPFirstYear+8,MONTH('Input|General'!$G$10),1)</f>
        <v>45444</v>
      </c>
      <c r="T4" s="218">
        <f>DATE(PPFirstYear+9,MONTH('Input|General'!$G$10),1)</f>
        <v>45809</v>
      </c>
      <c r="U4" s="218">
        <f>DATE(PPFirstYear+10,MONTH('Input|General'!$G$10),1)</f>
        <v>46174</v>
      </c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>J4</f>
        <v>42339</v>
      </c>
      <c r="K10" s="156">
        <f t="shared" ref="K10:P10" si="0">K4</f>
        <v>42705</v>
      </c>
      <c r="L10" s="156">
        <f t="shared" si="0"/>
        <v>43070</v>
      </c>
      <c r="M10" s="156">
        <f t="shared" si="0"/>
        <v>43435</v>
      </c>
      <c r="N10" s="156">
        <f t="shared" si="0"/>
        <v>43800</v>
      </c>
      <c r="O10" s="156">
        <f t="shared" si="0"/>
        <v>44166</v>
      </c>
      <c r="P10" s="156">
        <f t="shared" si="0"/>
        <v>44348</v>
      </c>
      <c r="Q10" s="156"/>
      <c r="R10" s="156"/>
      <c r="S10" s="156"/>
      <c r="T10" s="156"/>
      <c r="U10" s="156"/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</row>
    <row r="12" spans="1:50" ht="11.25" customHeight="1" outlineLevel="1">
      <c r="C12" s="111" t="s">
        <v>33</v>
      </c>
      <c r="D12" s="144" t="s">
        <v>97</v>
      </c>
      <c r="E12" s="30" t="str">
        <f>percent</f>
        <v>Per cent</v>
      </c>
      <c r="J12" s="143">
        <f>IF(J10=J4,LOOKUP(EOMONTH(J4,0),'Input|Inflation'!$C$9:$C$84,'Input|Inflation'!$G$9:$G$84),"")</f>
        <v>1.6885553470919357E-2</v>
      </c>
      <c r="K12" s="143">
        <f>IF(K10=K4,LOOKUP(EOMONTH(K4,0),'Input|Inflation'!$C$9:$C$84,'Input|Inflation'!$G$9:$G$84),"")</f>
        <v>1.4760147601476037E-2</v>
      </c>
      <c r="L12" s="143">
        <f>IF(L10=L4,LOOKUP(EOMONTH(L4,0),'Input|Inflation'!$C$9:$C$84,'Input|Inflation'!$G$9:$G$84),"")</f>
        <v>1.9090909090909047E-2</v>
      </c>
      <c r="M12" s="143">
        <f>IF(M10=M4,LOOKUP(EOMONTH(M4,0),'Input|Inflation'!$C$9:$C$84,'Input|Inflation'!$G$9:$G$84),"")</f>
        <v>1.7841213202497874E-2</v>
      </c>
      <c r="N12" s="143">
        <f>IF(N10=N4,LOOKUP(EOMONTH(N4,0),'Input|Inflation'!$C$9:$C$84,'Input|Inflation'!$G$9:$G$84),"")</f>
        <v>1.8404907975460238E-2</v>
      </c>
      <c r="O12" s="143">
        <f>IF(O10=O4,LOOKUP(EOMONTH(O4,0),'Input|Inflation'!$C$9:$C$84,'Input|Inflation'!$G$9:$G$84),"")</f>
        <v>1.2499999999999956E-2</v>
      </c>
      <c r="P12" s="143">
        <f>IF(P10=P4,LOOKUP(EOMONTH(P4,0),'Input|Inflation'!$C$9:$C$84,'Input|Inflation'!$G$9:$G$84),"")</f>
        <v>1.5256794373259552E-3</v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3" t="str">
        <f>IF(U10=U4,LOOKUP(EOMONTH(U4,0),'Input|Inflation'!$C$9:$C$84,'Input|Inflation'!$G$9:$G$84),"")</f>
        <v/>
      </c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98</v>
      </c>
      <c r="I14" s="29"/>
      <c r="J14" s="156">
        <f>J4</f>
        <v>42339</v>
      </c>
      <c r="K14" s="156">
        <f t="shared" ref="K14:P14" si="1">K4</f>
        <v>42705</v>
      </c>
      <c r="L14" s="156">
        <f t="shared" si="1"/>
        <v>43070</v>
      </c>
      <c r="M14" s="156">
        <f t="shared" si="1"/>
        <v>43435</v>
      </c>
      <c r="N14" s="156">
        <f t="shared" si="1"/>
        <v>43800</v>
      </c>
      <c r="O14" s="156">
        <f t="shared" si="1"/>
        <v>44166</v>
      </c>
      <c r="P14" s="156">
        <f t="shared" si="1"/>
        <v>44348</v>
      </c>
      <c r="Q14" s="156"/>
      <c r="R14" s="156"/>
      <c r="S14" s="156"/>
      <c r="T14" s="156"/>
      <c r="U14" s="156"/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0" ht="11.25" customHeight="1" outlineLevel="1">
      <c r="C16" s="163">
        <f t="array" ref="C16:C22">TRANSPOSE(J10:P10)</f>
        <v>42339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O16" si="3">IF(AND($C16&gt;J$14,ISNONTEXT($C16)),K16/(1+K$12),IF(AND($C16=J$14,J$14=J$4),1,IF(AND($C16&lt;J$14,J$14=J$4),I16*(1+J$12),0)))</f>
        <v>1</v>
      </c>
      <c r="K16" s="22">
        <f t="shared" si="3"/>
        <v>1.014760147601476</v>
      </c>
      <c r="L16" s="22">
        <f t="shared" si="3"/>
        <v>1.0341328413284132</v>
      </c>
      <c r="M16" s="22">
        <f t="shared" si="3"/>
        <v>1.0525830258302584</v>
      </c>
      <c r="N16" s="22">
        <f t="shared" si="3"/>
        <v>1.0719557195571958</v>
      </c>
      <c r="O16" s="22">
        <f t="shared" si="3"/>
        <v>1.0853551660516607</v>
      </c>
      <c r="P16" s="22">
        <f t="shared" ref="P16" si="4">IF(AND($C16&gt;P$14,ISNONTEXT($C16)),Q16/(1+P$12),IF(AND($C16=P$14,P$14=P$4),1,IF(AND($C16&lt;P$14,P$14=P$4),O16*(1+P$12),0)))</f>
        <v>1.0870110701107012</v>
      </c>
      <c r="Q16" s="206"/>
      <c r="R16" s="206"/>
      <c r="S16" s="206"/>
      <c r="T16" s="206"/>
      <c r="U16" s="206"/>
    </row>
    <row r="17" spans="3:22" ht="11.25" customHeight="1" outlineLevel="1">
      <c r="C17" s="163">
        <v>42705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O17" si="6">IF(AND($C17&gt;J$14,ISNONTEXT($C17)),K17/(1+K$12),IF(AND($C17=J$14,J$14=J$4),1,IF(AND($C17&lt;J$14,J$14=J$4),I17*(1+J$12),0)))</f>
        <v>0.98545454545454547</v>
      </c>
      <c r="K17" s="22">
        <f t="shared" si="6"/>
        <v>1</v>
      </c>
      <c r="L17" s="22">
        <f t="shared" si="6"/>
        <v>1.019090909090909</v>
      </c>
      <c r="M17" s="22">
        <f t="shared" si="6"/>
        <v>1.0372727272727273</v>
      </c>
      <c r="N17" s="22">
        <f t="shared" si="6"/>
        <v>1.0563636363636366</v>
      </c>
      <c r="O17" s="22">
        <f t="shared" si="6"/>
        <v>1.0695681818181819</v>
      </c>
      <c r="P17" s="22">
        <f t="shared" ref="P17" si="7">IF(AND($C17&gt;P$14,ISNONTEXT($C17)),Q17/(1+P$12),IF(AND($C17=P$14,P$14=P$4),1,IF(AND($C17&lt;P$14,P$14=P$4),O17*(1+P$12),0)))</f>
        <v>1.0711999999999999</v>
      </c>
      <c r="Q17" s="206"/>
      <c r="R17" s="206"/>
      <c r="S17" s="206"/>
      <c r="T17" s="206"/>
      <c r="U17" s="206"/>
    </row>
    <row r="18" spans="3:22" ht="11.25" customHeight="1" outlineLevel="1">
      <c r="C18" s="163">
        <v>43070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O18" si="8">IF(AND($C18&gt;J$14,ISNONTEXT($C18)),K18/(1+K$12),IF(AND($C18=J$14,J$14=J$4),1,IF(AND($C18&lt;J$14,J$14=J$4),I18*(1+J$12),0)))</f>
        <v>0.96699375557537914</v>
      </c>
      <c r="K18" s="22">
        <f t="shared" si="8"/>
        <v>0.98126672613737742</v>
      </c>
      <c r="L18" s="22">
        <f t="shared" si="8"/>
        <v>1</v>
      </c>
      <c r="M18" s="22">
        <f t="shared" si="8"/>
        <v>1.0178412132024979</v>
      </c>
      <c r="N18" s="22">
        <f t="shared" si="8"/>
        <v>1.0365744870651206</v>
      </c>
      <c r="O18" s="22">
        <f t="shared" si="8"/>
        <v>1.0495316681534346</v>
      </c>
      <c r="P18" s="22">
        <f t="shared" ref="P18" si="9">IF(AND($C18&gt;P$14,ISNONTEXT($C18)),Q18/(1+P$12),IF(AND($C18=P$14,P$14=P$4),1,IF(AND($C18&lt;P$14,P$14=P$4),O18*(1+P$12),0)))</f>
        <v>1.0511329170383588</v>
      </c>
      <c r="Q18" s="206"/>
      <c r="R18" s="206"/>
      <c r="S18" s="206"/>
      <c r="T18" s="206"/>
      <c r="U18" s="206"/>
    </row>
    <row r="19" spans="3:22" ht="11.25" customHeight="1" outlineLevel="1">
      <c r="C19" s="163">
        <v>43435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O19" si="10">IF(AND($C19&gt;J$14,ISNONTEXT($C19)),K19/(1+K$12),IF(AND($C19=J$14,J$14=J$4),1,IF(AND($C19&lt;J$14,J$14=J$4),I19*(1+J$12),0)))</f>
        <v>0.95004382120946529</v>
      </c>
      <c r="K19" s="22">
        <f t="shared" si="10"/>
        <v>0.9640666082383873</v>
      </c>
      <c r="L19" s="22">
        <f t="shared" si="10"/>
        <v>0.98247151621384743</v>
      </c>
      <c r="M19" s="22">
        <f t="shared" si="10"/>
        <v>1</v>
      </c>
      <c r="N19" s="22">
        <f t="shared" si="10"/>
        <v>1.0184049079754602</v>
      </c>
      <c r="O19" s="22">
        <f t="shared" si="10"/>
        <v>1.0311349693251535</v>
      </c>
      <c r="P19" s="22">
        <f t="shared" ref="P19" si="11">IF(AND($C19&gt;P$14,ISNONTEXT($C19)),Q19/(1+P$12),IF(AND($C19=P$14,P$14=P$4),1,IF(AND($C19&lt;P$14,P$14=P$4),O19*(1+P$12),0)))</f>
        <v>1.0327081507449607</v>
      </c>
      <c r="Q19" s="206"/>
      <c r="R19" s="206"/>
      <c r="S19" s="206"/>
      <c r="T19" s="206"/>
      <c r="U19" s="206"/>
    </row>
    <row r="20" spans="3:22" ht="11.25" customHeight="1" outlineLevel="1">
      <c r="C20" s="163">
        <v>43800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0.93287435456110135</v>
      </c>
      <c r="K20" s="22">
        <f t="shared" ref="K20:O20" si="12">IF(AND($C20&gt;K$14,ISNONTEXT($C20)),L20/(1+L$12),IF(AND($C20=K$14,K$14=K$4),1,IF(AND($C20&lt;K$14,K$14=K$4),J20*(1+K$12),0)))</f>
        <v>0.94664371772805489</v>
      </c>
      <c r="L20" s="22">
        <f t="shared" si="12"/>
        <v>0.9647160068846814</v>
      </c>
      <c r="M20" s="22">
        <f t="shared" si="12"/>
        <v>0.98192771084337338</v>
      </c>
      <c r="N20" s="22">
        <f t="shared" si="12"/>
        <v>1</v>
      </c>
      <c r="O20" s="22">
        <f t="shared" si="12"/>
        <v>1.0125</v>
      </c>
      <c r="P20" s="22">
        <f t="shared" ref="P20" si="13">IF(AND($C20&gt;P$14,ISNONTEXT($C20)),Q20/(1+P$12),IF(AND($C20=P$14,P$14=P$4),1,IF(AND($C20&lt;P$14,P$14=P$4),O20*(1+P$12),0)))</f>
        <v>1.0140447504302925</v>
      </c>
      <c r="Q20" s="206"/>
      <c r="R20" s="206"/>
      <c r="S20" s="206"/>
      <c r="T20" s="206"/>
      <c r="U20" s="206"/>
    </row>
    <row r="21" spans="3:22" ht="11.25" customHeight="1" outlineLevel="1">
      <c r="C21" s="163">
        <v>44166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0.92135738722084093</v>
      </c>
      <c r="K21" s="22">
        <f t="shared" ref="K21" si="14">IF(AND($C21&gt;K$14,ISNONTEXT($C21)),L21/(1+L$12),IF(AND($C21=K$14,K$14=K$4),1,IF(AND($C21&lt;K$14,K$14=K$4),J21*(1+K$12),0)))</f>
        <v>0.93495675824993085</v>
      </c>
      <c r="L21" s="22">
        <f t="shared" ref="L21" si="15">IF(AND($C21&gt;L$14,ISNONTEXT($C21)),M21/(1+M$12),IF(AND($C21=L$14,L$14=L$4),1,IF(AND($C21&lt;L$14,L$14=L$4),K21*(1+L$12),0)))</f>
        <v>0.95280593272561132</v>
      </c>
      <c r="M21" s="22">
        <f t="shared" ref="M21" si="16">IF(AND($C21&gt;M$14,ISNONTEXT($C21)),N21/(1+N$12),IF(AND($C21=M$14,M$14=M$4),1,IF(AND($C21&lt;M$14,M$14=M$4),L21*(1+M$12),0)))</f>
        <v>0.9698051465119738</v>
      </c>
      <c r="N21" s="22">
        <f t="shared" ref="N21:O21" si="17">IF(AND($C21&gt;N$14,ISNONTEXT($C21)),O21/(1+O$12),IF(AND($C21=N$14,N$14=N$4),1,IF(AND($C21&lt;N$14,N$14=N$4),M21*(1+N$12),0)))</f>
        <v>0.98765432098765438</v>
      </c>
      <c r="O21" s="22">
        <f t="shared" si="17"/>
        <v>1</v>
      </c>
      <c r="P21" s="22">
        <f t="shared" ref="P21" si="18">IF(AND($C21&gt;P$14,ISNONTEXT($C21)),Q21/(1+P$12),IF(AND($C21=P$14,P$14=P$4),1,IF(AND($C21&lt;P$14,P$14=P$4),O21*(1+P$12),0)))</f>
        <v>1.001525679437326</v>
      </c>
      <c r="Q21" s="206"/>
      <c r="R21" s="206"/>
      <c r="S21" s="206"/>
      <c r="T21" s="206"/>
      <c r="U21" s="206"/>
    </row>
    <row r="22" spans="3:22" ht="11.25" customHeight="1" outlineLevel="1">
      <c r="C22" s="163">
        <v>44348</v>
      </c>
      <c r="D22" s="144" t="str">
        <f>IF(ISNONTEXT($C22),"calculated","")</f>
        <v>calculated</v>
      </c>
      <c r="E22" s="30" t="str">
        <f t="shared" si="5"/>
        <v>index</v>
      </c>
      <c r="I22" s="22"/>
      <c r="J22" s="22">
        <f>IF(AND($C22&gt;J$14,ISNONTEXT($C22)),K22/(1+K$12),IF(AND($C22=J$14,J$14=J$4),1,IF(AND($C22&lt;J$14,J$14=J$4),I22*(1+J$12),0)))</f>
        <v>0.91995383257519159</v>
      </c>
      <c r="K22" s="22">
        <f t="shared" ref="K22" si="19">IF(AND($C22&gt;K$14,ISNONTEXT($C22)),L22/(1+L$12),IF(AND($C22=K$14,K$14=K$4),1,IF(AND($C22&lt;K$14,K$14=K$4),J22*(1+K$12),0)))</f>
        <v>0.93353248693054502</v>
      </c>
      <c r="L22" s="22">
        <f t="shared" ref="L22" si="20">IF(AND($C22&gt;L$14,ISNONTEXT($C22)),M22/(1+M$12),IF(AND($C22=L$14,L$14=L$4),1,IF(AND($C22&lt;L$14,L$14=L$4),K22*(1+L$12),0)))</f>
        <v>0.95135447077194635</v>
      </c>
      <c r="M22" s="22">
        <f t="shared" ref="M22" si="21">IF(AND($C22&gt;M$14,ISNONTEXT($C22)),N22/(1+N$12),IF(AND($C22=M$14,M$14=M$4),1,IF(AND($C22&lt;M$14,M$14=M$4),L22*(1+M$12),0)))</f>
        <v>0.96832778871613823</v>
      </c>
      <c r="N22" s="22">
        <f t="shared" ref="N22:O22" si="22">IF(AND($C22&gt;N$14,ISNONTEXT($C22)),O22/(1+O$12),IF(AND($C22=N$14,N$14=N$4),1,IF(AND($C22&lt;N$14,N$14=N$4),M22*(1+N$12),0)))</f>
        <v>0.98614977255753966</v>
      </c>
      <c r="O22" s="22">
        <f t="shared" si="22"/>
        <v>0.99847664471450881</v>
      </c>
      <c r="P22" s="22">
        <f t="shared" ref="P22" si="23">IF(AND($C22&gt;P$14,ISNONTEXT($C22)),Q22/(1+P$12),IF(AND($C22=P$14,P$14=P$4),1,IF(AND($C22&lt;P$14,P$14=P$4),O22*(1+P$12),0)))</f>
        <v>1</v>
      </c>
      <c r="Q22" s="206"/>
      <c r="R22" s="206"/>
      <c r="S22" s="206"/>
      <c r="T22" s="206"/>
      <c r="U22" s="206"/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2" ht="11.25" customHeight="1" outlineLevel="1">
      <c r="C24" s="67" t="s">
        <v>46</v>
      </c>
      <c r="J24" s="156">
        <f>J4</f>
        <v>42339</v>
      </c>
      <c r="K24" s="156">
        <f t="shared" ref="K24:P24" si="24">K4</f>
        <v>42705</v>
      </c>
      <c r="L24" s="156">
        <f t="shared" si="24"/>
        <v>43070</v>
      </c>
      <c r="M24" s="156">
        <f t="shared" si="24"/>
        <v>43435</v>
      </c>
      <c r="N24" s="156">
        <f t="shared" si="24"/>
        <v>43800</v>
      </c>
      <c r="O24" s="156">
        <f t="shared" si="24"/>
        <v>44166</v>
      </c>
      <c r="P24" s="156">
        <f t="shared" si="24"/>
        <v>44348</v>
      </c>
      <c r="Q24" s="156"/>
      <c r="R24" s="156"/>
      <c r="S24" s="156"/>
      <c r="T24" s="156"/>
      <c r="U24" s="156"/>
    </row>
    <row r="25" spans="3:22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2" ht="11.25" customHeight="1" outlineLevel="1">
      <c r="C26" s="163">
        <f t="array" ref="C26:C32">TRANSPOSE(J10:P10)</f>
        <v>42339</v>
      </c>
      <c r="D26" s="144" t="str">
        <f t="shared" ref="D26:D32" si="25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1.0084074342600413</v>
      </c>
      <c r="K26" s="22">
        <f t="shared" ref="K26:T26" si="26">IF(AND(K$24=K$4,ISNONTEXT($C26)),1/K16*(1+K$12)^0.5,0)</f>
        <v>0.99270063234317796</v>
      </c>
      <c r="L26" s="22">
        <f t="shared" si="26"/>
        <v>0.97618051192283029</v>
      </c>
      <c r="M26" s="22">
        <f t="shared" si="26"/>
        <v>0.95848132096172067</v>
      </c>
      <c r="N26" s="22">
        <f t="shared" si="26"/>
        <v>0.94141994695010711</v>
      </c>
      <c r="O26" s="22">
        <f t="shared" si="26"/>
        <v>0.92709798722882819</v>
      </c>
      <c r="P26" s="22">
        <f t="shared" si="26"/>
        <v>0.92065534243020464</v>
      </c>
      <c r="Q26" s="22">
        <f t="shared" si="26"/>
        <v>0</v>
      </c>
      <c r="R26" s="22">
        <f t="shared" si="26"/>
        <v>0</v>
      </c>
      <c r="S26" s="22">
        <f t="shared" si="26"/>
        <v>0</v>
      </c>
      <c r="T26" s="22">
        <f t="shared" si="26"/>
        <v>0</v>
      </c>
      <c r="U26" s="22"/>
      <c r="V26" s="145"/>
    </row>
    <row r="27" spans="3:22" ht="11.25" customHeight="1" outlineLevel="1">
      <c r="C27" s="163">
        <v>42705</v>
      </c>
      <c r="D27" s="144" t="str">
        <f t="shared" si="25"/>
        <v>calculated</v>
      </c>
      <c r="E27" s="30" t="str">
        <f t="shared" ref="E27:E32" si="27">IF(ISNONTEXT($C27),"index","")</f>
        <v>index</v>
      </c>
      <c r="I27" s="22"/>
      <c r="J27" s="22">
        <f t="shared" ref="J27:T27" si="28">IF(AND(J$24=J$4,ISNONTEXT($C27)),1/J17*(1+J$12)^0.5,0)</f>
        <v>1.0232916768321452</v>
      </c>
      <c r="K27" s="22">
        <f t="shared" si="28"/>
        <v>1.0073530402006419</v>
      </c>
      <c r="L27" s="22">
        <f t="shared" si="28"/>
        <v>0.99058908036449578</v>
      </c>
      <c r="M27" s="22">
        <f t="shared" si="28"/>
        <v>0.97262864673237348</v>
      </c>
      <c r="N27" s="22">
        <f t="shared" si="28"/>
        <v>0.95531544432206439</v>
      </c>
      <c r="O27" s="22">
        <f t="shared" si="28"/>
        <v>0.94078209036135718</v>
      </c>
      <c r="P27" s="22">
        <f t="shared" si="28"/>
        <v>0.93424435117456206</v>
      </c>
      <c r="Q27" s="22">
        <f t="shared" si="28"/>
        <v>0</v>
      </c>
      <c r="R27" s="22">
        <f t="shared" si="28"/>
        <v>0</v>
      </c>
      <c r="S27" s="22">
        <f t="shared" si="28"/>
        <v>0</v>
      </c>
      <c r="T27" s="22">
        <f t="shared" si="28"/>
        <v>0</v>
      </c>
      <c r="U27" s="22"/>
      <c r="V27" s="145"/>
    </row>
    <row r="28" spans="3:22" ht="11.25" customHeight="1" outlineLevel="1">
      <c r="C28" s="163">
        <v>43070</v>
      </c>
      <c r="D28" s="144" t="str">
        <f t="shared" si="25"/>
        <v>calculated</v>
      </c>
      <c r="E28" s="30" t="str">
        <f t="shared" si="27"/>
        <v>index</v>
      </c>
      <c r="I28" s="22"/>
      <c r="J28" s="22">
        <f t="shared" ref="J28:T28" si="29">IF(AND(J$24=J$4,ISNONTEXT($C28)),1/J18*(1+J$12)^0.5,0)</f>
        <v>1.0428272452080316</v>
      </c>
      <c r="K28" s="22">
        <f t="shared" si="29"/>
        <v>1.0265843255135632</v>
      </c>
      <c r="L28" s="22">
        <f t="shared" si="29"/>
        <v>1.0095003264441815</v>
      </c>
      <c r="M28" s="22">
        <f t="shared" si="29"/>
        <v>0.99119701180635511</v>
      </c>
      <c r="N28" s="22">
        <f t="shared" si="29"/>
        <v>0.97355328462275847</v>
      </c>
      <c r="O28" s="22">
        <f t="shared" si="29"/>
        <v>0.95874247572280125</v>
      </c>
      <c r="P28" s="22">
        <f t="shared" si="29"/>
        <v>0.95207992515153073</v>
      </c>
      <c r="Q28" s="22">
        <f t="shared" si="29"/>
        <v>0</v>
      </c>
      <c r="R28" s="22">
        <f t="shared" si="29"/>
        <v>0</v>
      </c>
      <c r="S28" s="22">
        <f t="shared" si="29"/>
        <v>0</v>
      </c>
      <c r="T28" s="22">
        <f t="shared" si="29"/>
        <v>0</v>
      </c>
      <c r="U28" s="22"/>
      <c r="V28" s="145"/>
    </row>
    <row r="29" spans="3:22" ht="11.25" customHeight="1" outlineLevel="1">
      <c r="C29" s="163">
        <v>43435</v>
      </c>
      <c r="D29" s="144" t="str">
        <f t="shared" si="25"/>
        <v>calculated</v>
      </c>
      <c r="E29" s="30" t="str">
        <f t="shared" si="27"/>
        <v>index</v>
      </c>
      <c r="I29" s="22"/>
      <c r="J29" s="22">
        <f t="shared" ref="J29:T29" si="30">IF(AND(J$24=J$4,ISNONTEXT($C29)),1/J19*(1+J$12)^0.5,0)</f>
        <v>1.0614325484231617</v>
      </c>
      <c r="K29" s="22">
        <f t="shared" si="30"/>
        <v>1.0448998353353931</v>
      </c>
      <c r="L29" s="22">
        <f t="shared" si="30"/>
        <v>1.0275110369962634</v>
      </c>
      <c r="M29" s="22">
        <f t="shared" si="30"/>
        <v>1.0088811690196711</v>
      </c>
      <c r="N29" s="22">
        <f t="shared" si="30"/>
        <v>0.99092265633770504</v>
      </c>
      <c r="O29" s="22">
        <f t="shared" si="30"/>
        <v>0.97584760463846232</v>
      </c>
      <c r="P29" s="22">
        <f t="shared" si="30"/>
        <v>0.96906618608197737</v>
      </c>
      <c r="Q29" s="22">
        <f t="shared" si="30"/>
        <v>0</v>
      </c>
      <c r="R29" s="22">
        <f t="shared" si="30"/>
        <v>0</v>
      </c>
      <c r="S29" s="22">
        <f t="shared" si="30"/>
        <v>0</v>
      </c>
      <c r="T29" s="22">
        <f t="shared" si="30"/>
        <v>0</v>
      </c>
      <c r="U29" s="22"/>
      <c r="V29" s="145"/>
    </row>
    <row r="30" spans="3:22" ht="11.25" customHeight="1" outlineLevel="1">
      <c r="C30" s="163">
        <v>43800</v>
      </c>
      <c r="D30" s="144" t="str">
        <f t="shared" si="25"/>
        <v>calculated</v>
      </c>
      <c r="E30" s="30" t="str">
        <f t="shared" si="27"/>
        <v>index</v>
      </c>
      <c r="I30" s="22"/>
      <c r="J30" s="22">
        <f t="shared" ref="J30:T30" si="31">IF(AND(J$24=J$4,ISNONTEXT($C30)),1/J20*(1+J$12)^0.5,0)</f>
        <v>1.0809681167990481</v>
      </c>
      <c r="K30" s="22">
        <f t="shared" si="31"/>
        <v>1.0641311206483146</v>
      </c>
      <c r="L30" s="22">
        <f t="shared" si="31"/>
        <v>1.0464222830759493</v>
      </c>
      <c r="M30" s="22">
        <f t="shared" si="31"/>
        <v>1.0274495340936529</v>
      </c>
      <c r="N30" s="22">
        <f t="shared" si="31"/>
        <v>1.0091604966383991</v>
      </c>
      <c r="O30" s="22">
        <f t="shared" si="31"/>
        <v>0.99380798999990649</v>
      </c>
      <c r="P30" s="22">
        <f t="shared" si="31"/>
        <v>0.98690176005894659</v>
      </c>
      <c r="Q30" s="22">
        <f t="shared" si="31"/>
        <v>0</v>
      </c>
      <c r="R30" s="22">
        <f t="shared" si="31"/>
        <v>0</v>
      </c>
      <c r="S30" s="22">
        <f t="shared" si="31"/>
        <v>0</v>
      </c>
      <c r="T30" s="22">
        <f t="shared" si="31"/>
        <v>0</v>
      </c>
      <c r="U30" s="22"/>
      <c r="V30" s="145"/>
    </row>
    <row r="31" spans="3:22" ht="11.25" customHeight="1" outlineLevel="1">
      <c r="C31" s="163">
        <v>44166</v>
      </c>
      <c r="D31" s="144" t="str">
        <f t="shared" si="25"/>
        <v>calculated</v>
      </c>
      <c r="E31" s="30" t="str">
        <f t="shared" si="27"/>
        <v>index</v>
      </c>
      <c r="I31" s="22"/>
      <c r="J31" s="22">
        <f t="shared" ref="J31:T32" si="32">IF(AND(J$24=J$4,ISNONTEXT($C31)),1/J21*(1+J$12)^0.5,0)</f>
        <v>1.0944802182590363</v>
      </c>
      <c r="K31" s="22">
        <f t="shared" si="32"/>
        <v>1.0774327596564184</v>
      </c>
      <c r="L31" s="22">
        <f t="shared" si="32"/>
        <v>1.0595025616143987</v>
      </c>
      <c r="M31" s="22">
        <f t="shared" si="32"/>
        <v>1.0402926532698236</v>
      </c>
      <c r="N31" s="22">
        <f t="shared" si="32"/>
        <v>1.021775002846379</v>
      </c>
      <c r="O31" s="22">
        <f t="shared" si="32"/>
        <v>1.0062305898749053</v>
      </c>
      <c r="P31" s="22">
        <f t="shared" si="32"/>
        <v>0.99923803205968331</v>
      </c>
      <c r="Q31" s="22">
        <f t="shared" si="32"/>
        <v>0</v>
      </c>
      <c r="R31" s="22">
        <f t="shared" si="32"/>
        <v>0</v>
      </c>
      <c r="S31" s="22">
        <f t="shared" si="32"/>
        <v>0</v>
      </c>
      <c r="T31" s="22">
        <f t="shared" si="32"/>
        <v>0</v>
      </c>
      <c r="U31" s="22"/>
      <c r="V31" s="145"/>
    </row>
    <row r="32" spans="3:22" ht="11.25" customHeight="1" outlineLevel="1">
      <c r="C32" s="163">
        <v>44348</v>
      </c>
      <c r="D32" s="144" t="str">
        <f t="shared" si="25"/>
        <v>calculated</v>
      </c>
      <c r="E32" s="30" t="str">
        <f t="shared" si="27"/>
        <v>index</v>
      </c>
      <c r="I32" s="22"/>
      <c r="J32" s="22">
        <f t="shared" si="32"/>
        <v>1.0961500442225942</v>
      </c>
      <c r="K32" s="22">
        <f t="shared" si="32"/>
        <v>1.0790765766629278</v>
      </c>
      <c r="L32" s="22">
        <f t="shared" si="32"/>
        <v>1.061119022886448</v>
      </c>
      <c r="M32" s="22">
        <f t="shared" si="32"/>
        <v>1.0418798063797183</v>
      </c>
      <c r="N32" s="22">
        <f t="shared" si="32"/>
        <v>1.0233339039577956</v>
      </c>
      <c r="O32" s="22">
        <f t="shared" si="32"/>
        <v>1.0077657751950859</v>
      </c>
      <c r="P32" s="22">
        <f t="shared" si="32"/>
        <v>1.0007625489781908</v>
      </c>
      <c r="Q32" s="22"/>
      <c r="R32" s="22"/>
      <c r="S32" s="22"/>
      <c r="T32" s="22"/>
      <c r="U32" s="22"/>
      <c r="V32" s="145"/>
    </row>
    <row r="33" spans="1:50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0" s="103" customFormat="1" ht="12.75">
      <c r="A34" s="94"/>
      <c r="B34" s="95" t="s">
        <v>76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8"/>
      <c r="X34" s="99"/>
      <c r="Y34" s="99"/>
      <c r="Z34" s="99"/>
      <c r="AA34" s="99"/>
      <c r="AB34" s="99"/>
      <c r="AC34" s="99"/>
      <c r="AD34" s="99"/>
      <c r="AE34" s="100"/>
      <c r="AF34" s="101"/>
      <c r="AG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</row>
    <row r="35" spans="1:50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50" ht="11.25" customHeight="1" outlineLevel="1">
      <c r="C36" s="67" t="s">
        <v>79</v>
      </c>
      <c r="D36" s="32" t="s">
        <v>7</v>
      </c>
      <c r="E36" s="32" t="s">
        <v>8</v>
      </c>
      <c r="J36" s="160"/>
      <c r="K36" s="160"/>
      <c r="L36" s="160"/>
      <c r="M36" s="160"/>
      <c r="N36" s="160"/>
      <c r="O36" s="160"/>
      <c r="P36" s="160"/>
      <c r="Q36" s="160">
        <f>Q4</f>
        <v>44713</v>
      </c>
      <c r="R36" s="160">
        <f t="shared" ref="R36:U36" si="33">R4</f>
        <v>45078</v>
      </c>
      <c r="S36" s="160">
        <f t="shared" si="33"/>
        <v>45444</v>
      </c>
      <c r="T36" s="160">
        <f t="shared" si="33"/>
        <v>45809</v>
      </c>
      <c r="U36" s="160">
        <f t="shared" si="33"/>
        <v>46174</v>
      </c>
    </row>
    <row r="37" spans="1:50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</row>
    <row r="38" spans="1:50" ht="11.25" customHeight="1" outlineLevel="1">
      <c r="C38" s="61" t="s">
        <v>119</v>
      </c>
      <c r="D38" s="30" t="s">
        <v>100</v>
      </c>
      <c r="E38" s="30" t="str">
        <f t="shared" ref="E38:E45" si="34">percent</f>
        <v>Per cent</v>
      </c>
      <c r="J38" s="202"/>
      <c r="K38" s="150"/>
      <c r="L38" s="150"/>
      <c r="M38" s="150"/>
      <c r="N38" s="150"/>
      <c r="O38" s="150"/>
      <c r="P38" s="150"/>
      <c r="Q38" s="165">
        <v>2.3867759115823129E-3</v>
      </c>
      <c r="R38" s="165">
        <v>-2.4977364300287118E-3</v>
      </c>
      <c r="S38" s="165">
        <v>-7.2630656307249176E-4</v>
      </c>
      <c r="T38" s="165">
        <v>3.67274824937613E-3</v>
      </c>
      <c r="U38" s="165">
        <v>9.9659336093870197E-3</v>
      </c>
    </row>
    <row r="39" spans="1:50" ht="11.25" customHeight="1" outlineLevel="1">
      <c r="C39" s="61"/>
      <c r="D39" s="30" t="s">
        <v>100</v>
      </c>
      <c r="E39" s="30" t="str">
        <f t="shared" si="34"/>
        <v>Per cent</v>
      </c>
      <c r="J39" s="202"/>
      <c r="K39" s="150"/>
      <c r="L39" s="150"/>
      <c r="M39" s="150"/>
      <c r="N39" s="150"/>
      <c r="O39" s="150"/>
      <c r="P39" s="150"/>
      <c r="Q39" s="165"/>
      <c r="R39" s="165"/>
      <c r="S39" s="165"/>
      <c r="T39" s="165"/>
      <c r="U39" s="165"/>
    </row>
    <row r="40" spans="1:50" ht="11.25" customHeight="1" outlineLevel="1">
      <c r="C40" s="61"/>
      <c r="D40" s="30" t="s">
        <v>100</v>
      </c>
      <c r="E40" s="30" t="str">
        <f t="shared" si="34"/>
        <v>Per cent</v>
      </c>
      <c r="J40" s="202"/>
      <c r="K40" s="150"/>
      <c r="L40" s="150"/>
      <c r="M40" s="150"/>
      <c r="N40" s="150"/>
      <c r="O40" s="150"/>
      <c r="P40" s="150"/>
      <c r="Q40" s="60"/>
      <c r="R40" s="60"/>
      <c r="S40" s="60"/>
      <c r="T40" s="60"/>
      <c r="U40" s="60"/>
    </row>
    <row r="41" spans="1:50" ht="11.25" customHeight="1" outlineLevel="1">
      <c r="C41" s="61"/>
      <c r="D41" s="30" t="s">
        <v>100</v>
      </c>
      <c r="E41" s="30" t="str">
        <f t="shared" si="34"/>
        <v>Per cent</v>
      </c>
      <c r="J41" s="202"/>
      <c r="K41" s="150"/>
      <c r="L41" s="150"/>
      <c r="M41" s="150"/>
      <c r="N41" s="150"/>
      <c r="O41" s="150"/>
      <c r="P41" s="150"/>
      <c r="Q41" s="60"/>
      <c r="R41" s="60"/>
      <c r="S41" s="60"/>
      <c r="T41" s="207"/>
      <c r="U41" s="60"/>
    </row>
    <row r="42" spans="1:50" ht="11.25" customHeight="1" outlineLevel="1">
      <c r="C42" s="61"/>
      <c r="D42" s="30" t="s">
        <v>100</v>
      </c>
      <c r="E42" s="30" t="str">
        <f t="shared" si="34"/>
        <v>Per cent</v>
      </c>
      <c r="J42" s="202"/>
      <c r="K42" s="150"/>
      <c r="L42" s="150"/>
      <c r="M42" s="150"/>
      <c r="N42" s="150"/>
      <c r="O42" s="150"/>
      <c r="P42" s="150"/>
      <c r="Q42" s="60"/>
      <c r="R42" s="60"/>
      <c r="S42" s="60"/>
      <c r="T42" s="207"/>
      <c r="U42" s="60"/>
    </row>
    <row r="43" spans="1:50" ht="11.25" customHeight="1" outlineLevel="1">
      <c r="C43" s="61"/>
      <c r="D43" s="30" t="s">
        <v>100</v>
      </c>
      <c r="E43" s="30" t="str">
        <f t="shared" si="34"/>
        <v>Per cent</v>
      </c>
      <c r="J43" s="202"/>
      <c r="K43" s="150"/>
      <c r="L43" s="150"/>
      <c r="M43" s="150"/>
      <c r="N43" s="150"/>
      <c r="O43" s="150"/>
      <c r="P43" s="150"/>
      <c r="Q43" s="60"/>
      <c r="R43" s="60"/>
      <c r="S43" s="60"/>
      <c r="T43" s="207"/>
      <c r="U43" s="60"/>
    </row>
    <row r="44" spans="1:50" ht="11.25" customHeight="1" outlineLevel="1">
      <c r="C44" s="61"/>
      <c r="D44" s="30" t="s">
        <v>100</v>
      </c>
      <c r="E44" s="30" t="str">
        <f t="shared" si="34"/>
        <v>Per cent</v>
      </c>
      <c r="J44" s="202"/>
      <c r="K44" s="150"/>
      <c r="L44" s="150"/>
      <c r="M44" s="150"/>
      <c r="N44" s="150"/>
      <c r="O44" s="150"/>
      <c r="P44" s="150"/>
      <c r="Q44" s="60"/>
      <c r="R44" s="60"/>
      <c r="S44" s="60"/>
      <c r="T44" s="207"/>
      <c r="U44" s="60"/>
    </row>
    <row r="45" spans="1:50" ht="11.25" customHeight="1" outlineLevel="1">
      <c r="C45" s="61" t="s">
        <v>80</v>
      </c>
      <c r="D45" s="30" t="s">
        <v>100</v>
      </c>
      <c r="E45" s="30" t="str">
        <f t="shared" si="34"/>
        <v>Per cent</v>
      </c>
      <c r="J45" s="202"/>
      <c r="K45" s="150"/>
      <c r="L45" s="150"/>
      <c r="M45" s="150"/>
      <c r="N45" s="150"/>
      <c r="O45" s="150"/>
      <c r="P45" s="150"/>
      <c r="Q45" s="60">
        <v>0</v>
      </c>
      <c r="R45" s="60">
        <v>0</v>
      </c>
      <c r="S45" s="60">
        <v>0</v>
      </c>
      <c r="T45" s="207">
        <v>0</v>
      </c>
      <c r="U45" s="60">
        <v>0</v>
      </c>
    </row>
    <row r="46" spans="1:50" ht="11.25" customHeight="1" outlineLevel="1"/>
    <row r="47" spans="1:50" ht="11.25" customHeight="1" outlineLevel="1">
      <c r="C47" s="29" t="s">
        <v>40</v>
      </c>
      <c r="D47" s="30" t="s">
        <v>97</v>
      </c>
      <c r="E47" s="30" t="s">
        <v>28</v>
      </c>
      <c r="F47" s="30" t="s">
        <v>36</v>
      </c>
      <c r="J47" s="132" t="str">
        <f t="shared" ref="J47:S47" si="35">IF(J36=J4,IF(COUNTA($C38:$C45)=COUNT(J38:J45),"Ok","Check"),"")</f>
        <v/>
      </c>
      <c r="K47" s="132" t="str">
        <f t="shared" si="35"/>
        <v/>
      </c>
      <c r="L47" s="132" t="str">
        <f t="shared" si="35"/>
        <v/>
      </c>
      <c r="M47" s="132" t="str">
        <f t="shared" si="35"/>
        <v/>
      </c>
      <c r="N47" s="132" t="str">
        <f t="shared" si="35"/>
        <v/>
      </c>
      <c r="O47" s="132" t="str">
        <f t="shared" si="35"/>
        <v/>
      </c>
      <c r="P47" s="132" t="str">
        <f t="shared" si="35"/>
        <v/>
      </c>
      <c r="Q47" s="132" t="str">
        <f t="shared" si="35"/>
        <v>Ok</v>
      </c>
      <c r="R47" s="132" t="str">
        <f t="shared" si="35"/>
        <v>Ok</v>
      </c>
      <c r="S47" s="132" t="str">
        <f t="shared" si="35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>Ok</v>
      </c>
      <c r="W47" s="131" t="str">
        <f>IF(COUNTIF(J47:T47,"Check")=0,"Ok","Check")</f>
        <v>Ok</v>
      </c>
    </row>
    <row r="48" spans="1:50" ht="11.25" customHeight="1" outlineLevel="1"/>
    <row r="49" spans="1:50" ht="11.25" customHeight="1" outlineLevel="1">
      <c r="C49" s="67" t="s">
        <v>43</v>
      </c>
      <c r="D49" s="32" t="s">
        <v>7</v>
      </c>
      <c r="E49" s="32" t="s">
        <v>8</v>
      </c>
      <c r="J49" s="160"/>
      <c r="K49" s="160"/>
      <c r="L49" s="160"/>
      <c r="M49" s="160"/>
      <c r="N49" s="160"/>
      <c r="O49" s="160"/>
      <c r="P49" s="160"/>
      <c r="Q49" s="160">
        <f>Q4</f>
        <v>44713</v>
      </c>
      <c r="R49" s="160">
        <f t="shared" ref="R49:U49" si="36">R4</f>
        <v>45078</v>
      </c>
      <c r="S49" s="160">
        <f t="shared" si="36"/>
        <v>45444</v>
      </c>
      <c r="T49" s="160">
        <f t="shared" si="36"/>
        <v>45809</v>
      </c>
      <c r="U49" s="160">
        <f t="shared" si="36"/>
        <v>46174</v>
      </c>
    </row>
    <row r="50" spans="1:50" ht="11.25" customHeight="1" outlineLevel="1"/>
    <row r="51" spans="1:50" ht="11.25" customHeight="1" outlineLevel="1">
      <c r="C51" s="146" t="str">
        <f t="shared" ref="C51:C58" si="37">C38</f>
        <v>WPI - DAE</v>
      </c>
      <c r="D51" s="30" t="s">
        <v>100</v>
      </c>
      <c r="E51" s="30" t="str">
        <f t="shared" ref="E51:E58" si="38">percent</f>
        <v>Per cent</v>
      </c>
      <c r="J51" s="202"/>
      <c r="K51" s="150"/>
      <c r="L51" s="150"/>
      <c r="M51" s="150"/>
      <c r="N51" s="150"/>
      <c r="O51" s="150"/>
      <c r="P51" s="150"/>
      <c r="Q51" s="60">
        <v>0.59199999999999997</v>
      </c>
      <c r="R51" s="60">
        <v>0.59199999999999997</v>
      </c>
      <c r="S51" s="60">
        <v>0.59199999999999997</v>
      </c>
      <c r="T51" s="60">
        <v>0.59199999999999997</v>
      </c>
      <c r="U51" s="60">
        <v>0.59199999999999997</v>
      </c>
    </row>
    <row r="52" spans="1:50" ht="11.25" customHeight="1" outlineLevel="1">
      <c r="C52" s="146">
        <f t="shared" si="37"/>
        <v>0</v>
      </c>
      <c r="D52" s="30" t="s">
        <v>100</v>
      </c>
      <c r="E52" s="30" t="str">
        <f t="shared" si="38"/>
        <v>Per cent</v>
      </c>
      <c r="J52" s="202"/>
      <c r="K52" s="150"/>
      <c r="L52" s="150"/>
      <c r="M52" s="150"/>
      <c r="N52" s="150"/>
      <c r="O52" s="150"/>
      <c r="P52" s="150"/>
      <c r="Q52" s="60"/>
      <c r="R52" s="60"/>
      <c r="S52" s="60"/>
      <c r="T52" s="60"/>
      <c r="U52" s="60"/>
    </row>
    <row r="53" spans="1:50" ht="11.25" customHeight="1" outlineLevel="1">
      <c r="C53" s="146">
        <f t="shared" si="37"/>
        <v>0</v>
      </c>
      <c r="D53" s="30" t="s">
        <v>100</v>
      </c>
      <c r="E53" s="30" t="str">
        <f t="shared" si="38"/>
        <v>Per cent</v>
      </c>
      <c r="J53" s="202"/>
      <c r="K53" s="150"/>
      <c r="L53" s="150"/>
      <c r="M53" s="150"/>
      <c r="N53" s="150"/>
      <c r="O53" s="150"/>
      <c r="P53" s="150"/>
      <c r="Q53" s="60"/>
      <c r="R53" s="60"/>
      <c r="S53" s="60"/>
      <c r="T53" s="60"/>
      <c r="U53" s="60"/>
    </row>
    <row r="54" spans="1:50" ht="11.25" customHeight="1" outlineLevel="1">
      <c r="C54" s="146">
        <f t="shared" si="37"/>
        <v>0</v>
      </c>
      <c r="D54" s="30" t="s">
        <v>100</v>
      </c>
      <c r="E54" s="30" t="str">
        <f t="shared" si="38"/>
        <v>Per cent</v>
      </c>
      <c r="J54" s="202"/>
      <c r="K54" s="150"/>
      <c r="L54" s="150"/>
      <c r="M54" s="150"/>
      <c r="N54" s="150"/>
      <c r="O54" s="150"/>
      <c r="P54" s="150"/>
      <c r="Q54" s="60"/>
      <c r="R54" s="60"/>
      <c r="S54" s="60"/>
      <c r="T54" s="60"/>
      <c r="U54" s="60"/>
    </row>
    <row r="55" spans="1:50" ht="11.25" customHeight="1" outlineLevel="1">
      <c r="C55" s="146">
        <f t="shared" si="37"/>
        <v>0</v>
      </c>
      <c r="D55" s="30" t="s">
        <v>100</v>
      </c>
      <c r="E55" s="30" t="str">
        <f t="shared" si="38"/>
        <v>Per cent</v>
      </c>
      <c r="J55" s="202"/>
      <c r="K55" s="150"/>
      <c r="L55" s="150"/>
      <c r="M55" s="150"/>
      <c r="N55" s="150"/>
      <c r="O55" s="150"/>
      <c r="P55" s="150"/>
      <c r="Q55" s="60"/>
      <c r="R55" s="60"/>
      <c r="S55" s="60"/>
      <c r="T55" s="60"/>
      <c r="U55" s="60"/>
    </row>
    <row r="56" spans="1:50" ht="11.25" customHeight="1" outlineLevel="1">
      <c r="C56" s="146">
        <f t="shared" si="37"/>
        <v>0</v>
      </c>
      <c r="D56" s="30" t="s">
        <v>100</v>
      </c>
      <c r="E56" s="30" t="str">
        <f t="shared" si="38"/>
        <v>Per cent</v>
      </c>
      <c r="J56" s="202"/>
      <c r="K56" s="150"/>
      <c r="L56" s="150"/>
      <c r="M56" s="150"/>
      <c r="N56" s="150"/>
      <c r="O56" s="150"/>
      <c r="P56" s="150"/>
      <c r="Q56" s="60"/>
      <c r="R56" s="60"/>
      <c r="S56" s="60"/>
      <c r="T56" s="60"/>
      <c r="U56" s="60"/>
    </row>
    <row r="57" spans="1:50" ht="11.25" customHeight="1" outlineLevel="1">
      <c r="C57" s="146">
        <f t="shared" si="37"/>
        <v>0</v>
      </c>
      <c r="D57" s="30" t="s">
        <v>100</v>
      </c>
      <c r="E57" s="30" t="str">
        <f t="shared" si="38"/>
        <v>Per cent</v>
      </c>
      <c r="J57" s="202"/>
      <c r="K57" s="150"/>
      <c r="L57" s="150"/>
      <c r="M57" s="150"/>
      <c r="N57" s="150"/>
      <c r="O57" s="150"/>
      <c r="P57" s="150"/>
      <c r="Q57" s="60"/>
      <c r="R57" s="60"/>
      <c r="S57" s="60"/>
      <c r="T57" s="60"/>
      <c r="U57" s="60"/>
    </row>
    <row r="58" spans="1:50" ht="11.25" customHeight="1" outlineLevel="1">
      <c r="C58" s="146" t="str">
        <f t="shared" si="37"/>
        <v>CPI</v>
      </c>
      <c r="D58" s="30" t="s">
        <v>100</v>
      </c>
      <c r="E58" s="30" t="str">
        <f t="shared" si="38"/>
        <v>Per cent</v>
      </c>
      <c r="J58" s="202"/>
      <c r="K58" s="150"/>
      <c r="L58" s="150"/>
      <c r="M58" s="150"/>
      <c r="N58" s="150"/>
      <c r="O58" s="150"/>
      <c r="P58" s="150"/>
      <c r="Q58" s="60">
        <v>0.40800000000000003</v>
      </c>
      <c r="R58" s="60">
        <v>0.40800000000000003</v>
      </c>
      <c r="S58" s="60">
        <v>0.40800000000000003</v>
      </c>
      <c r="T58" s="60">
        <v>0.40800000000000003</v>
      </c>
      <c r="U58" s="60">
        <v>0.40800000000000003</v>
      </c>
    </row>
    <row r="59" spans="1:50" ht="11.25" customHeight="1" outlineLevel="1"/>
    <row r="60" spans="1:50" outlineLevel="1">
      <c r="C60" s="29" t="s">
        <v>40</v>
      </c>
      <c r="D60" s="30" t="s">
        <v>97</v>
      </c>
      <c r="E60" s="30" t="s">
        <v>28</v>
      </c>
      <c r="F60" s="30" t="s">
        <v>36</v>
      </c>
      <c r="J60" s="132"/>
      <c r="K60" s="132"/>
      <c r="L60" s="132"/>
      <c r="M60" s="132"/>
      <c r="N60" s="132"/>
      <c r="O60" s="132"/>
      <c r="P60" s="132"/>
      <c r="Q60" s="132" t="str">
        <f t="shared" ref="Q60:S60" si="39">IF(Q49=Q$4,IF(SUM(Q51:Q58)=1,"Ok","Check"),"")</f>
        <v>Ok</v>
      </c>
      <c r="R60" s="132" t="str">
        <f t="shared" si="39"/>
        <v>Ok</v>
      </c>
      <c r="S60" s="132" t="str">
        <f t="shared" si="39"/>
        <v>Ok</v>
      </c>
      <c r="T60" s="132" t="str">
        <f>IF(T49=T$4,IF(SUM(T51:T58)=1,"Ok","Check"),"")</f>
        <v>Ok</v>
      </c>
      <c r="U60" s="132" t="str">
        <f>IF(U49=U$4,IF(SUM(U51:U58)=1,"Ok","Check"),"")</f>
        <v>Ok</v>
      </c>
      <c r="W60" s="131" t="str">
        <f>IF(COUNTIF(J60:T60,"Check")=0,"Ok","Check")</f>
        <v>Ok</v>
      </c>
    </row>
    <row r="61" spans="1:50"/>
    <row r="62" spans="1:50" s="103" customFormat="1" ht="12.75">
      <c r="A62" s="94"/>
      <c r="B62" s="95" t="s">
        <v>83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8"/>
      <c r="X62" s="99"/>
      <c r="Y62" s="99"/>
      <c r="Z62" s="99"/>
      <c r="AA62" s="99"/>
      <c r="AB62" s="99"/>
      <c r="AC62" s="99"/>
      <c r="AD62" s="99"/>
      <c r="AE62" s="100"/>
      <c r="AF62" s="101"/>
      <c r="AG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outlineLevel="1">
      <c r="G63" s="32"/>
      <c r="H63" s="32"/>
    </row>
    <row r="64" spans="1:50" outlineLevel="1">
      <c r="C64" s="67" t="s">
        <v>84</v>
      </c>
      <c r="D64" s="32" t="s">
        <v>7</v>
      </c>
      <c r="E64" s="32" t="s">
        <v>8</v>
      </c>
      <c r="F64" s="32" t="s">
        <v>22</v>
      </c>
      <c r="G64" s="32"/>
      <c r="H64" s="32"/>
      <c r="J64" s="160"/>
      <c r="K64" s="160"/>
      <c r="L64" s="160"/>
      <c r="M64" s="160"/>
      <c r="N64" s="160"/>
      <c r="O64" s="160"/>
      <c r="P64" s="160">
        <f>P4</f>
        <v>44348</v>
      </c>
      <c r="Q64" s="160">
        <f t="shared" ref="Q64:U64" si="40">Q4</f>
        <v>44713</v>
      </c>
      <c r="R64" s="160">
        <f t="shared" si="40"/>
        <v>45078</v>
      </c>
      <c r="S64" s="160">
        <f t="shared" si="40"/>
        <v>45444</v>
      </c>
      <c r="T64" s="160">
        <f t="shared" si="40"/>
        <v>45809</v>
      </c>
      <c r="U64" s="160">
        <f t="shared" si="40"/>
        <v>46174</v>
      </c>
    </row>
    <row r="65" spans="3:23" outlineLevel="1">
      <c r="C65" s="111"/>
      <c r="G65" s="32"/>
      <c r="H65" s="32"/>
      <c r="K65" s="23"/>
      <c r="L65" s="23"/>
      <c r="M65" s="23"/>
      <c r="N65" s="23"/>
      <c r="O65" s="23"/>
    </row>
    <row r="66" spans="3:23" outlineLevel="1">
      <c r="C66" s="61" t="s">
        <v>167</v>
      </c>
      <c r="D66" s="30" t="s">
        <v>100</v>
      </c>
      <c r="E66" s="30" t="s">
        <v>18</v>
      </c>
      <c r="F66" s="30" t="s">
        <v>36</v>
      </c>
      <c r="G66" s="32"/>
      <c r="H66" s="32"/>
      <c r="J66" s="202"/>
      <c r="K66" s="193"/>
      <c r="L66" s="193"/>
      <c r="M66" s="193"/>
      <c r="N66" s="193"/>
      <c r="O66" s="194"/>
      <c r="P66" s="194">
        <v>779753.673803502</v>
      </c>
      <c r="Q66" s="194">
        <v>785431.69870634796</v>
      </c>
      <c r="R66" s="194">
        <v>795703.17249661847</v>
      </c>
      <c r="S66" s="194">
        <v>809126.74842840328</v>
      </c>
      <c r="T66" s="194">
        <v>822666.34620915505</v>
      </c>
      <c r="U66" s="194">
        <v>836299.16678558337</v>
      </c>
    </row>
    <row r="67" spans="3:23" outlineLevel="1">
      <c r="C67" s="61" t="s">
        <v>168</v>
      </c>
      <c r="D67" s="30" t="s">
        <v>100</v>
      </c>
      <c r="E67" s="30" t="s">
        <v>18</v>
      </c>
      <c r="F67" s="30" t="s">
        <v>36</v>
      </c>
      <c r="G67" s="32"/>
      <c r="H67" s="32"/>
      <c r="J67" s="202"/>
      <c r="K67" s="193"/>
      <c r="L67" s="193"/>
      <c r="M67" s="193"/>
      <c r="N67" s="193"/>
      <c r="O67" s="194"/>
      <c r="P67" s="194">
        <v>46831.393613865628</v>
      </c>
      <c r="Q67" s="194">
        <v>47111.625443487501</v>
      </c>
      <c r="R67" s="194">
        <v>47485.225304858337</v>
      </c>
      <c r="S67" s="194">
        <v>47858.82936544792</v>
      </c>
      <c r="T67" s="194">
        <v>48232.492874279698</v>
      </c>
      <c r="U67" s="194">
        <v>48606.165141656384</v>
      </c>
    </row>
    <row r="68" spans="3:23" outlineLevel="1">
      <c r="C68" s="61" t="s">
        <v>169</v>
      </c>
      <c r="D68" s="30" t="s">
        <v>100</v>
      </c>
      <c r="E68" s="30" t="s">
        <v>18</v>
      </c>
      <c r="F68" s="30" t="s">
        <v>36</v>
      </c>
      <c r="G68" s="32"/>
      <c r="H68" s="32"/>
      <c r="J68" s="202"/>
      <c r="K68" s="193"/>
      <c r="L68" s="193"/>
      <c r="M68" s="193"/>
      <c r="N68" s="193"/>
      <c r="O68" s="194"/>
      <c r="P68" s="194">
        <v>2011.9385040000006</v>
      </c>
      <c r="Q68" s="194">
        <v>2011.9385040000006</v>
      </c>
      <c r="R68" s="194">
        <v>2011.9385040000006</v>
      </c>
      <c r="S68" s="194">
        <v>2011.9385040000006</v>
      </c>
      <c r="T68" s="194">
        <v>2011.9385040000006</v>
      </c>
      <c r="U68" s="194">
        <v>2011.9385040000006</v>
      </c>
    </row>
    <row r="69" spans="3:23" outlineLevel="1">
      <c r="C69" s="61" t="s">
        <v>170</v>
      </c>
      <c r="D69" s="30" t="s">
        <v>100</v>
      </c>
      <c r="E69" s="30" t="s">
        <v>18</v>
      </c>
      <c r="F69" s="30" t="s">
        <v>36</v>
      </c>
      <c r="G69" s="32"/>
      <c r="H69" s="32"/>
      <c r="J69" s="202"/>
      <c r="K69" s="193"/>
      <c r="L69" s="193"/>
      <c r="M69" s="193"/>
      <c r="N69" s="193"/>
      <c r="O69" s="194"/>
      <c r="P69" s="194">
        <v>7326.8903436925921</v>
      </c>
      <c r="Q69" s="194">
        <v>7299.5705394237357</v>
      </c>
      <c r="R69" s="194">
        <v>7258.5272577754013</v>
      </c>
      <c r="S69" s="194">
        <v>7229.0193338192121</v>
      </c>
      <c r="T69" s="194">
        <v>7204.0959514521455</v>
      </c>
      <c r="U69" s="194">
        <v>7182.9739766410821</v>
      </c>
    </row>
    <row r="70" spans="3:23" outlineLevel="1">
      <c r="C70" s="61"/>
      <c r="D70" s="30" t="s">
        <v>100</v>
      </c>
      <c r="E70" s="30" t="s">
        <v>18</v>
      </c>
      <c r="F70" s="30" t="s">
        <v>36</v>
      </c>
      <c r="G70" s="32"/>
      <c r="H70" s="32"/>
      <c r="J70" s="202"/>
      <c r="K70" s="193"/>
      <c r="L70" s="193"/>
      <c r="M70" s="193"/>
      <c r="N70" s="193"/>
      <c r="O70" s="194"/>
      <c r="P70" s="194"/>
      <c r="Q70" s="194"/>
      <c r="R70" s="194"/>
      <c r="S70" s="194"/>
      <c r="T70" s="194"/>
      <c r="U70" s="194"/>
    </row>
    <row r="71" spans="3:23" outlineLevel="1">
      <c r="C71" s="61"/>
      <c r="D71" s="30" t="s">
        <v>100</v>
      </c>
      <c r="E71" s="30" t="s">
        <v>18</v>
      </c>
      <c r="F71" s="30" t="s">
        <v>36</v>
      </c>
      <c r="G71" s="32"/>
      <c r="H71" s="32"/>
      <c r="J71" s="202"/>
      <c r="K71" s="193"/>
      <c r="L71" s="193"/>
      <c r="M71" s="193"/>
      <c r="N71" s="193"/>
      <c r="O71" s="194"/>
      <c r="P71" s="194"/>
      <c r="Q71" s="194"/>
      <c r="R71" s="194"/>
      <c r="S71" s="194"/>
      <c r="T71" s="194"/>
      <c r="U71" s="194"/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29" t="s">
        <v>40</v>
      </c>
      <c r="D73" s="30" t="s">
        <v>97</v>
      </c>
      <c r="E73" s="30" t="s">
        <v>28</v>
      </c>
      <c r="F73" s="30" t="s">
        <v>36</v>
      </c>
      <c r="J73" s="132" t="str">
        <f t="shared" ref="J73:S73" si="41">IF(J64=J$4,IF(COUNTA($C66:$C71)=COUNT(J66:J71),"Ok","Check"),"")</f>
        <v/>
      </c>
      <c r="K73" s="132" t="str">
        <f t="shared" si="41"/>
        <v/>
      </c>
      <c r="L73" s="132" t="str">
        <f t="shared" si="41"/>
        <v/>
      </c>
      <c r="M73" s="132" t="str">
        <f t="shared" si="41"/>
        <v/>
      </c>
      <c r="N73" s="132" t="str">
        <f t="shared" si="41"/>
        <v/>
      </c>
      <c r="O73" s="132"/>
      <c r="P73" s="132" t="str">
        <f t="shared" si="41"/>
        <v>Ok</v>
      </c>
      <c r="Q73" s="132" t="str">
        <f t="shared" si="41"/>
        <v>Ok</v>
      </c>
      <c r="R73" s="132" t="str">
        <f t="shared" si="41"/>
        <v>Ok</v>
      </c>
      <c r="S73" s="132" t="str">
        <f t="shared" si="41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>Ok</v>
      </c>
      <c r="W73" s="131" t="str">
        <f>IF(COUNTIF(J73:T73,"Check")=0,"Ok","Check")</f>
        <v>Ok</v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67" t="s">
        <v>87</v>
      </c>
      <c r="D75" s="32" t="s">
        <v>7</v>
      </c>
      <c r="E75" s="32" t="s">
        <v>8</v>
      </c>
      <c r="F75" s="32" t="s">
        <v>22</v>
      </c>
      <c r="G75" s="32"/>
      <c r="H75" s="32"/>
      <c r="J75" s="160"/>
      <c r="K75" s="160"/>
      <c r="L75" s="160"/>
      <c r="M75" s="160"/>
      <c r="N75" s="160"/>
      <c r="O75" s="160"/>
      <c r="P75" s="160"/>
      <c r="Q75" s="160">
        <f>Q4</f>
        <v>44713</v>
      </c>
      <c r="R75" s="160">
        <f t="shared" ref="R75:U75" si="42">R4</f>
        <v>45078</v>
      </c>
      <c r="S75" s="160">
        <f t="shared" si="42"/>
        <v>45444</v>
      </c>
      <c r="T75" s="160">
        <f t="shared" si="42"/>
        <v>45809</v>
      </c>
      <c r="U75" s="160">
        <f t="shared" si="42"/>
        <v>46174</v>
      </c>
    </row>
    <row r="76" spans="3:23" outlineLevel="1">
      <c r="C76" s="111"/>
      <c r="G76" s="32"/>
      <c r="H76" s="32"/>
      <c r="K76" s="23"/>
      <c r="L76" s="23"/>
      <c r="M76" s="23"/>
      <c r="N76" s="23"/>
      <c r="O76" s="23"/>
    </row>
    <row r="77" spans="3:23" outlineLevel="1">
      <c r="C77" s="146" t="str">
        <f>C66</f>
        <v>Customer numbers (#)</v>
      </c>
      <c r="D77" s="30" t="s">
        <v>97</v>
      </c>
      <c r="E77" s="30" t="s">
        <v>18</v>
      </c>
      <c r="F77" s="30" t="s">
        <v>36</v>
      </c>
      <c r="G77" s="32"/>
      <c r="H77" s="32"/>
      <c r="J77" s="117" t="str">
        <f t="shared" ref="J77:M77" si="43">IF(ISBLANK(I66),"",IF(ISBLANK(J66),"",LN(J66)-LN(I66)))</f>
        <v/>
      </c>
      <c r="K77" s="117" t="str">
        <f t="shared" si="43"/>
        <v/>
      </c>
      <c r="L77" s="117" t="str">
        <f t="shared" si="43"/>
        <v/>
      </c>
      <c r="M77" s="117" t="str">
        <f t="shared" si="43"/>
        <v/>
      </c>
      <c r="N77" s="117" t="str">
        <f>IF(ISBLANK(M66),"",IF(ISBLANK(N66),"",LN(N66)-LN(M66)))</f>
        <v/>
      </c>
      <c r="O77" s="117" t="str">
        <f t="shared" ref="O77:U77" si="44">IF(ISBLANK(N66),"",IF(ISBLANK(O66),"",LN(O66)-LN(N66)))</f>
        <v/>
      </c>
      <c r="P77" s="117" t="str">
        <f t="shared" si="44"/>
        <v/>
      </c>
      <c r="Q77" s="117">
        <f t="shared" si="44"/>
        <v>7.2554342901245406E-3</v>
      </c>
      <c r="R77" s="117">
        <f t="shared" si="44"/>
        <v>1.2992716145186378E-2</v>
      </c>
      <c r="S77" s="117">
        <f t="shared" si="44"/>
        <v>1.6729360324502451E-2</v>
      </c>
      <c r="T77" s="117">
        <f t="shared" si="44"/>
        <v>1.6595129070813286E-2</v>
      </c>
      <c r="U77" s="117">
        <f t="shared" si="44"/>
        <v>1.6435697254518544E-2</v>
      </c>
    </row>
    <row r="78" spans="3:23" outlineLevel="1">
      <c r="C78" s="146" t="str">
        <f t="shared" ref="C78:C82" si="45">C67</f>
        <v>Circuit Length (km)</v>
      </c>
      <c r="D78" s="30" t="s">
        <v>97</v>
      </c>
      <c r="E78" s="30" t="s">
        <v>18</v>
      </c>
      <c r="F78" s="30" t="s">
        <v>36</v>
      </c>
      <c r="G78" s="32"/>
      <c r="H78" s="32"/>
      <c r="J78" s="117" t="str">
        <f t="shared" ref="J78:U78" si="46">IF(ISBLANK(I67),"",IF(ISBLANK(J67),"",LN(J67)-LN(I67)))</f>
        <v/>
      </c>
      <c r="K78" s="117" t="str">
        <f t="shared" si="46"/>
        <v/>
      </c>
      <c r="L78" s="117" t="str">
        <f t="shared" si="46"/>
        <v/>
      </c>
      <c r="M78" s="117" t="str">
        <f t="shared" si="46"/>
        <v/>
      </c>
      <c r="N78" s="117" t="str">
        <f t="shared" si="46"/>
        <v/>
      </c>
      <c r="O78" s="117" t="str">
        <f t="shared" si="46"/>
        <v/>
      </c>
      <c r="P78" s="117" t="str">
        <f t="shared" si="46"/>
        <v/>
      </c>
      <c r="Q78" s="117">
        <f t="shared" si="46"/>
        <v>5.9660135182291185E-3</v>
      </c>
      <c r="R78" s="117">
        <f t="shared" si="46"/>
        <v>7.8988211735193659E-3</v>
      </c>
      <c r="S78" s="117">
        <f t="shared" si="46"/>
        <v>7.8370061786880996E-3</v>
      </c>
      <c r="T78" s="117">
        <f t="shared" si="46"/>
        <v>7.7772973372063348E-3</v>
      </c>
      <c r="U78" s="117">
        <f t="shared" si="46"/>
        <v>7.7174576695799857E-3</v>
      </c>
    </row>
    <row r="79" spans="3:23" outlineLevel="1">
      <c r="C79" s="146" t="str">
        <f t="shared" si="45"/>
        <v>Ratcheted Maximum Demand (MW)</v>
      </c>
      <c r="D79" s="30" t="s">
        <v>97</v>
      </c>
      <c r="E79" s="30" t="s">
        <v>18</v>
      </c>
      <c r="F79" s="30" t="s">
        <v>36</v>
      </c>
      <c r="G79" s="32"/>
      <c r="H79" s="32"/>
      <c r="J79" s="117" t="str">
        <f t="shared" ref="J79:U79" si="47">IF(ISBLANK(I68),"",IF(ISBLANK(J68),"",LN(J68)-LN(I68)))</f>
        <v/>
      </c>
      <c r="K79" s="117" t="str">
        <f t="shared" si="47"/>
        <v/>
      </c>
      <c r="L79" s="117" t="str">
        <f t="shared" si="47"/>
        <v/>
      </c>
      <c r="M79" s="117" t="str">
        <f t="shared" si="47"/>
        <v/>
      </c>
      <c r="N79" s="117" t="str">
        <f t="shared" si="47"/>
        <v/>
      </c>
      <c r="O79" s="117" t="str">
        <f t="shared" si="47"/>
        <v/>
      </c>
      <c r="P79" s="117" t="str">
        <f t="shared" si="47"/>
        <v/>
      </c>
      <c r="Q79" s="117">
        <f t="shared" si="47"/>
        <v>0</v>
      </c>
      <c r="R79" s="117">
        <f t="shared" si="47"/>
        <v>0</v>
      </c>
      <c r="S79" s="117">
        <f t="shared" si="47"/>
        <v>0</v>
      </c>
      <c r="T79" s="117">
        <f t="shared" si="47"/>
        <v>0</v>
      </c>
      <c r="U79" s="117">
        <f t="shared" si="47"/>
        <v>0</v>
      </c>
    </row>
    <row r="80" spans="3:23" outlineLevel="1">
      <c r="C80" s="146" t="str">
        <f t="shared" si="45"/>
        <v>Energy throughput (GWh)</v>
      </c>
      <c r="D80" s="30" t="s">
        <v>97</v>
      </c>
      <c r="E80" s="30" t="s">
        <v>18</v>
      </c>
      <c r="F80" s="30" t="s">
        <v>36</v>
      </c>
      <c r="G80" s="32"/>
      <c r="H80" s="32"/>
      <c r="J80" s="117" t="str">
        <f t="shared" ref="J80:U80" si="48">IF(ISBLANK(I69),"",IF(ISBLANK(J69),"",LN(J69)-LN(I69)))</f>
        <v/>
      </c>
      <c r="K80" s="117" t="str">
        <f t="shared" si="48"/>
        <v/>
      </c>
      <c r="L80" s="117" t="str">
        <f t="shared" si="48"/>
        <v/>
      </c>
      <c r="M80" s="117" t="str">
        <f t="shared" si="48"/>
        <v/>
      </c>
      <c r="N80" s="117" t="str">
        <f t="shared" si="48"/>
        <v/>
      </c>
      <c r="O80" s="117" t="str">
        <f t="shared" si="48"/>
        <v/>
      </c>
      <c r="P80" s="117" t="str">
        <f t="shared" si="48"/>
        <v/>
      </c>
      <c r="Q80" s="117">
        <f t="shared" si="48"/>
        <v>-3.7356727999195982E-3</v>
      </c>
      <c r="R80" s="117">
        <f t="shared" si="48"/>
        <v>-5.6385650051549163E-3</v>
      </c>
      <c r="S80" s="117">
        <f t="shared" si="48"/>
        <v>-4.0735627076600167E-3</v>
      </c>
      <c r="T80" s="117">
        <f t="shared" si="48"/>
        <v>-3.4536420790036715E-3</v>
      </c>
      <c r="U80" s="117">
        <f t="shared" si="48"/>
        <v>-2.9362462394306732E-3</v>
      </c>
    </row>
    <row r="81" spans="3:23" outlineLevel="1">
      <c r="C81" s="146">
        <f t="shared" si="45"/>
        <v>0</v>
      </c>
      <c r="D81" s="30" t="s">
        <v>97</v>
      </c>
      <c r="E81" s="30" t="s">
        <v>18</v>
      </c>
      <c r="F81" s="30" t="s">
        <v>36</v>
      </c>
      <c r="G81" s="32"/>
      <c r="H81" s="32"/>
      <c r="J81" s="117" t="str">
        <f t="shared" ref="J81:U81" si="49">IF(ISBLANK(I70),"",IF(ISBLANK(J70),"",LN(J70)-LN(I70)))</f>
        <v/>
      </c>
      <c r="K81" s="117" t="str">
        <f t="shared" si="49"/>
        <v/>
      </c>
      <c r="L81" s="117" t="str">
        <f t="shared" si="49"/>
        <v/>
      </c>
      <c r="M81" s="117" t="str">
        <f t="shared" si="49"/>
        <v/>
      </c>
      <c r="N81" s="117" t="str">
        <f t="shared" si="49"/>
        <v/>
      </c>
      <c r="O81" s="117" t="str">
        <f t="shared" si="49"/>
        <v/>
      </c>
      <c r="P81" s="117" t="str">
        <f t="shared" si="49"/>
        <v/>
      </c>
      <c r="Q81" s="117" t="str">
        <f t="shared" si="49"/>
        <v/>
      </c>
      <c r="R81" s="117" t="str">
        <f t="shared" si="49"/>
        <v/>
      </c>
      <c r="S81" s="117" t="str">
        <f t="shared" si="49"/>
        <v/>
      </c>
      <c r="T81" s="117" t="str">
        <f t="shared" si="49"/>
        <v/>
      </c>
      <c r="U81" s="117" t="str">
        <f t="shared" si="49"/>
        <v/>
      </c>
    </row>
    <row r="82" spans="3:23" outlineLevel="1">
      <c r="C82" s="146">
        <f t="shared" si="45"/>
        <v>0</v>
      </c>
      <c r="D82" s="30" t="s">
        <v>97</v>
      </c>
      <c r="E82" s="30" t="s">
        <v>18</v>
      </c>
      <c r="F82" s="30" t="s">
        <v>36</v>
      </c>
      <c r="G82" s="32"/>
      <c r="H82" s="32"/>
      <c r="J82" s="117" t="str">
        <f t="shared" ref="J82:U82" si="50">IF(ISBLANK(I71),"",IF(ISBLANK(J71),"",LN(J71)-LN(I71)))</f>
        <v/>
      </c>
      <c r="K82" s="117" t="str">
        <f t="shared" si="50"/>
        <v/>
      </c>
      <c r="L82" s="117" t="str">
        <f t="shared" si="50"/>
        <v/>
      </c>
      <c r="M82" s="117" t="str">
        <f t="shared" si="50"/>
        <v/>
      </c>
      <c r="N82" s="117" t="str">
        <f t="shared" si="50"/>
        <v/>
      </c>
      <c r="O82" s="117" t="str">
        <f t="shared" si="50"/>
        <v/>
      </c>
      <c r="P82" s="117" t="str">
        <f t="shared" si="50"/>
        <v/>
      </c>
      <c r="Q82" s="117" t="str">
        <f t="shared" si="50"/>
        <v/>
      </c>
      <c r="R82" s="117" t="str">
        <f t="shared" si="50"/>
        <v/>
      </c>
      <c r="S82" s="117" t="str">
        <f t="shared" si="50"/>
        <v/>
      </c>
      <c r="T82" s="117" t="str">
        <f t="shared" si="50"/>
        <v/>
      </c>
      <c r="U82" s="117" t="str">
        <f t="shared" si="50"/>
        <v/>
      </c>
    </row>
    <row r="83" spans="3:23" outlineLevel="1">
      <c r="C83" s="111"/>
      <c r="G83" s="32"/>
      <c r="H83" s="32"/>
      <c r="K83" s="23"/>
      <c r="L83" s="23"/>
      <c r="M83" s="23"/>
      <c r="N83" s="23"/>
      <c r="O83" s="23"/>
    </row>
    <row r="84" spans="3:23" outlineLevel="1">
      <c r="C84" s="67" t="s">
        <v>171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09" t="s">
        <v>172</v>
      </c>
      <c r="K84" s="209" t="s">
        <v>173</v>
      </c>
      <c r="L84" s="209" t="s">
        <v>174</v>
      </c>
      <c r="M84" s="209" t="s">
        <v>200</v>
      </c>
      <c r="N84" s="209" t="s">
        <v>175</v>
      </c>
      <c r="O84" s="160"/>
      <c r="P84" s="160"/>
      <c r="Q84" s="160"/>
      <c r="R84" s="160"/>
      <c r="S84" s="160"/>
      <c r="T84" s="160"/>
    </row>
    <row r="85" spans="3:23" outlineLevel="1">
      <c r="C85" s="111"/>
      <c r="G85" s="32"/>
      <c r="H85" s="32"/>
      <c r="K85" s="23"/>
      <c r="L85" s="23"/>
      <c r="M85" s="23"/>
      <c r="N85" s="30"/>
      <c r="O85" s="107"/>
      <c r="P85" s="107"/>
      <c r="Q85" s="107"/>
      <c r="R85" s="107"/>
      <c r="S85" s="107"/>
      <c r="T85" s="107"/>
    </row>
    <row r="86" spans="3:23" outlineLevel="1">
      <c r="C86" s="146" t="str">
        <f>C66</f>
        <v>Customer numbers (#)</v>
      </c>
      <c r="D86" s="30" t="s">
        <v>100</v>
      </c>
      <c r="E86" s="30" t="s">
        <v>18</v>
      </c>
      <c r="F86" s="30" t="s">
        <v>36</v>
      </c>
      <c r="G86" s="32"/>
      <c r="H86" s="32"/>
      <c r="J86" s="216">
        <v>0.67430000000000001</v>
      </c>
      <c r="K86" s="216">
        <v>0.6895</v>
      </c>
      <c r="L86" s="216">
        <v>0.3795</v>
      </c>
      <c r="M86" s="216">
        <v>0.69730000000000003</v>
      </c>
      <c r="N86" s="216">
        <v>0.1852</v>
      </c>
      <c r="O86" s="191"/>
      <c r="P86" s="191"/>
      <c r="Q86" s="191"/>
      <c r="R86" s="191"/>
      <c r="S86" s="191"/>
      <c r="T86" s="191"/>
    </row>
    <row r="87" spans="3:23" outlineLevel="1">
      <c r="C87" s="146" t="str">
        <f t="shared" ref="C87:C91" si="51">C67</f>
        <v>Circuit Length (km)</v>
      </c>
      <c r="D87" s="30" t="s">
        <v>100</v>
      </c>
      <c r="E87" s="30" t="s">
        <v>18</v>
      </c>
      <c r="F87" s="30" t="s">
        <v>36</v>
      </c>
      <c r="G87" s="32"/>
      <c r="H87" s="32"/>
      <c r="J87" s="216">
        <v>0.15079999999999999</v>
      </c>
      <c r="K87" s="216">
        <v>0.15559999999999999</v>
      </c>
      <c r="L87" s="216">
        <v>0.21160000000000001</v>
      </c>
      <c r="M87" s="216">
        <v>0.1237</v>
      </c>
      <c r="N87" s="216">
        <v>0.39140000000000003</v>
      </c>
      <c r="O87" s="191"/>
      <c r="P87" s="191"/>
      <c r="Q87" s="191"/>
      <c r="R87" s="191"/>
      <c r="S87" s="191"/>
      <c r="T87" s="191"/>
    </row>
    <row r="88" spans="3:23" outlineLevel="1">
      <c r="C88" s="146" t="str">
        <f t="shared" si="51"/>
        <v>Ratcheted Maximum Demand (MW)</v>
      </c>
      <c r="D88" s="30" t="s">
        <v>100</v>
      </c>
      <c r="E88" s="30" t="s">
        <v>18</v>
      </c>
      <c r="F88" s="30" t="s">
        <v>36</v>
      </c>
      <c r="G88" s="32"/>
      <c r="H88" s="32"/>
      <c r="J88" s="216">
        <v>0.17499999999999999</v>
      </c>
      <c r="K88" s="216">
        <v>0.15479999999999999</v>
      </c>
      <c r="L88" s="216">
        <v>0.40889999999999999</v>
      </c>
      <c r="M88" s="216">
        <v>0.17899999999999999</v>
      </c>
      <c r="N88" s="216">
        <v>0.33760000000000001</v>
      </c>
      <c r="O88" s="191"/>
      <c r="P88" s="191"/>
      <c r="Q88" s="191"/>
      <c r="R88" s="191"/>
      <c r="S88" s="191"/>
      <c r="T88" s="191"/>
    </row>
    <row r="89" spans="3:23" outlineLevel="1">
      <c r="C89" s="146" t="str">
        <f t="shared" si="51"/>
        <v>Energy throughput (GWh)</v>
      </c>
      <c r="D89" s="30" t="s">
        <v>100</v>
      </c>
      <c r="E89" s="30" t="s">
        <v>18</v>
      </c>
      <c r="F89" s="30" t="s">
        <v>36</v>
      </c>
      <c r="G89" s="32"/>
      <c r="H89" s="32"/>
      <c r="J89" s="216">
        <v>0</v>
      </c>
      <c r="K89" s="216">
        <v>0</v>
      </c>
      <c r="L89" s="216">
        <v>0</v>
      </c>
      <c r="M89" s="216">
        <v>0</v>
      </c>
      <c r="N89" s="216">
        <v>8.5800000000000001E-2</v>
      </c>
      <c r="O89" s="191"/>
      <c r="P89" s="191"/>
      <c r="Q89" s="191"/>
      <c r="R89" s="191"/>
      <c r="S89" s="191"/>
      <c r="T89" s="191"/>
    </row>
    <row r="90" spans="3:23" outlineLevel="1">
      <c r="C90" s="146">
        <f t="shared" si="51"/>
        <v>0</v>
      </c>
      <c r="D90" s="30" t="s">
        <v>100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61"/>
      <c r="O90" s="191"/>
      <c r="P90" s="191"/>
      <c r="Q90" s="191"/>
      <c r="R90" s="191"/>
      <c r="S90" s="191"/>
      <c r="T90" s="191"/>
    </row>
    <row r="91" spans="3:23" outlineLevel="1">
      <c r="C91" s="146">
        <f t="shared" si="51"/>
        <v>0</v>
      </c>
      <c r="D91" s="30" t="s">
        <v>100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61"/>
      <c r="O91" s="191"/>
      <c r="P91" s="191"/>
      <c r="Q91" s="191"/>
      <c r="R91" s="191"/>
      <c r="S91" s="191"/>
      <c r="T91" s="191"/>
    </row>
    <row r="92" spans="3:23" outlineLevel="1">
      <c r="G92" s="32"/>
      <c r="H92" s="32"/>
      <c r="N92" s="30"/>
    </row>
    <row r="93" spans="3:23" outlineLevel="1">
      <c r="C93" s="29" t="s">
        <v>40</v>
      </c>
      <c r="D93" s="30" t="s">
        <v>97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Check</v>
      </c>
      <c r="K93" s="132" t="str">
        <f t="array" ref="K93">IF(ISBLANK(K84),IF(ISBLANK(K86:K91),"Ok","Check"),IF(SUM(K86:K91)=1,"Ok","Check"))</f>
        <v>Check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>Ok</v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24"/>
      <c r="W93" s="131" t="str">
        <f>IF(COUNTIF(K93:T93,"Check")=0,"Ok","Check")</f>
        <v>Check</v>
      </c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67" t="s">
        <v>176</v>
      </c>
      <c r="D95" s="32" t="s">
        <v>7</v>
      </c>
      <c r="E95" s="32" t="s">
        <v>8</v>
      </c>
      <c r="F95" s="32" t="s">
        <v>22</v>
      </c>
      <c r="J95" s="160"/>
      <c r="K95" s="160"/>
      <c r="L95" s="160"/>
      <c r="M95" s="160"/>
      <c r="N95" s="160"/>
      <c r="O95" s="160"/>
      <c r="P95" s="160"/>
      <c r="Q95" s="160">
        <f>Q4</f>
        <v>44713</v>
      </c>
      <c r="R95" s="160">
        <f t="shared" ref="R95:U95" si="52">R4</f>
        <v>45078</v>
      </c>
      <c r="S95" s="160">
        <f t="shared" si="52"/>
        <v>45444</v>
      </c>
      <c r="T95" s="160">
        <f t="shared" si="52"/>
        <v>45809</v>
      </c>
      <c r="U95" s="160">
        <f t="shared" si="52"/>
        <v>46174</v>
      </c>
      <c r="W95" s="132"/>
    </row>
    <row r="96" spans="3:23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24"/>
      <c r="W96" s="132"/>
    </row>
    <row r="97" spans="1:50" outlineLevel="1">
      <c r="C97" s="146" t="str">
        <f t="array" ref="C97:C101">TRANSPOSE(J84:N84)</f>
        <v>SFA CD</v>
      </c>
      <c r="D97" s="30" t="s">
        <v>97</v>
      </c>
      <c r="E97" s="30" t="s">
        <v>18</v>
      </c>
      <c r="F97" s="30" t="s">
        <v>36</v>
      </c>
      <c r="J97" s="117" t="str">
        <f t="shared" ref="J97:S97" si="53">IF(J$95=J$4,SUMPRODUCT(J$77:J$82,$J$86:$J$91),"")</f>
        <v/>
      </c>
      <c r="K97" s="117" t="str">
        <f t="shared" si="53"/>
        <v/>
      </c>
      <c r="L97" s="117" t="str">
        <f t="shared" si="53"/>
        <v/>
      </c>
      <c r="M97" s="117" t="str">
        <f t="shared" si="53"/>
        <v/>
      </c>
      <c r="N97" s="117" t="str">
        <f t="shared" si="53"/>
        <v/>
      </c>
      <c r="O97" s="117" t="str">
        <f t="shared" si="53"/>
        <v/>
      </c>
      <c r="P97" s="117" t="str">
        <f t="shared" si="53"/>
        <v/>
      </c>
      <c r="Q97" s="117">
        <f t="shared" si="53"/>
        <v>5.7920141803799287E-3</v>
      </c>
      <c r="R97" s="117">
        <f t="shared" si="53"/>
        <v>9.9521307296658954E-3</v>
      </c>
      <c r="S97" s="117">
        <f t="shared" si="53"/>
        <v>1.2462428198558168E-2</v>
      </c>
      <c r="T97" s="117">
        <f>IF(T$95=T$4,SUMPRODUCT(T$77:T$82,$J$86:$J$91),"")</f>
        <v>1.2362911970900115E-2</v>
      </c>
      <c r="U97" s="117">
        <f>IF(U$95=U$4,SUMPRODUCT(U$77:U$82,$J$86:$J$91),"")</f>
        <v>1.2246383275294516E-2</v>
      </c>
      <c r="W97" s="132"/>
    </row>
    <row r="98" spans="1:50" outlineLevel="1">
      <c r="C98" s="146" t="str">
        <v>LSE CD</v>
      </c>
      <c r="D98" s="30" t="s">
        <v>97</v>
      </c>
      <c r="E98" s="30" t="s">
        <v>18</v>
      </c>
      <c r="F98" s="30" t="s">
        <v>36</v>
      </c>
      <c r="J98" s="117" t="str">
        <f t="shared" ref="J98:S98" si="54">IF(J$95=J$4,SUMPRODUCT(J$77:J$82,$K$86:$K$91),"")</f>
        <v/>
      </c>
      <c r="K98" s="117" t="str">
        <f t="shared" si="54"/>
        <v/>
      </c>
      <c r="L98" s="117" t="str">
        <f t="shared" si="54"/>
        <v/>
      </c>
      <c r="M98" s="117" t="str">
        <f t="shared" si="54"/>
        <v/>
      </c>
      <c r="N98" s="117" t="str">
        <f t="shared" si="54"/>
        <v/>
      </c>
      <c r="O98" s="117" t="str">
        <f t="shared" si="54"/>
        <v/>
      </c>
      <c r="P98" s="117" t="str">
        <f t="shared" si="54"/>
        <v/>
      </c>
      <c r="Q98" s="117">
        <f t="shared" si="54"/>
        <v>5.9309336464773215E-3</v>
      </c>
      <c r="R98" s="117">
        <f t="shared" si="54"/>
        <v>1.0187534356705621E-2</v>
      </c>
      <c r="S98" s="117">
        <f t="shared" si="54"/>
        <v>1.2754332105148307E-2</v>
      </c>
      <c r="T98" s="117">
        <f>IF(T$95=T$4,SUMPRODUCT(T$77:T$82,$K$86:$K$91),"")</f>
        <v>1.2652488959995066E-2</v>
      </c>
      <c r="U98" s="117">
        <f>IF(U$95=U$4,SUMPRODUCT(U$77:U$82,$K$86:$K$91),"")</f>
        <v>1.2533249670377182E-2</v>
      </c>
      <c r="W98" s="132"/>
    </row>
    <row r="99" spans="1:50" outlineLevel="1">
      <c r="C99" s="146" t="str">
        <v>LSE TLG</v>
      </c>
      <c r="D99" s="30" t="s">
        <v>97</v>
      </c>
      <c r="E99" s="30" t="s">
        <v>18</v>
      </c>
      <c r="F99" s="30" t="s">
        <v>36</v>
      </c>
      <c r="J99" s="117" t="str">
        <f t="shared" ref="J99:S99" si="55">IF(J$95=J$4,SUMPRODUCT(J$77:J$82,$L$86:$L$91),"")</f>
        <v/>
      </c>
      <c r="K99" s="117" t="str">
        <f t="shared" si="55"/>
        <v/>
      </c>
      <c r="L99" s="117" t="str">
        <f t="shared" si="55"/>
        <v/>
      </c>
      <c r="M99" s="117" t="str">
        <f t="shared" si="55"/>
        <v/>
      </c>
      <c r="N99" s="117" t="str">
        <f t="shared" si="55"/>
        <v/>
      </c>
      <c r="O99" s="117" t="str">
        <f t="shared" si="55"/>
        <v/>
      </c>
      <c r="P99" s="117" t="str">
        <f t="shared" si="55"/>
        <v/>
      </c>
      <c r="Q99" s="117">
        <f t="shared" si="55"/>
        <v>4.0158457735595451E-3</v>
      </c>
      <c r="R99" s="117">
        <f t="shared" si="55"/>
        <v>6.6021263374149283E-3</v>
      </c>
      <c r="S99" s="117">
        <f t="shared" si="55"/>
        <v>8.0071027505590822E-3</v>
      </c>
      <c r="T99" s="117">
        <f>IF(T$95=T$4,SUMPRODUCT(T$77:T$82,$L$86:$L$91),"")</f>
        <v>7.9435275989265027E-3</v>
      </c>
      <c r="U99" s="117">
        <f>IF(U$95=U$4,SUMPRODUCT(U$77:U$82,$L$86:$L$91),"")</f>
        <v>7.8703611509729123E-3</v>
      </c>
      <c r="W99" s="132"/>
    </row>
    <row r="100" spans="1:50" outlineLevel="1">
      <c r="C100" s="146" t="str">
        <v>SFA TLG</v>
      </c>
      <c r="D100" s="30" t="s">
        <v>97</v>
      </c>
      <c r="E100" s="30" t="s">
        <v>18</v>
      </c>
      <c r="F100" s="30" t="s">
        <v>36</v>
      </c>
      <c r="J100" s="117" t="str">
        <f t="shared" ref="J100:S100" si="56">IF(J$95=J$4,SUMPRODUCT(J$77:J$82,$M$86:$M$91),"")</f>
        <v/>
      </c>
      <c r="K100" s="117" t="str">
        <f t="shared" si="56"/>
        <v/>
      </c>
      <c r="L100" s="117" t="str">
        <f t="shared" si="56"/>
        <v/>
      </c>
      <c r="M100" s="117" t="str">
        <f t="shared" si="56"/>
        <v/>
      </c>
      <c r="N100" s="117" t="str">
        <f t="shared" si="56"/>
        <v/>
      </c>
      <c r="O100" s="117" t="str">
        <f t="shared" si="56"/>
        <v/>
      </c>
      <c r="P100" s="117" t="str">
        <f t="shared" si="56"/>
        <v/>
      </c>
      <c r="Q100" s="117">
        <f t="shared" si="56"/>
        <v>5.7972102027087843E-3</v>
      </c>
      <c r="R100" s="117">
        <f t="shared" si="56"/>
        <v>1.0036905147202808E-2</v>
      </c>
      <c r="S100" s="117">
        <f t="shared" si="56"/>
        <v>1.2634820618579278E-2</v>
      </c>
      <c r="T100" s="117">
        <f>IF(T$95=T$4,SUMPRODUCT(T$77:T$82,$M$86:$M$91),"")</f>
        <v>1.2533835181690529E-2</v>
      </c>
      <c r="U100" s="117">
        <f>IF(U$95=U$4,SUMPRODUCT(U$77:U$82,$M$86:$M$91),"")</f>
        <v>1.2415261209302825E-2</v>
      </c>
      <c r="W100" s="132"/>
    </row>
    <row r="101" spans="1:50" outlineLevel="1">
      <c r="C101" s="221" t="str">
        <v>MPFP</v>
      </c>
      <c r="D101" s="30" t="s">
        <v>97</v>
      </c>
      <c r="E101" s="30" t="s">
        <v>18</v>
      </c>
      <c r="F101" s="30" t="s">
        <v>36</v>
      </c>
      <c r="J101" s="117"/>
      <c r="K101" s="117"/>
      <c r="L101" s="117"/>
      <c r="M101" s="117"/>
      <c r="N101" s="117"/>
      <c r="O101" s="117"/>
      <c r="P101" s="117"/>
      <c r="Q101" s="117">
        <f>IF(Q$95=Q$4,SUMPRODUCT(Q$77:Q$82,$N$86:$N$91),"")</f>
        <v>3.3582833953328408E-3</v>
      </c>
      <c r="R101" s="117">
        <f t="shared" ref="R101:U101" si="57">IF(R$95=R$4,SUMPRODUCT(R$77:R$82,$N$86:$N$91),"")</f>
        <v>5.0140607599617054E-3</v>
      </c>
      <c r="S101" s="117">
        <f t="shared" si="57"/>
        <v>5.8161700701191473E-3</v>
      </c>
      <c r="T101" s="117">
        <f t="shared" si="57"/>
        <v>5.8211295913186654E-3</v>
      </c>
      <c r="U101" s="117">
        <f t="shared" si="57"/>
        <v>5.8125741360672894E-3</v>
      </c>
      <c r="W101" s="132"/>
    </row>
    <row r="102" spans="1:50" outlineLevel="1">
      <c r="C102" s="111"/>
      <c r="G102" s="32"/>
      <c r="H102" s="32"/>
      <c r="K102" s="23"/>
      <c r="L102" s="23"/>
      <c r="M102" s="23"/>
      <c r="N102" s="23"/>
      <c r="O102" s="23"/>
    </row>
    <row r="103" spans="1:50" s="103" customFormat="1" ht="12.75">
      <c r="A103" s="94"/>
      <c r="B103" s="95" t="s">
        <v>77</v>
      </c>
      <c r="C103" s="94"/>
      <c r="D103" s="94"/>
      <c r="E103" s="94"/>
      <c r="F103" s="96"/>
      <c r="G103" s="96"/>
      <c r="H103" s="96"/>
      <c r="I103" s="96"/>
      <c r="J103" s="96"/>
      <c r="K103" s="97"/>
      <c r="L103" s="98"/>
      <c r="M103" s="97"/>
      <c r="N103" s="98"/>
      <c r="O103" s="97"/>
      <c r="P103" s="97"/>
      <c r="Q103" s="97"/>
      <c r="R103" s="97"/>
      <c r="S103" s="97"/>
      <c r="T103" s="97"/>
      <c r="U103" s="97"/>
      <c r="V103" s="97"/>
      <c r="W103" s="98"/>
      <c r="X103" s="99"/>
      <c r="Y103" s="99"/>
      <c r="Z103" s="99"/>
      <c r="AA103" s="99"/>
      <c r="AB103" s="99"/>
      <c r="AC103" s="99"/>
      <c r="AD103" s="99"/>
      <c r="AE103" s="100"/>
      <c r="AF103" s="101"/>
      <c r="AG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</row>
    <row r="104" spans="1:50" outlineLevel="1">
      <c r="G104" s="32"/>
      <c r="H104" s="32"/>
    </row>
    <row r="105" spans="1:50" outlineLevel="1">
      <c r="C105" s="67" t="s">
        <v>47</v>
      </c>
      <c r="D105" s="32" t="s">
        <v>7</v>
      </c>
      <c r="E105" s="32" t="s">
        <v>8</v>
      </c>
      <c r="F105" s="32" t="s">
        <v>22</v>
      </c>
      <c r="G105" s="32"/>
      <c r="H105" s="32"/>
      <c r="J105" s="160"/>
      <c r="K105" s="160"/>
      <c r="L105" s="160"/>
      <c r="M105" s="160"/>
      <c r="N105" s="160"/>
      <c r="O105" s="160"/>
      <c r="P105" s="160"/>
      <c r="Q105" s="160">
        <f>Q4</f>
        <v>44713</v>
      </c>
      <c r="R105" s="160">
        <f t="shared" ref="R105:U105" si="58">R4</f>
        <v>45078</v>
      </c>
      <c r="S105" s="160">
        <f t="shared" si="58"/>
        <v>45444</v>
      </c>
      <c r="T105" s="160">
        <f t="shared" si="58"/>
        <v>45809</v>
      </c>
      <c r="U105" s="160">
        <f t="shared" si="58"/>
        <v>46174</v>
      </c>
    </row>
    <row r="106" spans="1:50" outlineLevel="1">
      <c r="C106" s="111"/>
      <c r="G106" s="32"/>
      <c r="H106" s="32"/>
      <c r="K106" s="23"/>
      <c r="L106" s="23"/>
      <c r="M106" s="23"/>
      <c r="N106" s="23"/>
      <c r="O106" s="23"/>
    </row>
    <row r="107" spans="1:50" outlineLevel="1">
      <c r="C107" s="111" t="s">
        <v>47</v>
      </c>
      <c r="D107" s="30" t="s">
        <v>100</v>
      </c>
      <c r="E107" s="30" t="str">
        <f>percent</f>
        <v>Per cent</v>
      </c>
      <c r="F107" s="30" t="s">
        <v>36</v>
      </c>
      <c r="G107" s="32"/>
      <c r="H107" s="32"/>
      <c r="J107" s="203"/>
      <c r="K107" s="192"/>
      <c r="L107" s="192"/>
      <c r="M107" s="192"/>
      <c r="N107" s="192"/>
      <c r="O107" s="167"/>
      <c r="P107" s="167"/>
      <c r="Q107" s="167">
        <f>(1+R107)^(9/12)-1</f>
        <v>3.7476611191240572E-3</v>
      </c>
      <c r="R107" s="167">
        <v>5.0000000000000001E-3</v>
      </c>
      <c r="S107" s="167">
        <f>$R$107</f>
        <v>5.0000000000000001E-3</v>
      </c>
      <c r="T107" s="167">
        <f t="shared" ref="T107:U107" si="59">$R$107</f>
        <v>5.0000000000000001E-3</v>
      </c>
      <c r="U107" s="167">
        <f t="shared" si="59"/>
        <v>5.0000000000000001E-3</v>
      </c>
    </row>
    <row r="108" spans="1:50" outlineLevel="1">
      <c r="C108" s="111"/>
      <c r="G108" s="32"/>
      <c r="H108" s="32"/>
      <c r="J108" s="166"/>
      <c r="K108" s="23"/>
      <c r="L108" s="23"/>
      <c r="M108" s="23"/>
      <c r="N108" s="23"/>
      <c r="O108" s="23"/>
      <c r="P108" s="190"/>
      <c r="Q108" s="190"/>
      <c r="R108" s="190"/>
      <c r="S108" s="190"/>
      <c r="T108" s="190"/>
    </row>
    <row r="109" spans="1:50" outlineLevel="1">
      <c r="C109" s="29" t="s">
        <v>40</v>
      </c>
      <c r="D109" s="30" t="s">
        <v>97</v>
      </c>
      <c r="E109" s="30" t="s">
        <v>28</v>
      </c>
      <c r="F109" s="30" t="s">
        <v>36</v>
      </c>
      <c r="J109" s="132" t="str">
        <f t="shared" ref="J109:S109" si="60">IF(J105=J$4,IF(ISBLANK(J107),"Check","Ok"),"")</f>
        <v/>
      </c>
      <c r="K109" s="132" t="str">
        <f t="shared" si="60"/>
        <v/>
      </c>
      <c r="L109" s="132" t="str">
        <f t="shared" si="60"/>
        <v/>
      </c>
      <c r="M109" s="132" t="str">
        <f t="shared" si="60"/>
        <v/>
      </c>
      <c r="N109" s="132" t="str">
        <f t="shared" si="60"/>
        <v/>
      </c>
      <c r="O109" s="132" t="str">
        <f t="shared" si="60"/>
        <v/>
      </c>
      <c r="P109" s="132" t="str">
        <f t="shared" si="60"/>
        <v/>
      </c>
      <c r="Q109" s="132" t="str">
        <f t="shared" si="60"/>
        <v>Ok</v>
      </c>
      <c r="R109" s="132" t="str">
        <f t="shared" si="60"/>
        <v>Ok</v>
      </c>
      <c r="S109" s="132" t="str">
        <f t="shared" si="60"/>
        <v>Ok</v>
      </c>
      <c r="T109" s="132" t="str">
        <f>IF(T105=T$4,IF(ISBLANK(T107),"Check","Ok"),"")</f>
        <v>Ok</v>
      </c>
      <c r="U109" s="132" t="str">
        <f>IF(U105=U$4,IF(ISBLANK(U107),"Check","Ok"),"")</f>
        <v>Ok</v>
      </c>
      <c r="W109" s="131" t="str">
        <f>IF(COUNTIF(J109:T109,"Check")=0,"Ok","Check")</f>
        <v>Ok</v>
      </c>
    </row>
    <row r="110" spans="1:50" outlineLevel="1">
      <c r="C110" s="111"/>
      <c r="G110" s="32"/>
      <c r="H110" s="32"/>
      <c r="K110" s="23"/>
      <c r="L110" s="23"/>
      <c r="M110" s="23"/>
      <c r="N110" s="23"/>
      <c r="O110" s="23"/>
    </row>
    <row r="111" spans="1:50" s="103" customFormat="1" ht="12.75">
      <c r="A111" s="94"/>
      <c r="B111" s="95" t="s">
        <v>21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</sheetData>
  <mergeCells count="2">
    <mergeCell ref="K3:M3"/>
    <mergeCell ref="O3:T3"/>
  </mergeCells>
  <conditionalFormatting sqref="W1">
    <cfRule type="cellIs" dxfId="190" priority="130" operator="equal">
      <formula>"Check"</formula>
    </cfRule>
    <cfRule type="cellIs" dxfId="189" priority="131" operator="equal">
      <formula>"Ok"</formula>
    </cfRule>
  </conditionalFormatting>
  <conditionalFormatting sqref="T1">
    <cfRule type="cellIs" dxfId="188" priority="94" operator="equal">
      <formula>"Check"</formula>
    </cfRule>
    <cfRule type="cellIs" dxfId="187" priority="95" operator="equal">
      <formula>"Ok"</formula>
    </cfRule>
  </conditionalFormatting>
  <conditionalFormatting sqref="W60">
    <cfRule type="cellIs" dxfId="186" priority="82" operator="equal">
      <formula>"Check"</formula>
    </cfRule>
    <cfRule type="cellIs" dxfId="185" priority="83" operator="equal">
      <formula>"Ok"</formula>
    </cfRule>
  </conditionalFormatting>
  <conditionalFormatting sqref="J60:T60">
    <cfRule type="cellIs" dxfId="184" priority="74" operator="equal">
      <formula>"Check"</formula>
    </cfRule>
    <cfRule type="cellIs" dxfId="183" priority="75" operator="equal">
      <formula>"Ok"</formula>
    </cfRule>
  </conditionalFormatting>
  <conditionalFormatting sqref="J36:U36">
    <cfRule type="expression" dxfId="182" priority="65">
      <formula>J$36=J$4</formula>
    </cfRule>
  </conditionalFormatting>
  <conditionalFormatting sqref="J38:T45 Q38:U38">
    <cfRule type="expression" dxfId="181" priority="63">
      <formula>J$36=J$4</formula>
    </cfRule>
  </conditionalFormatting>
  <conditionalFormatting sqref="J51:U58">
    <cfRule type="expression" dxfId="180" priority="62">
      <formula>J$49=J$4</formula>
    </cfRule>
  </conditionalFormatting>
  <conditionalFormatting sqref="W109">
    <cfRule type="cellIs" dxfId="179" priority="56" operator="equal">
      <formula>"Check"</formula>
    </cfRule>
    <cfRule type="cellIs" dxfId="178" priority="57" operator="equal">
      <formula>"Ok"</formula>
    </cfRule>
  </conditionalFormatting>
  <conditionalFormatting sqref="J109:T109">
    <cfRule type="cellIs" dxfId="177" priority="54" operator="equal">
      <formula>"Check"</formula>
    </cfRule>
    <cfRule type="cellIs" dxfId="176" priority="55" operator="equal">
      <formula>"Ok"</formula>
    </cfRule>
  </conditionalFormatting>
  <conditionalFormatting sqref="W47">
    <cfRule type="cellIs" dxfId="175" priority="52" operator="equal">
      <formula>"Check"</formula>
    </cfRule>
    <cfRule type="cellIs" dxfId="174" priority="53" operator="equal">
      <formula>"Ok"</formula>
    </cfRule>
  </conditionalFormatting>
  <conditionalFormatting sqref="J47:T47">
    <cfRule type="cellIs" dxfId="173" priority="50" operator="equal">
      <formula>"Check"</formula>
    </cfRule>
    <cfRule type="cellIs" dxfId="172" priority="51" operator="equal">
      <formula>"Ok"</formula>
    </cfRule>
  </conditionalFormatting>
  <conditionalFormatting sqref="W73">
    <cfRule type="cellIs" dxfId="171" priority="48" operator="equal">
      <formula>"Check"</formula>
    </cfRule>
    <cfRule type="cellIs" dxfId="170" priority="49" operator="equal">
      <formula>"Ok"</formula>
    </cfRule>
  </conditionalFormatting>
  <conditionalFormatting sqref="J73:T73">
    <cfRule type="cellIs" dxfId="169" priority="46" operator="equal">
      <formula>"Check"</formula>
    </cfRule>
    <cfRule type="cellIs" dxfId="168" priority="47" operator="equal">
      <formula>"Ok"</formula>
    </cfRule>
  </conditionalFormatting>
  <conditionalFormatting sqref="J64:U64">
    <cfRule type="expression" dxfId="167" priority="40">
      <formula>J$64=J$4</formula>
    </cfRule>
  </conditionalFormatting>
  <conditionalFormatting sqref="J70:T71 J66:U69">
    <cfRule type="expression" dxfId="166" priority="38">
      <formula>J$64=J$4</formula>
    </cfRule>
  </conditionalFormatting>
  <conditionalFormatting sqref="J49:U49">
    <cfRule type="expression" dxfId="165" priority="35">
      <formula>J$36=J$4</formula>
    </cfRule>
  </conditionalFormatting>
  <conditionalFormatting sqref="J75:U75">
    <cfRule type="expression" dxfId="164" priority="34">
      <formula>J$36=J$4</formula>
    </cfRule>
  </conditionalFormatting>
  <conditionalFormatting sqref="J105:U105">
    <cfRule type="expression" dxfId="163" priority="33">
      <formula>J$36=J$4</formula>
    </cfRule>
  </conditionalFormatting>
  <conditionalFormatting sqref="J26:T32">
    <cfRule type="cellIs" dxfId="162" priority="31" operator="equal">
      <formula>0</formula>
    </cfRule>
  </conditionalFormatting>
  <conditionalFormatting sqref="J16:T22">
    <cfRule type="cellIs" dxfId="161" priority="30" operator="equal">
      <formula>0</formula>
    </cfRule>
  </conditionalFormatting>
  <conditionalFormatting sqref="W93:W101">
    <cfRule type="cellIs" dxfId="160" priority="26" operator="equal">
      <formula>"Check"</formula>
    </cfRule>
    <cfRule type="cellIs" dxfId="159" priority="27" operator="equal">
      <formula>"Ok"</formula>
    </cfRule>
  </conditionalFormatting>
  <conditionalFormatting sqref="K90:M91">
    <cfRule type="expression" dxfId="158" priority="25">
      <formula>K$84=K$4</formula>
    </cfRule>
  </conditionalFormatting>
  <conditionalFormatting sqref="J96:T96 J93:T94">
    <cfRule type="cellIs" dxfId="157" priority="23" operator="equal">
      <formula>"Check"</formula>
    </cfRule>
    <cfRule type="cellIs" dxfId="156" priority="24" operator="equal">
      <formula>"Ok"</formula>
    </cfRule>
  </conditionalFormatting>
  <conditionalFormatting sqref="J95:U95">
    <cfRule type="expression" dxfId="155" priority="22">
      <formula>J$95=J$4</formula>
    </cfRule>
  </conditionalFormatting>
  <conditionalFormatting sqref="J107:U107">
    <cfRule type="expression" dxfId="154" priority="135">
      <formula>J$105=J$4</formula>
    </cfRule>
  </conditionalFormatting>
  <conditionalFormatting sqref="K86:M89">
    <cfRule type="expression" dxfId="153" priority="21">
      <formula>K$84=K$4</formula>
    </cfRule>
  </conditionalFormatting>
  <conditionalFormatting sqref="U26:U32">
    <cfRule type="cellIs" dxfId="152" priority="20" operator="equal">
      <formula>0</formula>
    </cfRule>
  </conditionalFormatting>
  <conditionalFormatting sqref="U16:U22">
    <cfRule type="cellIs" dxfId="151" priority="19" operator="equal">
      <formula>0</formula>
    </cfRule>
  </conditionalFormatting>
  <conditionalFormatting sqref="U109">
    <cfRule type="cellIs" dxfId="150" priority="1" operator="equal">
      <formula>"Check"</formula>
    </cfRule>
    <cfRule type="cellIs" dxfId="149" priority="2" operator="equal">
      <formula>"Ok"</formula>
    </cfRule>
  </conditionalFormatting>
  <conditionalFormatting sqref="U47">
    <cfRule type="cellIs" dxfId="148" priority="14" operator="equal">
      <formula>"Check"</formula>
    </cfRule>
    <cfRule type="cellIs" dxfId="147" priority="15" operator="equal">
      <formula>"Ok"</formula>
    </cfRule>
  </conditionalFormatting>
  <conditionalFormatting sqref="U38:U45">
    <cfRule type="expression" dxfId="146" priority="13">
      <formula>U$36=U$4</formula>
    </cfRule>
  </conditionalFormatting>
  <conditionalFormatting sqref="U51:U58">
    <cfRule type="expression" dxfId="145" priority="10">
      <formula>U$49=U$4</formula>
    </cfRule>
  </conditionalFormatting>
  <conditionalFormatting sqref="U60">
    <cfRule type="cellIs" dxfId="144" priority="8" operator="equal">
      <formula>"Check"</formula>
    </cfRule>
    <cfRule type="cellIs" dxfId="143" priority="9" operator="equal">
      <formula>"Ok"</formula>
    </cfRule>
  </conditionalFormatting>
  <conditionalFormatting sqref="U73">
    <cfRule type="cellIs" dxfId="142" priority="5" operator="equal">
      <formula>"Check"</formula>
    </cfRule>
    <cfRule type="cellIs" dxfId="141" priority="6" operator="equal">
      <formula>"Ok"</formula>
    </cfRule>
  </conditionalFormatting>
  <conditionalFormatting sqref="U70:U71">
    <cfRule type="expression" dxfId="140" priority="4">
      <formula>U$64=U$4</formula>
    </cfRule>
  </conditionalFormatting>
  <conditionalFormatting sqref="U107">
    <cfRule type="expression" dxfId="139" priority="3">
      <formula>U$105=U$4</formula>
    </cfRule>
  </conditionalFormatting>
  <dataValidations disablePrompts="1" count="2">
    <dataValidation type="list" allowBlank="1" showInputMessage="1" showErrorMessage="1" sqref="F110 F74 F102">
      <formula1>#REF!</formula1>
    </dataValidation>
    <dataValidation type="list" allowBlank="1" showInputMessage="1" showErrorMessage="1" sqref="F85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V52"/>
  <sheetViews>
    <sheetView showGridLines="0" topLeftCell="B1" zoomScaleNormal="100" workbookViewId="0">
      <selection activeCell="Q19" sqref="Q19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10.5" style="29" hidden="1" customWidth="1"/>
    <col min="49" max="16384" width="0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IF(COUNTA($X$8:$X$235)=COUNTIF($X$8:$X$235,"OK"),"OK","Check")</f>
        <v>OK</v>
      </c>
      <c r="T1" s="76"/>
      <c r="V1" s="185" t="s">
        <v>24</v>
      </c>
      <c r="W1" s="76" t="str">
        <f>'Check|List'!$S$1</f>
        <v>Check</v>
      </c>
    </row>
    <row r="2" spans="1:48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55" t="s">
        <v>120</v>
      </c>
      <c r="K3" s="170"/>
      <c r="L3" s="170"/>
      <c r="M3" s="180"/>
      <c r="N3" s="226"/>
      <c r="O3" s="226"/>
      <c r="P3" s="226"/>
      <c r="Q3" s="226"/>
      <c r="R3" s="226"/>
      <c r="S3" s="226"/>
      <c r="T3" s="217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49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>
      <c r="G9" s="32"/>
      <c r="H9" s="32"/>
    </row>
    <row r="10" spans="1:48" outlineLevel="1"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160"/>
      <c r="J10" s="160" t="str">
        <f t="shared" ref="J10:N10" si="0">IF(YEAR(J$4)&gt;=FPFirstYear,IF(YEAR(J$4)&lt;=FPLastYear,J$4,""),"")</f>
        <v/>
      </c>
      <c r="K10" s="160" t="str">
        <f t="shared" si="0"/>
        <v/>
      </c>
      <c r="L10" s="160" t="str">
        <f t="shared" si="0"/>
        <v/>
      </c>
      <c r="M10" s="160" t="str">
        <f t="shared" si="0"/>
        <v/>
      </c>
      <c r="N10" s="160" t="str">
        <f t="shared" si="0"/>
        <v/>
      </c>
      <c r="O10" s="160"/>
      <c r="P10" s="160">
        <f t="shared" ref="P10:T10" si="1">P$4</f>
        <v>44713</v>
      </c>
      <c r="Q10" s="160">
        <f t="shared" si="1"/>
        <v>45078</v>
      </c>
      <c r="R10" s="160">
        <f t="shared" si="1"/>
        <v>45444</v>
      </c>
      <c r="S10" s="160">
        <f t="shared" si="1"/>
        <v>45809</v>
      </c>
      <c r="T10" s="160">
        <f t="shared" si="1"/>
        <v>46174</v>
      </c>
    </row>
    <row r="11" spans="1:48" outlineLevel="1">
      <c r="G11" s="32"/>
      <c r="H11" s="32"/>
    </row>
    <row r="12" spans="1:48" outlineLevel="1">
      <c r="C12" s="61" t="s">
        <v>213</v>
      </c>
      <c r="D12" s="30" t="s">
        <v>68</v>
      </c>
      <c r="E12" s="148" t="s">
        <v>15</v>
      </c>
      <c r="F12" s="169">
        <v>44348</v>
      </c>
      <c r="G12" s="32"/>
      <c r="H12" s="32"/>
      <c r="J12" s="150"/>
      <c r="K12" s="150"/>
      <c r="L12" s="150"/>
      <c r="M12" s="150"/>
      <c r="N12" s="150"/>
      <c r="O12" s="168"/>
      <c r="P12" s="168">
        <v>0.84066056336917372</v>
      </c>
      <c r="Q12" s="168">
        <v>1.0758032194158564</v>
      </c>
      <c r="R12" s="168">
        <v>1.2870525923067786</v>
      </c>
      <c r="S12" s="168">
        <v>1.2882058105149219</v>
      </c>
      <c r="T12" s="168">
        <v>1.2893590287230652</v>
      </c>
    </row>
    <row r="13" spans="1:48" outlineLevel="1">
      <c r="C13" s="61" t="s">
        <v>214</v>
      </c>
      <c r="D13" s="30" t="s">
        <v>68</v>
      </c>
      <c r="E13" s="148" t="s">
        <v>15</v>
      </c>
      <c r="F13" s="169">
        <v>44348</v>
      </c>
      <c r="G13" s="32"/>
      <c r="H13" s="32"/>
      <c r="J13" s="150"/>
      <c r="K13" s="150"/>
      <c r="L13" s="150"/>
      <c r="M13" s="150"/>
      <c r="N13" s="150"/>
      <c r="O13" s="168"/>
      <c r="P13" s="168">
        <v>0</v>
      </c>
      <c r="Q13" s="168">
        <v>0</v>
      </c>
      <c r="R13" s="168">
        <v>0</v>
      </c>
      <c r="S13" s="168">
        <v>0</v>
      </c>
      <c r="T13" s="168">
        <v>0</v>
      </c>
      <c r="U13" s="224"/>
    </row>
    <row r="14" spans="1:48" outlineLevel="1">
      <c r="C14" s="61" t="s">
        <v>211</v>
      </c>
      <c r="D14" s="30" t="s">
        <v>68</v>
      </c>
      <c r="E14" s="148" t="s">
        <v>15</v>
      </c>
      <c r="F14" s="169">
        <v>44348</v>
      </c>
      <c r="G14" s="32"/>
      <c r="H14" s="32"/>
      <c r="J14" s="150"/>
      <c r="K14" s="150"/>
      <c r="L14" s="150"/>
      <c r="M14" s="150"/>
      <c r="N14" s="150"/>
      <c r="O14" s="168"/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224"/>
      <c r="V14" s="223"/>
    </row>
    <row r="15" spans="1:48" outlineLevel="1">
      <c r="C15" s="61" t="s">
        <v>215</v>
      </c>
      <c r="D15" s="30" t="s">
        <v>68</v>
      </c>
      <c r="E15" s="148" t="s">
        <v>15</v>
      </c>
      <c r="F15" s="169">
        <v>44348</v>
      </c>
      <c r="G15" s="32"/>
      <c r="H15" s="32"/>
      <c r="J15" s="150"/>
      <c r="K15" s="150"/>
      <c r="L15" s="150"/>
      <c r="M15" s="150"/>
      <c r="N15" s="150"/>
      <c r="O15" s="168"/>
      <c r="P15" s="168">
        <v>0.52093990318985917</v>
      </c>
      <c r="Q15" s="168">
        <v>1.3544437482936338</v>
      </c>
      <c r="R15" s="168">
        <v>0.38549552836049578</v>
      </c>
      <c r="S15" s="168">
        <v>0.57303389350884515</v>
      </c>
      <c r="T15" s="168">
        <v>0.70847826833820848</v>
      </c>
      <c r="U15" s="224"/>
    </row>
    <row r="16" spans="1:48" outlineLevel="1">
      <c r="C16" s="61"/>
      <c r="D16" s="30" t="s">
        <v>68</v>
      </c>
      <c r="E16" s="148" t="s">
        <v>15</v>
      </c>
      <c r="F16" s="169">
        <v>44348</v>
      </c>
      <c r="G16" s="32"/>
      <c r="H16" s="32"/>
      <c r="J16" s="150"/>
      <c r="K16" s="150"/>
      <c r="L16" s="150"/>
      <c r="M16" s="150"/>
      <c r="N16" s="150"/>
      <c r="O16" s="168"/>
      <c r="P16" s="168"/>
      <c r="Q16" s="168"/>
      <c r="R16" s="168"/>
      <c r="S16" s="168"/>
      <c r="T16" s="168"/>
      <c r="U16" s="224"/>
    </row>
    <row r="17" spans="1:48" outlineLevel="1">
      <c r="C17" s="61"/>
      <c r="D17" s="30" t="s">
        <v>68</v>
      </c>
      <c r="E17" s="148" t="s">
        <v>15</v>
      </c>
      <c r="F17" s="169">
        <v>44348</v>
      </c>
      <c r="G17" s="32"/>
      <c r="H17" s="32"/>
      <c r="J17" s="150"/>
      <c r="K17" s="150"/>
      <c r="L17" s="150"/>
      <c r="M17" s="150"/>
      <c r="N17" s="150"/>
      <c r="O17" s="168"/>
      <c r="P17" s="168"/>
      <c r="Q17" s="168"/>
      <c r="R17" s="168"/>
      <c r="S17" s="168"/>
      <c r="T17" s="168"/>
      <c r="U17" s="224"/>
    </row>
    <row r="18" spans="1:48" outlineLevel="1">
      <c r="C18" s="61"/>
      <c r="D18" s="30" t="s">
        <v>68</v>
      </c>
      <c r="E18" s="148" t="s">
        <v>15</v>
      </c>
      <c r="F18" s="169">
        <v>44348</v>
      </c>
      <c r="G18" s="32"/>
      <c r="H18" s="32"/>
      <c r="J18" s="150"/>
      <c r="K18" s="150"/>
      <c r="L18" s="150"/>
      <c r="M18" s="150"/>
      <c r="N18" s="150"/>
      <c r="O18" s="168"/>
      <c r="P18" s="168"/>
      <c r="Q18" s="168"/>
      <c r="R18" s="168"/>
      <c r="S18" s="168"/>
      <c r="T18" s="168"/>
    </row>
    <row r="19" spans="1:48" outlineLevel="1">
      <c r="C19" s="61"/>
      <c r="D19" s="30" t="s">
        <v>68</v>
      </c>
      <c r="E19" s="148" t="s">
        <v>15</v>
      </c>
      <c r="F19" s="169">
        <v>44348</v>
      </c>
      <c r="G19" s="32"/>
      <c r="H19" s="32"/>
      <c r="J19" s="150"/>
      <c r="K19" s="150"/>
      <c r="L19" s="150"/>
      <c r="M19" s="150"/>
      <c r="N19" s="150"/>
      <c r="O19" s="168"/>
      <c r="P19" s="168"/>
      <c r="Q19" s="168"/>
      <c r="R19" s="168"/>
      <c r="S19" s="168"/>
      <c r="T19" s="168"/>
    </row>
    <row r="20" spans="1:48" outlineLevel="1">
      <c r="C20" s="61"/>
      <c r="D20" s="30" t="s">
        <v>68</v>
      </c>
      <c r="E20" s="148" t="s">
        <v>15</v>
      </c>
      <c r="F20" s="169">
        <v>44348</v>
      </c>
      <c r="G20" s="32"/>
      <c r="H20" s="32"/>
      <c r="J20" s="150"/>
      <c r="K20" s="150"/>
      <c r="L20" s="150"/>
      <c r="M20" s="150"/>
      <c r="N20" s="150"/>
      <c r="O20" s="168"/>
      <c r="P20" s="168"/>
      <c r="Q20" s="168"/>
      <c r="R20" s="168"/>
      <c r="S20" s="168"/>
      <c r="T20" s="168"/>
    </row>
    <row r="21" spans="1:48" outlineLevel="1">
      <c r="G21" s="32"/>
      <c r="H21" s="32"/>
    </row>
    <row r="22" spans="1:48" outlineLevel="1">
      <c r="C22" s="29" t="s">
        <v>40</v>
      </c>
      <c r="D22" s="30" t="s">
        <v>97</v>
      </c>
      <c r="E22" s="30" t="s">
        <v>28</v>
      </c>
      <c r="F22" s="30" t="s">
        <v>36</v>
      </c>
      <c r="J22" s="132" t="str">
        <f t="shared" ref="J22:T22" si="2">IF(J10=J4,IF(COUNTA($C12:$C20)=COUNT(J12:J20),"Ok","Check"),"")</f>
        <v/>
      </c>
      <c r="K22" s="132" t="str">
        <f t="shared" si="2"/>
        <v/>
      </c>
      <c r="L22" s="132" t="str">
        <f t="shared" si="2"/>
        <v/>
      </c>
      <c r="M22" s="132" t="str">
        <f t="shared" si="2"/>
        <v/>
      </c>
      <c r="N22" s="132" t="str">
        <f t="shared" si="2"/>
        <v/>
      </c>
      <c r="O22" s="132" t="str">
        <f t="shared" si="2"/>
        <v/>
      </c>
      <c r="P22" s="132" t="str">
        <f t="shared" si="2"/>
        <v>Ok</v>
      </c>
      <c r="Q22" s="132" t="str">
        <f t="shared" si="2"/>
        <v>Ok</v>
      </c>
      <c r="R22" s="132" t="str">
        <f t="shared" si="2"/>
        <v>Ok</v>
      </c>
      <c r="S22" s="132" t="str">
        <f t="shared" si="2"/>
        <v>Ok</v>
      </c>
      <c r="T22" s="132" t="str">
        <f t="shared" si="2"/>
        <v>Ok</v>
      </c>
      <c r="U22" s="132"/>
      <c r="V22" s="24"/>
      <c r="X22" s="131" t="str">
        <f>IF(COUNTIF(J22:U22,"Check")=0,"Ok","Check")</f>
        <v>Ok</v>
      </c>
    </row>
    <row r="23" spans="1:48">
      <c r="G23" s="32"/>
      <c r="H23" s="32"/>
    </row>
    <row r="24" spans="1:48" s="103" customFormat="1" ht="12.75">
      <c r="A24" s="94"/>
      <c r="B24" s="95" t="s">
        <v>116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7"/>
      <c r="W24" s="98"/>
      <c r="X24" s="98"/>
      <c r="Y24" s="99"/>
      <c r="Z24" s="99"/>
      <c r="AA24" s="99"/>
      <c r="AB24" s="99"/>
      <c r="AC24" s="100"/>
      <c r="AD24" s="101"/>
      <c r="AE24" s="101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</row>
    <row r="25" spans="1:48" outlineLevel="1">
      <c r="G25" s="32"/>
      <c r="H25" s="32"/>
    </row>
    <row r="26" spans="1:48" outlineLevel="1">
      <c r="C26" s="67" t="s">
        <v>109</v>
      </c>
      <c r="D26" s="32" t="s">
        <v>7</v>
      </c>
      <c r="E26" s="32" t="s">
        <v>8</v>
      </c>
      <c r="F26" s="32" t="s">
        <v>22</v>
      </c>
      <c r="G26" s="32"/>
      <c r="H26" s="32"/>
      <c r="J26" s="160" t="str">
        <f t="shared" ref="J26:N26" si="3">IF(YEAR(J$4)&gt;=FPFirstYear,IF(YEAR(J$4)&lt;=FPLastYear,J$4,""),"")</f>
        <v/>
      </c>
      <c r="K26" s="160" t="str">
        <f t="shared" si="3"/>
        <v/>
      </c>
      <c r="L26" s="160" t="str">
        <f t="shared" si="3"/>
        <v/>
      </c>
      <c r="M26" s="160" t="str">
        <f t="shared" si="3"/>
        <v/>
      </c>
      <c r="N26" s="160" t="str">
        <f t="shared" si="3"/>
        <v/>
      </c>
      <c r="O26" s="160"/>
      <c r="P26" s="160">
        <f t="shared" ref="P26:T26" si="4">P$4</f>
        <v>44713</v>
      </c>
      <c r="Q26" s="160">
        <f t="shared" si="4"/>
        <v>45078</v>
      </c>
      <c r="R26" s="160">
        <f t="shared" si="4"/>
        <v>45444</v>
      </c>
      <c r="S26" s="160">
        <f t="shared" si="4"/>
        <v>45809</v>
      </c>
      <c r="T26" s="160">
        <f t="shared" si="4"/>
        <v>46174</v>
      </c>
    </row>
    <row r="27" spans="1:48" outlineLevel="1">
      <c r="G27" s="32"/>
      <c r="H27" s="32"/>
    </row>
    <row r="28" spans="1:48" outlineLevel="1">
      <c r="C28" s="61" t="s">
        <v>189</v>
      </c>
      <c r="D28" s="30" t="s">
        <v>68</v>
      </c>
      <c r="E28" s="148" t="s">
        <v>15</v>
      </c>
      <c r="F28" s="169">
        <v>44348</v>
      </c>
      <c r="G28" s="32"/>
      <c r="H28" s="32"/>
      <c r="J28" s="150"/>
      <c r="K28" s="150"/>
      <c r="L28" s="150"/>
      <c r="M28" s="150"/>
      <c r="N28" s="168"/>
      <c r="O28" s="168"/>
      <c r="P28" s="168">
        <v>9.1973755915536906</v>
      </c>
      <c r="Q28" s="168">
        <v>9.1973755915536906</v>
      </c>
      <c r="R28" s="168">
        <v>9.1973755915536906</v>
      </c>
      <c r="S28" s="168">
        <v>9.1973755915536906</v>
      </c>
      <c r="T28" s="168">
        <v>9.1973755915536906</v>
      </c>
    </row>
    <row r="29" spans="1:48" outlineLevel="1">
      <c r="C29" s="61" t="s">
        <v>216</v>
      </c>
      <c r="D29" s="30" t="s">
        <v>68</v>
      </c>
      <c r="E29" s="148" t="s">
        <v>15</v>
      </c>
      <c r="F29" s="169">
        <v>44348</v>
      </c>
      <c r="G29" s="32"/>
      <c r="H29" s="32"/>
      <c r="J29" s="150"/>
      <c r="K29" s="150"/>
      <c r="L29" s="150"/>
      <c r="M29" s="150"/>
      <c r="N29" s="168"/>
      <c r="O29" s="168"/>
      <c r="P29" s="168">
        <v>0.24036616306495823</v>
      </c>
      <c r="Q29" s="168">
        <v>0.24036616306495823</v>
      </c>
      <c r="R29" s="168">
        <v>0.24036616306495823</v>
      </c>
      <c r="S29" s="168">
        <v>0.24036616306495823</v>
      </c>
      <c r="T29" s="168">
        <v>0.24036616306495823</v>
      </c>
      <c r="U29" s="222"/>
    </row>
    <row r="30" spans="1:48" outlineLevel="1">
      <c r="C30" s="61"/>
      <c r="D30" s="30" t="s">
        <v>68</v>
      </c>
      <c r="E30" s="148" t="s">
        <v>15</v>
      </c>
      <c r="F30" s="169">
        <v>44348</v>
      </c>
      <c r="G30" s="32"/>
      <c r="H30" s="32"/>
      <c r="J30" s="150"/>
      <c r="K30" s="150"/>
      <c r="L30" s="150"/>
      <c r="M30" s="150"/>
      <c r="N30" s="168"/>
      <c r="O30" s="168"/>
      <c r="P30" s="168"/>
      <c r="Q30" s="168"/>
      <c r="R30" s="168"/>
      <c r="S30" s="168"/>
      <c r="T30" s="168"/>
      <c r="U30" s="222"/>
    </row>
    <row r="31" spans="1:48" outlineLevel="1">
      <c r="G31" s="32"/>
      <c r="H31" s="32"/>
    </row>
    <row r="32" spans="1:48" outlineLevel="1">
      <c r="C32" s="29" t="s">
        <v>40</v>
      </c>
      <c r="D32" s="30" t="s">
        <v>97</v>
      </c>
      <c r="E32" s="30" t="s">
        <v>28</v>
      </c>
      <c r="F32" s="30" t="s">
        <v>36</v>
      </c>
      <c r="J32" s="132" t="str">
        <f t="shared" ref="J32:T32" si="5">IF(J26=J4,IF(COUNTA($C28:$C30)=COUNT(J28:J30),"Ok","Check"),"")</f>
        <v/>
      </c>
      <c r="K32" s="132" t="str">
        <f t="shared" si="5"/>
        <v/>
      </c>
      <c r="L32" s="132" t="str">
        <f t="shared" si="5"/>
        <v/>
      </c>
      <c r="M32" s="132" t="str">
        <f t="shared" si="5"/>
        <v/>
      </c>
      <c r="N32" s="132" t="str">
        <f t="shared" si="5"/>
        <v/>
      </c>
      <c r="O32" s="132" t="str">
        <f t="shared" si="5"/>
        <v/>
      </c>
      <c r="P32" s="132" t="str">
        <f t="shared" si="5"/>
        <v>Ok</v>
      </c>
      <c r="Q32" s="132" t="str">
        <f t="shared" si="5"/>
        <v>Ok</v>
      </c>
      <c r="R32" s="132" t="str">
        <f t="shared" si="5"/>
        <v>Ok</v>
      </c>
      <c r="S32" s="132" t="str">
        <f t="shared" si="5"/>
        <v>Ok</v>
      </c>
      <c r="T32" s="132" t="str">
        <f t="shared" si="5"/>
        <v>Ok</v>
      </c>
      <c r="U32" s="132"/>
      <c r="V32" s="24"/>
      <c r="X32" s="131" t="str">
        <f>IF(COUNTIF(J32:U32,"Check")=0,"Ok","Check")</f>
        <v>Ok</v>
      </c>
    </row>
    <row r="33" spans="1:48">
      <c r="G33" s="32"/>
      <c r="H33" s="32"/>
    </row>
    <row r="34" spans="1:48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7"/>
      <c r="W34" s="98"/>
      <c r="X34" s="98"/>
      <c r="Y34" s="99"/>
      <c r="Z34" s="99"/>
      <c r="AA34" s="99"/>
      <c r="AB34" s="99"/>
      <c r="AC34" s="100"/>
      <c r="AD34" s="101"/>
      <c r="AE34" s="101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</row>
    <row r="35" spans="1:48" outlineLevel="1">
      <c r="G35" s="32"/>
      <c r="H35" s="32"/>
    </row>
    <row r="36" spans="1:48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0" t="str">
        <f t="shared" ref="J36:N36" si="6">IF(YEAR(J$4)&gt;=FPFirstYear,IF(YEAR(J$4)&lt;=FPLastYear,J$4,""),"")</f>
        <v/>
      </c>
      <c r="K36" s="160" t="str">
        <f t="shared" si="6"/>
        <v/>
      </c>
      <c r="L36" s="160" t="str">
        <f t="shared" si="6"/>
        <v/>
      </c>
      <c r="M36" s="160" t="str">
        <f t="shared" si="6"/>
        <v/>
      </c>
      <c r="N36" s="160" t="str">
        <f t="shared" si="6"/>
        <v/>
      </c>
      <c r="O36" s="160"/>
      <c r="P36" s="160">
        <f t="shared" ref="P36:T36" si="7">P$4</f>
        <v>44713</v>
      </c>
      <c r="Q36" s="160">
        <f t="shared" si="7"/>
        <v>45078</v>
      </c>
      <c r="R36" s="160">
        <f t="shared" si="7"/>
        <v>45444</v>
      </c>
      <c r="S36" s="160">
        <f t="shared" si="7"/>
        <v>45809</v>
      </c>
      <c r="T36" s="160">
        <f t="shared" si="7"/>
        <v>46174</v>
      </c>
    </row>
    <row r="37" spans="1:48" outlineLevel="1">
      <c r="G37" s="32"/>
      <c r="H37" s="32"/>
    </row>
    <row r="38" spans="1:48" outlineLevel="1">
      <c r="C38" s="111" t="s">
        <v>39</v>
      </c>
      <c r="D38" s="30" t="s">
        <v>71</v>
      </c>
      <c r="E38" s="30" t="s">
        <v>15</v>
      </c>
      <c r="F38" s="208">
        <v>44166</v>
      </c>
      <c r="G38" s="32"/>
      <c r="H38" s="32"/>
      <c r="J38" s="168"/>
      <c r="K38" s="168"/>
      <c r="L38" s="168"/>
      <c r="M38" s="168"/>
      <c r="N38" s="168"/>
      <c r="O38" s="168"/>
      <c r="P38" s="168">
        <v>2.2396236909966021</v>
      </c>
      <c r="Q38" s="168">
        <v>2.2484230272253738</v>
      </c>
      <c r="R38" s="168">
        <v>2.2672496371725135</v>
      </c>
      <c r="S38" s="168">
        <v>2.2871067452664136</v>
      </c>
      <c r="T38" s="168">
        <v>2.2980772577930324</v>
      </c>
      <c r="U38" s="225"/>
    </row>
    <row r="39" spans="1:48" outlineLevel="1">
      <c r="G39" s="32"/>
      <c r="H39" s="32"/>
      <c r="U39" s="225"/>
    </row>
    <row r="40" spans="1:48" outlineLevel="1">
      <c r="C40" s="29" t="s">
        <v>40</v>
      </c>
      <c r="D40" s="30" t="s">
        <v>97</v>
      </c>
      <c r="E40" s="30" t="s">
        <v>28</v>
      </c>
      <c r="F40" s="30" t="s">
        <v>36</v>
      </c>
      <c r="J40" s="132" t="str">
        <f t="shared" ref="J40:T40" si="8">IF(J36=J4,IF(ISBLANK(J38),"Check","Ok"),"")</f>
        <v/>
      </c>
      <c r="K40" s="132" t="str">
        <f t="shared" si="8"/>
        <v/>
      </c>
      <c r="L40" s="132" t="str">
        <f t="shared" si="8"/>
        <v/>
      </c>
      <c r="M40" s="132" t="str">
        <f t="shared" si="8"/>
        <v/>
      </c>
      <c r="N40" s="132" t="str">
        <f t="shared" si="8"/>
        <v/>
      </c>
      <c r="O40" s="132" t="str">
        <f t="shared" si="8"/>
        <v/>
      </c>
      <c r="P40" s="132" t="str">
        <f t="shared" si="8"/>
        <v>Ok</v>
      </c>
      <c r="Q40" s="132" t="str">
        <f t="shared" si="8"/>
        <v>Ok</v>
      </c>
      <c r="R40" s="132" t="str">
        <f t="shared" si="8"/>
        <v>Ok</v>
      </c>
      <c r="S40" s="132" t="str">
        <f t="shared" si="8"/>
        <v>Ok</v>
      </c>
      <c r="T40" s="132" t="str">
        <f t="shared" si="8"/>
        <v>Ok</v>
      </c>
      <c r="U40" s="132"/>
      <c r="V40" s="24"/>
      <c r="X40" s="131" t="str">
        <f>IF(COUNTIF(J40:U40,"Check")=0,"Ok","Check")</f>
        <v>Ok</v>
      </c>
    </row>
    <row r="41" spans="1:48">
      <c r="G41" s="32"/>
      <c r="H41" s="32"/>
    </row>
    <row r="42" spans="1:48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7"/>
      <c r="W42" s="98"/>
      <c r="X42" s="98"/>
      <c r="Y42" s="99"/>
      <c r="Z42" s="99"/>
      <c r="AA42" s="99"/>
      <c r="AB42" s="99"/>
      <c r="AC42" s="100"/>
      <c r="AD42" s="101"/>
      <c r="AE42" s="101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</row>
    <row r="43" spans="1:48" hidden="1">
      <c r="G43" s="32"/>
      <c r="H43" s="32"/>
    </row>
    <row r="44" spans="1:48" hidden="1">
      <c r="G44" s="32"/>
      <c r="H44" s="32"/>
    </row>
    <row r="45" spans="1:48" hidden="1">
      <c r="G45" s="32"/>
      <c r="H45" s="32"/>
    </row>
    <row r="46" spans="1:48" hidden="1">
      <c r="G46" s="32"/>
      <c r="H46" s="32"/>
    </row>
    <row r="47" spans="1:48" hidden="1">
      <c r="G47" s="32"/>
      <c r="H47" s="32"/>
    </row>
    <row r="48" spans="1:48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:T1">
    <cfRule type="cellIs" dxfId="138" priority="31" operator="equal">
      <formula>"Check"</formula>
    </cfRule>
    <cfRule type="cellIs" dxfId="137" priority="32" operator="equal">
      <formula>"Ok"</formula>
    </cfRule>
  </conditionalFormatting>
  <conditionalFormatting sqref="W1">
    <cfRule type="cellIs" dxfId="136" priority="33" operator="equal">
      <formula>"Check"</formula>
    </cfRule>
    <cfRule type="cellIs" dxfId="135" priority="34" operator="equal">
      <formula>"Ok"</formula>
    </cfRule>
  </conditionalFormatting>
  <conditionalFormatting sqref="J10:T10">
    <cfRule type="expression" dxfId="134" priority="29">
      <formula>J$10=J$4</formula>
    </cfRule>
  </conditionalFormatting>
  <conditionalFormatting sqref="J12:T20">
    <cfRule type="expression" dxfId="133" priority="28">
      <formula>J$10=J$4</formula>
    </cfRule>
  </conditionalFormatting>
  <conditionalFormatting sqref="X22">
    <cfRule type="cellIs" dxfId="132" priority="24" operator="equal">
      <formula>"Check"</formula>
    </cfRule>
    <cfRule type="cellIs" dxfId="131" priority="25" operator="equal">
      <formula>"Ok"</formula>
    </cfRule>
  </conditionalFormatting>
  <conditionalFormatting sqref="J22:U22">
    <cfRule type="cellIs" dxfId="130" priority="22" operator="equal">
      <formula>"Check"</formula>
    </cfRule>
    <cfRule type="cellIs" dxfId="129" priority="23" operator="equal">
      <formula>"Ok"</formula>
    </cfRule>
  </conditionalFormatting>
  <conditionalFormatting sqref="X32">
    <cfRule type="cellIs" dxfId="128" priority="20" operator="equal">
      <formula>"Check"</formula>
    </cfRule>
    <cfRule type="cellIs" dxfId="127" priority="21" operator="equal">
      <formula>"Ok"</formula>
    </cfRule>
  </conditionalFormatting>
  <conditionalFormatting sqref="J32:U32">
    <cfRule type="cellIs" dxfId="126" priority="18" operator="equal">
      <formula>"Check"</formula>
    </cfRule>
    <cfRule type="cellIs" dxfId="125" priority="19" operator="equal">
      <formula>"Ok"</formula>
    </cfRule>
  </conditionalFormatting>
  <conditionalFormatting sqref="J28:M30 O29:T30">
    <cfRule type="expression" dxfId="124" priority="17">
      <formula>J$26=J$4</formula>
    </cfRule>
  </conditionalFormatting>
  <conditionalFormatting sqref="X40">
    <cfRule type="cellIs" dxfId="123" priority="15" operator="equal">
      <formula>"Check"</formula>
    </cfRule>
    <cfRule type="cellIs" dxfId="122" priority="16" operator="equal">
      <formula>"Ok"</formula>
    </cfRule>
  </conditionalFormatting>
  <conditionalFormatting sqref="J40:U40">
    <cfRule type="cellIs" dxfId="121" priority="13" operator="equal">
      <formula>"Check"</formula>
    </cfRule>
    <cfRule type="cellIs" dxfId="120" priority="14" operator="equal">
      <formula>"Ok"</formula>
    </cfRule>
  </conditionalFormatting>
  <conditionalFormatting sqref="O28:T28">
    <cfRule type="expression" dxfId="119" priority="12">
      <formula>O$10=O$4</formula>
    </cfRule>
  </conditionalFormatting>
  <conditionalFormatting sqref="N28:N30">
    <cfRule type="expression" dxfId="118" priority="11">
      <formula>N$10=N$4</formula>
    </cfRule>
  </conditionalFormatting>
  <conditionalFormatting sqref="J38:T38">
    <cfRule type="expression" dxfId="117" priority="8">
      <formula>J$36=J$4</formula>
    </cfRule>
  </conditionalFormatting>
  <conditionalFormatting sqref="J26:N26">
    <cfRule type="expression" dxfId="116" priority="7">
      <formula>J$10=J$4</formula>
    </cfRule>
  </conditionalFormatting>
  <conditionalFormatting sqref="J36:N36">
    <cfRule type="expression" dxfId="115" priority="6">
      <formula>J$10=J$4</formula>
    </cfRule>
  </conditionalFormatting>
  <conditionalFormatting sqref="O26">
    <cfRule type="expression" dxfId="114" priority="5">
      <formula>O$10=O$4</formula>
    </cfRule>
  </conditionalFormatting>
  <conditionalFormatting sqref="O36">
    <cfRule type="expression" dxfId="113" priority="4">
      <formula>O$10=O$4</formula>
    </cfRule>
  </conditionalFormatting>
  <conditionalFormatting sqref="P26:T26">
    <cfRule type="expression" dxfId="112" priority="3">
      <formula>P$10=P$4</formula>
    </cfRule>
  </conditionalFormatting>
  <conditionalFormatting sqref="P36:T36">
    <cfRule type="expression" dxfId="111" priority="2">
      <formula>P$10=P$4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V28:V31 I38 V23 I23 I41 I28:I31 V33 I33 V41 V12:V13 V15:V21">
      <formula1>#REF!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'Lookup|Tables'!$C$67:$C$76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F38 F12:F20 F28:F30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V194"/>
  <sheetViews>
    <sheetView showGridLines="0" topLeftCell="B58" zoomScale="90" zoomScaleNormal="90" workbookViewId="0">
      <selection activeCell="B104" sqref="B104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">
        <v>36</v>
      </c>
      <c r="T1" s="76"/>
      <c r="V1" s="185" t="s">
        <v>24</v>
      </c>
      <c r="W1" s="76" t="str">
        <f>'Check|List'!$S$1</f>
        <v>Check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70" t="s">
        <v>120</v>
      </c>
      <c r="K3" s="170"/>
      <c r="L3" s="170"/>
      <c r="M3" s="180"/>
      <c r="N3" s="226"/>
      <c r="O3" s="226"/>
      <c r="P3" s="226"/>
      <c r="Q3" s="226"/>
      <c r="R3" s="226"/>
      <c r="S3" s="226"/>
      <c r="T3" s="217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85</v>
      </c>
      <c r="C8" s="94"/>
      <c r="D8" s="94"/>
      <c r="E8" s="68" t="s">
        <v>15</v>
      </c>
      <c r="F8" s="204">
        <v>44348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0">
        <f>J$4</f>
        <v>42705</v>
      </c>
      <c r="K10" s="160">
        <f t="shared" ref="K10:O10" si="0">K$4</f>
        <v>43070</v>
      </c>
      <c r="L10" s="160">
        <f t="shared" si="0"/>
        <v>43435</v>
      </c>
      <c r="M10" s="160">
        <f t="shared" si="0"/>
        <v>43800</v>
      </c>
      <c r="N10" s="160">
        <f t="shared" si="0"/>
        <v>44166</v>
      </c>
      <c r="O10" s="160">
        <f t="shared" si="0"/>
        <v>44348</v>
      </c>
      <c r="P10" s="160"/>
      <c r="Q10" s="160"/>
      <c r="R10" s="160"/>
      <c r="S10" s="160"/>
      <c r="T10" s="160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161</v>
      </c>
      <c r="D12" s="108" t="s">
        <v>91</v>
      </c>
      <c r="E12" s="30" t="str">
        <f>'Input|Reported opex'!E79</f>
        <v>$millions</v>
      </c>
      <c r="F12" s="158" t="str">
        <f>'Input|Reported opex'!F79</f>
        <v>nominal</v>
      </c>
      <c r="J12" s="109">
        <f>IF(YEAR(J$4)=BaseYear,'Input|Reported opex'!J70,0)</f>
        <v>0</v>
      </c>
      <c r="K12" s="109">
        <f>IF(YEAR(K$4)=BaseYear,'Input|Reported opex'!K70,0)</f>
        <v>0</v>
      </c>
      <c r="L12" s="109">
        <f>IF(YEAR(L$4)=BaseYear,'Input|Reported opex'!L70,0)</f>
        <v>207.33485187745427</v>
      </c>
      <c r="M12" s="109">
        <f>IF(YEAR(M$4)=BaseYear,'Input|Reported opex'!M70,0)</f>
        <v>0</v>
      </c>
      <c r="N12" s="109">
        <f>IF(YEAR(N$4)=BaseYear,'Input|Reported opex'!N70,0)</f>
        <v>0</v>
      </c>
      <c r="O12" s="109">
        <f>IF(YEAR(O$4)=BaseYear,'Input|Reported opex'!O70,0)</f>
        <v>0</v>
      </c>
      <c r="P12" s="109">
        <f>IF(YEAR(P$4)=BaseYear,'Input|Reported opex'!P70,0)</f>
        <v>0</v>
      </c>
      <c r="Q12" s="109">
        <f>IF(YEAR(Q$4)=BaseYear,'Input|Reported opex'!Q70,0)</f>
        <v>0</v>
      </c>
      <c r="R12" s="109">
        <f>IF(YEAR(R$4)=BaseYear,'Input|Reported opex'!R70,0)</f>
        <v>0</v>
      </c>
      <c r="S12" s="109">
        <f>IF(YEAR(S$4)=BaseYear,'Input|Reported opex'!S70,0)</f>
        <v>0</v>
      </c>
      <c r="T12" s="109"/>
    </row>
    <row r="13" spans="1:48" outlineLevel="1">
      <c r="C13" s="106" t="s">
        <v>161</v>
      </c>
      <c r="D13" s="110" t="s">
        <v>30</v>
      </c>
      <c r="E13" s="30" t="str">
        <f>$E$8</f>
        <v>$millions</v>
      </c>
      <c r="F13" s="158">
        <f>$F$8</f>
        <v>44348</v>
      </c>
      <c r="J13" s="109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109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109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216.01799532984964</v>
      </c>
      <c r="M13" s="109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N13" s="109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109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109">
        <f>P12*IF($F12="nominal",LOOKUP($F13,Nominal_to_Real,'Input|Rate of change'!Q$26:Q$32),INDEX('Input|Rate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Q13" s="109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109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109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109"/>
    </row>
    <row r="14" spans="1:48" outlineLevel="1">
      <c r="C14" s="111" t="s">
        <v>162</v>
      </c>
      <c r="D14" s="108" t="s">
        <v>91</v>
      </c>
      <c r="E14" s="30" t="str">
        <f>'Input|Reported opex'!E15</f>
        <v>$millions</v>
      </c>
      <c r="F14" s="158">
        <f>'Input|Reported opex'!F15</f>
        <v>42339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234.81195269310936</v>
      </c>
      <c r="M14" s="109">
        <f>IF(YEAR(M$4)=BaseYear,'Input|Reported opex'!M15,0)</f>
        <v>0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162</v>
      </c>
      <c r="D15" s="110" t="s">
        <v>30</v>
      </c>
      <c r="E15" s="30" t="str">
        <f>$E$8</f>
        <v>$millions</v>
      </c>
      <c r="F15" s="158">
        <f>$F$8</f>
        <v>44348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255.24319197172017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/>
    </row>
    <row r="16" spans="1:48" outlineLevel="1">
      <c r="C16" s="111" t="s">
        <v>201</v>
      </c>
      <c r="D16" s="108" t="s">
        <v>91</v>
      </c>
      <c r="E16" s="30" t="str">
        <f>'Input|Reported opex'!E38</f>
        <v>$millions</v>
      </c>
      <c r="F16" s="158">
        <f>'Input|Reported opex'!F38</f>
        <v>44166</v>
      </c>
      <c r="J16" s="109">
        <f>'Input|Reported opex'!J38</f>
        <v>0</v>
      </c>
      <c r="K16" s="109">
        <f>'Input|Reported opex'!K38</f>
        <v>0</v>
      </c>
      <c r="L16" s="109">
        <f>'Input|Reported opex'!L38</f>
        <v>0</v>
      </c>
      <c r="M16" s="109">
        <f>'Input|Reported opex'!M38</f>
        <v>0</v>
      </c>
      <c r="N16" s="109">
        <f>'Input|Reported opex'!N38</f>
        <v>0</v>
      </c>
      <c r="O16" s="109">
        <f>'Input|Reported opex'!O38</f>
        <v>134.92569340710057</v>
      </c>
      <c r="P16" s="109">
        <f>'Input|Reported opex'!P38</f>
        <v>0</v>
      </c>
      <c r="Q16" s="109">
        <f>'Input|Reported opex'!Q38</f>
        <v>0</v>
      </c>
      <c r="R16" s="109">
        <f>'Input|Reported opex'!R38</f>
        <v>0</v>
      </c>
      <c r="S16" s="109">
        <f>'Input|Reported opex'!S38</f>
        <v>0</v>
      </c>
      <c r="T16" s="109">
        <f>'Input|Reported opex'!T38</f>
        <v>0</v>
      </c>
    </row>
    <row r="17" spans="3:20" outlineLevel="1">
      <c r="C17" s="111" t="s">
        <v>201</v>
      </c>
      <c r="D17" s="110" t="s">
        <v>30</v>
      </c>
      <c r="E17" s="30" t="str">
        <f>$E$8</f>
        <v>$millions</v>
      </c>
      <c r="F17" s="158">
        <f>$F$8</f>
        <v>44348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135.13154676309873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 t="s">
        <v>202</v>
      </c>
      <c r="D18" s="110" t="s">
        <v>30</v>
      </c>
      <c r="E18" s="30" t="str">
        <f>$E$8</f>
        <v>$millions</v>
      </c>
      <c r="F18" s="158">
        <f>$F$8</f>
        <v>44348</v>
      </c>
      <c r="J18" s="109">
        <f>J17*2</f>
        <v>0</v>
      </c>
      <c r="K18" s="109">
        <f t="shared" ref="K18:T18" si="1">K17*2</f>
        <v>0</v>
      </c>
      <c r="L18" s="109">
        <f t="shared" si="1"/>
        <v>0</v>
      </c>
      <c r="M18" s="109">
        <f t="shared" si="1"/>
        <v>0</v>
      </c>
      <c r="N18" s="109">
        <f t="shared" si="1"/>
        <v>0</v>
      </c>
      <c r="O18" s="109">
        <f t="shared" si="1"/>
        <v>270.26309352619745</v>
      </c>
      <c r="P18" s="109">
        <f t="shared" si="1"/>
        <v>0</v>
      </c>
      <c r="Q18" s="109">
        <f t="shared" si="1"/>
        <v>0</v>
      </c>
      <c r="R18" s="109">
        <f t="shared" si="1"/>
        <v>0</v>
      </c>
      <c r="S18" s="109">
        <f t="shared" si="1"/>
        <v>0</v>
      </c>
      <c r="T18" s="109">
        <f t="shared" si="1"/>
        <v>0</v>
      </c>
    </row>
    <row r="19" spans="3:20" outlineLevel="1">
      <c r="C19" s="111"/>
      <c r="D19" s="110"/>
      <c r="F19" s="15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3:20" outlineLevel="1">
      <c r="C20" s="106" t="s">
        <v>163</v>
      </c>
      <c r="D20" s="108" t="s">
        <v>91</v>
      </c>
      <c r="E20" s="30" t="str">
        <f>'Input|Reported opex'!E86</f>
        <v>$millions</v>
      </c>
      <c r="F20" s="158" t="str">
        <f>'Input|Reported opex'!F79</f>
        <v>nominal</v>
      </c>
      <c r="J20" s="109">
        <f>IF(YEAR(J$4)=BaseYear,'Input|Reported opex'!J79,0)</f>
        <v>0</v>
      </c>
      <c r="K20" s="109">
        <f>IF(YEAR(K$4)=BaseYear,'Input|Reported opex'!K79,0)</f>
        <v>0</v>
      </c>
      <c r="L20" s="109">
        <f>IF(YEAR(L$4)=BaseYear,'Input|Reported opex'!L79,0)</f>
        <v>6.5871000000000004</v>
      </c>
      <c r="M20" s="109">
        <f>IF(YEAR(M$4)=BaseYear,'Input|Reported opex'!M79,0)</f>
        <v>0</v>
      </c>
      <c r="N20" s="109">
        <f>IF(YEAR(N$4)=BaseYear,'Input|Reported opex'!N79,0)</f>
        <v>0</v>
      </c>
      <c r="O20" s="109">
        <f>IF(YEAR(O$4)=BaseYear,'Input|Reported opex'!O79,0)</f>
        <v>0</v>
      </c>
      <c r="P20" s="109">
        <f>IF(YEAR(P$4)=BaseYear,'Input|Reported opex'!P79,0)</f>
        <v>0</v>
      </c>
      <c r="Q20" s="109">
        <f>IF(YEAR(Q$4)=BaseYear,'Input|Reported opex'!Q79,0)</f>
        <v>0</v>
      </c>
      <c r="R20" s="109">
        <f>IF(YEAR(R$4)=BaseYear,'Input|Reported opex'!R79,0)</f>
        <v>0</v>
      </c>
      <c r="S20" s="109">
        <f>IF(YEAR(S$4)=BaseYear,'Input|Reported opex'!S79,0)</f>
        <v>0</v>
      </c>
      <c r="T20" s="109"/>
    </row>
    <row r="21" spans="3:20" outlineLevel="1">
      <c r="C21" s="106" t="s">
        <v>163</v>
      </c>
      <c r="D21" s="110" t="s">
        <v>30</v>
      </c>
      <c r="E21" s="30" t="str">
        <f>$E$8</f>
        <v>$millions</v>
      </c>
      <c r="F21" s="158">
        <f>$F$8</f>
        <v>44348</v>
      </c>
      <c r="J21" s="109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109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109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6.8629664726038433</v>
      </c>
      <c r="M21" s="109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N21" s="109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109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109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109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109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109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109"/>
    </row>
    <row r="22" spans="3:20" outlineLevel="1">
      <c r="C22" s="111" t="s">
        <v>164</v>
      </c>
      <c r="D22" s="108" t="s">
        <v>91</v>
      </c>
      <c r="E22" s="30" t="str">
        <f>'Input|Reported opex'!E22</f>
        <v>$millions</v>
      </c>
      <c r="F22" s="158">
        <f>'Input|Reported opex'!F29</f>
        <v>42339</v>
      </c>
      <c r="J22" s="109">
        <f>IF(YEAR(J$4)=BaseYear,'Input|Reported opex'!J29,0)</f>
        <v>0</v>
      </c>
      <c r="K22" s="109">
        <f>IF(YEAR(K$4)=BaseYear,'Input|Reported opex'!K29,0)</f>
        <v>0</v>
      </c>
      <c r="L22" s="109">
        <f>IF(YEAR(L$4)=BaseYear,'Input|Reported opex'!L29,0)</f>
        <v>10.249055028203946</v>
      </c>
      <c r="M22" s="109">
        <f>IF(YEAR(M$4)=BaseYear,'Input|Reported opex'!M29,0)</f>
        <v>0</v>
      </c>
      <c r="N22" s="109">
        <f>IF(YEAR(N$4)=BaseYear,'Input|Reported opex'!N29,0)</f>
        <v>0</v>
      </c>
      <c r="O22" s="109">
        <f>IF(YEAR(O$4)=BaseYear,'Input|Reported opex'!O29,0)</f>
        <v>0</v>
      </c>
      <c r="P22" s="109">
        <f>IF(YEAR(P$4)=BaseYear,'Input|Reported opex'!P29,0)</f>
        <v>0</v>
      </c>
      <c r="Q22" s="109">
        <f>IF(YEAR(Q$4)=BaseYear,'Input|Reported opex'!Q29,0)</f>
        <v>0</v>
      </c>
      <c r="R22" s="109">
        <f>IF(YEAR(R$4)=BaseYear,'Input|Reported opex'!R29,0)</f>
        <v>0</v>
      </c>
      <c r="S22" s="109">
        <f>IF(YEAR(S$4)=BaseYear,'Input|Reported opex'!S29,0)</f>
        <v>0</v>
      </c>
      <c r="T22" s="109"/>
    </row>
    <row r="23" spans="3:20" outlineLevel="1">
      <c r="C23" s="111" t="s">
        <v>164</v>
      </c>
      <c r="D23" s="110" t="s">
        <v>30</v>
      </c>
      <c r="E23" s="30" t="str">
        <f>$E$8</f>
        <v>$millions</v>
      </c>
      <c r="F23" s="158">
        <f>$F$8</f>
        <v>44348</v>
      </c>
      <c r="J23" s="109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109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109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11.140836273831434</v>
      </c>
      <c r="M23" s="109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N23" s="109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109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109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109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109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109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109"/>
    </row>
    <row r="24" spans="3:20" outlineLevel="1">
      <c r="C24" s="111" t="s">
        <v>205</v>
      </c>
      <c r="D24" s="108" t="s">
        <v>91</v>
      </c>
      <c r="E24" s="30" t="str">
        <f>'Input|Reported opex'!E52</f>
        <v>$millions</v>
      </c>
      <c r="F24" s="158">
        <f>'Input|Reported opex'!F52</f>
        <v>44166</v>
      </c>
      <c r="J24" s="109">
        <f>IF(YEAR(J$4)=InterveningPeriod,'Input|Reported opex'!J52,0)</f>
        <v>0</v>
      </c>
      <c r="K24" s="109">
        <f>IF(YEAR(K$4)=InterveningPeriod,'Input|Reported opex'!K52,0)</f>
        <v>0</v>
      </c>
      <c r="L24" s="109">
        <f>IF(YEAR(L$4)=InterveningPeriod,'Input|Reported opex'!L52,0)</f>
        <v>0</v>
      </c>
      <c r="M24" s="109">
        <f>IF(YEAR(M$4)=InterveningPeriod,'Input|Reported opex'!M52,0)</f>
        <v>0</v>
      </c>
      <c r="N24" s="109">
        <f>IF(YEAR(N$4)=InterveningPeriod,'Input|Reported opex'!N52,0)</f>
        <v>0</v>
      </c>
      <c r="O24" s="109">
        <f>IF(YEAR(O$4)=InterveningPeriod,'Input|Reported opex'!O52,0)</f>
        <v>5.6552559301048158</v>
      </c>
      <c r="P24" s="109">
        <f>IF(YEAR(P$4)=InterveningPeriod,'Input|Reported opex'!P52,0)</f>
        <v>0</v>
      </c>
      <c r="Q24" s="109">
        <f>IF(YEAR(Q$4)=InterveningPeriod,'Input|Reported opex'!Q52,0)</f>
        <v>0</v>
      </c>
      <c r="R24" s="109">
        <f>IF(YEAR(R$4)=InterveningPeriod,'Input|Reported opex'!R52,0)</f>
        <v>0</v>
      </c>
      <c r="S24" s="109">
        <f>IF(YEAR(S$4)=InterveningPeriod,'Input|Reported opex'!S52,0)</f>
        <v>0</v>
      </c>
      <c r="T24" s="109">
        <f>IF(YEAR(T$4)=InterveningPeriod,'Input|Reported opex'!T52,0)</f>
        <v>0</v>
      </c>
    </row>
    <row r="25" spans="3:20" outlineLevel="1">
      <c r="C25" s="111" t="s">
        <v>205</v>
      </c>
      <c r="D25" s="110" t="s">
        <v>30</v>
      </c>
      <c r="E25" s="30" t="str">
        <f>$E$8</f>
        <v>$millions</v>
      </c>
      <c r="F25" s="158">
        <f>$F$8</f>
        <v>44348</v>
      </c>
      <c r="J25" s="109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109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109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109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109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109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5.6638840377901927</v>
      </c>
      <c r="P25" s="109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109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109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109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109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11" t="s">
        <v>206</v>
      </c>
      <c r="D26" s="110" t="s">
        <v>30</v>
      </c>
      <c r="E26" s="30" t="str">
        <f>$E$8</f>
        <v>$millions</v>
      </c>
      <c r="F26" s="158">
        <f>$F$8</f>
        <v>44348</v>
      </c>
      <c r="J26" s="109">
        <f>J25*2</f>
        <v>0</v>
      </c>
      <c r="K26" s="109">
        <f t="shared" ref="K26:T26" si="2">K25*2</f>
        <v>0</v>
      </c>
      <c r="L26" s="109">
        <f t="shared" si="2"/>
        <v>0</v>
      </c>
      <c r="M26" s="109">
        <f t="shared" si="2"/>
        <v>0</v>
      </c>
      <c r="N26" s="109">
        <f t="shared" si="2"/>
        <v>0</v>
      </c>
      <c r="O26" s="109">
        <f t="shared" si="2"/>
        <v>11.327768075580385</v>
      </c>
      <c r="P26" s="109">
        <f t="shared" si="2"/>
        <v>0</v>
      </c>
      <c r="Q26" s="109">
        <f t="shared" si="2"/>
        <v>0</v>
      </c>
      <c r="R26" s="109">
        <f t="shared" si="2"/>
        <v>0</v>
      </c>
      <c r="S26" s="109">
        <f t="shared" si="2"/>
        <v>0</v>
      </c>
      <c r="T26" s="109">
        <f t="shared" si="2"/>
        <v>0</v>
      </c>
    </row>
    <row r="27" spans="3:20" outlineLevel="1">
      <c r="C27" s="111"/>
      <c r="F27" s="112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3:20" outlineLevel="1">
      <c r="C28" s="113" t="s">
        <v>138</v>
      </c>
      <c r="D28" s="114" t="s">
        <v>30</v>
      </c>
      <c r="E28" s="114" t="str">
        <f>$E$8</f>
        <v>$millions</v>
      </c>
      <c r="F28" s="158">
        <f>$F$8</f>
        <v>44348</v>
      </c>
      <c r="J28" s="115">
        <f t="shared" ref="J28:S28" si="3">J13</f>
        <v>0</v>
      </c>
      <c r="K28" s="115">
        <f t="shared" si="3"/>
        <v>0</v>
      </c>
      <c r="L28" s="115">
        <f t="shared" si="3"/>
        <v>216.01799532984964</v>
      </c>
      <c r="M28" s="115">
        <f t="shared" si="3"/>
        <v>0</v>
      </c>
      <c r="N28" s="115">
        <f t="shared" si="3"/>
        <v>0</v>
      </c>
      <c r="O28" s="115">
        <f t="shared" si="3"/>
        <v>0</v>
      </c>
      <c r="P28" s="115">
        <f t="shared" si="3"/>
        <v>0</v>
      </c>
      <c r="Q28" s="115">
        <f t="shared" si="3"/>
        <v>0</v>
      </c>
      <c r="R28" s="115">
        <f t="shared" si="3"/>
        <v>0</v>
      </c>
      <c r="S28" s="115">
        <f t="shared" si="3"/>
        <v>0</v>
      </c>
      <c r="T28" s="115"/>
    </row>
    <row r="29" spans="3:20" outlineLevel="1">
      <c r="C29" s="123"/>
      <c r="D29" s="110"/>
      <c r="E29" s="110"/>
      <c r="F29" s="158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3:20" outlineLevel="1">
      <c r="C30" s="123" t="s">
        <v>159</v>
      </c>
      <c r="D30" s="108" t="s">
        <v>91</v>
      </c>
      <c r="E30" s="110" t="str">
        <f>'Input|Reported opex'!E91</f>
        <v>$millions</v>
      </c>
      <c r="F30" s="158">
        <f>'Input|Reported opex'!F91</f>
        <v>44348</v>
      </c>
      <c r="J30" s="115">
        <f>IF('Input|Reported opex'!J$83=J$10,'Input|Reported opex'!J91,0)</f>
        <v>0</v>
      </c>
      <c r="K30" s="115">
        <f>IF('Input|Reported opex'!K$83=K$10,'Input|Reported opex'!K91,0)</f>
        <v>0</v>
      </c>
      <c r="L30" s="115">
        <f>IF('Input|Reported opex'!L$83=L$10,'Input|Reported opex'!L91,0)</f>
        <v>0</v>
      </c>
      <c r="M30" s="115">
        <f>IF('Input|Reported opex'!M$83=M$10,'Input|Reported opex'!M91,0)</f>
        <v>0</v>
      </c>
      <c r="N30" s="115">
        <f>IF('Input|Reported opex'!N$83=N$10,'Input|Reported opex'!N91,0)</f>
        <v>0</v>
      </c>
      <c r="O30" s="115">
        <f>IF('Input|Reported opex'!O$83=O$10,'Input|Reported opex'!O91,0)</f>
        <v>-4.3578307413102673</v>
      </c>
      <c r="P30" s="115">
        <f>IF('Input|Reported opex'!P$83=P$10,'Input|Reported opex'!P91,0)</f>
        <v>0</v>
      </c>
      <c r="Q30" s="115">
        <f>IF('Input|Reported opex'!Q$83=Q$10,'Input|Reported opex'!Q91,0)</f>
        <v>0</v>
      </c>
      <c r="R30" s="115">
        <f>IF('Input|Reported opex'!R$83=R$10,'Input|Reported opex'!R91,0)</f>
        <v>0</v>
      </c>
      <c r="S30" s="115">
        <f>IF('Input|Reported opex'!S$83=S$10,'Input|Reported opex'!S91,0)</f>
        <v>0</v>
      </c>
      <c r="T30" s="115">
        <f>IF('Input|Reported opex'!T$83=T$10,'Input|Reported opex'!T91,0)</f>
        <v>0</v>
      </c>
    </row>
    <row r="31" spans="3:20" outlineLevel="1">
      <c r="C31" s="123" t="str">
        <f>C30</f>
        <v>Add back non-recurrent efficiency gains in the base year</v>
      </c>
      <c r="D31" s="110" t="s">
        <v>30</v>
      </c>
      <c r="E31" s="110" t="str">
        <f>$E$8</f>
        <v>$millions</v>
      </c>
      <c r="F31" s="158">
        <f>$F$8</f>
        <v>44348</v>
      </c>
      <c r="J31" s="109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109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109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109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109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109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-4.3578307413102682</v>
      </c>
      <c r="P31" s="109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109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109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109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115"/>
    </row>
    <row r="32" spans="3:20" outlineLevel="1">
      <c r="C32" s="123"/>
      <c r="D32" s="110"/>
      <c r="E32" s="110"/>
      <c r="F32" s="158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3:20" outlineLevel="1">
      <c r="C33" s="123" t="s">
        <v>157</v>
      </c>
      <c r="D33" s="110" t="s">
        <v>30</v>
      </c>
      <c r="E33" s="110" t="str">
        <f>$E$8</f>
        <v>$millions</v>
      </c>
      <c r="F33" s="158">
        <f>$F$8</f>
        <v>44348</v>
      </c>
      <c r="G33" s="110"/>
      <c r="H33" s="110"/>
      <c r="I33" s="110"/>
      <c r="J33" s="175">
        <f t="shared" ref="J33:T33" si="4">IF(YEAR(J$4)=InterveningPeriod,-SUM($J15:$S15)+SUM($J18:$S18),0)</f>
        <v>0</v>
      </c>
      <c r="K33" s="175">
        <f t="shared" si="4"/>
        <v>0</v>
      </c>
      <c r="L33" s="175">
        <f t="shared" si="4"/>
        <v>0</v>
      </c>
      <c r="M33" s="175">
        <f t="shared" si="4"/>
        <v>0</v>
      </c>
      <c r="N33" s="175">
        <f t="shared" si="4"/>
        <v>0</v>
      </c>
      <c r="O33" s="175">
        <f t="shared" si="4"/>
        <v>15.019901554477286</v>
      </c>
      <c r="P33" s="175">
        <f t="shared" si="4"/>
        <v>0</v>
      </c>
      <c r="Q33" s="175">
        <f t="shared" si="4"/>
        <v>0</v>
      </c>
      <c r="R33" s="175">
        <f t="shared" si="4"/>
        <v>0</v>
      </c>
      <c r="S33" s="175">
        <f t="shared" si="4"/>
        <v>0</v>
      </c>
      <c r="T33" s="175">
        <f t="shared" si="4"/>
        <v>0</v>
      </c>
    </row>
    <row r="34" spans="3:20" outlineLevel="1">
      <c r="C34" s="123"/>
      <c r="D34" s="110"/>
      <c r="E34" s="110"/>
      <c r="F34" s="158"/>
      <c r="G34" s="110"/>
      <c r="H34" s="110"/>
      <c r="I34" s="110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</row>
    <row r="35" spans="3:20" outlineLevel="1">
      <c r="C35" s="123" t="s">
        <v>104</v>
      </c>
      <c r="D35" s="110" t="s">
        <v>30</v>
      </c>
      <c r="E35" s="110" t="str">
        <f>$E$8</f>
        <v>$millions</v>
      </c>
      <c r="F35" s="158">
        <f>$F$8</f>
        <v>44348</v>
      </c>
      <c r="J35" s="175">
        <f t="shared" ref="J35:T35" si="5">IF(YEAR(J$4)=InterveningPeriod,SUM($J28:$S28,$J31:$S31,$J33:$S33),0)</f>
        <v>0</v>
      </c>
      <c r="K35" s="175">
        <f t="shared" si="5"/>
        <v>0</v>
      </c>
      <c r="L35" s="175">
        <f t="shared" si="5"/>
        <v>0</v>
      </c>
      <c r="M35" s="175">
        <f t="shared" si="5"/>
        <v>0</v>
      </c>
      <c r="N35" s="175">
        <f t="shared" si="5"/>
        <v>0</v>
      </c>
      <c r="O35" s="175">
        <f t="shared" si="5"/>
        <v>226.68006614301666</v>
      </c>
      <c r="P35" s="175">
        <f t="shared" si="5"/>
        <v>0</v>
      </c>
      <c r="Q35" s="175">
        <f t="shared" si="5"/>
        <v>0</v>
      </c>
      <c r="R35" s="175">
        <f t="shared" si="5"/>
        <v>0</v>
      </c>
      <c r="S35" s="175">
        <f t="shared" si="5"/>
        <v>0</v>
      </c>
      <c r="T35" s="175">
        <f t="shared" si="5"/>
        <v>0</v>
      </c>
    </row>
    <row r="36" spans="3:20" outlineLevel="1">
      <c r="C36" s="123"/>
      <c r="D36" s="110"/>
      <c r="E36" s="110"/>
      <c r="F36" s="158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3:20" outlineLevel="1">
      <c r="C37" s="123" t="s">
        <v>165</v>
      </c>
      <c r="D37" s="110" t="s">
        <v>30</v>
      </c>
      <c r="E37" s="110" t="str">
        <f>$E$8</f>
        <v>$millions</v>
      </c>
      <c r="F37" s="158">
        <f>$F$8</f>
        <v>44348</v>
      </c>
      <c r="J37" s="115">
        <f t="shared" ref="J37:T37" si="6">IF(YEAR(J$4)=InterveningPeriod,-(SUM($J21:$S21)-SUM($J23:$S23)+SUM($J26:$S26)),0)</f>
        <v>0</v>
      </c>
      <c r="K37" s="115">
        <f t="shared" si="6"/>
        <v>0</v>
      </c>
      <c r="L37" s="115">
        <f t="shared" si="6"/>
        <v>0</v>
      </c>
      <c r="M37" s="115">
        <f t="shared" si="6"/>
        <v>0</v>
      </c>
      <c r="N37" s="115">
        <f t="shared" si="6"/>
        <v>0</v>
      </c>
      <c r="O37" s="115">
        <f t="shared" si="6"/>
        <v>-7.0498982743527945</v>
      </c>
      <c r="P37" s="115">
        <f t="shared" si="6"/>
        <v>0</v>
      </c>
      <c r="Q37" s="115">
        <f t="shared" si="6"/>
        <v>0</v>
      </c>
      <c r="R37" s="115">
        <f t="shared" si="6"/>
        <v>0</v>
      </c>
      <c r="S37" s="115">
        <f t="shared" si="6"/>
        <v>0</v>
      </c>
      <c r="T37" s="115">
        <f t="shared" si="6"/>
        <v>0</v>
      </c>
    </row>
    <row r="38" spans="3:20" outlineLevel="1">
      <c r="C38" s="123"/>
      <c r="D38" s="110"/>
      <c r="E38" s="110"/>
      <c r="F38" s="158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3:20" outlineLevel="1">
      <c r="C39" s="123" t="str">
        <f>'Input|Reported opex'!$C$85</f>
        <v>Metering - reallocation adjustment</v>
      </c>
      <c r="D39" s="108" t="s">
        <v>91</v>
      </c>
      <c r="E39" s="110" t="str">
        <f>'Input|Reported opex'!E85</f>
        <v>$millions</v>
      </c>
      <c r="F39" s="158">
        <f>'Input|Reported opex'!F85</f>
        <v>44348</v>
      </c>
      <c r="J39" s="109">
        <f>IF(YEAR(J$4)=InterveningPeriod,'Input|Reported opex'!J85,0)</f>
        <v>0</v>
      </c>
      <c r="K39" s="109">
        <f>IF(YEAR(K$4)=InterveningPeriod,'Input|Reported opex'!K85,0)</f>
        <v>0</v>
      </c>
      <c r="L39" s="109">
        <f>IF(YEAR(L$4)=InterveningPeriod,'Input|Reported opex'!L85,0)</f>
        <v>0</v>
      </c>
      <c r="M39" s="109">
        <f>IF(YEAR(M$4)=InterveningPeriod,'Input|Reported opex'!M85,0)</f>
        <v>0</v>
      </c>
      <c r="N39" s="109">
        <f>IF(YEAR(N$4)=InterveningPeriod,'Input|Reported opex'!N85,0)</f>
        <v>0</v>
      </c>
      <c r="O39" s="109">
        <f>IF(YEAR(O$4)=InterveningPeriod,'Input|Reported opex'!O85,0)</f>
        <v>1.560171673556775</v>
      </c>
      <c r="P39" s="109">
        <f>IF(YEAR(P$4)=InterveningPeriod,'Input|Reported opex'!P85,0)</f>
        <v>0</v>
      </c>
      <c r="Q39" s="109">
        <f>IF(YEAR(Q$4)=InterveningPeriod,'Input|Reported opex'!Q85,0)</f>
        <v>0</v>
      </c>
      <c r="R39" s="109">
        <f>IF(YEAR(R$4)=InterveningPeriod,'Input|Reported opex'!R85,0)</f>
        <v>0</v>
      </c>
      <c r="S39" s="109">
        <f>IF(YEAR(S$4)=InterveningPeriod,'Input|Reported opex'!S85,0)</f>
        <v>0</v>
      </c>
      <c r="T39" s="109">
        <f>IF(YEAR(T$4)=InterveningPeriod,'Input|Reported opex'!T85,0)</f>
        <v>0</v>
      </c>
    </row>
    <row r="40" spans="3:20" outlineLevel="1">
      <c r="C40" s="123" t="str">
        <f>C39</f>
        <v>Metering - reallocation adjustment</v>
      </c>
      <c r="D40" s="110" t="s">
        <v>30</v>
      </c>
      <c r="E40" s="30" t="str">
        <f>$E$8</f>
        <v>$millions</v>
      </c>
      <c r="F40" s="158">
        <f>$F$8</f>
        <v>44348</v>
      </c>
      <c r="J40" s="109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109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109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109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109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109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1.560171673556775</v>
      </c>
      <c r="P40" s="109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109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109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109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115"/>
    </row>
    <row r="41" spans="3:20" outlineLevel="1">
      <c r="C41" s="123"/>
      <c r="D41" s="110"/>
      <c r="F41" s="158"/>
      <c r="J41" s="115"/>
      <c r="K41" s="115"/>
      <c r="L41" s="115"/>
      <c r="M41" s="115"/>
      <c r="N41" s="115"/>
      <c r="O41" s="115"/>
      <c r="P41" s="115"/>
      <c r="Q41" s="115"/>
      <c r="R41" s="109"/>
      <c r="S41" s="109"/>
      <c r="T41" s="109"/>
    </row>
    <row r="42" spans="3:20" outlineLevel="1">
      <c r="C42" s="123" t="str">
        <f>'Input|Reported opex'!$C$86</f>
        <v>Adjustment 2</v>
      </c>
      <c r="D42" s="108" t="s">
        <v>91</v>
      </c>
      <c r="E42" s="30" t="str">
        <f>'Input|Reported opex'!$E$86</f>
        <v>$millions</v>
      </c>
      <c r="F42" s="158">
        <f>'Input|Reported opex'!$F$86</f>
        <v>44348</v>
      </c>
      <c r="J42" s="109">
        <f>IF(YEAR(J$4)=InterveningPeriod,'Input|Reported opex'!J86,0)</f>
        <v>0</v>
      </c>
      <c r="K42" s="109">
        <f>IF(YEAR(K$4)=InterveningPeriod,'Input|Reported opex'!K86,0)</f>
        <v>0</v>
      </c>
      <c r="L42" s="109">
        <f>IF(YEAR(L$4)=InterveningPeriod,'Input|Reported opex'!L86,0)</f>
        <v>0</v>
      </c>
      <c r="M42" s="109">
        <f>IF(YEAR(M$4)=InterveningPeriod,'Input|Reported opex'!M86,0)</f>
        <v>0</v>
      </c>
      <c r="N42" s="109">
        <f>IF(YEAR(N$4)=InterveningPeriod,'Input|Reported opex'!N86,0)</f>
        <v>0</v>
      </c>
      <c r="O42" s="109">
        <f>IF(YEAR(O$4)=InterveningPeriod,'Input|Reported opex'!O8,0)</f>
        <v>0</v>
      </c>
      <c r="P42" s="109">
        <f>IF(YEAR(P$4)=InterveningPeriod,'Input|Reported opex'!P86,0)</f>
        <v>0</v>
      </c>
      <c r="Q42" s="109">
        <f>IF(YEAR(Q$4)=InterveningPeriod,'Input|Reported opex'!Q86,0)</f>
        <v>0</v>
      </c>
      <c r="R42" s="109">
        <f>IF(YEAR(R$4)=InterveningPeriod,'Input|Reported opex'!R86,0)</f>
        <v>0</v>
      </c>
      <c r="S42" s="109">
        <f>IF(YEAR(S$4)=InterveningPeriod,'Input|Reported opex'!S86,0)</f>
        <v>0</v>
      </c>
      <c r="T42" s="109">
        <f>IF(YEAR(T$4)=InterveningPeriod,'Input|Reported opex'!T86,0)</f>
        <v>0</v>
      </c>
    </row>
    <row r="43" spans="3:20" outlineLevel="1">
      <c r="C43" s="123" t="str">
        <f>C42</f>
        <v>Adjustment 2</v>
      </c>
      <c r="D43" s="110" t="s">
        <v>30</v>
      </c>
      <c r="E43" s="30" t="str">
        <f>$E$8</f>
        <v>$millions</v>
      </c>
      <c r="F43" s="158">
        <f>$F$8</f>
        <v>44348</v>
      </c>
      <c r="J43" s="109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109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109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109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109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109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P43" s="109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109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109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109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109"/>
    </row>
    <row r="44" spans="3:20" outlineLevel="1">
      <c r="C44" s="123"/>
      <c r="D44" s="110"/>
      <c r="F44" s="158"/>
      <c r="J44" s="115"/>
      <c r="K44" s="115"/>
      <c r="L44" s="115"/>
      <c r="M44" s="115"/>
      <c r="N44" s="115"/>
      <c r="O44" s="115"/>
      <c r="P44" s="115"/>
      <c r="Q44" s="115"/>
      <c r="R44" s="109"/>
      <c r="S44" s="109"/>
      <c r="T44" s="109"/>
    </row>
    <row r="45" spans="3:20" outlineLevel="1">
      <c r="C45" s="123" t="str">
        <f>'Input|Reported opex'!$C$87</f>
        <v>Adjustment 3</v>
      </c>
      <c r="D45" s="108" t="s">
        <v>91</v>
      </c>
      <c r="E45" s="30" t="str">
        <f>'Input|Reported opex'!$E$87</f>
        <v>$millions</v>
      </c>
      <c r="F45" s="158">
        <f>'Input|Reported opex'!$F$87</f>
        <v>44348</v>
      </c>
      <c r="J45" s="109">
        <f>IF(YEAR(J$4)=InterveningPeriod,'Input|Reported opex'!J87,0)</f>
        <v>0</v>
      </c>
      <c r="K45" s="109">
        <f>IF(YEAR(K$4)=InterveningPeriod,'Input|Reported opex'!K87,0)</f>
        <v>0</v>
      </c>
      <c r="L45" s="109">
        <f>IF(YEAR(L$4)=InterveningPeriod,'Input|Reported opex'!L87,0)</f>
        <v>0</v>
      </c>
      <c r="M45" s="109">
        <f>IF(YEAR(M$4)=InterveningPeriod,'Input|Reported opex'!M87,0)</f>
        <v>0</v>
      </c>
      <c r="N45" s="109">
        <f>IF(YEAR(N$4)=InterveningPeriod,'Input|Reported opex'!N87,0)</f>
        <v>0</v>
      </c>
      <c r="O45" s="109">
        <f>IF(YEAR(O$4)=InterveningPeriod,'Input|Reported opex'!O87,0)</f>
        <v>0</v>
      </c>
      <c r="P45" s="109">
        <f>IF(YEAR(P$4)=InterveningPeriod,'Input|Reported opex'!P87,0)</f>
        <v>0</v>
      </c>
      <c r="Q45" s="109">
        <f>IF(YEAR(Q$4)=InterveningPeriod,'Input|Reported opex'!Q87,0)</f>
        <v>0</v>
      </c>
      <c r="R45" s="109">
        <f>IF(YEAR(R$4)=InterveningPeriod,'Input|Reported opex'!R87,0)</f>
        <v>0</v>
      </c>
      <c r="S45" s="109">
        <f>IF(YEAR(S$4)=InterveningPeriod,'Input|Reported opex'!S87,0)</f>
        <v>0</v>
      </c>
      <c r="T45" s="109">
        <f>IF(YEAR(T$4)=InterveningPeriod,'Input|Reported opex'!T87,0)</f>
        <v>0</v>
      </c>
    </row>
    <row r="46" spans="3:20" outlineLevel="1">
      <c r="C46" s="123" t="str">
        <f>C45</f>
        <v>Adjustment 3</v>
      </c>
      <c r="D46" s="110" t="s">
        <v>30</v>
      </c>
      <c r="E46" s="30" t="str">
        <f>$E$8</f>
        <v>$millions</v>
      </c>
      <c r="F46" s="158">
        <f>$F$8</f>
        <v>44348</v>
      </c>
      <c r="J46" s="109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109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109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109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109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109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P46" s="109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109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109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109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115"/>
    </row>
    <row r="47" spans="3:20" outlineLevel="1">
      <c r="C47" s="123"/>
      <c r="D47" s="110"/>
      <c r="F47" s="158"/>
      <c r="J47" s="115"/>
      <c r="K47" s="115"/>
      <c r="L47" s="115"/>
      <c r="M47" s="115"/>
      <c r="N47" s="115"/>
      <c r="O47" s="115"/>
      <c r="P47" s="115"/>
      <c r="Q47" s="115"/>
      <c r="R47" s="109"/>
      <c r="S47" s="109"/>
      <c r="T47" s="109"/>
    </row>
    <row r="48" spans="3:20" outlineLevel="1">
      <c r="C48" s="123" t="str">
        <f>'Input|Reported opex'!$C$88</f>
        <v>Adjustment 4</v>
      </c>
      <c r="D48" s="108" t="s">
        <v>91</v>
      </c>
      <c r="E48" s="30" t="str">
        <f>'Input|Reported opex'!$E$88</f>
        <v>$millions</v>
      </c>
      <c r="F48" s="158">
        <f>'Input|Reported opex'!$F$88</f>
        <v>44348</v>
      </c>
      <c r="J48" s="109">
        <f>IF(YEAR(J$4)=InterveningPeriod,'Input|Reported opex'!J88,0)</f>
        <v>0</v>
      </c>
      <c r="K48" s="109">
        <f>IF(YEAR(K$4)=InterveningPeriod,'Input|Reported opex'!K88,0)</f>
        <v>0</v>
      </c>
      <c r="L48" s="109">
        <f>IF(YEAR(L$4)=InterveningPeriod,'Input|Reported opex'!L88,0)</f>
        <v>0</v>
      </c>
      <c r="M48" s="109">
        <f>IF(YEAR(M$4)=InterveningPeriod,'Input|Reported opex'!M88,0)</f>
        <v>0</v>
      </c>
      <c r="N48" s="109">
        <f>IF(YEAR(N$4)=InterveningPeriod,'Input|Reported opex'!N88,0)</f>
        <v>0</v>
      </c>
      <c r="O48" s="109">
        <f>IF(YEAR(O$4)=InterveningPeriod,'Input|Reported opex'!O88,0)</f>
        <v>0</v>
      </c>
      <c r="P48" s="109">
        <f>IF(YEAR(P$4)=InterveningPeriod,'Input|Reported opex'!P88,0)</f>
        <v>0</v>
      </c>
      <c r="Q48" s="109">
        <f>IF(YEAR(Q$4)=InterveningPeriod,'Input|Reported opex'!Q88,0)</f>
        <v>0</v>
      </c>
      <c r="R48" s="109">
        <f>IF(YEAR(R$4)=InterveningPeriod,'Input|Reported opex'!R88,0)</f>
        <v>0</v>
      </c>
      <c r="S48" s="109">
        <f>IF(YEAR(S$4)=InterveningPeriod,'Input|Reported opex'!S88,0)</f>
        <v>0</v>
      </c>
      <c r="T48" s="109">
        <f>IF(YEAR(T$4)=InterveningPeriod,'Input|Reported opex'!T88,0)</f>
        <v>0</v>
      </c>
    </row>
    <row r="49" spans="1:48" outlineLevel="1">
      <c r="C49" s="123" t="str">
        <f>C48</f>
        <v>Adjustment 4</v>
      </c>
      <c r="D49" s="110" t="s">
        <v>30</v>
      </c>
      <c r="E49" s="30" t="str">
        <f>$E$8</f>
        <v>$millions</v>
      </c>
      <c r="F49" s="158">
        <f>$F$8</f>
        <v>44348</v>
      </c>
      <c r="J49" s="109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109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109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109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109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109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P49" s="109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109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109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109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115"/>
    </row>
    <row r="50" spans="1:48" outlineLevel="1">
      <c r="C50" s="123"/>
      <c r="D50" s="110"/>
      <c r="F50" s="158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</row>
    <row r="51" spans="1:48" outlineLevel="1">
      <c r="C51" s="123" t="str">
        <f>'Input|Reported opex'!$C$89</f>
        <v>Adjustment 5</v>
      </c>
      <c r="D51" s="108" t="s">
        <v>91</v>
      </c>
      <c r="E51" s="30" t="str">
        <f>'Input|Reported opex'!$E$89</f>
        <v>$millions</v>
      </c>
      <c r="F51" s="158">
        <f>'Input|Reported opex'!$F$89</f>
        <v>44348</v>
      </c>
      <c r="J51" s="109">
        <f>IF(YEAR(J$4)=InterveningPeriod,'Input|Reported opex'!J89,0)</f>
        <v>0</v>
      </c>
      <c r="K51" s="109">
        <f>IF(YEAR(K$4)=InterveningPeriod,'Input|Reported opex'!K89,0)</f>
        <v>0</v>
      </c>
      <c r="L51" s="109">
        <f>IF(YEAR(L$4)=InterveningPeriod,'Input|Reported opex'!L89,0)</f>
        <v>0</v>
      </c>
      <c r="M51" s="109">
        <f>IF(YEAR(M$4)=InterveningPeriod,'Input|Reported opex'!M89,0)</f>
        <v>0</v>
      </c>
      <c r="N51" s="109">
        <f>IF(YEAR(N$4)=InterveningPeriod,'Input|Reported opex'!N89,0)</f>
        <v>0</v>
      </c>
      <c r="O51" s="109">
        <f>IF(YEAR(O$4)=InterveningPeriod,'Input|Reported opex'!O89,0)</f>
        <v>0</v>
      </c>
      <c r="P51" s="109">
        <f>IF(YEAR(P$4)=InterveningPeriod,'Input|Reported opex'!P89,0)</f>
        <v>0</v>
      </c>
      <c r="Q51" s="109">
        <f>IF(YEAR(Q$4)=InterveningPeriod,'Input|Reported opex'!Q89,0)</f>
        <v>0</v>
      </c>
      <c r="R51" s="109">
        <f>IF(YEAR(R$4)=InterveningPeriod,'Input|Reported opex'!R89,0)</f>
        <v>0</v>
      </c>
      <c r="S51" s="109">
        <f>IF(YEAR(S$4)=InterveningPeriod,'Input|Reported opex'!S89,0)</f>
        <v>0</v>
      </c>
      <c r="T51" s="109">
        <f>IF(YEAR(T$4)=InterveningPeriod,'Input|Reported opex'!T89,0)</f>
        <v>0</v>
      </c>
    </row>
    <row r="52" spans="1:48" outlineLevel="1">
      <c r="C52" s="123" t="str">
        <f>C51</f>
        <v>Adjustment 5</v>
      </c>
      <c r="D52" s="110" t="s">
        <v>30</v>
      </c>
      <c r="E52" s="30" t="str">
        <f>$E$8</f>
        <v>$millions</v>
      </c>
      <c r="F52" s="158">
        <f>$F$8</f>
        <v>44348</v>
      </c>
      <c r="J52" s="109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109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109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109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109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109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P52" s="109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109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109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109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115"/>
    </row>
    <row r="53" spans="1:48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outlineLevel="1">
      <c r="C54" s="123" t="s">
        <v>88</v>
      </c>
      <c r="D54" s="110" t="s">
        <v>97</v>
      </c>
      <c r="E54" s="110" t="str">
        <f>$E$8</f>
        <v>$millions</v>
      </c>
      <c r="F54" s="158">
        <f>$F$8</f>
        <v>44348</v>
      </c>
      <c r="J54" s="115">
        <f>SUM(J35,J40,J43,J46,J49,J52)*'Input|Reported opex'!J93</f>
        <v>0</v>
      </c>
      <c r="K54" s="115">
        <f>SUM(K35,K40,K43,K46,K49,K52)*'Input|Reported opex'!K93</f>
        <v>0</v>
      </c>
      <c r="L54" s="115">
        <f>SUM(L35,L40,L43,L46,L49,L52)*'Input|Reported opex'!L93</f>
        <v>0</v>
      </c>
      <c r="M54" s="115">
        <f>SUM(M35,M40,M43,M46,M49,M52)*'Input|Reported opex'!M93</f>
        <v>0</v>
      </c>
      <c r="N54" s="115">
        <f>SUM(N35,N40,N43,N46,N49,N52)*'Input|Reported opex'!N93</f>
        <v>0</v>
      </c>
      <c r="O54" s="115">
        <f>SUM(O35,O40,O43,O46,O49,O52)*'Input|Reported opex'!O93</f>
        <v>0</v>
      </c>
      <c r="P54" s="115">
        <f>SUM(P35,P40,P43,P46,P49,P52)*'Input|Reported opex'!P93</f>
        <v>0</v>
      </c>
      <c r="Q54" s="115">
        <f>SUM(Q35,Q40,Q43,Q46,Q49,Q52)*'Input|Reported opex'!Q93</f>
        <v>0</v>
      </c>
      <c r="R54" s="115">
        <f>SUM(R35,R40,R43,R46,R49,R52)*'Input|Reported opex'!R93</f>
        <v>0</v>
      </c>
      <c r="S54" s="115">
        <f>SUM(S35,S40,S43,S46,S49,S52)*'Input|Reported opex'!S93</f>
        <v>0</v>
      </c>
      <c r="T54" s="115"/>
    </row>
    <row r="55" spans="1:48" outlineLevel="1">
      <c r="C55" s="123"/>
      <c r="D55" s="110"/>
      <c r="E55" s="110"/>
      <c r="F55" s="15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</row>
    <row r="56" spans="1:48" outlineLevel="1">
      <c r="C56" s="176" t="s">
        <v>166</v>
      </c>
      <c r="D56" s="112" t="s">
        <v>97</v>
      </c>
      <c r="E56" s="112" t="str">
        <f>$E$8</f>
        <v>$millions</v>
      </c>
      <c r="F56" s="177">
        <f>$F$8</f>
        <v>44348</v>
      </c>
      <c r="J56" s="175">
        <f>SUM(J35,J37,J40,J43,J46,J49,J52,J54)</f>
        <v>0</v>
      </c>
      <c r="K56" s="175">
        <f t="shared" ref="K56:S56" si="7">SUM(K35,K37,K40,K43,K46,K49,K52,K54)</f>
        <v>0</v>
      </c>
      <c r="L56" s="175">
        <f t="shared" si="7"/>
        <v>0</v>
      </c>
      <c r="M56" s="175">
        <f t="shared" si="7"/>
        <v>0</v>
      </c>
      <c r="N56" s="175">
        <f t="shared" si="7"/>
        <v>0</v>
      </c>
      <c r="O56" s="175">
        <f>SUM(O35,O37,O40,O43,O46,O49,O52,O54)</f>
        <v>221.19033954222064</v>
      </c>
      <c r="P56" s="175">
        <f t="shared" si="7"/>
        <v>0</v>
      </c>
      <c r="Q56" s="175">
        <f t="shared" si="7"/>
        <v>0</v>
      </c>
      <c r="R56" s="175">
        <f t="shared" si="7"/>
        <v>0</v>
      </c>
      <c r="S56" s="175">
        <f t="shared" si="7"/>
        <v>0</v>
      </c>
      <c r="T56" s="175"/>
    </row>
    <row r="57" spans="1:48">
      <c r="J57" s="107"/>
      <c r="K57" s="107"/>
      <c r="L57" s="107"/>
    </row>
    <row r="58" spans="1:48" s="103" customFormat="1" ht="12.75">
      <c r="A58" s="94"/>
      <c r="B58" s="95" t="s">
        <v>86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7"/>
      <c r="W58" s="98"/>
      <c r="X58" s="98"/>
      <c r="Y58" s="99"/>
      <c r="Z58" s="99"/>
      <c r="AA58" s="99"/>
      <c r="AB58" s="99"/>
      <c r="AC58" s="100"/>
      <c r="AD58" s="101"/>
      <c r="AE58" s="101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</row>
    <row r="59" spans="1:48" outlineLevel="1"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outlineLevel="1">
      <c r="C60" s="67" t="s">
        <v>42</v>
      </c>
      <c r="D60" s="32" t="s">
        <v>7</v>
      </c>
      <c r="E60" s="32" t="s">
        <v>8</v>
      </c>
      <c r="F60" s="32" t="s">
        <v>22</v>
      </c>
      <c r="J60" s="160"/>
      <c r="K60" s="160"/>
      <c r="L60" s="160"/>
      <c r="M60" s="160"/>
      <c r="N60" s="160"/>
      <c r="O60" s="160"/>
      <c r="P60" s="160">
        <f>P$4</f>
        <v>44713</v>
      </c>
      <c r="Q60" s="160">
        <f t="shared" ref="Q60:T60" si="8">Q$4</f>
        <v>45078</v>
      </c>
      <c r="R60" s="160">
        <f t="shared" si="8"/>
        <v>45444</v>
      </c>
      <c r="S60" s="160">
        <f t="shared" si="8"/>
        <v>45809</v>
      </c>
      <c r="T60" s="160">
        <f t="shared" si="8"/>
        <v>46174</v>
      </c>
    </row>
    <row r="61" spans="1:48" outlineLevel="1">
      <c r="C61" s="6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</row>
    <row r="62" spans="1:48" outlineLevel="1">
      <c r="B62" s="67"/>
      <c r="C62" s="11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</row>
    <row r="63" spans="1:48" outlineLevel="1">
      <c r="C63" s="111" t="s">
        <v>105</v>
      </c>
      <c r="D63" s="110" t="s">
        <v>30</v>
      </c>
      <c r="E63" s="30" t="s">
        <v>31</v>
      </c>
      <c r="F63" s="30" t="s">
        <v>36</v>
      </c>
      <c r="J63" s="117">
        <f ca="1">IF(J60=J4,AVERAGE(OFFSET('Input|Rate of change'!K97,0,0,COUNTA('Input|Rate of change'!$J$84:$N$84),1)),0)</f>
        <v>0</v>
      </c>
      <c r="K63" s="117">
        <f ca="1">IF(K60=K4,AVERAGE(OFFSET('Input|Rate of change'!L97,0,0,COUNTA('Input|Rate of change'!$J$84:$N$84),1)),0)</f>
        <v>0</v>
      </c>
      <c r="L63" s="117">
        <f ca="1">IF(L60=L4,AVERAGE(OFFSET('Input|Rate of change'!M97,0,0,COUNTA('Input|Rate of change'!$J$84:$N$84),1)),0)</f>
        <v>0</v>
      </c>
      <c r="M63" s="117">
        <f ca="1">IF(M60=M4,AVERAGE(OFFSET('Input|Rate of change'!N97,0,0,COUNTA('Input|Rate of change'!$J$84:$N$84),1)),0)</f>
        <v>0</v>
      </c>
      <c r="N63" s="117">
        <f ca="1">IF(N60=N4,AVERAGE(OFFSET('Input|Rate of change'!O97,0,0,COUNTA('Input|Rate of change'!$J$84:$N$84),1)),0)</f>
        <v>0</v>
      </c>
      <c r="O63" s="117">
        <f ca="1">IF(O60=O4,AVERAGE(OFFSET('Input|Rate of change'!P97,0,0,COUNTA('Input|Rate of change'!$J$84:$N$84),1)),0)</f>
        <v>0</v>
      </c>
      <c r="P63" s="117">
        <f ca="1">IF(P60=P4,AVERAGE(OFFSET('Input|Rate of change'!Q97,0,0,COUNTA('Input|Rate of change'!$J$84:$N$84),1)),0)</f>
        <v>4.9788574396916838E-3</v>
      </c>
      <c r="Q63" s="117">
        <f ca="1">IF(Q60=Q4,AVERAGE(OFFSET('Input|Rate of change'!R97,0,0,COUNTA('Input|Rate of change'!$J$84:$N$84),1)),0)</f>
        <v>8.3585514661901929E-3</v>
      </c>
      <c r="R63" s="117">
        <f ca="1">IF(R60=R4,AVERAGE(OFFSET('Input|Rate of change'!S97,0,0,COUNTA('Input|Rate of change'!$J$84:$N$84),1)),0)</f>
        <v>1.0334970748592796E-2</v>
      </c>
      <c r="S63" s="117">
        <f ca="1">IF(S60=S4,AVERAGE(OFFSET('Input|Rate of change'!T97,0,0,COUNTA('Input|Rate of change'!$J$84:$N$84),1)),0)</f>
        <v>1.0262778660566177E-2</v>
      </c>
      <c r="T63" s="117">
        <f ca="1">IF(T60=T4,AVERAGE(OFFSET('Input|Rate of change'!U97,0,0,COUNTA('Input|Rate of change'!$J$84:$N$84),1)),0)</f>
        <v>1.0175565888402944E-2</v>
      </c>
    </row>
    <row r="64" spans="1:48" outlineLevel="1"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79</v>
      </c>
      <c r="D65" s="110" t="s">
        <v>30</v>
      </c>
      <c r="E65" s="30" t="s">
        <v>31</v>
      </c>
      <c r="F65" s="30" t="s">
        <v>36</v>
      </c>
      <c r="J65" s="117">
        <f>SUMPRODUCT('Input|Rate of change'!K38:K45,'Input|Rate of change'!K51:K58)</f>
        <v>0</v>
      </c>
      <c r="K65" s="117">
        <f>SUMPRODUCT('Input|Rate of change'!L38:L45,'Input|Rate of change'!L51:L58)</f>
        <v>0</v>
      </c>
      <c r="L65" s="117">
        <f>SUMPRODUCT('Input|Rate of change'!M38:M45,'Input|Rate of change'!M51:M58)</f>
        <v>0</v>
      </c>
      <c r="M65" s="117">
        <f>SUMPRODUCT('Input|Rate of change'!N38:N45,'Input|Rate of change'!N51:N58)</f>
        <v>0</v>
      </c>
      <c r="N65" s="117">
        <f>SUMPRODUCT('Input|Rate of change'!O38:O45,'Input|Rate of change'!O51:O58)</f>
        <v>0</v>
      </c>
      <c r="O65" s="117">
        <f>SUMPRODUCT('Input|Rate of change'!P38:P45,'Input|Rate of change'!P51:P58)</f>
        <v>0</v>
      </c>
      <c r="P65" s="117">
        <f>SUMPRODUCT('Input|Rate of change'!Q38:Q45,'Input|Rate of change'!Q51:Q58)</f>
        <v>1.4129713396567292E-3</v>
      </c>
      <c r="Q65" s="117">
        <f>SUMPRODUCT('Input|Rate of change'!R38:R45,'Input|Rate of change'!R51:R58)</f>
        <v>-1.4786599665769973E-3</v>
      </c>
      <c r="R65" s="117">
        <f>SUMPRODUCT('Input|Rate of change'!S38:S45,'Input|Rate of change'!S51:S58)</f>
        <v>-4.2997348533891511E-4</v>
      </c>
      <c r="S65" s="117">
        <f>SUMPRODUCT('Input|Rate of change'!T38:T45,'Input|Rate of change'!T51:T58)</f>
        <v>2.174266963630669E-3</v>
      </c>
      <c r="T65" s="117">
        <f>SUMPRODUCT('Input|Rate of change'!U38:U45,'Input|Rate of change'!U51:U58)</f>
        <v>5.8998326967571154E-3</v>
      </c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48" outlineLevel="1">
      <c r="C67" s="111" t="s">
        <v>101</v>
      </c>
      <c r="D67" s="110" t="s">
        <v>30</v>
      </c>
      <c r="E67" s="30" t="s">
        <v>31</v>
      </c>
      <c r="F67" s="30" t="s">
        <v>36</v>
      </c>
      <c r="J67" s="117">
        <f>'Input|Rate of change'!K107</f>
        <v>0</v>
      </c>
      <c r="K67" s="117">
        <f>'Input|Rate of change'!L107</f>
        <v>0</v>
      </c>
      <c r="L67" s="117">
        <f>'Input|Rate of change'!M107</f>
        <v>0</v>
      </c>
      <c r="M67" s="117">
        <f>'Input|Rate of change'!N107</f>
        <v>0</v>
      </c>
      <c r="N67" s="117">
        <f>'Input|Rate of change'!O107</f>
        <v>0</v>
      </c>
      <c r="O67" s="117">
        <f>'Input|Rate of change'!P107</f>
        <v>0</v>
      </c>
      <c r="P67" s="117">
        <f>'Input|Rate of change'!Q107</f>
        <v>3.7476611191240572E-3</v>
      </c>
      <c r="Q67" s="117">
        <f>'Input|Rate of change'!R107</f>
        <v>5.0000000000000001E-3</v>
      </c>
      <c r="R67" s="117">
        <f>'Input|Rate of change'!S107</f>
        <v>5.0000000000000001E-3</v>
      </c>
      <c r="S67" s="117">
        <f>'Input|Rate of change'!T107</f>
        <v>5.0000000000000001E-3</v>
      </c>
      <c r="T67" s="117">
        <f>'Input|Rate of change'!U107</f>
        <v>5.0000000000000001E-3</v>
      </c>
    </row>
    <row r="68" spans="1:48" outlineLevel="1">
      <c r="C68" s="11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48" outlineLevel="1">
      <c r="C69" s="118" t="s">
        <v>139</v>
      </c>
      <c r="D69" s="114" t="s">
        <v>30</v>
      </c>
      <c r="E69" s="114" t="s">
        <v>31</v>
      </c>
      <c r="F69" s="114" t="s">
        <v>36</v>
      </c>
      <c r="J69" s="143">
        <f ca="1">(1+J63)*(1+J65)*(1-J67)-1</f>
        <v>0</v>
      </c>
      <c r="K69" s="143">
        <f t="shared" ref="K69:S69" ca="1" si="9">(1+K63)*(1+K65)*(1-K67)-1</f>
        <v>0</v>
      </c>
      <c r="L69" s="143">
        <f t="shared" ca="1" si="9"/>
        <v>0</v>
      </c>
      <c r="M69" s="143">
        <f t="shared" ca="1" si="9"/>
        <v>0</v>
      </c>
      <c r="N69" s="143">
        <f t="shared" ca="1" si="9"/>
        <v>0</v>
      </c>
      <c r="O69" s="143">
        <f t="shared" ca="1" si="9"/>
        <v>0</v>
      </c>
      <c r="P69" s="143">
        <f t="shared" ca="1" si="9"/>
        <v>2.6272218701623995E-3</v>
      </c>
      <c r="Q69" s="143">
        <f t="shared" ca="1" si="9"/>
        <v>1.833194383960679E-3</v>
      </c>
      <c r="R69" s="143">
        <f t="shared" ca="1" si="9"/>
        <v>4.8510507323609176E-3</v>
      </c>
      <c r="S69" s="143">
        <f t="shared" ca="1" si="9"/>
        <v>7.397062846569824E-3</v>
      </c>
      <c r="T69" s="143">
        <f t="shared" ref="T69" ca="1" si="10">(1+T63)*(1+T65)*(1-T67)-1</f>
        <v>1.105475555788904E-2</v>
      </c>
    </row>
    <row r="70" spans="1:48" outlineLevel="1">
      <c r="C70" s="124" t="s">
        <v>140</v>
      </c>
      <c r="D70" s="110" t="s">
        <v>30</v>
      </c>
      <c r="E70" s="30" t="s">
        <v>31</v>
      </c>
      <c r="F70" s="30" t="s">
        <v>36</v>
      </c>
      <c r="J70" s="117" t="str">
        <f t="array" ref="J70">IF(J$60=J$4,PRODUCT(1+$J69:J69)-1,"")</f>
        <v/>
      </c>
      <c r="K70" s="117" t="str">
        <f t="array" ref="K70">IF(K$60=K$4,PRODUCT(1+$J69:K69)-1,"")</f>
        <v/>
      </c>
      <c r="L70" s="117" t="str">
        <f t="array" ref="L70">IF(L$60=L$4,PRODUCT(1+$J69:L69)-1,"")</f>
        <v/>
      </c>
      <c r="M70" s="117" t="str">
        <f t="array" ref="M70">IF(M$60=M$4,PRODUCT(1+$J69:M69)-1,"")</f>
        <v/>
      </c>
      <c r="N70" s="117" t="str">
        <f t="array" ref="N70">IF(N$60=N$4,PRODUCT(1+$J69:N69)-1,"")</f>
        <v/>
      </c>
      <c r="O70" s="117" t="str">
        <f t="array" ref="O70">IF(O$60=O$4,PRODUCT(1+$J69:O69)-1,"")</f>
        <v/>
      </c>
      <c r="P70" s="117">
        <f t="array" aca="1" ref="P70" ca="1">IF(P$60=P$4,PRODUCT(1+$J69:P69)-1,"")</f>
        <v>2.6272218701623995E-3</v>
      </c>
      <c r="Q70" s="117">
        <f t="array" aca="1" ref="Q70" ca="1">IF(Q$60=Q$4,PRODUCT(1+$J69:Q69)-1,"")</f>
        <v>4.4652324625009676E-3</v>
      </c>
      <c r="R70" s="117">
        <f t="array" aca="1" ref="R70" ca="1">IF(R$60=R$4,PRODUCT(1+$J69:R69)-1,"")</f>
        <v>9.3379442640693089E-3</v>
      </c>
      <c r="S70" s="117">
        <f t="array" aca="1" ref="S70" ca="1">IF(S$60=S$4,PRODUCT(1+$J69:S69)-1,"")</f>
        <v>1.6804080471218175E-2</v>
      </c>
      <c r="T70" s="117">
        <f t="array" aca="1" ref="T70" ca="1">IF(T$60=T$4,PRODUCT(1+$J69:T69)-1,"")</f>
        <v>2.8044601031091521E-2</v>
      </c>
    </row>
    <row r="71" spans="1:48">
      <c r="J71" s="107"/>
      <c r="K71" s="107"/>
      <c r="L71" s="107"/>
      <c r="M71" s="107"/>
      <c r="N71" s="107"/>
      <c r="O71" s="119"/>
      <c r="P71" s="119"/>
      <c r="Q71" s="119"/>
      <c r="R71" s="119"/>
      <c r="S71" s="119"/>
      <c r="T71" s="119"/>
    </row>
    <row r="72" spans="1:48" s="103" customFormat="1" ht="12.75">
      <c r="A72" s="94"/>
      <c r="B72" s="95" t="s">
        <v>89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8"/>
      <c r="X72" s="98"/>
      <c r="Y72" s="99"/>
      <c r="Z72" s="99"/>
      <c r="AA72" s="99"/>
      <c r="AB72" s="99"/>
      <c r="AC72" s="100"/>
      <c r="AD72" s="101"/>
      <c r="AE72" s="101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</row>
    <row r="73" spans="1:48" outlineLevel="1">
      <c r="C73" s="106"/>
      <c r="J73" s="107"/>
      <c r="K73" s="107"/>
      <c r="L73" s="107"/>
    </row>
    <row r="74" spans="1:48" outlineLevel="1">
      <c r="C74" s="67" t="s">
        <v>102</v>
      </c>
      <c r="D74" s="32" t="s">
        <v>7</v>
      </c>
      <c r="E74" s="32" t="s">
        <v>8</v>
      </c>
      <c r="F74" s="32" t="s">
        <v>22</v>
      </c>
      <c r="J74" s="160"/>
      <c r="K74" s="160"/>
      <c r="L74" s="160"/>
      <c r="M74" s="160"/>
      <c r="N74" s="160"/>
      <c r="O74" s="160"/>
      <c r="P74" s="160">
        <f>P$4</f>
        <v>44713</v>
      </c>
      <c r="Q74" s="160">
        <f t="shared" ref="Q74:T74" si="11">Q$4</f>
        <v>45078</v>
      </c>
      <c r="R74" s="160">
        <f t="shared" si="11"/>
        <v>45444</v>
      </c>
      <c r="S74" s="160">
        <f t="shared" si="11"/>
        <v>45809</v>
      </c>
      <c r="T74" s="160">
        <f t="shared" si="11"/>
        <v>46174</v>
      </c>
    </row>
    <row r="75" spans="1:48" outlineLevel="1">
      <c r="C75" s="67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</row>
    <row r="76" spans="1:48" outlineLevel="1">
      <c r="C76" s="121" t="str">
        <f>'Input|Step changes'!C12</f>
        <v>REFCL</v>
      </c>
      <c r="D76" s="110" t="s">
        <v>30</v>
      </c>
      <c r="E76" s="30" t="str">
        <f t="shared" ref="E76:E94" si="12">$E$8</f>
        <v>$millions</v>
      </c>
      <c r="F76" s="158">
        <f t="shared" ref="F76:F86" si="13">$F$8</f>
        <v>44348</v>
      </c>
      <c r="J76" s="127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127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127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127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127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127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127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0.84066056336917372</v>
      </c>
      <c r="Q76" s="127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1.0758032194158564</v>
      </c>
      <c r="R76" s="127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1.2870525923067786</v>
      </c>
      <c r="S76" s="127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1.2882058105149219</v>
      </c>
      <c r="T76" s="127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1.2893590287230652</v>
      </c>
    </row>
    <row r="77" spans="1:48" outlineLevel="1">
      <c r="C77" s="121" t="str">
        <f>'Input|Step changes'!C13</f>
        <v>IT Opex</v>
      </c>
      <c r="D77" s="110" t="s">
        <v>30</v>
      </c>
      <c r="E77" s="30" t="str">
        <f t="shared" si="12"/>
        <v>$millions</v>
      </c>
      <c r="F77" s="158">
        <f t="shared" si="13"/>
        <v>44348</v>
      </c>
      <c r="J77" s="127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127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127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127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127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127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127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Q77" s="127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R77" s="127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S77" s="127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T77" s="127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</row>
    <row r="78" spans="1:48" outlineLevel="1">
      <c r="C78" s="121" t="str">
        <f>'Input|Step changes'!C14</f>
        <v>Security</v>
      </c>
      <c r="D78" s="110" t="s">
        <v>30</v>
      </c>
      <c r="E78" s="30" t="str">
        <f t="shared" si="12"/>
        <v>$millions</v>
      </c>
      <c r="F78" s="158">
        <f t="shared" si="13"/>
        <v>44348</v>
      </c>
      <c r="J78" s="127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127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127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127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127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127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127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Q78" s="127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R78" s="127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S78" s="127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T78" s="127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</row>
    <row r="79" spans="1:48" outlineLevel="1">
      <c r="C79" s="121" t="str">
        <f>'Input|Step changes'!C15</f>
        <v>5 minute meter data</v>
      </c>
      <c r="D79" s="110" t="s">
        <v>30</v>
      </c>
      <c r="E79" s="30" t="str">
        <f t="shared" si="12"/>
        <v>$millions</v>
      </c>
      <c r="F79" s="158">
        <f t="shared" si="13"/>
        <v>44348</v>
      </c>
      <c r="J79" s="127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127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127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127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127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127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127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0.52093990318985917</v>
      </c>
      <c r="Q79" s="127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1.3544437482936338</v>
      </c>
      <c r="R79" s="127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0.38549552836049578</v>
      </c>
      <c r="S79" s="127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0.57303389350884515</v>
      </c>
      <c r="T79" s="127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0.70847826833820848</v>
      </c>
    </row>
    <row r="80" spans="1:48" outlineLevel="1">
      <c r="C80" s="121">
        <f>'Input|Step changes'!C16</f>
        <v>0</v>
      </c>
      <c r="D80" s="110" t="s">
        <v>30</v>
      </c>
      <c r="E80" s="30" t="str">
        <f t="shared" si="12"/>
        <v>$millions</v>
      </c>
      <c r="F80" s="158">
        <f t="shared" si="13"/>
        <v>44348</v>
      </c>
      <c r="J80" s="127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127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127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127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127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127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127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Q80" s="127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R80" s="127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S80" s="127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T80" s="127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</row>
    <row r="81" spans="1:48" outlineLevel="1">
      <c r="C81" s="121">
        <f>'Input|Step changes'!C17</f>
        <v>0</v>
      </c>
      <c r="D81" s="110" t="s">
        <v>30</v>
      </c>
      <c r="E81" s="30" t="str">
        <f t="shared" si="12"/>
        <v>$millions</v>
      </c>
      <c r="F81" s="158">
        <f t="shared" si="13"/>
        <v>44348</v>
      </c>
      <c r="J81" s="127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127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127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127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127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127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127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Q81" s="127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R81" s="127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S81" s="127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T81" s="127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</row>
    <row r="82" spans="1:48" outlineLevel="1">
      <c r="C82" s="121">
        <f>'Input|Step changes'!C18</f>
        <v>0</v>
      </c>
      <c r="D82" s="110" t="s">
        <v>30</v>
      </c>
      <c r="E82" s="30" t="str">
        <f t="shared" si="12"/>
        <v>$millions</v>
      </c>
      <c r="F82" s="158">
        <f t="shared" si="13"/>
        <v>44348</v>
      </c>
      <c r="J82" s="127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127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127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127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127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127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127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Q82" s="127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R82" s="127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S82" s="127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T82" s="127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</row>
    <row r="83" spans="1:48" outlineLevel="1">
      <c r="C83" s="121">
        <f>'Input|Step changes'!C19</f>
        <v>0</v>
      </c>
      <c r="D83" s="110" t="s">
        <v>30</v>
      </c>
      <c r="E83" s="30" t="str">
        <f t="shared" si="12"/>
        <v>$millions</v>
      </c>
      <c r="F83" s="158">
        <f t="shared" si="13"/>
        <v>44348</v>
      </c>
      <c r="J83" s="127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127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127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127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127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127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127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127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127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127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127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48" outlineLevel="1">
      <c r="C84" s="121">
        <f>'Input|Step changes'!C20</f>
        <v>0</v>
      </c>
      <c r="D84" s="110" t="s">
        <v>30</v>
      </c>
      <c r="E84" s="30" t="str">
        <f t="shared" si="12"/>
        <v>$millions</v>
      </c>
      <c r="F84" s="158">
        <f t="shared" si="13"/>
        <v>44348</v>
      </c>
      <c r="J84" s="127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127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127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127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127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127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127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127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127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127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127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48" outlineLevel="1">
      <c r="C85" s="121"/>
      <c r="D85" s="110"/>
      <c r="F85" s="112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</row>
    <row r="86" spans="1:48" outlineLevel="1">
      <c r="C86" s="113" t="s">
        <v>48</v>
      </c>
      <c r="D86" s="122" t="s">
        <v>30</v>
      </c>
      <c r="E86" s="122" t="str">
        <f>$E$8</f>
        <v>$millions</v>
      </c>
      <c r="F86" s="172">
        <f t="shared" si="13"/>
        <v>44348</v>
      </c>
      <c r="G86" s="32"/>
      <c r="H86" s="32"/>
      <c r="I86" s="32"/>
      <c r="J86" s="174">
        <f>SUM(J75:J85)</f>
        <v>0</v>
      </c>
      <c r="K86" s="174">
        <f t="shared" ref="K86:S86" si="14">SUM(K75:K85)</f>
        <v>0</v>
      </c>
      <c r="L86" s="174">
        <f t="shared" si="14"/>
        <v>0</v>
      </c>
      <c r="M86" s="174">
        <f t="shared" si="14"/>
        <v>0</v>
      </c>
      <c r="N86" s="174">
        <f t="shared" si="14"/>
        <v>0</v>
      </c>
      <c r="O86" s="174">
        <f t="shared" si="14"/>
        <v>0</v>
      </c>
      <c r="P86" s="174">
        <f t="shared" si="14"/>
        <v>1.3616004665590329</v>
      </c>
      <c r="Q86" s="174">
        <f t="shared" si="14"/>
        <v>2.4302469677094902</v>
      </c>
      <c r="R86" s="174">
        <f t="shared" si="14"/>
        <v>1.6725481206672743</v>
      </c>
      <c r="S86" s="174">
        <f t="shared" si="14"/>
        <v>1.8612397040237671</v>
      </c>
      <c r="T86" s="174">
        <f t="shared" ref="T86" si="15">SUM(T75:T85)</f>
        <v>1.9978372970612737</v>
      </c>
    </row>
    <row r="87" spans="1:48">
      <c r="C87" s="123"/>
      <c r="D87" s="110"/>
      <c r="E87" s="110"/>
      <c r="F87" s="110"/>
      <c r="J87" s="107"/>
      <c r="K87" s="107"/>
      <c r="L87" s="107"/>
      <c r="M87" s="107"/>
      <c r="N87" s="23"/>
      <c r="O87" s="23"/>
      <c r="P87" s="23"/>
      <c r="Q87" s="23"/>
      <c r="R87" s="23"/>
      <c r="S87" s="23"/>
      <c r="T87" s="23"/>
    </row>
    <row r="88" spans="1:48" s="103" customFormat="1" ht="12.75">
      <c r="A88" s="94"/>
      <c r="B88" s="95" t="s">
        <v>117</v>
      </c>
      <c r="C88" s="94"/>
      <c r="D88" s="94"/>
      <c r="E88" s="94"/>
      <c r="F88" s="96"/>
      <c r="G88" s="96"/>
      <c r="H88" s="96"/>
      <c r="I88" s="96"/>
      <c r="J88" s="97"/>
      <c r="K88" s="98"/>
      <c r="L88" s="97"/>
      <c r="M88" s="98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9"/>
      <c r="Z88" s="99"/>
      <c r="AA88" s="99"/>
      <c r="AB88" s="99"/>
      <c r="AC88" s="100"/>
      <c r="AD88" s="101"/>
      <c r="AE88" s="101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</row>
    <row r="89" spans="1:48" outlineLevel="1">
      <c r="C89" s="106"/>
      <c r="J89" s="107"/>
      <c r="K89" s="107"/>
      <c r="L89" s="107"/>
    </row>
    <row r="90" spans="1:48" outlineLevel="1">
      <c r="C90" s="67" t="s">
        <v>109</v>
      </c>
      <c r="D90" s="32" t="s">
        <v>7</v>
      </c>
      <c r="E90" s="32" t="s">
        <v>8</v>
      </c>
      <c r="F90" s="32" t="s">
        <v>22</v>
      </c>
      <c r="J90" s="160"/>
      <c r="K90" s="160"/>
      <c r="L90" s="160"/>
      <c r="M90" s="160"/>
      <c r="N90" s="160"/>
      <c r="O90" s="160"/>
      <c r="P90" s="160">
        <f>P$4</f>
        <v>44713</v>
      </c>
      <c r="Q90" s="160">
        <f t="shared" ref="Q90:T90" si="16">Q$4</f>
        <v>45078</v>
      </c>
      <c r="R90" s="160">
        <f t="shared" si="16"/>
        <v>45444</v>
      </c>
      <c r="S90" s="160">
        <f t="shared" si="16"/>
        <v>45809</v>
      </c>
      <c r="T90" s="160">
        <f t="shared" si="16"/>
        <v>46174</v>
      </c>
    </row>
    <row r="91" spans="1:48" outlineLevel="1">
      <c r="C91" s="67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</row>
    <row r="92" spans="1:48" outlineLevel="1">
      <c r="C92" s="121" t="str">
        <f>'Input|Step changes'!C28</f>
        <v>GSL payments</v>
      </c>
      <c r="D92" s="110" t="s">
        <v>30</v>
      </c>
      <c r="E92" s="30" t="str">
        <f t="shared" si="12"/>
        <v>$millions</v>
      </c>
      <c r="F92" s="158">
        <f t="shared" ref="F92:F94" si="17">$F$8</f>
        <v>44348</v>
      </c>
      <c r="J92" s="127">
        <f>'Input|Step changes'!J28*IF('Input|Step changes'!$F28="nominal",LOOKUP($F92,Nominal_to_Real,'Input|Rate of change'!J$26:J$32),INDEX('Input|Rate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K92" s="127">
        <f>'Input|Step changes'!K28*IF('Input|Step changes'!$F28="nominal",LOOKUP($F92,Nominal_to_Real,'Input|Rate of change'!K$26:K$32),INDEX('Input|Rate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L92" s="127">
        <f>'Input|Step changes'!L28*IF('Input|Step changes'!$F28="nominal",LOOKUP($F92,Nominal_to_Real,'Input|Rate of change'!L$26:L$32),INDEX('Input|Rate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M92" s="127">
        <f>'Input|Step changes'!M28*IF('Input|Step changes'!$F28="nominal",LOOKUP($F92,Nominal_to_Real,'Input|Rate of change'!M$26:M$32),INDEX('Input|Rate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N92" s="127">
        <f>'Input|Step changes'!N28*IF('Input|Step changes'!$F28="nominal",LOOKUP($F92,Nominal_to_Real,'Input|Rate of change'!N$26:N$32),INDEX('Input|Rate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O92" s="127">
        <f>'Input|Step changes'!O28*IF('Input|Step changes'!$F28="nominal",LOOKUP($F92,Nominal_to_Real,'Input|Rate of change'!O$26:O$32),INDEX('Input|Rate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P92" s="127">
        <f>'Input|Step changes'!P28*IF('Input|Step changes'!$F28="nominal",LOOKUP($F92,Nominal_to_Real,'Input|Rate of change'!P$26:P$32),INDEX('Input|Rate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9.1973755915536906</v>
      </c>
      <c r="Q92" s="127">
        <f>'Input|Step changes'!Q28*IF('Input|Step changes'!$F28="nominal",LOOKUP($F92,Nominal_to_Real,'Input|Rate of change'!Q$26:Q$32),INDEX('Input|Rate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9.1973755915536906</v>
      </c>
      <c r="R92" s="127">
        <f>'Input|Step changes'!R28*IF('Input|Step changes'!$F28="nominal",LOOKUP($F92,Nominal_to_Real,'Input|Rate of change'!R$26:R$32),INDEX('Input|Rate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9.1973755915536906</v>
      </c>
      <c r="S92" s="127">
        <f>'Input|Step changes'!S28*IF('Input|Step changes'!$F28="nominal",LOOKUP($F92,Nominal_to_Real,'Input|Rate of change'!S$26:S$32),INDEX('Input|Rate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9.1973755915536906</v>
      </c>
      <c r="T92" s="127">
        <f>'Input|Step changes'!T28*IF('Input|Step changes'!$F28="nominal",LOOKUP($F92,Nominal_to_Real,'Input|Rate of change'!T$26:T$32),INDEX('Input|Rate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9.1973755915536906</v>
      </c>
    </row>
    <row r="93" spans="1:48" outlineLevel="1">
      <c r="C93" s="121" t="str">
        <f>'Input|Step changes'!C29</f>
        <v>Innovation</v>
      </c>
      <c r="D93" s="110" t="s">
        <v>30</v>
      </c>
      <c r="E93" s="30" t="str">
        <f t="shared" si="12"/>
        <v>$millions</v>
      </c>
      <c r="F93" s="158">
        <f t="shared" si="17"/>
        <v>44348</v>
      </c>
      <c r="J93" s="127">
        <f>'Input|Step changes'!J29*IF('Input|Step changes'!$F29="nominal",LOOKUP($F93,Nominal_to_Real,'Input|Rate of change'!J$26:J$32),INDEX('Input|Rate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K93" s="127">
        <f>'Input|Step changes'!K29*IF('Input|Step changes'!$F29="nominal",LOOKUP($F93,Nominal_to_Real,'Input|Rate of change'!K$26:K$32),INDEX('Input|Rate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L93" s="127">
        <f>'Input|Step changes'!L29*IF('Input|Step changes'!$F29="nominal",LOOKUP($F93,Nominal_to_Real,'Input|Rate of change'!L$26:L$32),INDEX('Input|Rate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M93" s="127">
        <f>'Input|Step changes'!M29*IF('Input|Step changes'!$F29="nominal",LOOKUP($F93,Nominal_to_Real,'Input|Rate of change'!M$26:M$32),INDEX('Input|Rate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N93" s="127">
        <f>'Input|Step changes'!N29*IF('Input|Step changes'!$F29="nominal",LOOKUP($F93,Nominal_to_Real,'Input|Rate of change'!N$26:N$32),INDEX('Input|Rate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O93" s="127">
        <f>'Input|Step changes'!O29*IF('Input|Step changes'!$F29="nominal",LOOKUP($F93,Nominal_to_Real,'Input|Rate of change'!O$26:O$32),INDEX('Input|Rate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P93" s="127">
        <f>'Input|Step changes'!P29*IF('Input|Step changes'!$F29="nominal",LOOKUP($F93,Nominal_to_Real,'Input|Rate of change'!P$26:P$32),INDEX('Input|Rate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0.24036616306495823</v>
      </c>
      <c r="Q93" s="127">
        <f>'Input|Step changes'!Q29*IF('Input|Step changes'!$F29="nominal",LOOKUP($F93,Nominal_to_Real,'Input|Rate of change'!Q$26:Q$32),INDEX('Input|Rate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0.24036616306495823</v>
      </c>
      <c r="R93" s="127">
        <f>'Input|Step changes'!R29*IF('Input|Step changes'!$F29="nominal",LOOKUP($F93,Nominal_to_Real,'Input|Rate of change'!R$26:R$32),INDEX('Input|Rate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0.24036616306495823</v>
      </c>
      <c r="S93" s="127">
        <f>'Input|Step changes'!S29*IF('Input|Step changes'!$F29="nominal",LOOKUP($F93,Nominal_to_Real,'Input|Rate of change'!S$26:S$32),INDEX('Input|Rate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0.24036616306495823</v>
      </c>
      <c r="T93" s="127">
        <f>'Input|Step changes'!T29*IF('Input|Step changes'!$F29="nominal",LOOKUP($F93,Nominal_to_Real,'Input|Rate of change'!T$26:T$32),INDEX('Input|Rate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0.24036616306495823</v>
      </c>
    </row>
    <row r="94" spans="1:48" outlineLevel="1">
      <c r="C94" s="121">
        <f>'Input|Step changes'!C30</f>
        <v>0</v>
      </c>
      <c r="D94" s="110" t="s">
        <v>30</v>
      </c>
      <c r="E94" s="30" t="str">
        <f t="shared" si="12"/>
        <v>$millions</v>
      </c>
      <c r="F94" s="158">
        <f t="shared" si="17"/>
        <v>44348</v>
      </c>
      <c r="J94" s="127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127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127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127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127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127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127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Q94" s="127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R94" s="127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S94" s="127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T94" s="127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</row>
    <row r="95" spans="1:48" outlineLevel="1">
      <c r="C95" s="121"/>
      <c r="D95" s="108"/>
      <c r="F95" s="112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48" outlineLevel="1">
      <c r="C96" s="113" t="s">
        <v>118</v>
      </c>
      <c r="D96" s="122" t="s">
        <v>30</v>
      </c>
      <c r="E96" s="122" t="str">
        <f>$E$8</f>
        <v>$millions</v>
      </c>
      <c r="F96" s="172">
        <f t="shared" ref="F96" si="18">$F$8</f>
        <v>44348</v>
      </c>
      <c r="G96" s="32"/>
      <c r="H96" s="32"/>
      <c r="I96" s="32"/>
      <c r="J96" s="128">
        <f>SUM(J91:J95)</f>
        <v>0</v>
      </c>
      <c r="K96" s="128">
        <f t="shared" ref="K96:S96" si="19">SUM(K91:K95)</f>
        <v>0</v>
      </c>
      <c r="L96" s="128">
        <f t="shared" si="19"/>
        <v>0</v>
      </c>
      <c r="M96" s="128">
        <f t="shared" si="19"/>
        <v>0</v>
      </c>
      <c r="N96" s="128">
        <f t="shared" si="19"/>
        <v>0</v>
      </c>
      <c r="O96" s="128">
        <f t="shared" si="19"/>
        <v>0</v>
      </c>
      <c r="P96" s="128">
        <f t="shared" si="19"/>
        <v>9.4377417546186493</v>
      </c>
      <c r="Q96" s="128">
        <f t="shared" si="19"/>
        <v>9.4377417546186493</v>
      </c>
      <c r="R96" s="128">
        <f t="shared" si="19"/>
        <v>9.4377417546186493</v>
      </c>
      <c r="S96" s="128">
        <f t="shared" si="19"/>
        <v>9.4377417546186493</v>
      </c>
      <c r="T96" s="128">
        <f t="shared" ref="T96" si="20">SUM(T91:T95)</f>
        <v>9.4377417546186493</v>
      </c>
    </row>
    <row r="97" spans="1:48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  <c r="T97" s="23"/>
    </row>
    <row r="98" spans="1:48" s="103" customFormat="1" ht="12.75">
      <c r="A98" s="94"/>
      <c r="B98" s="95" t="s">
        <v>90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  <c r="Y98" s="99"/>
      <c r="Z98" s="99"/>
      <c r="AA98" s="99"/>
      <c r="AB98" s="99"/>
      <c r="AC98" s="100"/>
      <c r="AD98" s="101"/>
      <c r="AE98" s="101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</row>
    <row r="99" spans="1:48" outlineLevel="1">
      <c r="C99" s="106"/>
      <c r="J99" s="107"/>
      <c r="K99" s="107"/>
      <c r="L99" s="107"/>
    </row>
    <row r="100" spans="1:48" outlineLevel="1">
      <c r="C100" s="67"/>
      <c r="J100" s="160"/>
      <c r="K100" s="160"/>
      <c r="L100" s="160"/>
      <c r="M100" s="160"/>
      <c r="N100" s="160"/>
      <c r="O100" s="160"/>
      <c r="P100" s="160">
        <f>P$4</f>
        <v>44713</v>
      </c>
      <c r="Q100" s="160">
        <f t="shared" ref="Q100:T100" si="21">Q$4</f>
        <v>45078</v>
      </c>
      <c r="R100" s="160">
        <f t="shared" si="21"/>
        <v>45444</v>
      </c>
      <c r="S100" s="160">
        <f t="shared" si="21"/>
        <v>45809</v>
      </c>
      <c r="T100" s="160">
        <f t="shared" si="21"/>
        <v>46174</v>
      </c>
    </row>
    <row r="101" spans="1:48" outlineLevel="1">
      <c r="C101" s="124"/>
      <c r="D101" s="110"/>
      <c r="E101" s="110"/>
      <c r="F101" s="110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</row>
    <row r="102" spans="1:48" outlineLevel="1">
      <c r="C102" s="123" t="s">
        <v>135</v>
      </c>
      <c r="D102" s="126" t="s">
        <v>30</v>
      </c>
      <c r="E102" s="126" t="str">
        <f>$E$8</f>
        <v>$millions</v>
      </c>
      <c r="F102" s="172">
        <f t="shared" ref="F102:F104" si="22">$F$8</f>
        <v>44348</v>
      </c>
      <c r="J102" s="149"/>
      <c r="K102" s="149"/>
      <c r="L102" s="149"/>
      <c r="M102" s="149"/>
      <c r="N102" s="149"/>
      <c r="O102" s="149"/>
      <c r="P102" s="149">
        <f ca="1">(1+P70)*SUM($J56:$S56)+P86</f>
        <v>223.13305610629362</v>
      </c>
      <c r="Q102" s="149">
        <f t="shared" ref="Q102:T102" ca="1" si="23">(1+Q70)*SUM($J56:$S56)+Q86</f>
        <v>224.60825279444566</v>
      </c>
      <c r="R102" s="149">
        <f t="shared" ca="1" si="23"/>
        <v>224.92835072528374</v>
      </c>
      <c r="S102" s="149">
        <f t="shared" ca="1" si="23"/>
        <v>226.76847951136796</v>
      </c>
      <c r="T102" s="149">
        <f t="shared" ca="1" si="23"/>
        <v>229.39137166367516</v>
      </c>
    </row>
    <row r="103" spans="1:48" outlineLevel="1">
      <c r="C103" s="123" t="s">
        <v>107</v>
      </c>
      <c r="D103" s="126" t="s">
        <v>30</v>
      </c>
      <c r="E103" s="126" t="str">
        <f>$E$8</f>
        <v>$millions</v>
      </c>
      <c r="F103" s="172">
        <f t="shared" si="22"/>
        <v>44348</v>
      </c>
      <c r="J103" s="149"/>
      <c r="K103" s="149"/>
      <c r="L103" s="149"/>
      <c r="M103" s="149"/>
      <c r="N103" s="149"/>
      <c r="O103" s="149"/>
      <c r="P103" s="149">
        <f ca="1">(1+P70)*SUM($J56:$S56)+P86+P96</f>
        <v>232.57079786091228</v>
      </c>
      <c r="Q103" s="149">
        <f t="shared" ref="Q103:T103" ca="1" si="24">(1+Q70)*SUM($J56:$S56)+Q86+Q96</f>
        <v>234.04599454906432</v>
      </c>
      <c r="R103" s="149">
        <f t="shared" ca="1" si="24"/>
        <v>234.36609247990239</v>
      </c>
      <c r="S103" s="149">
        <f t="shared" ca="1" si="24"/>
        <v>236.20622126598661</v>
      </c>
      <c r="T103" s="149">
        <f t="shared" ca="1" si="24"/>
        <v>238.82911341829382</v>
      </c>
    </row>
    <row r="104" spans="1:48" outlineLevel="1">
      <c r="C104" s="123" t="s">
        <v>108</v>
      </c>
      <c r="D104" s="126" t="s">
        <v>30</v>
      </c>
      <c r="E104" s="126" t="str">
        <f>$E$8</f>
        <v>$millions</v>
      </c>
      <c r="F104" s="172">
        <f t="shared" si="22"/>
        <v>44348</v>
      </c>
      <c r="J104" s="149"/>
      <c r="K104" s="149"/>
      <c r="L104" s="149"/>
      <c r="M104" s="149"/>
      <c r="N104" s="149"/>
      <c r="O104" s="149"/>
      <c r="P104" s="149">
        <f ca="1">P103+'Input|Step changes'!P38</f>
        <v>234.81042155190889</v>
      </c>
      <c r="Q104" s="149">
        <f ca="1">Q103+'Input|Step changes'!Q38</f>
        <v>236.2944175762897</v>
      </c>
      <c r="R104" s="149">
        <f ca="1">R103+'Input|Step changes'!R38</f>
        <v>236.6333421170749</v>
      </c>
      <c r="S104" s="149">
        <f ca="1">S103+'Input|Step changes'!S38</f>
        <v>238.49332801125303</v>
      </c>
      <c r="T104" s="149">
        <f ca="1">T103+'Input|Step changes'!T38</f>
        <v>241.12719067608685</v>
      </c>
    </row>
    <row r="105" spans="1:48">
      <c r="C105" s="123"/>
      <c r="D105" s="110"/>
      <c r="E105" s="110"/>
      <c r="F105" s="110"/>
      <c r="J105" s="107"/>
      <c r="K105" s="107"/>
      <c r="L105" s="107"/>
      <c r="M105" s="107"/>
      <c r="N105" s="23"/>
      <c r="O105" s="23"/>
      <c r="P105" s="23"/>
      <c r="Q105" s="23"/>
      <c r="R105" s="23"/>
      <c r="S105" s="23"/>
      <c r="T105" s="23"/>
    </row>
    <row r="106" spans="1:48" s="103" customFormat="1" ht="12.75">
      <c r="A106" s="94"/>
      <c r="B106" s="95" t="s">
        <v>21</v>
      </c>
      <c r="C106" s="94"/>
      <c r="D106" s="94"/>
      <c r="E106" s="94"/>
      <c r="F106" s="96"/>
      <c r="G106" s="96"/>
      <c r="H106" s="96"/>
      <c r="I106" s="96"/>
      <c r="J106" s="97"/>
      <c r="K106" s="98"/>
      <c r="L106" s="97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8"/>
      <c r="X106" s="98"/>
      <c r="Y106" s="99"/>
      <c r="Z106" s="99"/>
      <c r="AA106" s="99"/>
      <c r="AB106" s="99"/>
      <c r="AC106" s="100"/>
      <c r="AD106" s="101"/>
      <c r="AE106" s="101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</row>
    <row r="107" spans="1:48" hidden="1"/>
    <row r="108" spans="1:48" hidden="1"/>
    <row r="109" spans="1:48" hidden="1"/>
    <row r="110" spans="1:48" hidden="1"/>
    <row r="111" spans="1:48" hidden="1"/>
    <row r="112" spans="1:48" hidden="1"/>
    <row r="113" spans="4:9" hidden="1"/>
    <row r="114" spans="4:9" hidden="1"/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>
      <c r="D190" s="29"/>
      <c r="E190" s="29"/>
      <c r="F190" s="29"/>
      <c r="G190" s="29"/>
      <c r="H190" s="29"/>
      <c r="I190" s="29"/>
    </row>
    <row r="191" spans="4:9" hidden="1">
      <c r="D191" s="29"/>
      <c r="E191" s="29"/>
      <c r="F191" s="29"/>
      <c r="G191" s="29"/>
      <c r="H191" s="29"/>
      <c r="I191" s="29"/>
    </row>
    <row r="192" spans="4:9" hidden="1"/>
    <row r="193" hidden="1"/>
    <row r="194" hidden="1"/>
  </sheetData>
  <mergeCells count="1">
    <mergeCell ref="N3:S3"/>
  </mergeCells>
  <conditionalFormatting sqref="S1:T1">
    <cfRule type="cellIs" dxfId="110" priority="123" operator="equal">
      <formula>"Check"</formula>
    </cfRule>
    <cfRule type="cellIs" dxfId="109" priority="124" operator="equal">
      <formula>"Ok"</formula>
    </cfRule>
  </conditionalFormatting>
  <conditionalFormatting sqref="W1">
    <cfRule type="cellIs" dxfId="108" priority="125" operator="equal">
      <formula>"Check"</formula>
    </cfRule>
    <cfRule type="cellIs" dxfId="107" priority="126" operator="equal">
      <formula>"Ok"</formula>
    </cfRule>
  </conditionalFormatting>
  <conditionalFormatting sqref="R41:T41 R44:T44 R47:T47 R50:T50 J12:T19">
    <cfRule type="cellIs" dxfId="106" priority="122" operator="equal">
      <formula>0</formula>
    </cfRule>
  </conditionalFormatting>
  <conditionalFormatting sqref="J13:T13">
    <cfRule type="cellIs" dxfId="105" priority="121" operator="equal">
      <formula>0</formula>
    </cfRule>
  </conditionalFormatting>
  <conditionalFormatting sqref="J14:T14">
    <cfRule type="cellIs" dxfId="104" priority="120" operator="equal">
      <formula>0</formula>
    </cfRule>
  </conditionalFormatting>
  <conditionalFormatting sqref="J15:T16">
    <cfRule type="cellIs" dxfId="103" priority="119" operator="equal">
      <formula>0</formula>
    </cfRule>
  </conditionalFormatting>
  <conditionalFormatting sqref="J17:T17">
    <cfRule type="cellIs" dxfId="102" priority="118" operator="equal">
      <formula>0</formula>
    </cfRule>
  </conditionalFormatting>
  <conditionalFormatting sqref="J18:T19">
    <cfRule type="cellIs" dxfId="101" priority="117" operator="equal">
      <formula>0</formula>
    </cfRule>
  </conditionalFormatting>
  <conditionalFormatting sqref="J63:T67">
    <cfRule type="cellIs" dxfId="100" priority="116" operator="equal">
      <formula>0</formula>
    </cfRule>
  </conditionalFormatting>
  <conditionalFormatting sqref="J92:T94 J76:T84">
    <cfRule type="cellIs" dxfId="99" priority="114" operator="equal">
      <formula>0</formula>
    </cfRule>
  </conditionalFormatting>
  <conditionalFormatting sqref="J38:T38 J53:T56 J35:T36">
    <cfRule type="cellIs" dxfId="98" priority="111" operator="equal">
      <formula>0</formula>
    </cfRule>
  </conditionalFormatting>
  <conditionalFormatting sqref="J103:T104">
    <cfRule type="cellIs" dxfId="97" priority="110" operator="equal">
      <formula>0</formula>
    </cfRule>
  </conditionalFormatting>
  <conditionalFormatting sqref="J103:T104">
    <cfRule type="cellIs" dxfId="96" priority="109" operator="equal">
      <formula>0</formula>
    </cfRule>
  </conditionalFormatting>
  <conditionalFormatting sqref="J48:T48">
    <cfRule type="cellIs" dxfId="95" priority="72" operator="equal">
      <formula>0</formula>
    </cfRule>
  </conditionalFormatting>
  <conditionalFormatting sqref="J41:Q41 J44:Q44 J47:Q47">
    <cfRule type="cellIs" dxfId="94" priority="90" operator="equal">
      <formula>0</formula>
    </cfRule>
  </conditionalFormatting>
  <conditionalFormatting sqref="J41:Q41 J44:Q44 J47:Q47">
    <cfRule type="cellIs" dxfId="93" priority="89" operator="equal">
      <formula>0</formula>
    </cfRule>
  </conditionalFormatting>
  <conditionalFormatting sqref="J39:T39">
    <cfRule type="cellIs" dxfId="92" priority="85" operator="equal">
      <formula>0</formula>
    </cfRule>
  </conditionalFormatting>
  <conditionalFormatting sqref="J39:T39">
    <cfRule type="cellIs" dxfId="91" priority="84" operator="equal">
      <formula>0</formula>
    </cfRule>
  </conditionalFormatting>
  <conditionalFormatting sqref="J50:Q50">
    <cfRule type="cellIs" dxfId="90" priority="75" operator="equal">
      <formula>0</formula>
    </cfRule>
  </conditionalFormatting>
  <conditionalFormatting sqref="J50:Q50">
    <cfRule type="cellIs" dxfId="89" priority="74" operator="equal">
      <formula>0</formula>
    </cfRule>
  </conditionalFormatting>
  <conditionalFormatting sqref="J42:T42">
    <cfRule type="cellIs" dxfId="88" priority="81" operator="equal">
      <formula>0</formula>
    </cfRule>
  </conditionalFormatting>
  <conditionalFormatting sqref="J42:T42">
    <cfRule type="cellIs" dxfId="87" priority="80" operator="equal">
      <formula>0</formula>
    </cfRule>
  </conditionalFormatting>
  <conditionalFormatting sqref="J48:T48">
    <cfRule type="cellIs" dxfId="86" priority="73" operator="equal">
      <formula>0</formula>
    </cfRule>
  </conditionalFormatting>
  <conditionalFormatting sqref="J45:T45">
    <cfRule type="cellIs" dxfId="85" priority="77" operator="equal">
      <formula>0</formula>
    </cfRule>
  </conditionalFormatting>
  <conditionalFormatting sqref="J45:T45">
    <cfRule type="cellIs" dxfId="84" priority="76" operator="equal">
      <formula>0</formula>
    </cfRule>
  </conditionalFormatting>
  <conditionalFormatting sqref="J51:T51">
    <cfRule type="cellIs" dxfId="83" priority="67" operator="equal">
      <formula>0</formula>
    </cfRule>
  </conditionalFormatting>
  <conditionalFormatting sqref="J51:T51">
    <cfRule type="cellIs" dxfId="82" priority="68" operator="equal">
      <formula>0</formula>
    </cfRule>
  </conditionalFormatting>
  <conditionalFormatting sqref="T40">
    <cfRule type="cellIs" dxfId="81" priority="66" operator="equal">
      <formula>0</formula>
    </cfRule>
  </conditionalFormatting>
  <conditionalFormatting sqref="T40">
    <cfRule type="cellIs" dxfId="80" priority="65" operator="equal">
      <formula>0</formula>
    </cfRule>
  </conditionalFormatting>
  <conditionalFormatting sqref="T43">
    <cfRule type="cellIs" dxfId="79" priority="64" operator="equal">
      <formula>0</formula>
    </cfRule>
  </conditionalFormatting>
  <conditionalFormatting sqref="T43">
    <cfRule type="cellIs" dxfId="78" priority="63" operator="equal">
      <formula>0</formula>
    </cfRule>
  </conditionalFormatting>
  <conditionalFormatting sqref="T46">
    <cfRule type="cellIs" dxfId="77" priority="62" operator="equal">
      <formula>0</formula>
    </cfRule>
  </conditionalFormatting>
  <conditionalFormatting sqref="T46">
    <cfRule type="cellIs" dxfId="76" priority="61" operator="equal">
      <formula>0</formula>
    </cfRule>
  </conditionalFormatting>
  <conditionalFormatting sqref="T49">
    <cfRule type="cellIs" dxfId="75" priority="60" operator="equal">
      <formula>0</formula>
    </cfRule>
  </conditionalFormatting>
  <conditionalFormatting sqref="T49">
    <cfRule type="cellIs" dxfId="74" priority="59" operator="equal">
      <formula>0</formula>
    </cfRule>
  </conditionalFormatting>
  <conditionalFormatting sqref="T52">
    <cfRule type="cellIs" dxfId="73" priority="58" operator="equal">
      <formula>0</formula>
    </cfRule>
  </conditionalFormatting>
  <conditionalFormatting sqref="T52">
    <cfRule type="cellIs" dxfId="72" priority="57" operator="equal">
      <formula>0</formula>
    </cfRule>
  </conditionalFormatting>
  <conditionalFormatting sqref="J102:T102">
    <cfRule type="cellIs" dxfId="71" priority="46" operator="equal">
      <formula>0</formula>
    </cfRule>
  </conditionalFormatting>
  <conditionalFormatting sqref="J102:T102">
    <cfRule type="cellIs" dxfId="70" priority="45" operator="equal">
      <formula>0</formula>
    </cfRule>
  </conditionalFormatting>
  <conditionalFormatting sqref="J10:T10">
    <cfRule type="expression" dxfId="69" priority="44">
      <formula>J$10=J$4</formula>
    </cfRule>
  </conditionalFormatting>
  <conditionalFormatting sqref="J27:T27">
    <cfRule type="expression" dxfId="68" priority="43">
      <formula>J$10=J$4</formula>
    </cfRule>
  </conditionalFormatting>
  <conditionalFormatting sqref="J56:T56">
    <cfRule type="expression" dxfId="67" priority="42">
      <formula>J$10=J$4</formula>
    </cfRule>
  </conditionalFormatting>
  <conditionalFormatting sqref="J32:T32 J28:T30">
    <cfRule type="cellIs" dxfId="66" priority="39" operator="equal">
      <formula>0</formula>
    </cfRule>
  </conditionalFormatting>
  <conditionalFormatting sqref="J33:T34">
    <cfRule type="cellIs" dxfId="65" priority="38" operator="equal">
      <formula>0</formula>
    </cfRule>
  </conditionalFormatting>
  <conditionalFormatting sqref="J70:T70">
    <cfRule type="cellIs" dxfId="64" priority="35" operator="equal">
      <formula>0</formula>
    </cfRule>
  </conditionalFormatting>
  <conditionalFormatting sqref="J37:T37">
    <cfRule type="cellIs" dxfId="63" priority="34" operator="equal">
      <formula>0</formula>
    </cfRule>
  </conditionalFormatting>
  <conditionalFormatting sqref="J37:T37">
    <cfRule type="cellIs" dxfId="62" priority="33" operator="equal">
      <formula>0</formula>
    </cfRule>
  </conditionalFormatting>
  <conditionalFormatting sqref="T31">
    <cfRule type="cellIs" dxfId="61" priority="32" operator="equal">
      <formula>0</formula>
    </cfRule>
  </conditionalFormatting>
  <conditionalFormatting sqref="T31">
    <cfRule type="cellIs" dxfId="60" priority="31" operator="equal">
      <formula>0</formula>
    </cfRule>
  </conditionalFormatting>
  <conditionalFormatting sqref="J20:T20 J22:T22 T21 T23 J24:T24">
    <cfRule type="cellIs" dxfId="59" priority="30" operator="equal">
      <formula>0</formula>
    </cfRule>
  </conditionalFormatting>
  <conditionalFormatting sqref="T21">
    <cfRule type="cellIs" dxfId="58" priority="29" operator="equal">
      <formula>0</formula>
    </cfRule>
  </conditionalFormatting>
  <conditionalFormatting sqref="J22:T22">
    <cfRule type="cellIs" dxfId="57" priority="28" operator="equal">
      <formula>0</formula>
    </cfRule>
  </conditionalFormatting>
  <conditionalFormatting sqref="T23">
    <cfRule type="cellIs" dxfId="56" priority="27" operator="equal">
      <formula>0</formula>
    </cfRule>
  </conditionalFormatting>
  <conditionalFormatting sqref="J24:T24">
    <cfRule type="cellIs" dxfId="55" priority="26" operator="equal">
      <formula>0</formula>
    </cfRule>
  </conditionalFormatting>
  <conditionalFormatting sqref="J15:S16 K16:T16">
    <cfRule type="cellIs" dxfId="54" priority="24" operator="equal">
      <formula>0</formula>
    </cfRule>
  </conditionalFormatting>
  <conditionalFormatting sqref="J18:T18">
    <cfRule type="cellIs" dxfId="53" priority="23" operator="equal">
      <formula>0</formula>
    </cfRule>
  </conditionalFormatting>
  <conditionalFormatting sqref="J21:S21">
    <cfRule type="cellIs" dxfId="52" priority="22" operator="equal">
      <formula>0</formula>
    </cfRule>
  </conditionalFormatting>
  <conditionalFormatting sqref="J21:S21">
    <cfRule type="cellIs" dxfId="51" priority="21" operator="equal">
      <formula>0</formula>
    </cfRule>
  </conditionalFormatting>
  <conditionalFormatting sqref="J23:S23">
    <cfRule type="cellIs" dxfId="50" priority="20" operator="equal">
      <formula>0</formula>
    </cfRule>
  </conditionalFormatting>
  <conditionalFormatting sqref="J23:S23">
    <cfRule type="cellIs" dxfId="49" priority="19" operator="equal">
      <formula>0</formula>
    </cfRule>
  </conditionalFormatting>
  <conditionalFormatting sqref="J26:T26">
    <cfRule type="cellIs" dxfId="48" priority="18" operator="equal">
      <formula>0</formula>
    </cfRule>
  </conditionalFormatting>
  <conditionalFormatting sqref="J26:T26">
    <cfRule type="cellIs" dxfId="47" priority="17" operator="equal">
      <formula>0</formula>
    </cfRule>
  </conditionalFormatting>
  <conditionalFormatting sqref="J31:S31">
    <cfRule type="cellIs" dxfId="46" priority="16" operator="equal">
      <formula>0</formula>
    </cfRule>
  </conditionalFormatting>
  <conditionalFormatting sqref="J31:S31">
    <cfRule type="cellIs" dxfId="45" priority="15" operator="equal">
      <formula>0</formula>
    </cfRule>
  </conditionalFormatting>
  <conditionalFormatting sqref="J40:S40">
    <cfRule type="cellIs" dxfId="44" priority="14" operator="equal">
      <formula>0</formula>
    </cfRule>
  </conditionalFormatting>
  <conditionalFormatting sqref="J40:S40">
    <cfRule type="cellIs" dxfId="43" priority="13" operator="equal">
      <formula>0</formula>
    </cfRule>
  </conditionalFormatting>
  <conditionalFormatting sqref="J43:S43">
    <cfRule type="cellIs" dxfId="42" priority="12" operator="equal">
      <formula>0</formula>
    </cfRule>
  </conditionalFormatting>
  <conditionalFormatting sqref="J43:S43">
    <cfRule type="cellIs" dxfId="41" priority="11" operator="equal">
      <formula>0</formula>
    </cfRule>
  </conditionalFormatting>
  <conditionalFormatting sqref="J46:S46">
    <cfRule type="cellIs" dxfId="40" priority="10" operator="equal">
      <formula>0</formula>
    </cfRule>
  </conditionalFormatting>
  <conditionalFormatting sqref="J46:S46">
    <cfRule type="cellIs" dxfId="39" priority="9" operator="equal">
      <formula>0</formula>
    </cfRule>
  </conditionalFormatting>
  <conditionalFormatting sqref="J49:S49">
    <cfRule type="cellIs" dxfId="38" priority="8" operator="equal">
      <formula>0</formula>
    </cfRule>
  </conditionalFormatting>
  <conditionalFormatting sqref="J49:S49">
    <cfRule type="cellIs" dxfId="37" priority="7" operator="equal">
      <formula>0</formula>
    </cfRule>
  </conditionalFormatting>
  <conditionalFormatting sqref="J52:S52">
    <cfRule type="cellIs" dxfId="36" priority="6" operator="equal">
      <formula>0</formula>
    </cfRule>
  </conditionalFormatting>
  <conditionalFormatting sqref="J52:S52">
    <cfRule type="cellIs" dxfId="35" priority="5" operator="equal">
      <formula>0</formula>
    </cfRule>
  </conditionalFormatting>
  <conditionalFormatting sqref="J17:T17">
    <cfRule type="cellIs" dxfId="34" priority="3" operator="equal">
      <formula>0</formula>
    </cfRule>
  </conditionalFormatting>
  <conditionalFormatting sqref="J69:T69">
    <cfRule type="expression" dxfId="33" priority="138">
      <formula>J$60=J$4</formula>
    </cfRule>
    <cfRule type="cellIs" dxfId="32" priority="139" operator="equal">
      <formula>0</formula>
    </cfRule>
  </conditionalFormatting>
  <conditionalFormatting sqref="J96:T96">
    <cfRule type="expression" dxfId="31" priority="140">
      <formula>J$90=J$4</formula>
    </cfRule>
    <cfRule type="cellIs" dxfId="30" priority="141" operator="equal">
      <formula>0</formula>
    </cfRule>
  </conditionalFormatting>
  <conditionalFormatting sqref="J86:T86">
    <cfRule type="expression" dxfId="29" priority="142">
      <formula>J$74=J$4</formula>
    </cfRule>
    <cfRule type="cellIs" dxfId="28" priority="143" operator="equal">
      <formula>0</formula>
    </cfRule>
  </conditionalFormatting>
  <conditionalFormatting sqref="J60:T60 J74:T74 J90:T90 P100:T100">
    <cfRule type="expression" dxfId="27" priority="144">
      <formula>J$60=J$4</formula>
    </cfRule>
  </conditionalFormatting>
  <conditionalFormatting sqref="J100:O100">
    <cfRule type="expression" dxfId="26" priority="147">
      <formula>J$100=J$4</formula>
    </cfRule>
  </conditionalFormatting>
  <conditionalFormatting sqref="J25:T25">
    <cfRule type="cellIs" dxfId="25" priority="2" operator="equal">
      <formula>0</formula>
    </cfRule>
  </conditionalFormatting>
  <conditionalFormatting sqref="J25:T25">
    <cfRule type="cellIs" dxfId="24" priority="1" operator="equal">
      <formula>0</formula>
    </cfRule>
  </conditionalFormatting>
  <dataValidations disablePrompts="1" count="2">
    <dataValidation type="list" allowBlank="1" showInputMessage="1" showErrorMessage="1" sqref="F97 F95 F105 F87">
      <formula1>"Real 2010,Real 2011,Real 2012,Real 2013,Real 2014,Real 2015,Nominal"</formula1>
    </dataValidation>
    <dataValidation type="list" allowBlank="1" showInputMessage="1" showErrorMessage="1" sqref="F85">
      <formula1>$G$62:$G$68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'Lookup|Tables'!$H$65:$H$71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V53"/>
  <sheetViews>
    <sheetView showGridLines="0" topLeftCell="D1" workbookViewId="0">
      <selection activeCell="P13" sqref="P13:T13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0" style="29" hidden="1" customWidth="1"/>
    <col min="49" max="16384" width="10.5" style="29" hidden="1"/>
  </cols>
  <sheetData>
    <row r="1" spans="1:2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75"/>
      <c r="S1" s="72" t="s">
        <v>81</v>
      </c>
      <c r="T1" s="76" t="s">
        <v>36</v>
      </c>
      <c r="V1" s="185" t="s">
        <v>24</v>
      </c>
      <c r="W1" s="76" t="str">
        <f>'Check|List'!$S$1</f>
        <v>Check</v>
      </c>
    </row>
    <row r="2" spans="1:27" s="77" customFormat="1" ht="13.5" thickBot="1">
      <c r="B2" s="78" t="e">
        <f>Index!#REF!</f>
        <v>#REF!</v>
      </c>
      <c r="C2" s="78"/>
      <c r="D2" s="78"/>
      <c r="E2" s="78"/>
      <c r="F2" s="79"/>
      <c r="G2" s="79"/>
      <c r="H2" s="79"/>
      <c r="I2" s="79"/>
    </row>
    <row r="3" spans="1:27" s="80" customFormat="1">
      <c r="C3" s="81"/>
      <c r="D3" s="180"/>
      <c r="E3" s="180"/>
      <c r="F3" s="180"/>
      <c r="G3" s="180"/>
      <c r="H3" s="180"/>
      <c r="I3" s="180"/>
      <c r="J3" s="170" t="s">
        <v>120</v>
      </c>
      <c r="K3" s="170"/>
      <c r="L3" s="170"/>
      <c r="M3" s="180"/>
      <c r="N3" s="226"/>
      <c r="O3" s="226"/>
      <c r="P3" s="226"/>
      <c r="Q3" s="226"/>
      <c r="R3" s="226"/>
      <c r="S3" s="226"/>
      <c r="T3" s="226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2.75">
      <c r="A8" s="94"/>
      <c r="B8" s="95" t="s">
        <v>54</v>
      </c>
      <c r="C8" s="94"/>
      <c r="D8" s="94"/>
      <c r="E8" s="68" t="s">
        <v>15</v>
      </c>
      <c r="F8" s="204">
        <v>44348</v>
      </c>
      <c r="G8" s="96"/>
      <c r="H8" s="96"/>
      <c r="I8" s="96"/>
      <c r="J8" s="147" t="s">
        <v>55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>
      <c r="C11" s="67" t="s">
        <v>45</v>
      </c>
      <c r="D11" s="32" t="s">
        <v>7</v>
      </c>
      <c r="E11" s="32" t="s">
        <v>8</v>
      </c>
      <c r="F11" s="32" t="s">
        <v>22</v>
      </c>
      <c r="H11" s="32"/>
      <c r="I11" s="32"/>
      <c r="J11" s="160" t="str">
        <f>IF(YEAR(J$4)&gt;='Input|General'!$G$15,IF(YEAR(J$4)&lt;='Input|General'!$G$16,J$4,""),"")</f>
        <v/>
      </c>
      <c r="K11" s="160" t="str">
        <f>IF(YEAR(K$4)&gt;='Input|General'!$G$15,IF(YEAR(K$4)&lt;='Input|General'!$G$16,K$4,""),"")</f>
        <v/>
      </c>
      <c r="L11" s="160" t="str">
        <f>IF(YEAR(L$4)&gt;='Input|General'!$G$15,IF(YEAR(L$4)&lt;='Input|General'!$G$16,L$4,""),"")</f>
        <v/>
      </c>
      <c r="M11" s="160" t="str">
        <f>IF(YEAR(M$4)&gt;='Input|General'!$G$15,IF(YEAR(M$4)&lt;='Input|General'!$G$16,M$4,""),"")</f>
        <v/>
      </c>
      <c r="N11" s="160" t="str">
        <f>IF(YEAR(N$4)&gt;='Input|General'!$G$15,IF(YEAR(N$4)&lt;='Input|General'!$G$16,N$4,""),"")</f>
        <v/>
      </c>
      <c r="O11" s="160" t="str">
        <f>IF(YEAR(O$4)&gt;='Input|General'!$G$15,IF(YEAR(O$4)&lt;='Input|General'!$G$16,O$4,""),"")</f>
        <v/>
      </c>
      <c r="P11" s="160">
        <f>IF(YEAR(P$4)&gt;=FPFirstYear,IF(YEAR(P$4)&lt;=FPLastYear,P$4,""),"")</f>
        <v>44713</v>
      </c>
      <c r="Q11" s="160">
        <f>IF(YEAR(Q$4)&gt;=FPFirstYear,IF(YEAR(Q$4)&lt;=FPLastYear,Q$4,""),"")</f>
        <v>45078</v>
      </c>
      <c r="R11" s="160">
        <f>IF(YEAR(R$4)&gt;=FPFirstYear,IF(YEAR(R$4)&lt;=FPLastYear,R$4,""),"")</f>
        <v>45444</v>
      </c>
      <c r="S11" s="160">
        <f>IF(YEAR(S$4)&gt;=FPFirstYear,IF(YEAR(S$4)&lt;=FPLastYear,S$4,""),"")</f>
        <v>45809</v>
      </c>
      <c r="T11" s="160">
        <f>IF(YEAR(T$4)&gt;=FPFirstYear,IF(YEAR(T$4)&lt;=FPLastYear,T$4,""),"")</f>
        <v>46174</v>
      </c>
      <c r="V11" s="137" t="s">
        <v>53</v>
      </c>
      <c r="W11" s="138"/>
      <c r="X11" s="138"/>
    </row>
    <row r="12" spans="1:27">
      <c r="C12" s="67"/>
      <c r="D12" s="32"/>
      <c r="E12" s="32"/>
      <c r="F12" s="32"/>
      <c r="H12" s="32"/>
      <c r="I12" s="32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V12" s="124"/>
      <c r="W12" s="142"/>
      <c r="X12" s="142"/>
    </row>
    <row r="13" spans="1:27">
      <c r="C13" s="111" t="str">
        <f>'Calc|Opex forecast'!C102</f>
        <v>Total forecast opex, excluding category specific forecasts</v>
      </c>
      <c r="D13" s="34" t="s">
        <v>103</v>
      </c>
      <c r="E13" s="30" t="str">
        <f>$E$8</f>
        <v>$millions</v>
      </c>
      <c r="F13" s="158">
        <f>$F$8</f>
        <v>44348</v>
      </c>
      <c r="H13" s="32"/>
      <c r="I13" s="32"/>
      <c r="J13" s="178">
        <f>IF(J$11="",0,'Calc|Opex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78">
        <f>IF(K$11="",0,'Calc|Opex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78">
        <f>IF(L$11="",0,'Calc|Opex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78">
        <f>IF(M$11="",0,'Calc|Opex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78">
        <f>IF(N$11="",0,'Calc|Opex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78">
        <f>IF(O$11="",0,'Calc|Opex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P13" s="178">
        <f ca="1">IF(P$11="",0,'Calc|Opex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223.13305610629362</v>
      </c>
      <c r="Q13" s="178">
        <f ca="1">IF(Q$11="",0,'Calc|Opex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224.60825279444566</v>
      </c>
      <c r="R13" s="178">
        <f ca="1">IF(R$11="",0,'Calc|Opex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224.92835072528374</v>
      </c>
      <c r="S13" s="178">
        <f ca="1">IF(S$11="",0,'Calc|Opex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226.76847951136796</v>
      </c>
      <c r="T13" s="178">
        <f ca="1">IF(T$11="",0,'Calc|Opex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229.39137166367516</v>
      </c>
      <c r="U13" s="111"/>
      <c r="V13" s="150"/>
    </row>
    <row r="14" spans="1:27">
      <c r="C14" s="111" t="str">
        <f>'Input|Step changes'!C28</f>
        <v>GSL payments</v>
      </c>
      <c r="D14" s="34" t="s">
        <v>103</v>
      </c>
      <c r="E14" s="30" t="str">
        <f t="shared" ref="E14:E16" si="0">$E$8</f>
        <v>$millions</v>
      </c>
      <c r="F14" s="158">
        <f t="shared" ref="F14:F16" si="1">$F$8</f>
        <v>44348</v>
      </c>
      <c r="H14" s="32"/>
      <c r="I14" s="32"/>
      <c r="J14" s="178">
        <f>IF(J$11="",0,'Calc|Opex forecast'!J92*INDEX('Input|Rate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K14" s="178">
        <f>IF(K$11="",0,'Calc|Opex forecast'!K92*INDEX('Input|Rate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L14" s="178">
        <f>IF(L$11="",0,'Calc|Opex forecast'!L92*INDEX('Input|Rate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M14" s="178">
        <f>IF(M$11="",0,'Calc|Opex forecast'!M92*INDEX('Input|Rate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N14" s="178">
        <f>IF(N$11="",0,'Calc|Opex forecast'!N92*INDEX('Input|Rate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O14" s="178">
        <f>IF(O$11="",0,'Calc|Opex forecast'!O92*INDEX('Input|Rate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P14" s="178">
        <f>IF(P$11="",0,'Calc|Opex forecast'!P92*INDEX('Input|Rate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9.1973755915536906</v>
      </c>
      <c r="Q14" s="178">
        <f>IF(Q$11="",0,'Calc|Opex forecast'!Q92*INDEX('Input|Rate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9.1973755915536906</v>
      </c>
      <c r="R14" s="178">
        <f>IF(R$11="",0,'Calc|Opex forecast'!R92*INDEX('Input|Rate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9.1973755915536906</v>
      </c>
      <c r="S14" s="178">
        <f>IF(S$11="",0,'Calc|Opex forecast'!S92*INDEX('Input|Rate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9.1973755915536906</v>
      </c>
      <c r="T14" s="178">
        <f>IF(T$11="",0,'Calc|Opex forecast'!T92*INDEX('Input|Rate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9.1973755915536906</v>
      </c>
      <c r="U14" s="111"/>
      <c r="V14" s="150"/>
    </row>
    <row r="15" spans="1:27">
      <c r="C15" s="111" t="str">
        <f>'Input|Step changes'!C29</f>
        <v>Innovation</v>
      </c>
      <c r="D15" s="34" t="s">
        <v>103</v>
      </c>
      <c r="E15" s="30" t="str">
        <f t="shared" si="0"/>
        <v>$millions</v>
      </c>
      <c r="F15" s="158">
        <f t="shared" si="1"/>
        <v>44348</v>
      </c>
      <c r="H15" s="32"/>
      <c r="I15" s="32"/>
      <c r="J15" s="178">
        <f>IF(J$11="",0,'Calc|Opex forecast'!J93*INDEX('Input|Rate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K15" s="178">
        <f>IF(K$11="",0,'Calc|Opex forecast'!K93*INDEX('Input|Rate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L15" s="178">
        <f>IF(L$11="",0,'Calc|Opex forecast'!L93*INDEX('Input|Rate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M15" s="178">
        <f>IF(M$11="",0,'Calc|Opex forecast'!M93*INDEX('Input|Rate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N15" s="178">
        <f>IF(N$11="",0,'Calc|Opex forecast'!N93*INDEX('Input|Rate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O15" s="178">
        <f>IF(O$11="",0,'Calc|Opex forecast'!O93*INDEX('Input|Rate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P15" s="178">
        <f>IF(P$11="",0,'Calc|Opex forecast'!P93*INDEX('Input|Rate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0.24036616306495823</v>
      </c>
      <c r="Q15" s="178">
        <f>IF(Q$11="",0,'Calc|Opex forecast'!Q93*INDEX('Input|Rate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0.24036616306495823</v>
      </c>
      <c r="R15" s="178">
        <f>IF(R$11="",0,'Calc|Opex forecast'!R93*INDEX('Input|Rate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0.24036616306495823</v>
      </c>
      <c r="S15" s="178">
        <f>IF(S$11="",0,'Calc|Opex forecast'!S93*INDEX('Input|Rate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0.24036616306495823</v>
      </c>
      <c r="T15" s="178">
        <f>IF(T$11="",0,'Calc|Opex forecast'!T93*INDEX('Input|Rate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0.24036616306495823</v>
      </c>
      <c r="U15" s="111"/>
      <c r="V15" s="150"/>
    </row>
    <row r="16" spans="1:27">
      <c r="C16" s="111">
        <f>'Input|Step changes'!C30</f>
        <v>0</v>
      </c>
      <c r="D16" s="34" t="s">
        <v>103</v>
      </c>
      <c r="E16" s="30" t="str">
        <f t="shared" si="0"/>
        <v>$millions</v>
      </c>
      <c r="F16" s="158">
        <f t="shared" si="1"/>
        <v>44348</v>
      </c>
      <c r="H16" s="32"/>
      <c r="I16" s="32"/>
      <c r="J16" s="178">
        <f>IF(J$11="",0,'Calc|Opex forecast'!J94*INDEX('Input|Rate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K16" s="178">
        <f>IF(K$11="",0,'Calc|Opex forecast'!K94*INDEX('Input|Rate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L16" s="178">
        <f>IF(L$11="",0,'Calc|Opex forecast'!L94*INDEX('Input|Rate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M16" s="178">
        <f>IF(M$11="",0,'Calc|Opex forecast'!M94*INDEX('Input|Rate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N16" s="178">
        <f>IF(N$11="",0,'Calc|Opex forecast'!N94*INDEX('Input|Rate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O16" s="178">
        <f>IF(O$11="",0,'Calc|Opex forecast'!O94*INDEX('Input|Rate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P16" s="178">
        <f>IF(P$11="",0,'Calc|Opex forecast'!P94*INDEX('Input|Rate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Q16" s="178">
        <f>IF(Q$11="",0,'Calc|Opex forecast'!Q94*INDEX('Input|Rate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R16" s="178">
        <f>IF(R$11="",0,'Calc|Opex forecast'!R94*INDEX('Input|Rate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S16" s="178">
        <f>IF(S$11="",0,'Calc|Opex forecast'!S94*INDEX('Input|Rate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T16" s="178">
        <f>IF(T$11="",0,'Calc|Opex forecast'!T94*INDEX('Input|Rate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U16" s="111"/>
      <c r="V16" s="205"/>
    </row>
    <row r="17" spans="1:24">
      <c r="D17" s="34"/>
      <c r="H17" s="32"/>
      <c r="I17" s="32"/>
      <c r="N17" s="142"/>
      <c r="T17" s="23"/>
    </row>
    <row r="18" spans="1:24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7"/>
      <c r="W18" s="98"/>
      <c r="X18" s="98"/>
    </row>
    <row r="19" spans="1:24" hidden="1"/>
    <row r="20" spans="1:24" hidden="1"/>
    <row r="21" spans="1:24" hidden="1"/>
    <row r="22" spans="1:24" hidden="1"/>
    <row r="23" spans="1:24" hidden="1"/>
    <row r="24" spans="1:24" hidden="1">
      <c r="M24" s="145"/>
      <c r="N24" s="145"/>
      <c r="O24" s="145"/>
      <c r="P24" s="145"/>
      <c r="Q24" s="145"/>
      <c r="R24" s="145"/>
      <c r="S24" s="145"/>
      <c r="T24" s="145"/>
    </row>
    <row r="25" spans="1:24" hidden="1"/>
    <row r="26" spans="1:24" hidden="1"/>
    <row r="27" spans="1:24" hidden="1"/>
    <row r="28" spans="1:24" hidden="1"/>
    <row r="29" spans="1:24" hidden="1"/>
    <row r="30" spans="1:24" hidden="1"/>
    <row r="31" spans="1:24" hidden="1"/>
    <row r="32" spans="1:2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T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9"/>
  <sheetViews>
    <sheetView showGridLines="0" workbookViewId="0">
      <selection activeCell="G72" sqref="G72:G76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79" t="s">
        <v>24</v>
      </c>
      <c r="V1" s="40" t="str">
        <f>'Check|List'!$S$1</f>
        <v>Check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68</v>
      </c>
      <c r="E10" s="16"/>
      <c r="F10" s="16"/>
      <c r="G10" s="52" t="s">
        <v>12</v>
      </c>
    </row>
    <row r="11" spans="1:47">
      <c r="C11" s="15" t="s">
        <v>13</v>
      </c>
      <c r="D11" s="16" t="s">
        <v>68</v>
      </c>
      <c r="E11" s="16"/>
      <c r="F11" s="16"/>
      <c r="G11" s="52" t="s">
        <v>20</v>
      </c>
    </row>
    <row r="12" spans="1:47">
      <c r="C12" s="15" t="s">
        <v>14</v>
      </c>
      <c r="D12" s="16" t="s">
        <v>68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68</v>
      </c>
      <c r="E14" s="16"/>
      <c r="F14" s="16"/>
      <c r="G14" s="52" t="s">
        <v>31</v>
      </c>
    </row>
    <row r="15" spans="1:47">
      <c r="C15" s="15" t="s">
        <v>8</v>
      </c>
      <c r="D15" s="16" t="s">
        <v>68</v>
      </c>
      <c r="E15" s="16"/>
      <c r="F15" s="16"/>
      <c r="G15" s="52" t="s">
        <v>11</v>
      </c>
    </row>
    <row r="16" spans="1:47">
      <c r="C16" s="15" t="s">
        <v>17</v>
      </c>
      <c r="D16" s="16" t="s">
        <v>68</v>
      </c>
      <c r="E16" s="16"/>
      <c r="F16" s="16"/>
      <c r="G16" s="52" t="s">
        <v>18</v>
      </c>
    </row>
    <row r="17" spans="1:47">
      <c r="C17" s="15" t="s">
        <v>37</v>
      </c>
      <c r="D17" s="16" t="s">
        <v>68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68</v>
      </c>
      <c r="E19" s="16"/>
      <c r="F19" s="16"/>
      <c r="G19" s="52" t="s">
        <v>23</v>
      </c>
    </row>
    <row r="20" spans="1:47">
      <c r="C20" s="15" t="s">
        <v>73</v>
      </c>
      <c r="D20" s="16" t="s">
        <v>68</v>
      </c>
      <c r="E20" s="16"/>
      <c r="F20" s="16"/>
      <c r="G20" s="52" t="s">
        <v>73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121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122</v>
      </c>
      <c r="D25" s="16" t="s">
        <v>68</v>
      </c>
      <c r="E25" s="16"/>
      <c r="F25" s="16"/>
      <c r="G25" s="151">
        <v>36526</v>
      </c>
      <c r="H25" s="14"/>
    </row>
    <row r="26" spans="1:47">
      <c r="C26" s="15" t="s">
        <v>123</v>
      </c>
      <c r="D26" s="16" t="s">
        <v>68</v>
      </c>
      <c r="E26" s="16"/>
      <c r="F26" s="16"/>
      <c r="G26" s="151">
        <v>36557</v>
      </c>
      <c r="H26" s="14"/>
    </row>
    <row r="27" spans="1:47">
      <c r="C27" s="15" t="s">
        <v>124</v>
      </c>
      <c r="D27" s="16" t="s">
        <v>68</v>
      </c>
      <c r="E27" s="16"/>
      <c r="F27" s="16"/>
      <c r="G27" s="151">
        <v>36586</v>
      </c>
      <c r="H27" s="14"/>
    </row>
    <row r="28" spans="1:47">
      <c r="C28" s="15" t="s">
        <v>125</v>
      </c>
      <c r="D28" s="16" t="s">
        <v>68</v>
      </c>
      <c r="E28" s="16"/>
      <c r="F28" s="16"/>
      <c r="G28" s="151">
        <v>36617</v>
      </c>
    </row>
    <row r="29" spans="1:47">
      <c r="C29" s="15" t="s">
        <v>126</v>
      </c>
      <c r="D29" s="16" t="s">
        <v>68</v>
      </c>
      <c r="E29" s="16"/>
      <c r="F29" s="16"/>
      <c r="G29" s="151">
        <v>36647</v>
      </c>
    </row>
    <row r="30" spans="1:47">
      <c r="C30" s="15" t="s">
        <v>127</v>
      </c>
      <c r="D30" s="16" t="s">
        <v>68</v>
      </c>
      <c r="E30" s="16"/>
      <c r="F30" s="16"/>
      <c r="G30" s="151">
        <v>36678</v>
      </c>
      <c r="T30" s="17"/>
    </row>
    <row r="31" spans="1:47">
      <c r="C31" s="15" t="s">
        <v>128</v>
      </c>
      <c r="D31" s="16" t="s">
        <v>68</v>
      </c>
      <c r="E31" s="16"/>
      <c r="F31" s="16"/>
      <c r="G31" s="151">
        <v>36708</v>
      </c>
      <c r="T31" s="17"/>
    </row>
    <row r="32" spans="1:47">
      <c r="C32" s="15" t="s">
        <v>129</v>
      </c>
      <c r="D32" s="16" t="s">
        <v>68</v>
      </c>
      <c r="E32" s="16"/>
      <c r="F32" s="16"/>
      <c r="G32" s="151">
        <v>36739</v>
      </c>
      <c r="T32" s="17"/>
    </row>
    <row r="33" spans="1:47">
      <c r="C33" s="15" t="s">
        <v>130</v>
      </c>
      <c r="D33" s="16" t="s">
        <v>68</v>
      </c>
      <c r="E33" s="16"/>
      <c r="F33" s="16"/>
      <c r="G33" s="151">
        <v>36770</v>
      </c>
      <c r="T33" s="17"/>
    </row>
    <row r="34" spans="1:47">
      <c r="C34" s="15" t="s">
        <v>131</v>
      </c>
      <c r="D34" s="16" t="s">
        <v>68</v>
      </c>
      <c r="E34" s="16"/>
      <c r="F34" s="16"/>
      <c r="G34" s="151">
        <v>36800</v>
      </c>
      <c r="T34" s="17"/>
    </row>
    <row r="35" spans="1:47">
      <c r="C35" s="15" t="s">
        <v>132</v>
      </c>
      <c r="D35" s="16" t="s">
        <v>68</v>
      </c>
      <c r="E35" s="16"/>
      <c r="F35" s="16"/>
      <c r="G35" s="151">
        <v>36831</v>
      </c>
      <c r="T35" s="17"/>
    </row>
    <row r="36" spans="1:47">
      <c r="C36" s="15" t="s">
        <v>133</v>
      </c>
      <c r="D36" s="16" t="s">
        <v>68</v>
      </c>
      <c r="E36" s="16"/>
      <c r="F36" s="16"/>
      <c r="G36" s="151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69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156</v>
      </c>
      <c r="H40" s="14" t="s">
        <v>154</v>
      </c>
      <c r="I40" s="14" t="s">
        <v>155</v>
      </c>
    </row>
    <row r="41" spans="1:47">
      <c r="C41" s="157">
        <v>40695</v>
      </c>
      <c r="D41" s="16" t="s">
        <v>68</v>
      </c>
      <c r="E41" s="16"/>
      <c r="F41" s="16"/>
      <c r="G41" s="152">
        <v>2011</v>
      </c>
      <c r="H41" s="183">
        <f>DATE(G41,MONTH('Input|General'!$G$9),1)</f>
        <v>40878</v>
      </c>
      <c r="I41" s="181" t="str">
        <f>G41-1&amp;"–"&amp;RIGHT(G41,2)</f>
        <v>2010–11</v>
      </c>
    </row>
    <row r="42" spans="1:47">
      <c r="C42" s="157">
        <v>41061</v>
      </c>
      <c r="D42" s="16" t="s">
        <v>68</v>
      </c>
      <c r="E42" s="16"/>
      <c r="F42" s="16"/>
      <c r="G42" s="152">
        <v>2012</v>
      </c>
      <c r="H42" s="183">
        <f>DATE(G42,MONTH('Input|General'!$G$9),1)</f>
        <v>41244</v>
      </c>
      <c r="I42" s="181" t="str">
        <f t="shared" ref="I42:I60" si="0">G42-1&amp;"–"&amp;RIGHT(G42,2)</f>
        <v>2011–12</v>
      </c>
    </row>
    <row r="43" spans="1:47">
      <c r="C43" s="157">
        <v>41426</v>
      </c>
      <c r="D43" s="16" t="s">
        <v>68</v>
      </c>
      <c r="E43" s="16"/>
      <c r="F43" s="16"/>
      <c r="G43" s="152">
        <v>2013</v>
      </c>
      <c r="H43" s="183">
        <f>DATE(G43,MONTH('Input|General'!$G$9),1)</f>
        <v>41609</v>
      </c>
      <c r="I43" s="181" t="str">
        <f t="shared" si="0"/>
        <v>2012–13</v>
      </c>
    </row>
    <row r="44" spans="1:47">
      <c r="C44" s="157">
        <v>41791</v>
      </c>
      <c r="D44" s="16" t="s">
        <v>68</v>
      </c>
      <c r="E44" s="16"/>
      <c r="F44" s="16"/>
      <c r="G44" s="152">
        <v>2014</v>
      </c>
      <c r="H44" s="183">
        <f>DATE(G44,MONTH('Input|General'!$G$9),1)</f>
        <v>41974</v>
      </c>
      <c r="I44" s="181" t="str">
        <f t="shared" si="0"/>
        <v>2013–14</v>
      </c>
    </row>
    <row r="45" spans="1:47">
      <c r="C45" s="157">
        <v>42156</v>
      </c>
      <c r="D45" s="16" t="s">
        <v>68</v>
      </c>
      <c r="E45" s="16"/>
      <c r="F45" s="16"/>
      <c r="G45" s="152">
        <v>2015</v>
      </c>
      <c r="H45" s="183">
        <f>DATE(G45,MONTH('Input|General'!$G$9),1)</f>
        <v>42339</v>
      </c>
      <c r="I45" s="181" t="str">
        <f t="shared" si="0"/>
        <v>2014–15</v>
      </c>
      <c r="T45" s="17"/>
    </row>
    <row r="46" spans="1:47">
      <c r="C46" s="157">
        <v>42522</v>
      </c>
      <c r="D46" s="16" t="s">
        <v>68</v>
      </c>
      <c r="E46" s="16"/>
      <c r="F46" s="16"/>
      <c r="G46" s="152">
        <v>2016</v>
      </c>
      <c r="H46" s="183">
        <f>DATE(G46,MONTH('Input|General'!$G$9),1)</f>
        <v>42705</v>
      </c>
      <c r="I46" s="181" t="str">
        <f t="shared" si="0"/>
        <v>2015–16</v>
      </c>
      <c r="T46" s="17"/>
    </row>
    <row r="47" spans="1:47">
      <c r="C47" s="157">
        <v>42887</v>
      </c>
      <c r="D47" s="16" t="s">
        <v>68</v>
      </c>
      <c r="E47" s="16"/>
      <c r="F47" s="16"/>
      <c r="G47" s="152">
        <v>2017</v>
      </c>
      <c r="H47" s="183">
        <f>DATE(G47,MONTH('Input|General'!$G$9),1)</f>
        <v>43070</v>
      </c>
      <c r="I47" s="181" t="str">
        <f t="shared" si="0"/>
        <v>2016–17</v>
      </c>
      <c r="T47" s="17"/>
    </row>
    <row r="48" spans="1:47">
      <c r="C48" s="157">
        <v>43252</v>
      </c>
      <c r="D48" s="16" t="s">
        <v>68</v>
      </c>
      <c r="E48" s="16"/>
      <c r="F48" s="16"/>
      <c r="G48" s="152">
        <v>2018</v>
      </c>
      <c r="H48" s="183">
        <f>DATE(G48,MONTH('Input|General'!$G$9),1)</f>
        <v>43435</v>
      </c>
      <c r="I48" s="181" t="str">
        <f t="shared" si="0"/>
        <v>2017–18</v>
      </c>
      <c r="T48" s="17"/>
    </row>
    <row r="49" spans="1:47">
      <c r="C49" s="157">
        <v>43617</v>
      </c>
      <c r="D49" s="16" t="s">
        <v>68</v>
      </c>
      <c r="E49" s="16"/>
      <c r="F49" s="16"/>
      <c r="G49" s="152">
        <v>2019</v>
      </c>
      <c r="H49" s="183">
        <f>DATE(G49,MONTH('Input|General'!$G$9),1)</f>
        <v>43800</v>
      </c>
      <c r="I49" s="181" t="str">
        <f t="shared" si="0"/>
        <v>2018–19</v>
      </c>
      <c r="T49" s="17"/>
    </row>
    <row r="50" spans="1:47">
      <c r="C50" s="157">
        <v>43983</v>
      </c>
      <c r="D50" s="16" t="s">
        <v>68</v>
      </c>
      <c r="E50" s="16"/>
      <c r="F50" s="16"/>
      <c r="G50" s="152">
        <v>2020</v>
      </c>
      <c r="H50" s="183">
        <f>DATE(G50,MONTH('Input|General'!$G$9),1)</f>
        <v>44166</v>
      </c>
      <c r="I50" s="181" t="str">
        <f t="shared" si="0"/>
        <v>2019–20</v>
      </c>
      <c r="T50" s="17"/>
    </row>
    <row r="51" spans="1:47">
      <c r="C51" s="157">
        <v>44348</v>
      </c>
      <c r="D51" s="16" t="s">
        <v>68</v>
      </c>
      <c r="E51" s="16"/>
      <c r="F51" s="16"/>
      <c r="G51" s="152">
        <v>2021</v>
      </c>
      <c r="H51" s="183">
        <f>DATE(G51,MONTH('Input|General'!$G$10),1)</f>
        <v>44348</v>
      </c>
      <c r="I51" s="181" t="str">
        <f t="shared" si="0"/>
        <v>2020–21</v>
      </c>
      <c r="T51" s="17"/>
    </row>
    <row r="52" spans="1:47">
      <c r="C52" s="157">
        <v>44713</v>
      </c>
      <c r="D52" s="16" t="s">
        <v>68</v>
      </c>
      <c r="E52" s="16"/>
      <c r="F52" s="16"/>
      <c r="G52" s="152">
        <v>2022</v>
      </c>
      <c r="H52" s="183">
        <f>DATE(G52,MONTH('Input|General'!$G$10),1)</f>
        <v>44713</v>
      </c>
      <c r="I52" s="181" t="str">
        <f t="shared" si="0"/>
        <v>2021–22</v>
      </c>
      <c r="T52" s="17"/>
    </row>
    <row r="53" spans="1:47">
      <c r="C53" s="157">
        <v>45078</v>
      </c>
      <c r="D53" s="16" t="s">
        <v>68</v>
      </c>
      <c r="E53" s="16"/>
      <c r="F53" s="16"/>
      <c r="G53" s="152">
        <v>2023</v>
      </c>
      <c r="H53" s="183">
        <f>DATE(G53,MONTH('Input|General'!$G$10),1)</f>
        <v>45078</v>
      </c>
      <c r="I53" s="181" t="str">
        <f t="shared" si="0"/>
        <v>2022–23</v>
      </c>
      <c r="T53" s="17"/>
    </row>
    <row r="54" spans="1:47">
      <c r="C54" s="157">
        <v>45444</v>
      </c>
      <c r="D54" s="16" t="s">
        <v>68</v>
      </c>
      <c r="E54" s="16"/>
      <c r="F54" s="16"/>
      <c r="G54" s="152">
        <v>2024</v>
      </c>
      <c r="H54" s="183">
        <f>DATE(G54,MONTH('Input|General'!$G$10),1)</f>
        <v>45444</v>
      </c>
      <c r="I54" s="181" t="str">
        <f t="shared" si="0"/>
        <v>2023–24</v>
      </c>
      <c r="T54" s="17"/>
    </row>
    <row r="55" spans="1:47">
      <c r="C55" s="157">
        <v>45809</v>
      </c>
      <c r="D55" s="16" t="s">
        <v>68</v>
      </c>
      <c r="E55" s="16"/>
      <c r="F55" s="16"/>
      <c r="G55" s="152">
        <v>2025</v>
      </c>
      <c r="H55" s="183">
        <f>DATE(G55,MONTH('Input|General'!$G$10),1)</f>
        <v>45809</v>
      </c>
      <c r="I55" s="181" t="str">
        <f t="shared" si="0"/>
        <v>2024–25</v>
      </c>
      <c r="T55" s="17"/>
    </row>
    <row r="56" spans="1:47">
      <c r="C56" s="157">
        <v>46174</v>
      </c>
      <c r="D56" s="16" t="s">
        <v>68</v>
      </c>
      <c r="E56" s="16"/>
      <c r="F56" s="16"/>
      <c r="G56" s="152">
        <v>2026</v>
      </c>
      <c r="H56" s="183">
        <f>DATE(G56,MONTH('Input|General'!$G$10),1)</f>
        <v>46174</v>
      </c>
      <c r="I56" s="181" t="str">
        <f t="shared" si="0"/>
        <v>2025–26</v>
      </c>
      <c r="T56" s="17"/>
    </row>
    <row r="57" spans="1:47">
      <c r="C57" s="157">
        <v>46539</v>
      </c>
      <c r="D57" s="16" t="s">
        <v>68</v>
      </c>
      <c r="E57" s="16"/>
      <c r="F57" s="16"/>
      <c r="G57" s="152">
        <v>2027</v>
      </c>
      <c r="H57" s="183">
        <f>DATE(G57,MONTH('Input|General'!$G$10),1)</f>
        <v>46539</v>
      </c>
      <c r="I57" s="181" t="str">
        <f t="shared" si="0"/>
        <v>2026–27</v>
      </c>
      <c r="T57" s="17"/>
    </row>
    <row r="58" spans="1:47">
      <c r="C58" s="157">
        <v>46905</v>
      </c>
      <c r="D58" s="16" t="s">
        <v>68</v>
      </c>
      <c r="E58" s="16"/>
      <c r="F58" s="16"/>
      <c r="G58" s="152">
        <v>2028</v>
      </c>
      <c r="H58" s="183">
        <f>DATE(G58,MONTH('Input|General'!$G$10),1)</f>
        <v>46905</v>
      </c>
      <c r="I58" s="181" t="str">
        <f t="shared" si="0"/>
        <v>2027–28</v>
      </c>
      <c r="T58" s="17"/>
    </row>
    <row r="59" spans="1:47">
      <c r="C59" s="157">
        <v>47270</v>
      </c>
      <c r="D59" s="16" t="s">
        <v>68</v>
      </c>
      <c r="E59" s="16"/>
      <c r="F59" s="16"/>
      <c r="G59" s="152">
        <v>2029</v>
      </c>
      <c r="H59" s="183">
        <f>DATE(G59,MONTH('Input|General'!$G$10),1)</f>
        <v>47270</v>
      </c>
      <c r="I59" s="181" t="str">
        <f t="shared" si="0"/>
        <v>2028–29</v>
      </c>
      <c r="T59" s="17"/>
    </row>
    <row r="60" spans="1:47">
      <c r="C60" s="157">
        <v>47635</v>
      </c>
      <c r="D60" s="16" t="s">
        <v>68</v>
      </c>
      <c r="E60" s="16"/>
      <c r="F60" s="16"/>
      <c r="G60" s="152">
        <v>2030</v>
      </c>
      <c r="H60" s="183">
        <f>DATE(G60,MONTH('Input|General'!$G$10),1)</f>
        <v>47635</v>
      </c>
      <c r="I60" s="181" t="str">
        <f t="shared" si="0"/>
        <v>2029–30</v>
      </c>
      <c r="T60" s="17"/>
    </row>
    <row r="61" spans="1:47"/>
    <row r="62" spans="1:47" customFormat="1" ht="12.75">
      <c r="A62" s="43"/>
      <c r="B62" s="51" t="s">
        <v>152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153</v>
      </c>
      <c r="H64" s="14" t="s">
        <v>120</v>
      </c>
    </row>
    <row r="65" spans="1:47">
      <c r="C65" s="15" t="s">
        <v>187</v>
      </c>
      <c r="D65" s="16" t="s">
        <v>97</v>
      </c>
      <c r="E65" s="21"/>
      <c r="F65" s="14"/>
      <c r="G65" s="181">
        <v>2015</v>
      </c>
      <c r="H65" s="183">
        <f>DATE(G65,12,1)</f>
        <v>42339</v>
      </c>
    </row>
    <row r="66" spans="1:47">
      <c r="C66" s="15" t="s">
        <v>141</v>
      </c>
      <c r="D66" s="16" t="s">
        <v>97</v>
      </c>
      <c r="E66" s="16"/>
      <c r="F66" s="16"/>
      <c r="G66" s="181">
        <v>2016</v>
      </c>
      <c r="H66" s="183">
        <f t="shared" ref="H66:H70" si="1">DATE(G66,12,1)</f>
        <v>42705</v>
      </c>
    </row>
    <row r="67" spans="1:47">
      <c r="C67" s="15" t="s">
        <v>142</v>
      </c>
      <c r="D67" s="16" t="s">
        <v>97</v>
      </c>
      <c r="E67" s="16"/>
      <c r="F67" s="16"/>
      <c r="G67" s="181">
        <v>2017</v>
      </c>
      <c r="H67" s="183">
        <f t="shared" si="1"/>
        <v>43070</v>
      </c>
    </row>
    <row r="68" spans="1:47">
      <c r="C68" s="15" t="s">
        <v>143</v>
      </c>
      <c r="D68" s="16" t="s">
        <v>97</v>
      </c>
      <c r="E68" s="16"/>
      <c r="F68" s="16"/>
      <c r="G68" s="181">
        <v>2018</v>
      </c>
      <c r="H68" s="183">
        <f t="shared" si="1"/>
        <v>43435</v>
      </c>
    </row>
    <row r="69" spans="1:47">
      <c r="C69" s="15" t="s">
        <v>144</v>
      </c>
      <c r="D69" s="16" t="s">
        <v>97</v>
      </c>
      <c r="E69" s="16"/>
      <c r="F69" s="16"/>
      <c r="G69" s="181">
        <v>2019</v>
      </c>
      <c r="H69" s="183">
        <f t="shared" si="1"/>
        <v>43800</v>
      </c>
    </row>
    <row r="70" spans="1:47">
      <c r="C70" s="15" t="s">
        <v>145</v>
      </c>
      <c r="D70" s="16" t="s">
        <v>97</v>
      </c>
      <c r="E70" s="16"/>
      <c r="F70" s="16"/>
      <c r="G70" s="181">
        <v>2020</v>
      </c>
      <c r="H70" s="183">
        <f t="shared" si="1"/>
        <v>44166</v>
      </c>
    </row>
    <row r="71" spans="1:47">
      <c r="C71" s="15" t="s">
        <v>191</v>
      </c>
      <c r="D71" s="16" t="s">
        <v>97</v>
      </c>
      <c r="E71" s="16"/>
      <c r="F71" s="16"/>
      <c r="G71" s="181" t="s">
        <v>192</v>
      </c>
      <c r="H71" s="183">
        <f>DATE(YEAR(H70)+1,6,1)</f>
        <v>44348</v>
      </c>
    </row>
    <row r="72" spans="1:47">
      <c r="C72" s="15" t="s">
        <v>146</v>
      </c>
      <c r="D72" s="16" t="s">
        <v>97</v>
      </c>
      <c r="E72" s="16"/>
      <c r="F72" s="16"/>
      <c r="G72" s="182" t="str">
        <f>I52</f>
        <v>2021–22</v>
      </c>
      <c r="H72" s="183">
        <f t="shared" ref="H72:H76" si="2">DATE(YEAR(H71)+1,6,1)</f>
        <v>44713</v>
      </c>
      <c r="T72" s="17"/>
    </row>
    <row r="73" spans="1:47">
      <c r="C73" s="15" t="s">
        <v>147</v>
      </c>
      <c r="D73" s="16" t="s">
        <v>97</v>
      </c>
      <c r="E73" s="16"/>
      <c r="F73" s="16"/>
      <c r="G73" s="182" t="str">
        <f t="shared" ref="G73:G76" si="3">I53</f>
        <v>2022–23</v>
      </c>
      <c r="H73" s="183">
        <f t="shared" si="2"/>
        <v>45078</v>
      </c>
      <c r="T73" s="17"/>
    </row>
    <row r="74" spans="1:47">
      <c r="C74" s="15" t="s">
        <v>148</v>
      </c>
      <c r="D74" s="16" t="s">
        <v>97</v>
      </c>
      <c r="E74" s="16"/>
      <c r="F74" s="16"/>
      <c r="G74" s="182" t="str">
        <f t="shared" si="3"/>
        <v>2023–24</v>
      </c>
      <c r="H74" s="183">
        <f t="shared" si="2"/>
        <v>45444</v>
      </c>
      <c r="T74" s="17"/>
    </row>
    <row r="75" spans="1:47">
      <c r="C75" s="15" t="s">
        <v>149</v>
      </c>
      <c r="D75" s="16" t="s">
        <v>97</v>
      </c>
      <c r="E75" s="16"/>
      <c r="F75" s="16"/>
      <c r="G75" s="182" t="str">
        <f t="shared" si="3"/>
        <v>2024–25</v>
      </c>
      <c r="H75" s="183">
        <f t="shared" si="2"/>
        <v>45809</v>
      </c>
      <c r="T75" s="17"/>
    </row>
    <row r="76" spans="1:47">
      <c r="C76" s="15" t="s">
        <v>150</v>
      </c>
      <c r="D76" s="16" t="s">
        <v>97</v>
      </c>
      <c r="E76" s="16"/>
      <c r="F76" s="16"/>
      <c r="G76" s="182" t="str">
        <f t="shared" si="3"/>
        <v>2025–26</v>
      </c>
      <c r="H76" s="183">
        <f t="shared" si="2"/>
        <v>46174</v>
      </c>
      <c r="T76" s="17"/>
    </row>
    <row r="77" spans="1:47">
      <c r="C77" s="15"/>
      <c r="D77" s="16"/>
      <c r="E77" s="16"/>
      <c r="F77" s="16"/>
      <c r="G77" s="210"/>
      <c r="H77" s="211"/>
      <c r="T77" s="17"/>
    </row>
    <row r="78" spans="1:47" customFormat="1" ht="12.75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>
      <c r="C80" s="13" t="str">
        <f>B78</f>
        <v>Rate of change</v>
      </c>
      <c r="D80" s="21" t="s">
        <v>7</v>
      </c>
      <c r="E80" s="21"/>
      <c r="F80" s="14"/>
      <c r="G80" s="14" t="s">
        <v>153</v>
      </c>
      <c r="H80" s="212"/>
    </row>
    <row r="81" spans="1:47">
      <c r="C81" s="15" t="s">
        <v>181</v>
      </c>
      <c r="D81" s="16" t="s">
        <v>68</v>
      </c>
      <c r="E81" s="16"/>
      <c r="F81" s="16"/>
      <c r="G81" s="181" t="s">
        <v>106</v>
      </c>
      <c r="H81" s="211"/>
    </row>
    <row r="82" spans="1:47">
      <c r="C82" s="15" t="s">
        <v>182</v>
      </c>
      <c r="D82" s="16" t="s">
        <v>68</v>
      </c>
      <c r="E82" s="16"/>
      <c r="F82" s="16"/>
      <c r="G82" s="182" t="s">
        <v>183</v>
      </c>
      <c r="H82" s="211"/>
    </row>
    <row r="83" spans="1:47"/>
    <row r="84" spans="1:47" customFormat="1" ht="12.75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8"/>
  <sheetViews>
    <sheetView showGridLines="0" workbookViewId="0">
      <selection activeCell="A28" sqref="A28:XFD28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79" t="s">
        <v>24</v>
      </c>
      <c r="S1" s="40" t="str">
        <f>IF(COUNTIF(G10:G16,"Check")=0,"Ok","Check")</f>
        <v>Check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Check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'Output|Models'!T1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  <row r="25" spans="1:47" hidden="1"/>
    <row r="26" spans="1:47" hidden="1"/>
    <row r="27" spans="1:47" hidden="1"/>
    <row r="28" spans="1:47" hidden="1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'!A1" display="'Input|Rate of change'!A1"/>
    <hyperlink ref="D15" location="'Calc|Opex forecast'!A1" display="'Calc|Opex forecast'!A1"/>
    <hyperlink ref="D11" location="'Input|Inflation'!A1" display="'Input|Inflation'!A1"/>
    <hyperlink ref="R1" location="'Check|List'!A1" display="Overall Check:"/>
    <hyperlink ref="D14" location="'Input|Step changes'!A1" display="'Input|Step changes'!A1"/>
    <hyperlink ref="D16" location="'Output|Models'!A1" display="'Output|Models'!A1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InterveningPeriod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2020-09-28T01:38:08Z</dcterms:created>
  <dcterms:modified xsi:type="dcterms:W3CDTF">2020-09-28T04:01:09Z</dcterms:modified>
</cp:coreProperties>
</file>