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AusNet TX 2021\03 Draft decision\For AusNet Services to check\"/>
    </mc:Choice>
  </mc:AlternateContent>
  <bookViews>
    <workbookView xWindow="0" yWindow="0" windowWidth="19200" windowHeight="6765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  <externalReference r:id="rId8"/>
    <externalReference r:id="rId9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3" l="1"/>
  <c r="K20" i="3"/>
  <c r="J20" i="3"/>
  <c r="I20" i="3"/>
  <c r="H20" i="3"/>
  <c r="L18" i="3"/>
  <c r="K18" i="3"/>
  <c r="J18" i="3"/>
  <c r="I18" i="3"/>
  <c r="H18" i="3"/>
  <c r="L10" i="3" l="1"/>
  <c r="K10" i="3"/>
  <c r="J10" i="3"/>
  <c r="I10" i="3"/>
  <c r="H10" i="3"/>
  <c r="L8" i="3"/>
  <c r="K8" i="3"/>
  <c r="J8" i="3"/>
  <c r="I8" i="3"/>
  <c r="H8" i="3"/>
  <c r="H13" i="2" l="1"/>
  <c r="G13" i="2" s="1"/>
  <c r="F13" i="2" s="1"/>
  <c r="E13" i="2" s="1"/>
  <c r="D13" i="2" s="1"/>
  <c r="D18" i="2" l="1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12" i="3"/>
  <c r="I16" i="3"/>
  <c r="I12" i="3"/>
  <c r="L16" i="3"/>
  <c r="L12" i="3"/>
  <c r="K16" i="3"/>
  <c r="K12" i="3"/>
  <c r="J16" i="3"/>
  <c r="J12" i="3"/>
  <c r="L22" i="1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C42" i="4" l="1"/>
  <c r="C44" i="4"/>
  <c r="D10" i="4"/>
  <c r="G10" i="13"/>
  <c r="H10" i="13" s="1"/>
  <c r="I10" i="13" s="1"/>
  <c r="J10" i="13" s="1"/>
  <c r="K10" i="13" s="1"/>
  <c r="L10" i="13" s="1"/>
  <c r="I30" i="3" s="1"/>
  <c r="F10" i="4"/>
  <c r="E10" i="4"/>
  <c r="F19" i="4"/>
  <c r="E19" i="4" s="1"/>
  <c r="D19" i="4" s="1"/>
  <c r="E25" i="4"/>
  <c r="E27" i="4" s="1"/>
  <c r="G10" i="4"/>
  <c r="H10" i="4"/>
  <c r="N14" i="13"/>
  <c r="L15" i="13"/>
  <c r="M15" i="13" s="1"/>
  <c r="B1" i="5"/>
  <c r="B1" i="3"/>
  <c r="B1" i="13"/>
  <c r="B1" i="4"/>
  <c r="D21" i="4" l="1"/>
  <c r="H30" i="3"/>
  <c r="H31" i="3" s="1"/>
  <c r="D26" i="4" s="1"/>
  <c r="D28" i="4" s="1"/>
  <c r="N22" i="13"/>
  <c r="F25" i="4" s="1"/>
  <c r="F27" i="4" s="1"/>
  <c r="N15" i="13"/>
  <c r="M10" i="13"/>
  <c r="N10" i="13" s="1"/>
  <c r="K30" i="3" s="1"/>
  <c r="O14" i="13"/>
  <c r="O22" i="13" s="1"/>
  <c r="I31" i="3"/>
  <c r="E26" i="4" s="1"/>
  <c r="E28" i="4" s="1"/>
  <c r="J30" i="3" l="1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P22" i="13" l="1"/>
  <c r="H25" i="4" s="1"/>
  <c r="H27" i="4" s="1"/>
  <c r="P15" i="13"/>
  <c r="L30" i="3"/>
  <c r="L31" i="3" s="1"/>
  <c r="H26" i="4" s="1"/>
  <c r="G28" i="4"/>
  <c r="H28" i="4" l="1"/>
  <c r="I23" i="3" l="1"/>
  <c r="E11" i="4" s="1"/>
  <c r="E12" i="4" s="1"/>
  <c r="H23" i="3"/>
  <c r="D11" i="4" s="1"/>
  <c r="D12" i="4" s="1"/>
  <c r="J23" i="3" l="1"/>
  <c r="F11" i="4" s="1"/>
  <c r="F12" i="4" s="1"/>
  <c r="G15" i="4" s="1"/>
  <c r="H14" i="4"/>
  <c r="E20" i="4"/>
  <c r="G14" i="4"/>
  <c r="F14" i="4"/>
  <c r="F20" i="4"/>
  <c r="H13" i="4"/>
  <c r="E13" i="4"/>
  <c r="E18" i="4" s="1"/>
  <c r="E21" i="4" s="1"/>
  <c r="D20" i="4"/>
  <c r="G13" i="4"/>
  <c r="F13" i="4"/>
  <c r="H15" i="4" l="1"/>
  <c r="F18" i="4"/>
  <c r="F21" i="4" s="1"/>
  <c r="G18" i="4"/>
  <c r="G21" i="4" s="1"/>
  <c r="L23" i="3" l="1"/>
  <c r="H11" i="4" s="1"/>
  <c r="H12" i="4" s="1"/>
  <c r="H20" i="4" s="1"/>
  <c r="K23" i="3" l="1"/>
  <c r="G11" i="4" s="1"/>
  <c r="G12" i="4" s="1"/>
  <c r="G20" i="4" l="1"/>
  <c r="D31" i="4" s="1"/>
  <c r="H16" i="4"/>
  <c r="H18" i="4" s="1"/>
  <c r="H21" i="4" s="1"/>
  <c r="D35" i="4" s="1"/>
  <c r="D34" i="4" l="1"/>
  <c r="D36" i="4" s="1"/>
  <c r="D42" i="4" s="1"/>
  <c r="D33" i="4"/>
  <c r="E42" i="4" l="1"/>
  <c r="J8" i="10"/>
  <c r="K8" i="10" l="1"/>
  <c r="F42" i="4"/>
  <c r="G42" i="4" l="1"/>
  <c r="L8" i="10"/>
  <c r="H42" i="4" l="1"/>
  <c r="N8" i="10" s="1"/>
  <c r="M8" i="10"/>
  <c r="D44" i="4" l="1"/>
  <c r="O8" i="10"/>
</calcChain>
</file>

<file path=xl/comments1.xml><?xml version="1.0" encoding="utf-8"?>
<comments xmlns="http://schemas.openxmlformats.org/spreadsheetml/2006/main">
  <authors>
    <author>Wu, Man</author>
  </authors>
  <commentList>
    <comment ref="J13" authorId="0" shapeId="0">
      <text>
        <r>
          <rPr>
            <sz val="9"/>
            <color indexed="81"/>
            <rFont val="Tahoma"/>
            <family val="2"/>
          </rPr>
          <t>Updated to reflect actual 2020-21 Sep-Sep inflation</t>
        </r>
      </text>
    </comment>
    <comment ref="K20" authorId="0" shapeId="0">
      <text>
        <r>
          <rPr>
            <sz val="9"/>
            <color indexed="81"/>
            <rFont val="Tahoma"/>
            <family val="2"/>
          </rPr>
          <t xml:space="preserve">Updated 2021-22 real WACC based on RoD (including Tower collapse pass throug) updated PTRM 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RG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<sst xmlns="http://schemas.openxmlformats.org/spreadsheetml/2006/main" count="199" uniqueCount="105">
  <si>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</si>
  <si>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</si>
  <si>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</si>
  <si>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</si>
  <si>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</si>
  <si>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</si>
  <si>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</si>
  <si>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</si>
  <si>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</si>
  <si>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</si>
  <si>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</si>
  <si>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</si>
  <si>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</si>
  <si>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</si>
  <si>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</si>
  <si>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</si>
  <si>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</si>
  <si>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</si>
  <si>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</si>
  <si>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</si>
  <si>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</si>
  <si>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</si>
  <si>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</si>
  <si>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</si>
  <si>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</si>
  <si>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</si>
  <si>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</si>
  <si>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</si>
  <si>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</si>
  <si>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</si>
  <si>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</si>
  <si>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</si>
  <si>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</si>
  <si>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</si>
  <si>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</si>
  <si>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</si>
  <si>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</si>
  <si>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</si>
  <si>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</si>
  <si>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</si>
  <si>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</si>
  <si>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</si>
  <si>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</si>
  <si>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</si>
  <si>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</si>
  <si>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</si>
  <si>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</si>
  <si>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</si>
  <si>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</si>
  <si>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</si>
  <si>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</si>
  <si>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</si>
  <si>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</si>
  <si>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</si>
  <si>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</si>
  <si>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</si>
  <si>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</si>
  <si>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</si>
  <si>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</si>
  <si>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</si>
  <si>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</si>
  <si>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</si>
  <si>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</si>
  <si>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</si>
  <si>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</si>
  <si>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</si>
  <si>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</si>
  <si>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</si>
  <si>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</si>
  <si>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</si>
  <si>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</si>
  <si>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</si>
  <si>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</si>
  <si>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</si>
  <si>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</si>
  <si>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</si>
  <si>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</si>
  <si>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</si>
  <si>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</si>
  <si>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</si>
  <si>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</si>
  <si>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</si>
  <si>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</si>
  <si>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</si>
  <si>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</si>
  <si>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</si>
  <si>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</si>
  <si>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</si>
  <si>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</si>
  <si>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</si>
  <si>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</si>
  <si>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</si>
  <si>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</si>
  <si>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</si>
  <si>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</si>
  <si>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</si>
  <si>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</si>
  <si>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</si>
  <si>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</si>
  <si>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</si>
  <si>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</si>
  <si>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Regulatory Proposal</t>
  </si>
  <si>
    <t>Victorian TNSP</t>
  </si>
  <si>
    <t>2023-27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</si>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</sst>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9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etworks\Regulation\Price%20Review\2017-22%20TRR\21.0%202017%20TRR%20-%20Annual%20debt%20updates\AusNet%20(T)%20-%20Final%20Decision%20-%20PTRM%20-%202021-22%20RoD%20update%20-%20(Tower%20PT)%20September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23-27%20TRR\13.0%20TRR%202023%20-%20FINAL%20Proposal\04%20Models\ANT%20-%20TRR%202023-27%20Model%20Roll%20Forward%20Model%20-%2030%20Oct%202020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AST Depreciation"/>
      <sheetName val="Opening RAB v Depn"/>
      <sheetName val="WACC"/>
      <sheetName val="Analysis"/>
      <sheetName val="X factors"/>
      <sheetName val="Revenue summary"/>
      <sheetName val="PTRM Assets"/>
      <sheetName val="Equity raising costs"/>
      <sheetName val="Chart 1-Revenue"/>
      <sheetName val="Chart 2-Price path"/>
      <sheetName val="Chart 3-Building blocks"/>
      <sheetName val="AusNet (T) - Final Decision - P"/>
    </sheetNames>
    <sheetDataSet>
      <sheetData sheetId="0"/>
      <sheetData sheetId="1"/>
      <sheetData sheetId="2">
        <row r="219">
          <cell r="G219">
            <v>180.24860099364153</v>
          </cell>
          <cell r="H219">
            <v>157.41756010216841</v>
          </cell>
          <cell r="I219">
            <v>153.38146235424443</v>
          </cell>
          <cell r="J219">
            <v>142.77332554459289</v>
          </cell>
          <cell r="K219">
            <v>107.2881742431224</v>
          </cell>
        </row>
        <row r="327">
          <cell r="G327">
            <v>0.218</v>
          </cell>
          <cell r="H327">
            <v>0.17100000000000001</v>
          </cell>
          <cell r="I327">
            <v>0.23899999999999999</v>
          </cell>
          <cell r="J327">
            <v>0.20300000000000001</v>
          </cell>
          <cell r="K327">
            <v>0.20799999999999999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RAB roll forward"/>
      <sheetName val="PTRM input summary"/>
      <sheetName val="Total RAB roll forward"/>
      <sheetName val="TAB roll forward"/>
      <sheetName val="RAB remaining lives"/>
      <sheetName val="TAB remaining lives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H111">
            <v>133.7206228094602</v>
          </cell>
          <cell r="I111">
            <v>144.46882316614159</v>
          </cell>
          <cell r="J111">
            <v>199.59820369416772</v>
          </cell>
          <cell r="K111">
            <v>151.24600564197328</v>
          </cell>
          <cell r="L111">
            <v>131.37389091554215</v>
          </cell>
        </row>
        <row r="165">
          <cell r="H165">
            <v>5.9979069300000001</v>
          </cell>
          <cell r="I165">
            <v>0.62382812999999993</v>
          </cell>
          <cell r="J165">
            <v>7.0089148890034725</v>
          </cell>
          <cell r="K165">
            <v>0.21690925925925925</v>
          </cell>
          <cell r="L165">
            <v>0.22651242671296293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>
      <selection activeCell="A12" sqref="A12:XFD12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Victorian TNSP 2023-27 Regulatory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F15" sqref="F15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15" style="14" bestFit="1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Victorian TNSP 2023-27 Regulatory Proposal - Capital expenditure sharing scheme model</v>
      </c>
      <c r="F1" s="105"/>
      <c r="G1" s="106" t="s">
        <v>47</v>
      </c>
      <c r="H1" s="160" t="s">
        <v>48</v>
      </c>
      <c r="I1" s="165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1" t="s">
        <v>102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61" t="s">
        <v>101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61" t="s">
        <v>103</v>
      </c>
      <c r="J8" s="79"/>
      <c r="K8" s="79"/>
      <c r="L8" s="79"/>
      <c r="M8" s="79"/>
    </row>
    <row r="9" spans="1:13" s="70" customFormat="1" ht="11.25" customHeight="1">
      <c r="C9" s="192" t="s">
        <v>100</v>
      </c>
      <c r="D9" s="161" t="s">
        <v>104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91" t="str">
        <f t="shared" ref="D13:F13" si="0">IF(LEN(E13)&gt;4,CONCATENATE(LEFT(E13,4)-1&amp;"–"&amp;IF(RIGHT(E13,2)="00","99",IF(RIGHT(E13,2)-1&lt;10,"0","")&amp;RIGHT(E13,2)-1)),E13-1)</f>
        <v>2017–18</v>
      </c>
      <c r="E13" s="191" t="str">
        <f t="shared" si="0"/>
        <v>2018–19</v>
      </c>
      <c r="F13" s="191" t="str">
        <f t="shared" si="0"/>
        <v>2019–20</v>
      </c>
      <c r="G13" s="191" t="str">
        <f>IF(LEN(H13)&gt;4,CONCATENATE(LEFT(H13,4)-1&amp;"–"&amp;IF(RIGHT(H13,2)="00","99",IF(RIGHT(H13,2)-1&lt;10,"0","")&amp;RIGHT(H13,2)-1)),H13-1)</f>
        <v>2020–21</v>
      </c>
      <c r="H13" s="191" t="str">
        <f>IF(LEN(D9)&gt;4,CONCATENATE(LEFT(D9,4)-1&amp;"–"&amp;IF(RIGHT(D9,2)="00","99",IF(RIGHT(D9,2)-1&lt;10,"0","")&amp;RIGHT(D9,2)-1)),D9-1)</f>
        <v>2021–22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1" t="s">
        <v>8</v>
      </c>
      <c r="E14" s="161" t="s">
        <v>8</v>
      </c>
      <c r="F14" s="161" t="s">
        <v>8</v>
      </c>
      <c r="G14" s="161" t="s">
        <v>8</v>
      </c>
      <c r="H14" s="161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1" t="s">
        <v>7</v>
      </c>
      <c r="E15" s="161" t="s">
        <v>7</v>
      </c>
      <c r="F15" s="161" t="s">
        <v>7</v>
      </c>
      <c r="G15" s="161" t="s">
        <v>29</v>
      </c>
      <c r="H15" s="161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91" t="str">
        <f>D9</f>
        <v>2022-23</v>
      </c>
      <c r="E18" s="191" t="str">
        <f>IF(LEN(D18)&gt;4,CONCATENATE(LEFT(D18,4)+1&amp;"–"&amp;IF(RIGHT(D18,2)+1&gt;9,"","0")&amp;RIGHT(D18,2)+1),D18+1)</f>
        <v>2023–24</v>
      </c>
      <c r="F18" s="191" t="str">
        <f t="shared" ref="F18:H18" si="1">IF(LEN(E18)&gt;4,CONCATENATE(LEFT(E18,4)+1&amp;"–"&amp;IF(RIGHT(E18,2)+1&gt;9,"","0")&amp;RIGHT(E18,2)+1),E18+1)</f>
        <v>2024–25</v>
      </c>
      <c r="G18" s="191" t="str">
        <f t="shared" si="1"/>
        <v>2025–26</v>
      </c>
      <c r="H18" s="191" t="str">
        <f t="shared" si="1"/>
        <v>2026–27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="115" zoomScaleNormal="115" workbookViewId="0">
      <selection activeCell="J13" sqref="J13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Victorian TNSP 2023-27 Regulatory Proposal - Capital expenditure sharing scheme model</v>
      </c>
      <c r="D1" s="12"/>
      <c r="E1" s="12"/>
      <c r="F1" s="12"/>
      <c r="G1" s="105"/>
      <c r="H1" s="106" t="s">
        <v>47</v>
      </c>
      <c r="I1" s="160" t="s">
        <v>48</v>
      </c>
      <c r="J1" s="165" t="s">
        <v>36</v>
      </c>
      <c r="K1" s="156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8" t="str">
        <f>IF(LEN(G7)&gt;4,CONCATENATE(LEFT(G7,4)-1&amp;"–"&amp;IF(RIGHT(G7,2)="00","99",IF(RIGHT(G7,2)-1&lt;10,"0","")&amp;RIGHT(G7,2)-1)),G7-1)</f>
        <v>2016–17</v>
      </c>
      <c r="G7" s="177" t="str">
        <f>'Input | General'!D13</f>
        <v>2017–18</v>
      </c>
      <c r="H7" s="177" t="str">
        <f>'Input | General'!E13</f>
        <v>2018–19</v>
      </c>
      <c r="I7" s="177" t="str">
        <f>'Input | General'!F13</f>
        <v>2019–20</v>
      </c>
      <c r="J7" s="177" t="str">
        <f>'Input | General'!G13</f>
        <v>2020–21</v>
      </c>
      <c r="K7" s="177" t="str">
        <f>'Input | General'!H13</f>
        <v>2021–22</v>
      </c>
      <c r="L7" s="177" t="str">
        <f>'Input | General'!D18</f>
        <v>2022-23</v>
      </c>
      <c r="M7" s="177" t="str">
        <f>'Input | General'!E18</f>
        <v>2023–24</v>
      </c>
      <c r="N7" s="177" t="str">
        <f>'Input | General'!F18</f>
        <v>2024–25</v>
      </c>
      <c r="O7" s="177" t="str">
        <f>'Input | General'!G18</f>
        <v>2025–26</v>
      </c>
      <c r="P7" s="177" t="str">
        <f>'Input | General'!H18</f>
        <v>2026–27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78"/>
      <c r="G8" s="162">
        <v>1.8281535648994485E-2</v>
      </c>
      <c r="H8" s="162">
        <v>1.8850987432674993E-2</v>
      </c>
      <c r="I8" s="162">
        <v>1.6740088105726914E-2</v>
      </c>
      <c r="J8" s="162">
        <v>1.9170030870883759E-2</v>
      </c>
      <c r="K8" s="162">
        <v>1.8755486478739813E-2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30"/>
      <c r="H9" s="130"/>
      <c r="I9" s="130"/>
      <c r="J9" s="130"/>
      <c r="K9" s="130"/>
      <c r="L9" s="162">
        <v>2.4500000000000001E-2</v>
      </c>
      <c r="M9" s="143">
        <f t="shared" ref="M9:P9" si="0">L9</f>
        <v>2.4500000000000001E-2</v>
      </c>
      <c r="N9" s="143">
        <f t="shared" si="0"/>
        <v>2.4500000000000001E-2</v>
      </c>
      <c r="O9" s="143">
        <f t="shared" si="0"/>
        <v>2.4500000000000001E-2</v>
      </c>
      <c r="P9" s="143">
        <f t="shared" si="0"/>
        <v>2.4500000000000001E-2</v>
      </c>
    </row>
    <row r="10" spans="1:20" ht="11.25" customHeight="1">
      <c r="A10" s="11"/>
      <c r="B10" s="11"/>
      <c r="C10" s="140" t="str">
        <f>"CPI Index (base year "&amp;F7&amp;")"</f>
        <v>CPI Index (base year 2016–17)</v>
      </c>
      <c r="D10" s="78" t="s">
        <v>86</v>
      </c>
      <c r="E10" s="78" t="s">
        <v>30</v>
      </c>
      <c r="F10" s="138">
        <v>1</v>
      </c>
      <c r="G10" s="123">
        <f>IF(G7&lt;&gt;"",(F10*(1+G8)),"")</f>
        <v>1.0182815356489945</v>
      </c>
      <c r="H10" s="123">
        <f>IF(H7&lt;&gt;"",(G10*(1+H8)),"")</f>
        <v>1.0374771480804388</v>
      </c>
      <c r="I10" s="123">
        <f>IF(I7&lt;&gt;"",(H10*(1+I8)),"")</f>
        <v>1.0548446069469837</v>
      </c>
      <c r="J10" s="123">
        <f>IF(J7&lt;&gt;"",(I10*(1+J8)),"")</f>
        <v>1.0750660106261425</v>
      </c>
      <c r="K10" s="123">
        <f>IF(K7&lt;&gt;"",(J10*(1+K8)),"")</f>
        <v>1.0952293966521938</v>
      </c>
      <c r="L10" s="87">
        <f t="shared" ref="L10:P10" si="1">IF(L7&lt;&gt;"",(K10*(1+L9)),"")</f>
        <v>1.1220625168701726</v>
      </c>
      <c r="M10" s="87">
        <f t="shared" si="1"/>
        <v>1.1495530485334917</v>
      </c>
      <c r="N10" s="87">
        <f t="shared" si="1"/>
        <v>1.1777170982225622</v>
      </c>
      <c r="O10" s="87">
        <f t="shared" si="1"/>
        <v>1.2065711671290149</v>
      </c>
      <c r="P10" s="87">
        <f t="shared" si="1"/>
        <v>1.2361321607236757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2">
        <v>1.8281535648994485E-2</v>
      </c>
      <c r="H13" s="162">
        <v>1.8850987432674993E-2</v>
      </c>
      <c r="I13" s="162">
        <v>1.6740088105726914E-2</v>
      </c>
      <c r="J13" s="194">
        <v>6.9324090121316573E-3</v>
      </c>
      <c r="K13" s="162">
        <v>1.8755486478739813E-2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94">
        <v>1.9993872504847632E-2</v>
      </c>
      <c r="M14" s="143">
        <f t="shared" ref="M14:P14" si="2">L14</f>
        <v>1.9993872504847632E-2</v>
      </c>
      <c r="N14" s="143">
        <f t="shared" si="2"/>
        <v>1.9993872504847632E-2</v>
      </c>
      <c r="O14" s="143">
        <f t="shared" si="2"/>
        <v>1.9993872504847632E-2</v>
      </c>
      <c r="P14" s="143">
        <f t="shared" si="2"/>
        <v>1.9993872504847632E-2</v>
      </c>
    </row>
    <row r="15" spans="1:20" ht="11.25" customHeight="1">
      <c r="A15" s="11"/>
      <c r="B15" s="11"/>
      <c r="C15" s="140" t="str">
        <f>"CPI Index (base year "&amp;F7&amp;")"</f>
        <v>CPI Index (base year 2016–17)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1.0182815356489945</v>
      </c>
      <c r="H15" s="123">
        <f>IF(H7&lt;&gt;"",(G15*(1+H13)),"")</f>
        <v>1.0374771480804388</v>
      </c>
      <c r="I15" s="123">
        <f>IF(I7&lt;&gt;"",(H15*(1+I13)),"")</f>
        <v>1.0548446069469837</v>
      </c>
      <c r="J15" s="123">
        <f>IF(J7&lt;&gt;"",(I15*(1+J13)),"")</f>
        <v>1.0621572212065815</v>
      </c>
      <c r="K15" s="87">
        <f>IF(K7&lt;&gt;"",(J15*(1+K13)),"")</f>
        <v>1.0820784966072174</v>
      </c>
      <c r="L15" s="87">
        <f t="shared" ref="L15:P15" si="3">IF(L7&lt;&gt;"",(K15*(1+L14)),"")</f>
        <v>1.1037134361086194</v>
      </c>
      <c r="M15" s="87">
        <f t="shared" si="3"/>
        <v>1.1257809418320623</v>
      </c>
      <c r="N15" s="87">
        <f t="shared" si="3"/>
        <v>1.1482896624514398</v>
      </c>
      <c r="O15" s="87">
        <f t="shared" si="3"/>
        <v>1.1712484195611284</v>
      </c>
      <c r="P15" s="87">
        <f t="shared" si="3"/>
        <v>1.1946662111333379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7" t="str">
        <f>G7</f>
        <v>2017–18</v>
      </c>
      <c r="H19" s="177" t="str">
        <f t="shared" ref="H19:P19" si="4">H7</f>
        <v>2018–19</v>
      </c>
      <c r="I19" s="177" t="str">
        <f t="shared" si="4"/>
        <v>2019–20</v>
      </c>
      <c r="J19" s="177" t="str">
        <f t="shared" si="4"/>
        <v>2020–21</v>
      </c>
      <c r="K19" s="177" t="str">
        <f t="shared" si="4"/>
        <v>2021–22</v>
      </c>
      <c r="L19" s="177" t="str">
        <f t="shared" si="4"/>
        <v>2022-23</v>
      </c>
      <c r="M19" s="177" t="str">
        <f t="shared" si="4"/>
        <v>2023–24</v>
      </c>
      <c r="N19" s="177" t="str">
        <f t="shared" si="4"/>
        <v>2024–25</v>
      </c>
      <c r="O19" s="177" t="str">
        <f t="shared" si="4"/>
        <v>2025–26</v>
      </c>
      <c r="P19" s="177" t="str">
        <f t="shared" si="4"/>
        <v>2026–27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2">
        <v>3.3220820087888514E-2</v>
      </c>
      <c r="H20" s="162">
        <v>3.3279987102855291E-2</v>
      </c>
      <c r="I20" s="162">
        <v>3.3176000712503706E-2</v>
      </c>
      <c r="J20" s="162">
        <v>3.2328199973441274E-2</v>
      </c>
      <c r="K20" s="194">
        <v>3.1048962640370447E-2</v>
      </c>
      <c r="L20" s="86"/>
      <c r="M20" s="86"/>
      <c r="N20" s="86"/>
      <c r="O20" s="86"/>
      <c r="P20" s="86"/>
    </row>
    <row r="21" spans="1:16" ht="11.25" customHeight="1">
      <c r="C21" s="155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4">
        <v>2.7030712694608237E-2</v>
      </c>
      <c r="M21" s="194">
        <v>2.5851111492936327E-2</v>
      </c>
      <c r="N21" s="194">
        <v>2.4671510291264555E-2</v>
      </c>
      <c r="O21" s="194">
        <v>2.3491909089592644E-2</v>
      </c>
      <c r="P21" s="194">
        <v>2.2312307887920865E-2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4">
        <f>IF(AND(G13&lt;&gt;"",G20&lt;&gt;""),((1+G20)*(1+G13)-1),"")</f>
        <v>5.2109683343608548E-2</v>
      </c>
      <c r="H22" s="144">
        <f>IF(AND(H13&lt;&gt;"",H20&lt;&gt;""),((1+H20)*(1+H13)-1),"")</f>
        <v>5.2758335154165836E-2</v>
      </c>
      <c r="I22" s="144">
        <f>IF(AND(I13&lt;&gt;"",I20&lt;&gt;""),((1+I20)*(1+I13)-1),"")</f>
        <v>5.0471457993153557E-2</v>
      </c>
      <c r="J22" s="144">
        <f>IF(AND(J13&lt;&gt;"",J20&lt;&gt;""),((1+J20)*(1+J13)-1),"")</f>
        <v>3.9484721290414804E-2</v>
      </c>
      <c r="K22" s="144">
        <f>IF(AND(K13&lt;&gt;"",K20&lt;&gt;""),((1+K20)*(1+K13)-1),"")</f>
        <v>5.0386787518090781E-2</v>
      </c>
      <c r="L22" s="144">
        <f>IF(AND(L14&lt;&gt;"",L21&lt;&gt;""),((1+L21)*(1+L14)-1),"")</f>
        <v>4.7565033822787095E-2</v>
      </c>
      <c r="M22" s="144">
        <f t="shared" ref="M22:P22" si="5">IF(AND(M14&lt;&gt;"",M21&lt;&gt;""),((1+M21)*(1+M14)-1),"")</f>
        <v>4.6361847825082236E-2</v>
      </c>
      <c r="N22" s="144">
        <f t="shared" si="5"/>
        <v>4.51586618273776E-2</v>
      </c>
      <c r="O22" s="144">
        <f t="shared" si="5"/>
        <v>4.3955475829672963E-2</v>
      </c>
      <c r="P22" s="144">
        <f t="shared" si="5"/>
        <v>4.2752289831968548E-2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="115" zoomScaleNormal="115" workbookViewId="0">
      <selection activeCell="H8" sqref="H8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Victorian TNSP 2023-27 Regulatory Proposal - Capital expenditure sharing scheme model</v>
      </c>
      <c r="D1" s="12"/>
      <c r="E1" s="12"/>
      <c r="F1" s="12"/>
      <c r="G1" s="12"/>
      <c r="H1" s="105"/>
      <c r="I1" s="106" t="s">
        <v>47</v>
      </c>
      <c r="J1" s="160" t="s">
        <v>48</v>
      </c>
      <c r="K1" s="165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9" t="str">
        <f>IF('Input | General'!D14="Yes",'Input | General'!D13,"n/a")</f>
        <v>2017–18</v>
      </c>
      <c r="I6" s="179" t="str">
        <f>IF('Input | General'!E14="Yes",'Input | General'!E13,"n/a")</f>
        <v>2018–19</v>
      </c>
      <c r="J6" s="179" t="str">
        <f>IF('Input | General'!F14="Yes",'Input | General'!F13,"n/a")</f>
        <v>2019–20</v>
      </c>
      <c r="K6" s="179" t="str">
        <f>IF('Input | General'!G14="Yes",'Input | General'!G13,"n/a")</f>
        <v>2020–21</v>
      </c>
      <c r="L6" s="179" t="str">
        <f>IF('Input | General'!H14="Yes",'Input | General'!H13,"n/a")</f>
        <v>2021–22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2" t="str">
        <f>'Input | Inflation and Disc Rate'!$F$7</f>
        <v>2016–17</v>
      </c>
      <c r="G8" s="68"/>
      <c r="H8" s="163">
        <f>'[2]PTRM input'!G219</f>
        <v>180.24860099364153</v>
      </c>
      <c r="I8" s="163">
        <f>'[2]PTRM input'!H219</f>
        <v>157.41756010216841</v>
      </c>
      <c r="J8" s="163">
        <f>'[2]PTRM input'!I219</f>
        <v>153.38146235424443</v>
      </c>
      <c r="K8" s="163">
        <f>'[2]PTRM input'!J219</f>
        <v>142.77332554459289</v>
      </c>
      <c r="L8" s="163">
        <f>'[2]PTRM input'!K219</f>
        <v>107.2881742431224</v>
      </c>
      <c r="M8" s="2"/>
      <c r="N8" s="2"/>
    </row>
    <row r="9" spans="2:14" ht="10.5" customHeight="1">
      <c r="C9" s="80" t="s">
        <v>98</v>
      </c>
      <c r="D9" s="78" t="s">
        <v>49</v>
      </c>
      <c r="E9" s="78" t="s">
        <v>50</v>
      </c>
      <c r="F9" s="182" t="str">
        <f>'Input | Inflation and Disc Rate'!$F$7</f>
        <v>2016–17</v>
      </c>
      <c r="G9" s="68"/>
      <c r="H9" s="163"/>
      <c r="I9" s="163"/>
      <c r="J9" s="163"/>
      <c r="K9" s="163"/>
      <c r="L9" s="163"/>
      <c r="M9" s="2"/>
      <c r="N9" s="2"/>
    </row>
    <row r="10" spans="2:14" ht="10.5" customHeight="1">
      <c r="C10" s="80" t="s">
        <v>92</v>
      </c>
      <c r="D10" s="78" t="s">
        <v>49</v>
      </c>
      <c r="E10" s="78" t="s">
        <v>50</v>
      </c>
      <c r="F10" s="182" t="str">
        <f>'Input | Inflation and Disc Rate'!$F$7</f>
        <v>2016–17</v>
      </c>
      <c r="G10" s="68"/>
      <c r="H10" s="163">
        <f>'[2]PTRM input'!G327</f>
        <v>0.218</v>
      </c>
      <c r="I10" s="163">
        <f>'[2]PTRM input'!H327</f>
        <v>0.17100000000000001</v>
      </c>
      <c r="J10" s="163">
        <f>'[2]PTRM input'!I327</f>
        <v>0.23899999999999999</v>
      </c>
      <c r="K10" s="163">
        <f>'[2]PTRM input'!J327</f>
        <v>0.20300000000000001</v>
      </c>
      <c r="L10" s="163">
        <f>'[2]PTRM input'!K327</f>
        <v>0.20799999999999999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80" t="s">
        <v>50</v>
      </c>
      <c r="F12" s="181" t="str">
        <f>'Input | Inflation and Disc Rate'!$F$7</f>
        <v>2016–17</v>
      </c>
      <c r="G12" s="68"/>
      <c r="H12" s="66">
        <f>IF(H6="", "", H8-H9-H10)</f>
        <v>180.03060099364154</v>
      </c>
      <c r="I12" s="66">
        <f t="shared" ref="I12:L12" si="0">IF(I6="", "", I8-I9-I10)</f>
        <v>157.24656010216842</v>
      </c>
      <c r="J12" s="66">
        <f t="shared" si="0"/>
        <v>153.14246235424443</v>
      </c>
      <c r="K12" s="66">
        <f t="shared" si="0"/>
        <v>142.57032554459289</v>
      </c>
      <c r="L12" s="66">
        <f t="shared" si="0"/>
        <v>107.0801742431224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9" t="str">
        <f>H6</f>
        <v>2017–18</v>
      </c>
      <c r="I16" s="179" t="str">
        <f t="shared" ref="I16:L16" si="1">I6</f>
        <v>2018–19</v>
      </c>
      <c r="J16" s="179" t="str">
        <f t="shared" si="1"/>
        <v>2019–20</v>
      </c>
      <c r="K16" s="179" t="str">
        <f t="shared" si="1"/>
        <v>2020–21</v>
      </c>
      <c r="L16" s="179" t="str">
        <f t="shared" si="1"/>
        <v>2021–22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3">
        <f>'[3]RFM input'!H$111</f>
        <v>133.7206228094602</v>
      </c>
      <c r="I18" s="163">
        <f>'[3]RFM input'!I$111</f>
        <v>144.46882316614159</v>
      </c>
      <c r="J18" s="163">
        <f>'[3]RFM input'!J$111</f>
        <v>199.59820369416772</v>
      </c>
      <c r="K18" s="163">
        <f>'[3]RFM input'!K$111</f>
        <v>151.24600564197328</v>
      </c>
      <c r="L18" s="163">
        <f>'[3]RFM input'!L$111</f>
        <v>131.37389091554215</v>
      </c>
    </row>
    <row r="19" spans="2:14" s="2" customFormat="1" ht="10.5" customHeight="1">
      <c r="B19" s="73"/>
      <c r="C19" s="80" t="s">
        <v>98</v>
      </c>
      <c r="D19" s="78" t="s">
        <v>49</v>
      </c>
      <c r="E19" s="78" t="s">
        <v>50</v>
      </c>
      <c r="F19" s="78" t="s">
        <v>53</v>
      </c>
      <c r="G19" s="142"/>
      <c r="H19" s="164"/>
      <c r="I19" s="163"/>
      <c r="J19" s="163"/>
      <c r="K19" s="163"/>
      <c r="L19" s="163"/>
    </row>
    <row r="20" spans="2:14" s="2" customFormat="1" ht="10.5" customHeight="1">
      <c r="B20" s="73"/>
      <c r="C20" s="141" t="s">
        <v>92</v>
      </c>
      <c r="D20" s="78" t="s">
        <v>49</v>
      </c>
      <c r="E20" s="78" t="s">
        <v>50</v>
      </c>
      <c r="F20" s="78" t="s">
        <v>53</v>
      </c>
      <c r="G20" s="142"/>
      <c r="H20" s="164">
        <f>'[3]RFM input'!H$165</f>
        <v>5.9979069300000001</v>
      </c>
      <c r="I20" s="163">
        <f>'[3]RFM input'!I$165</f>
        <v>0.62382812999999993</v>
      </c>
      <c r="J20" s="163">
        <f>'[3]RFM input'!J$165</f>
        <v>7.0089148890034725</v>
      </c>
      <c r="K20" s="163">
        <f>'[3]RFM input'!K$165</f>
        <v>0.21690925925925925</v>
      </c>
      <c r="L20" s="163">
        <f>'[3]RFM input'!L$165</f>
        <v>0.22651242671296293</v>
      </c>
    </row>
    <row r="21" spans="2:14" s="2" customFormat="1" ht="10.5" customHeight="1">
      <c r="B21" s="73"/>
      <c r="C21" s="157" t="s">
        <v>97</v>
      </c>
      <c r="D21" s="78" t="s">
        <v>49</v>
      </c>
      <c r="E21" s="78" t="s">
        <v>50</v>
      </c>
      <c r="F21" s="78" t="s">
        <v>53</v>
      </c>
      <c r="G21" s="68"/>
      <c r="H21" s="164">
        <v>-6.3574499999999997E-3</v>
      </c>
      <c r="I21" s="163">
        <v>2.4998475</v>
      </c>
      <c r="J21" s="163">
        <v>4.9189038900000002</v>
      </c>
      <c r="K21" s="163"/>
      <c r="L21" s="163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76</v>
      </c>
      <c r="D23" s="76" t="s">
        <v>60</v>
      </c>
      <c r="E23" s="183" t="s">
        <v>50</v>
      </c>
      <c r="F23" s="183" t="s">
        <v>53</v>
      </c>
      <c r="G23" s="68"/>
      <c r="H23" s="66">
        <f>IF(H16="", "", H18-H19-H20-H21)</f>
        <v>127.72907332946019</v>
      </c>
      <c r="I23" s="66">
        <f t="shared" ref="I23:L23" si="2">IF(I16="", "", I18-I19-I20-I21)</f>
        <v>141.34514753614161</v>
      </c>
      <c r="J23" s="66">
        <f t="shared" si="2"/>
        <v>187.67038491516425</v>
      </c>
      <c r="K23" s="66">
        <f t="shared" si="2"/>
        <v>151.02909638271402</v>
      </c>
      <c r="L23" s="66">
        <f t="shared" si="2"/>
        <v>131.14737848882919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9" t="str">
        <f>'Input | General'!D18</f>
        <v>2022-23</v>
      </c>
      <c r="I27" s="179" t="str">
        <f>'Input | General'!E18</f>
        <v>2023–24</v>
      </c>
      <c r="J27" s="179" t="str">
        <f>'Input | General'!F18</f>
        <v>2024–25</v>
      </c>
      <c r="K27" s="179" t="str">
        <f>'Input | General'!G18</f>
        <v>2025–26</v>
      </c>
      <c r="L27" s="179" t="str">
        <f>'Input | General'!H18</f>
        <v>2026–27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86</v>
      </c>
      <c r="E29" s="78" t="s">
        <v>50</v>
      </c>
      <c r="F29" s="78" t="s">
        <v>53</v>
      </c>
      <c r="G29" s="68"/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2016–17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="115" zoomScaleNormal="115" workbookViewId="0">
      <selection activeCell="D25" sqref="D25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Victorian TNSP 2023-27 Regulatory Proposal - Capital expenditure sharing scheme model</v>
      </c>
      <c r="J1" s="122"/>
      <c r="K1" s="106" t="s">
        <v>47</v>
      </c>
      <c r="L1" s="160" t="s">
        <v>48</v>
      </c>
      <c r="M1" s="165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9" t="str">
        <f>IF('Input | General'!D14="Yes",'Input | General'!D13,"n/a")</f>
        <v>2017–18</v>
      </c>
      <c r="E7" s="179" t="str">
        <f>IF('Input | General'!E14="Yes",'Input | General'!E13,"n/a")</f>
        <v>2018–19</v>
      </c>
      <c r="F7" s="179" t="str">
        <f>IF('Input | General'!F14="Yes",'Input | General'!F13,"n/a")</f>
        <v>2019–20</v>
      </c>
      <c r="G7" s="179" t="str">
        <f>IF('Input | General'!G14="Yes",'Input | General'!G13,"n/a")</f>
        <v>2020–21</v>
      </c>
      <c r="H7" s="184" t="str">
        <f>IF('Input | General'!H14="Yes",'Input | General'!H13,"n/a")</f>
        <v>2021–22</v>
      </c>
      <c r="I7" s="97"/>
    </row>
    <row r="8" spans="2:23" ht="11.25" customHeight="1">
      <c r="C8" s="145" t="s">
        <v>94</v>
      </c>
      <c r="D8" s="166">
        <f>'Input | Inflation and Disc Rate'!G20</f>
        <v>3.3220820087888514E-2</v>
      </c>
      <c r="E8" s="167">
        <f>'Input | Inflation and Disc Rate'!H20</f>
        <v>3.3279987102855291E-2</v>
      </c>
      <c r="F8" s="167">
        <f>'Input | Inflation and Disc Rate'!I20</f>
        <v>3.3176000712503706E-2</v>
      </c>
      <c r="G8" s="167">
        <f>'Input | Inflation and Disc Rate'!J20</f>
        <v>3.2328199973441274E-2</v>
      </c>
      <c r="H8" s="168">
        <f>'Input | Inflation and Disc Rate'!K20</f>
        <v>3.1048962640370447E-2</v>
      </c>
      <c r="I8" s="97"/>
      <c r="J8" s="79"/>
      <c r="K8" s="79"/>
    </row>
    <row r="9" spans="2:23" ht="11.25" customHeight="1">
      <c r="C9" s="148" t="s">
        <v>95</v>
      </c>
      <c r="D9" s="167">
        <f>'Input | Inflation and Disc Rate'!G22</f>
        <v>5.2109683343608548E-2</v>
      </c>
      <c r="E9" s="167">
        <f>'Input | Inflation and Disc Rate'!H22</f>
        <v>5.2758335154165836E-2</v>
      </c>
      <c r="F9" s="167">
        <f>'Input | Inflation and Disc Rate'!I22</f>
        <v>5.0471457993153557E-2</v>
      </c>
      <c r="G9" s="167">
        <f>'Input | Inflation and Disc Rate'!J22</f>
        <v>3.9484721290414804E-2</v>
      </c>
      <c r="H9" s="168">
        <f>'Input | Inflation and Disc Rate'!K22</f>
        <v>5.0386787518090781E-2</v>
      </c>
      <c r="I9" s="97"/>
      <c r="J9" s="79"/>
      <c r="K9" s="79"/>
    </row>
    <row r="10" spans="2:23" ht="11.25" customHeight="1">
      <c r="C10" s="113" t="s">
        <v>13</v>
      </c>
      <c r="D10" s="169">
        <f>'Input | Reported Capex'!H$12*'Input | Inflation and Disc Rate'!G$15*(1+'Input | Inflation and Disc Rate'!G$20)^0.5</f>
        <v>186.34200950112827</v>
      </c>
      <c r="E10" s="170">
        <f>'Input | Reported Capex'!I$12*'Input | Inflation and Disc Rate'!H$15*(1+'Input | Inflation and Disc Rate'!H$20)^0.5</f>
        <v>165.83213884899229</v>
      </c>
      <c r="F10" s="170">
        <f>'Input | Reported Capex'!J$12*'Input | Inflation and Disc Rate'!I$15*(1+'Input | Inflation and Disc Rate'!I$20)^0.5</f>
        <v>164.19928715302945</v>
      </c>
      <c r="G10" s="170">
        <f>'Input | Reported Capex'!K$12*'Input | Inflation and Disc Rate'!J$15*(1+'Input | Inflation and Disc Rate'!J$20)^0.5</f>
        <v>153.86039493290644</v>
      </c>
      <c r="H10" s="171">
        <f>'Input | Reported Capex'!L$12*'Input | Inflation and Disc Rate'!K$15*(1+'Input | Inflation and Disc Rate'!K$20)^0.5</f>
        <v>117.65421234097181</v>
      </c>
      <c r="I10" s="97"/>
      <c r="J10" s="79"/>
      <c r="K10" s="79"/>
      <c r="N10" s="139"/>
    </row>
    <row r="11" spans="2:23" ht="11.25" customHeight="1">
      <c r="C11" s="113" t="s">
        <v>15</v>
      </c>
      <c r="D11" s="172">
        <f>'Input | Reported Capex'!H23*(1+D$9)^0.5</f>
        <v>131.01477346944466</v>
      </c>
      <c r="E11" s="170">
        <f>'Input | Reported Capex'!I23*(1+E$9)^0.5</f>
        <v>145.02579264253032</v>
      </c>
      <c r="F11" s="170">
        <f>'Input | Reported Capex'!J23*(1+F$9)^0.5</f>
        <v>192.34808778663157</v>
      </c>
      <c r="G11" s="170">
        <f>'Input | Reported Capex'!K23*(1+G$9)^0.5</f>
        <v>153.9819017749922</v>
      </c>
      <c r="H11" s="171">
        <f>'Input | Reported Capex'!L23*(1+H$9)^0.5</f>
        <v>134.41082260296551</v>
      </c>
      <c r="I11" s="97"/>
      <c r="J11" s="79"/>
      <c r="K11" s="79"/>
    </row>
    <row r="12" spans="2:23" s="19" customFormat="1" ht="11.25" customHeight="1">
      <c r="C12" s="113" t="s">
        <v>17</v>
      </c>
      <c r="D12" s="159">
        <f>(D10-D11)</f>
        <v>55.327236031683611</v>
      </c>
      <c r="E12" s="146">
        <f>(E10-E11)</f>
        <v>20.806346206461967</v>
      </c>
      <c r="F12" s="146">
        <f t="shared" ref="F12:H12" si="0">(F10-F11)</f>
        <v>-28.148800633602121</v>
      </c>
      <c r="G12" s="146">
        <f t="shared" si="0"/>
        <v>-0.12150684208575058</v>
      </c>
      <c r="H12" s="151">
        <f t="shared" si="0"/>
        <v>-16.7566102619937</v>
      </c>
      <c r="I12" s="97"/>
      <c r="J12" s="79"/>
      <c r="K12" s="79"/>
    </row>
    <row r="13" spans="2:23" ht="11.25" customHeight="1">
      <c r="C13" s="113" t="s">
        <v>71</v>
      </c>
      <c r="D13" s="89"/>
      <c r="E13" s="146">
        <f>$D$12*$E$8</f>
        <v>1.8412897015710612</v>
      </c>
      <c r="F13" s="146">
        <f>$D$12*$F$8*(1+'Input | Inflation and Disc Rate'!H13)</f>
        <v>1.8701380960314862</v>
      </c>
      <c r="G13" s="146">
        <f>$D$12*$G$8*(1+'Input | Inflation and Disc Rate'!H13)*(1+'Input | Inflation and Disc Rate'!I13)</f>
        <v>1.8528536470136459</v>
      </c>
      <c r="H13" s="151">
        <f>$D$12*$H$8*(1+'Input | Inflation and Disc Rate'!H13)*(1+'Input | Inflation and Disc Rate'!I13)*(1+'Input | Inflation and Disc Rate'!J13)</f>
        <v>1.7918720975212028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7"/>
      <c r="F14" s="146">
        <f>$E$12*F$8</f>
        <v>0.69027135657018102</v>
      </c>
      <c r="G14" s="146">
        <f>$E$12*G$8*(1+'Input | Inflation and Disc Rate'!I13)</f>
        <v>0.68389163514937745</v>
      </c>
      <c r="H14" s="151">
        <f>$E$12*H$8*(1+'Input | Inflation and Disc Rate'!I13)*(1+'Input | Inflation and Disc Rate'!J13)</f>
        <v>0.66138323484288397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6"/>
      <c r="F15" s="146"/>
      <c r="G15" s="146">
        <f>$F$12*G$8</f>
        <v>-0.91000005589561983</v>
      </c>
      <c r="H15" s="151">
        <f>$F$12*$H$8*(1+'Input | Inflation and Disc Rate'!J13)</f>
        <v>-0.8800499227395735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6"/>
      <c r="F16" s="146"/>
      <c r="G16" s="146"/>
      <c r="H16" s="151">
        <f>$G$12*$H$8</f>
        <v>-3.7726614004698613E-3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2">
        <f>SUM(E13:E17)</f>
        <v>1.8412897015710612</v>
      </c>
      <c r="F18" s="152">
        <f t="shared" ref="F18:H18" si="1">SUM(F13:F17)</f>
        <v>2.5604094526016672</v>
      </c>
      <c r="G18" s="152">
        <f t="shared" si="1"/>
        <v>1.6267452262674036</v>
      </c>
      <c r="H18" s="153">
        <f t="shared" si="1"/>
        <v>1.5694327482240436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93</v>
      </c>
      <c r="D19" s="126">
        <f>E19*(1+E$9)</f>
        <v>1.2074810007112073</v>
      </c>
      <c r="E19" s="152">
        <f>F19*(1+F$9)</f>
        <v>1.1469688345278064</v>
      </c>
      <c r="F19" s="152">
        <f>G19*(1+G$9)</f>
        <v>1.0918610170703769</v>
      </c>
      <c r="G19" s="152">
        <f>H19*(1+H$9)</f>
        <v>1.0503867875180908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66.806586330122499</v>
      </c>
      <c r="E20" s="146">
        <f>E12*E19</f>
        <v>23.864230659207728</v>
      </c>
      <c r="F20" s="146">
        <f t="shared" ref="F20:H20" si="2">F12*F19</f>
        <v>-30.734578089116081</v>
      </c>
      <c r="G20" s="146">
        <f t="shared" si="2"/>
        <v>-0.1276291815199195</v>
      </c>
      <c r="H20" s="151">
        <f t="shared" si="2"/>
        <v>-16.7566102619937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2">
        <f>E18*E19</f>
        <v>2.1119019030390125</v>
      </c>
      <c r="F21" s="152">
        <f t="shared" ref="F21:H21" si="3">F18*F19</f>
        <v>2.7956112690342634</v>
      </c>
      <c r="G21" s="152">
        <f t="shared" si="3"/>
        <v>1.7087116923294077</v>
      </c>
      <c r="H21" s="153">
        <f t="shared" si="3"/>
        <v>1.5694327482240436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5" t="str">
        <f>'Input | General'!$D$18</f>
        <v>2022-23</v>
      </c>
      <c r="E24" s="185" t="str">
        <f>'Input | General'!$E$18</f>
        <v>2023–24</v>
      </c>
      <c r="F24" s="185" t="str">
        <f>'Input | General'!$F$18</f>
        <v>2024–25</v>
      </c>
      <c r="G24" s="185" t="str">
        <f>'Input | General'!$G$18</f>
        <v>2025–26</v>
      </c>
      <c r="H24" s="186" t="str">
        <f>'Input | General'!$H$18</f>
        <v>2026–27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3">
        <f>'Input | Inflation and Disc Rate'!L$22</f>
        <v>4.7565033822787095E-2</v>
      </c>
      <c r="E25" s="173">
        <f>'Input | Inflation and Disc Rate'!M$22</f>
        <v>4.6361847825082236E-2</v>
      </c>
      <c r="F25" s="173">
        <f>'Input | Inflation and Disc Rate'!N$22</f>
        <v>4.51586618273776E-2</v>
      </c>
      <c r="G25" s="173">
        <f>'Input | Inflation and Disc Rate'!O$22</f>
        <v>4.3955475829672963E-2</v>
      </c>
      <c r="H25" s="174">
        <f>'Input | Inflation and Disc Rate'!P$22</f>
        <v>4.2752289831968548E-2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70">
        <f>'Input | Reported Capex'!H31</f>
        <v>0</v>
      </c>
      <c r="E26" s="170">
        <f>'Input | Reported Capex'!I31</f>
        <v>0</v>
      </c>
      <c r="F26" s="170">
        <f>'Input | Reported Capex'!J31</f>
        <v>0</v>
      </c>
      <c r="G26" s="170">
        <f>'Input | Reported Capex'!K31</f>
        <v>0</v>
      </c>
      <c r="H26" s="171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0.97703360849714072</v>
      </c>
      <c r="E27" s="124">
        <f>1/((1+E25)^(0.5)*(1+D25))</f>
        <v>0.93320715098102502</v>
      </c>
      <c r="F27" s="124">
        <f>1/((1+F25)^(0.5)*(1+E25)*(1+D25))</f>
        <v>0.89237212935681998</v>
      </c>
      <c r="G27" s="124">
        <f>1/((1+G25)^(0.5)*(1+F25)*(1+E25)*(1+D25))</f>
        <v>0.85430686746117024</v>
      </c>
      <c r="H27" s="125">
        <f>1/((1+H25)^(0.5)*(1+G25)*(1+F25)*(1+E25)*(1+D25))</f>
        <v>0.81880848246395144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43.051999456700528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30.136399619690369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12.915599837010157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8.1856576126267271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4.7299422243834304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7" t="str">
        <f>'Input | General'!D18</f>
        <v>2022-23</v>
      </c>
      <c r="E40" s="187" t="str">
        <f>'Input | General'!E18</f>
        <v>2023–24</v>
      </c>
      <c r="F40" s="187" t="str">
        <f>'Input | General'!F18</f>
        <v>2024–25</v>
      </c>
      <c r="G40" s="187" t="str">
        <f>'Input | General'!G18</f>
        <v>2025–26</v>
      </c>
      <c r="H40" s="187" t="str">
        <f>'Input | General'!H18</f>
        <v>2026–27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99</v>
      </c>
      <c r="D41" s="175">
        <f>1/(1+'Input | Inflation and Disc Rate'!L21)</f>
        <v>0.97368071630137709</v>
      </c>
      <c r="E41" s="175">
        <f>D41/(1+'Input | Inflation and Disc Rate'!M21)</f>
        <v>0.94914428165347031</v>
      </c>
      <c r="F41" s="175">
        <f>E41/(1+'Input | Inflation and Disc Rate'!N21)</f>
        <v>0.92629127688313939</v>
      </c>
      <c r="G41" s="175">
        <f>F41/(1+'Input | Inflation and Disc Rate'!O21)</f>
        <v>0.905030385347243</v>
      </c>
      <c r="H41" s="176">
        <f>G41/(1+'Input | Inflation and Disc Rate'!P21)</f>
        <v>0.88527779462718181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3" t="str">
        <f>CONCATENATE("CESS Payment Per Year ($", 'Output | Models'!$F$8," million)")</f>
        <v>CESS Payment Per Year ($2021–22 million)</v>
      </c>
      <c r="D42" s="110">
        <f>D36/(SUM(D41:H41))</f>
        <v>1.0195105600818923</v>
      </c>
      <c r="E42" s="110">
        <f>D42</f>
        <v>1.0195105600818923</v>
      </c>
      <c r="F42" s="110">
        <f t="shared" ref="F42:H42" si="5">E42</f>
        <v>1.0195105600818923</v>
      </c>
      <c r="G42" s="110">
        <f t="shared" si="5"/>
        <v>1.0195105600818923</v>
      </c>
      <c r="H42" s="149">
        <f t="shared" si="5"/>
        <v>1.0195105600818923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3" t="str">
        <f>CONCATENATE("Total CESS Payment ($", 'Output | Models'!$F$8," million)")</f>
        <v>Total CESS Payment ($2021–22 million)</v>
      </c>
      <c r="D44" s="158">
        <f>SUM(D42:H42)</f>
        <v>5.0975528004094617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zoomScale="115" zoomScaleNormal="115" workbookViewId="0">
      <selection activeCell="F11" sqref="F11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Victorian TNSP 2023-27 Regulatory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60" t="s">
        <v>48</v>
      </c>
      <c r="M1" s="165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5"/>
      <c r="K3" s="195"/>
      <c r="L3" s="195"/>
      <c r="M3" s="42"/>
      <c r="N3" s="195"/>
      <c r="O3" s="195"/>
      <c r="P3" s="195"/>
      <c r="Q3" s="195"/>
      <c r="R3" s="195"/>
      <c r="S3" s="195"/>
      <c r="T3" s="195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8" t="str">
        <f>'Calc | CESS Revenue Increments'!D40</f>
        <v>2022-23</v>
      </c>
      <c r="K6" s="188" t="str">
        <f>'Calc | CESS Revenue Increments'!E40</f>
        <v>2023–24</v>
      </c>
      <c r="L6" s="188" t="str">
        <f>'Calc | CESS Revenue Increments'!F40</f>
        <v>2024–25</v>
      </c>
      <c r="M6" s="188" t="str">
        <f>'Calc | CESS Revenue Increments'!G40</f>
        <v>2025–26</v>
      </c>
      <c r="N6" s="188" t="str">
        <f>'Calc | CESS Revenue Increments'!H40</f>
        <v>2026–27</v>
      </c>
      <c r="O6" s="56" t="s">
        <v>87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90" t="s">
        <v>58</v>
      </c>
      <c r="E8" s="52" t="s">
        <v>50</v>
      </c>
      <c r="F8" s="189" t="str">
        <f>IF(LEN(J6)&gt;4,CONCATENATE(LEFT(J6,4)-1&amp;"–"&amp;IF(RIGHT(J6,2)="00","99",IF(RIGHT(J6,2)-1&lt;10,"0","")&amp;RIGHT(J6,2)-1)),J6-1)</f>
        <v>2021–22</v>
      </c>
      <c r="H8" s="55"/>
      <c r="I8" s="55"/>
      <c r="J8" s="133">
        <f>'Calc | CESS Revenue Increments'!D42</f>
        <v>1.0195105600818923</v>
      </c>
      <c r="K8" s="133">
        <f>'Calc | CESS Revenue Increments'!E42</f>
        <v>1.0195105600818923</v>
      </c>
      <c r="L8" s="133">
        <f>'Calc | CESS Revenue Increments'!F42</f>
        <v>1.0195105600818923</v>
      </c>
      <c r="M8" s="133">
        <f>'Calc | CESS Revenue Increments'!G42</f>
        <v>1.0195105600818923</v>
      </c>
      <c r="N8" s="133">
        <f>'Calc | CESS Revenue Increments'!H42</f>
        <v>1.0195105600818923</v>
      </c>
      <c r="O8" s="60">
        <f>SUM(J8:N8)</f>
        <v>5.0975528004094617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FINAL RIN templates</dc:subject>
  <dc:creator>AER</dc:creator>
  <cp:keywords>DNSP; Reset; CESS; 2021-25; QLD</cp:keywords>
  <dc:description>6. CESS model based on FINAL RIN issued to Ergon in Qld/SA Reset 2021-25</dc:description>
  <cp:lastModifiedBy>Jane Kelly</cp:lastModifiedBy>
  <dcterms:created xsi:type="dcterms:W3CDTF">2017-09-22T02:00:05Z</dcterms:created>
  <dcterms:modified xsi:type="dcterms:W3CDTF">2021-06-27T15:07:26Z</dcterms:modified>
  <cp:category>DNSP;Reset;CESS;2021-25;QLD</cp:category>
  <cp:contentStatus>20190208 - final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_MarkAsFinal">
    <vt:bool>true</vt:bool>
  </property>
</Properties>
</file>