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AER\AusNet TX 2021\03 Draft decision\For AusNet Services to check\"/>
    </mc:Choice>
  </mc:AlternateContent>
  <bookViews>
    <workbookView xWindow="2145" yWindow="1560" windowWidth="8685" windowHeight="4785" tabRatio="807"/>
  </bookViews>
  <sheets>
    <sheet name="Version history" sheetId="59" r:id="rId1"/>
    <sheet name="Index" sheetId="1" r:id="rId2"/>
    <sheet name="Input|General" sheetId="54" r:id="rId3"/>
    <sheet name="Input|Inflation" sheetId="55" r:id="rId4"/>
    <sheet name="Input|Reported opex" sheetId="58" r:id="rId5"/>
    <sheet name="Input|Rate of change" sheetId="2" r:id="rId6"/>
    <sheet name="Input|Step changes" sheetId="53" r:id="rId7"/>
    <sheet name="Calc|Opex forecast" sheetId="42" r:id="rId8"/>
    <sheet name="Output|Models" sheetId="44" r:id="rId9"/>
    <sheet name="Lookup|Tables" sheetId="4" r:id="rId10"/>
    <sheet name="Check|List" sheetId="16" r:id="rId11"/>
  </sheets>
  <definedNames>
    <definedName name="_xlnm._FilterDatabase" localSheetId="2">'Input|General'!$G$6:$G$15</definedName>
    <definedName name="_xlnm._FilterDatabase" localSheetId="4">'Input|Reported opex'!$C$37:$F$37</definedName>
    <definedName name="BaseYear">'Input|General'!$G$11</definedName>
    <definedName name="dollars">'Lookup|Tables'!$G$10</definedName>
    <definedName name="factor">'Lookup|Tables'!$G$17</definedName>
    <definedName name="FPFirstYear">'Input|General'!$G$13</definedName>
    <definedName name="FPLastYear">'Input|General'!$G$14</definedName>
    <definedName name="millions">'Lookup|Tables'!$G$12</definedName>
    <definedName name="Nominal_to_Real">'Lookup|Tables'!$H$65:$H$71</definedName>
    <definedName name="NSP">'Input|General'!$G$7</definedName>
    <definedName name="number">'Lookup|Tables'!$G$16</definedName>
    <definedName name="percent">'Lookup|Tables'!$G$14</definedName>
    <definedName name="PPFirstYear">'Input|General'!$G$10</definedName>
    <definedName name="PPLastYear">'Input|General'!$G$12</definedName>
    <definedName name="Real_to_Nominal">'Lookup|Tables'!$H$65:$H$70</definedName>
    <definedName name="thousands">'Lookup|Tables'!$G$11</definedName>
    <definedName name="unit">'Lookup|Tables'!$G$15</definedName>
  </definedNames>
  <calcPr calcId="162913"/>
</workbook>
</file>

<file path=xl/calcChain.xml><?xml version="1.0" encoding="utf-8"?>
<calcChain xmlns="http://schemas.openxmlformats.org/spreadsheetml/2006/main">
  <c r="D30" i="53" l="1"/>
  <c r="D29" i="53"/>
  <c r="F68" i="55" l="1"/>
  <c r="F66" i="55"/>
  <c r="F70" i="55" s="1"/>
  <c r="F72" i="55" l="1"/>
  <c r="F67" i="55" l="1"/>
  <c r="F71" i="55" l="1"/>
  <c r="F69" i="55"/>
  <c r="E18" i="44" l="1"/>
  <c r="C18" i="44"/>
  <c r="C93" i="42"/>
  <c r="E93" i="42"/>
  <c r="C94" i="42"/>
  <c r="E94" i="42"/>
  <c r="E16" i="44"/>
  <c r="C15" i="44"/>
  <c r="C16" i="44"/>
  <c r="C17" i="44"/>
  <c r="C92" i="42" l="1"/>
  <c r="C91" i="42"/>
  <c r="T4" i="44" l="1"/>
  <c r="T11" i="44" s="1"/>
  <c r="T18" i="44" s="1"/>
  <c r="T63" i="42"/>
  <c r="T65" i="42"/>
  <c r="T4" i="42"/>
  <c r="T100" i="42" s="1"/>
  <c r="U79" i="2"/>
  <c r="U80" i="2"/>
  <c r="U4" i="2"/>
  <c r="U95" i="2" s="1"/>
  <c r="H71" i="4"/>
  <c r="G71" i="4" s="1"/>
  <c r="T4" i="53"/>
  <c r="T38" i="53" s="1"/>
  <c r="T42" i="53" s="1"/>
  <c r="T4" i="58"/>
  <c r="U75" i="2" l="1"/>
  <c r="T58" i="42"/>
  <c r="U49" i="2"/>
  <c r="U64" i="2"/>
  <c r="U36" i="2"/>
  <c r="U47" i="2" s="1"/>
  <c r="U104" i="2"/>
  <c r="U108" i="2" s="1"/>
  <c r="T72" i="42"/>
  <c r="T88" i="42"/>
  <c r="T12" i="42"/>
  <c r="T26" i="53"/>
  <c r="T34" i="53" s="1"/>
  <c r="T10" i="53"/>
  <c r="T22" i="53" s="1"/>
  <c r="J93" i="2" l="1" a="1"/>
  <c r="J93" i="2" s="1"/>
  <c r="K93" i="2" a="1"/>
  <c r="K93" i="2" s="1"/>
  <c r="L93" i="2" a="1"/>
  <c r="L93" i="2" s="1"/>
  <c r="M93" i="2" a="1"/>
  <c r="M93" i="2" s="1"/>
  <c r="U78" i="2"/>
  <c r="U73" i="2" l="1"/>
  <c r="T65" i="55"/>
  <c r="T66" i="55"/>
  <c r="T67" i="55"/>
  <c r="T68" i="55"/>
  <c r="T69" i="55"/>
  <c r="T70" i="55"/>
  <c r="T71" i="55"/>
  <c r="T72" i="55"/>
  <c r="T73" i="55"/>
  <c r="T74" i="55"/>
  <c r="T75" i="55"/>
  <c r="T76" i="55"/>
  <c r="T77" i="55"/>
  <c r="T78" i="55"/>
  <c r="T79" i="55"/>
  <c r="T80" i="55"/>
  <c r="T81" i="55"/>
  <c r="T82" i="55"/>
  <c r="T83" i="55"/>
  <c r="T84" i="55"/>
  <c r="G63" i="55"/>
  <c r="G64" i="55"/>
  <c r="G65" i="55"/>
  <c r="G66" i="55"/>
  <c r="G67" i="55"/>
  <c r="G68" i="55"/>
  <c r="G69" i="55"/>
  <c r="G70" i="55"/>
  <c r="G71" i="55"/>
  <c r="G72" i="55"/>
  <c r="G73" i="55"/>
  <c r="G74" i="55"/>
  <c r="G75" i="55"/>
  <c r="G76" i="55"/>
  <c r="G77" i="55"/>
  <c r="G78" i="55"/>
  <c r="G79" i="55"/>
  <c r="G80" i="55"/>
  <c r="G81" i="55"/>
  <c r="G82" i="55"/>
  <c r="G83" i="55"/>
  <c r="G84" i="55"/>
  <c r="C16" i="16"/>
  <c r="C15" i="16"/>
  <c r="C14" i="16"/>
  <c r="C13" i="16"/>
  <c r="C12" i="16"/>
  <c r="C11" i="16"/>
  <c r="H65" i="4"/>
  <c r="G65" i="4" s="1"/>
  <c r="U77" i="2" l="1"/>
  <c r="U98" i="2" s="1"/>
  <c r="U100" i="2" l="1"/>
  <c r="U97" i="2"/>
  <c r="U99" i="2"/>
  <c r="F47" i="58"/>
  <c r="F42" i="58"/>
  <c r="F43" i="58"/>
  <c r="F44" i="58"/>
  <c r="F45" i="58"/>
  <c r="F41" i="58"/>
  <c r="T67" i="42" l="1"/>
  <c r="C80" i="4" l="1"/>
  <c r="N47" i="58" l="1"/>
  <c r="O47" i="58"/>
  <c r="P47" i="58"/>
  <c r="Q47" i="58"/>
  <c r="R47" i="58"/>
  <c r="S47" i="58"/>
  <c r="X57" i="58"/>
  <c r="X29" i="58"/>
  <c r="C97" i="2" l="1" a="1"/>
  <c r="C100" i="2" s="1"/>
  <c r="T93" i="2" a="1"/>
  <c r="T93" i="2" s="1"/>
  <c r="S93" i="2" a="1"/>
  <c r="S93" i="2" s="1"/>
  <c r="R93" i="2" a="1"/>
  <c r="R93" i="2" s="1"/>
  <c r="Q93" i="2"/>
  <c r="Q93" i="2" a="1"/>
  <c r="P93" i="2" a="1"/>
  <c r="P93" i="2" s="1"/>
  <c r="O93" i="2" a="1"/>
  <c r="O93" i="2" s="1"/>
  <c r="N93" i="2" a="1"/>
  <c r="N93" i="2" s="1"/>
  <c r="C91" i="2"/>
  <c r="C90" i="2"/>
  <c r="C89" i="2"/>
  <c r="C88" i="2"/>
  <c r="C87" i="2"/>
  <c r="C86" i="2"/>
  <c r="X93" i="2" l="1"/>
  <c r="C97" i="2"/>
  <c r="C98" i="2"/>
  <c r="C99" i="2"/>
  <c r="S1" i="58" l="1"/>
  <c r="F40" i="53"/>
  <c r="F19" i="42"/>
  <c r="F8" i="42" l="1"/>
  <c r="F94" i="42" l="1"/>
  <c r="F93" i="42"/>
  <c r="F8" i="44"/>
  <c r="F16" i="44" l="1"/>
  <c r="F18" i="44"/>
  <c r="F24" i="42"/>
  <c r="E24" i="42"/>
  <c r="F22" i="42"/>
  <c r="E22" i="42"/>
  <c r="F20" i="42"/>
  <c r="E20" i="42"/>
  <c r="K29" i="58"/>
  <c r="L29" i="58"/>
  <c r="M29" i="58"/>
  <c r="N29" i="58"/>
  <c r="O29" i="58"/>
  <c r="P29" i="58"/>
  <c r="Q29" i="58"/>
  <c r="R29" i="58"/>
  <c r="S29" i="58"/>
  <c r="J29" i="58"/>
  <c r="E19" i="58"/>
  <c r="E15" i="58"/>
  <c r="D15" i="58"/>
  <c r="K15" i="58"/>
  <c r="L15" i="58"/>
  <c r="M15" i="58"/>
  <c r="N15" i="58"/>
  <c r="O15" i="58"/>
  <c r="P15" i="58"/>
  <c r="Q15" i="58"/>
  <c r="R15" i="58"/>
  <c r="S15" i="58"/>
  <c r="J15" i="58"/>
  <c r="E29" i="42" l="1"/>
  <c r="F28" i="42"/>
  <c r="F29" i="42"/>
  <c r="C29" i="42"/>
  <c r="E69" i="58"/>
  <c r="E28" i="42" s="1"/>
  <c r="F35" i="42" l="1"/>
  <c r="E35" i="42"/>
  <c r="K57" i="58"/>
  <c r="L57" i="58"/>
  <c r="M57" i="58"/>
  <c r="N57" i="58"/>
  <c r="O57" i="58"/>
  <c r="P57" i="58"/>
  <c r="Q57" i="58"/>
  <c r="R57" i="58"/>
  <c r="S57" i="58"/>
  <c r="J57" i="58"/>
  <c r="E47" i="58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41" i="4"/>
  <c r="H70" i="4"/>
  <c r="G70" i="4" s="1"/>
  <c r="H69" i="4"/>
  <c r="G69" i="4" s="1"/>
  <c r="H68" i="4"/>
  <c r="H67" i="4"/>
  <c r="G67" i="4" s="1"/>
  <c r="H76" i="4"/>
  <c r="G76" i="4" s="1"/>
  <c r="H75" i="4"/>
  <c r="G75" i="4" s="1"/>
  <c r="H74" i="4"/>
  <c r="G74" i="4" s="1"/>
  <c r="H73" i="4"/>
  <c r="G73" i="4" s="1"/>
  <c r="H72" i="4"/>
  <c r="G72" i="4" s="1"/>
  <c r="H66" i="4"/>
  <c r="G66" i="4" s="1"/>
  <c r="C40" i="4"/>
  <c r="G68" i="4" l="1"/>
  <c r="F31" i="42" l="1"/>
  <c r="E31" i="42"/>
  <c r="F26" i="42"/>
  <c r="E26" i="42"/>
  <c r="S4" i="44"/>
  <c r="R4" i="44"/>
  <c r="Q4" i="44"/>
  <c r="P4" i="44"/>
  <c r="O4" i="44"/>
  <c r="N4" i="44"/>
  <c r="M4" i="44"/>
  <c r="L4" i="44"/>
  <c r="K4" i="44"/>
  <c r="J4" i="44"/>
  <c r="S4" i="42"/>
  <c r="S35" i="42" s="1"/>
  <c r="R4" i="42"/>
  <c r="R35" i="42" s="1"/>
  <c r="Q4" i="42"/>
  <c r="Q35" i="42" s="1"/>
  <c r="P4" i="42"/>
  <c r="O4" i="42"/>
  <c r="N4" i="42"/>
  <c r="M4" i="42"/>
  <c r="L4" i="42"/>
  <c r="K4" i="42"/>
  <c r="K35" i="42" s="1"/>
  <c r="J4" i="42"/>
  <c r="J35" i="42" s="1"/>
  <c r="S4" i="53"/>
  <c r="S10" i="53" s="1"/>
  <c r="R4" i="53"/>
  <c r="Q4" i="53"/>
  <c r="P4" i="53"/>
  <c r="P38" i="53" s="1"/>
  <c r="O4" i="53"/>
  <c r="N4" i="53"/>
  <c r="N38" i="53" s="1"/>
  <c r="M4" i="53"/>
  <c r="L4" i="53"/>
  <c r="L38" i="53" s="1"/>
  <c r="K4" i="53"/>
  <c r="J4" i="53"/>
  <c r="J4" i="2"/>
  <c r="J95" i="2" s="1"/>
  <c r="T4" i="2"/>
  <c r="T95" i="2" s="1"/>
  <c r="S4" i="2"/>
  <c r="S95" i="2" s="1"/>
  <c r="R4" i="2"/>
  <c r="R95" i="2" s="1"/>
  <c r="Q4" i="2"/>
  <c r="Q95" i="2" s="1"/>
  <c r="P4" i="2"/>
  <c r="P95" i="2" s="1"/>
  <c r="O4" i="2"/>
  <c r="O95" i="2" s="1"/>
  <c r="N4" i="2"/>
  <c r="N95" i="2" s="1"/>
  <c r="M4" i="2"/>
  <c r="M95" i="2" s="1"/>
  <c r="L4" i="2"/>
  <c r="L95" i="2" s="1"/>
  <c r="K4" i="2"/>
  <c r="K95" i="2" s="1"/>
  <c r="S4" i="58"/>
  <c r="S61" i="58" s="1"/>
  <c r="R4" i="58"/>
  <c r="R61" i="58" s="1"/>
  <c r="Q4" i="58"/>
  <c r="Q61" i="58" s="1"/>
  <c r="P4" i="58"/>
  <c r="P61" i="58" s="1"/>
  <c r="O4" i="58"/>
  <c r="O61" i="58" s="1"/>
  <c r="N4" i="58"/>
  <c r="N61" i="58" s="1"/>
  <c r="M4" i="58"/>
  <c r="M61" i="58" s="1"/>
  <c r="L4" i="58"/>
  <c r="L61" i="58" s="1"/>
  <c r="K4" i="58"/>
  <c r="K61" i="58" s="1"/>
  <c r="J4" i="58"/>
  <c r="J61" i="58" s="1"/>
  <c r="J78" i="2"/>
  <c r="K78" i="2"/>
  <c r="L78" i="2"/>
  <c r="M78" i="2"/>
  <c r="N78" i="2"/>
  <c r="O78" i="2"/>
  <c r="P78" i="2"/>
  <c r="Q78" i="2"/>
  <c r="R78" i="2"/>
  <c r="S78" i="2"/>
  <c r="T78" i="2"/>
  <c r="J79" i="2"/>
  <c r="K79" i="2"/>
  <c r="L79" i="2"/>
  <c r="M79" i="2"/>
  <c r="N79" i="2"/>
  <c r="O79" i="2"/>
  <c r="P79" i="2"/>
  <c r="Q79" i="2"/>
  <c r="R79" i="2"/>
  <c r="S79" i="2"/>
  <c r="T79" i="2"/>
  <c r="J80" i="2"/>
  <c r="K80" i="2"/>
  <c r="L80" i="2"/>
  <c r="M80" i="2"/>
  <c r="N80" i="2"/>
  <c r="O80" i="2"/>
  <c r="P80" i="2"/>
  <c r="Q80" i="2"/>
  <c r="R80" i="2"/>
  <c r="S80" i="2"/>
  <c r="T80" i="2"/>
  <c r="J81" i="2"/>
  <c r="K81" i="2"/>
  <c r="L81" i="2"/>
  <c r="M81" i="2"/>
  <c r="N81" i="2"/>
  <c r="O81" i="2"/>
  <c r="P81" i="2"/>
  <c r="Q81" i="2"/>
  <c r="R81" i="2"/>
  <c r="S81" i="2"/>
  <c r="T81" i="2"/>
  <c r="J82" i="2"/>
  <c r="K82" i="2"/>
  <c r="L82" i="2"/>
  <c r="M82" i="2"/>
  <c r="N82" i="2"/>
  <c r="O82" i="2"/>
  <c r="P82" i="2"/>
  <c r="Q82" i="2"/>
  <c r="R82" i="2"/>
  <c r="S82" i="2"/>
  <c r="T82" i="2"/>
  <c r="J77" i="2"/>
  <c r="K77" i="2"/>
  <c r="L77" i="2"/>
  <c r="M77" i="2"/>
  <c r="O77" i="2"/>
  <c r="P77" i="2"/>
  <c r="Q77" i="2"/>
  <c r="R77" i="2"/>
  <c r="S77" i="2"/>
  <c r="T77" i="2"/>
  <c r="N77" i="2"/>
  <c r="N34" i="58" l="1"/>
  <c r="R34" i="58"/>
  <c r="R98" i="2"/>
  <c r="R97" i="2"/>
  <c r="R100" i="2"/>
  <c r="R99" i="2"/>
  <c r="K99" i="2"/>
  <c r="K98" i="2"/>
  <c r="K97" i="2"/>
  <c r="K100" i="2"/>
  <c r="O99" i="2"/>
  <c r="O98" i="2"/>
  <c r="O97" i="2"/>
  <c r="O100" i="2"/>
  <c r="S99" i="2"/>
  <c r="S98" i="2"/>
  <c r="S97" i="2"/>
  <c r="S100" i="2"/>
  <c r="L100" i="2"/>
  <c r="L99" i="2"/>
  <c r="L98" i="2"/>
  <c r="L97" i="2"/>
  <c r="P100" i="2"/>
  <c r="P99" i="2"/>
  <c r="P98" i="2"/>
  <c r="P97" i="2"/>
  <c r="T100" i="2"/>
  <c r="T99" i="2"/>
  <c r="T97" i="2"/>
  <c r="T98" i="2"/>
  <c r="N98" i="2"/>
  <c r="N99" i="2"/>
  <c r="N100" i="2"/>
  <c r="N97" i="2"/>
  <c r="M97" i="2"/>
  <c r="M100" i="2"/>
  <c r="M99" i="2"/>
  <c r="M98" i="2"/>
  <c r="Q97" i="2"/>
  <c r="Q100" i="2"/>
  <c r="Q99" i="2"/>
  <c r="Q98" i="2"/>
  <c r="J98" i="2"/>
  <c r="J99" i="2"/>
  <c r="J97" i="2"/>
  <c r="J100" i="2"/>
  <c r="J23" i="42"/>
  <c r="J21" i="42"/>
  <c r="J19" i="42"/>
  <c r="L23" i="42"/>
  <c r="L21" i="42"/>
  <c r="L19" i="42"/>
  <c r="N23" i="42"/>
  <c r="N21" i="42"/>
  <c r="N19" i="42"/>
  <c r="P23" i="42"/>
  <c r="P21" i="42"/>
  <c r="P19" i="42"/>
  <c r="R23" i="42"/>
  <c r="R21" i="42"/>
  <c r="R19" i="42"/>
  <c r="K23" i="42"/>
  <c r="K21" i="42"/>
  <c r="K19" i="42"/>
  <c r="M23" i="42"/>
  <c r="M21" i="42"/>
  <c r="M19" i="42"/>
  <c r="O23" i="42"/>
  <c r="O21" i="42"/>
  <c r="O19" i="42"/>
  <c r="Q23" i="42"/>
  <c r="Q21" i="42"/>
  <c r="Q19" i="42"/>
  <c r="S23" i="42"/>
  <c r="S21" i="42"/>
  <c r="S19" i="42"/>
  <c r="J33" i="42"/>
  <c r="R33" i="42"/>
  <c r="K33" i="42"/>
  <c r="Q33" i="42"/>
  <c r="S33" i="42"/>
  <c r="L12" i="42"/>
  <c r="J12" i="42"/>
  <c r="K12" i="42"/>
  <c r="O49" i="42"/>
  <c r="O12" i="42"/>
  <c r="Q49" i="42"/>
  <c r="Q12" i="42"/>
  <c r="S12" i="42"/>
  <c r="N49" i="42"/>
  <c r="N12" i="42"/>
  <c r="P49" i="42"/>
  <c r="P12" i="42"/>
  <c r="R49" i="42"/>
  <c r="R12" i="42"/>
  <c r="J10" i="58"/>
  <c r="N10" i="58"/>
  <c r="R10" i="58"/>
  <c r="L34" i="58"/>
  <c r="P34" i="58"/>
  <c r="S10" i="2"/>
  <c r="S12" i="2" s="1"/>
  <c r="O10" i="2"/>
  <c r="K10" i="2"/>
  <c r="M14" i="2"/>
  <c r="Q14" i="2"/>
  <c r="J24" i="2"/>
  <c r="K75" i="2"/>
  <c r="O75" i="2"/>
  <c r="S75" i="2"/>
  <c r="J64" i="2"/>
  <c r="Q64" i="2"/>
  <c r="M64" i="2"/>
  <c r="L10" i="58"/>
  <c r="P10" i="58"/>
  <c r="J34" i="58"/>
  <c r="J10" i="2"/>
  <c r="Q10" i="2"/>
  <c r="Q12" i="2" s="1"/>
  <c r="M10" i="2"/>
  <c r="K14" i="2"/>
  <c r="O14" i="2"/>
  <c r="S14" i="2"/>
  <c r="J49" i="2"/>
  <c r="M75" i="2"/>
  <c r="Q75" i="2"/>
  <c r="J104" i="2"/>
  <c r="S64" i="2"/>
  <c r="O64" i="2"/>
  <c r="K64" i="2"/>
  <c r="M34" i="58"/>
  <c r="M10" i="58"/>
  <c r="O34" i="58"/>
  <c r="O10" i="58"/>
  <c r="S34" i="58"/>
  <c r="S10" i="58"/>
  <c r="L64" i="2"/>
  <c r="L75" i="2"/>
  <c r="L14" i="2"/>
  <c r="L10" i="2"/>
  <c r="P64" i="2"/>
  <c r="P75" i="2"/>
  <c r="P14" i="2"/>
  <c r="P10" i="2"/>
  <c r="P12" i="2" s="1"/>
  <c r="R64" i="2"/>
  <c r="R75" i="2"/>
  <c r="R14" i="2"/>
  <c r="R10" i="2"/>
  <c r="R12" i="2" s="1"/>
  <c r="T64" i="2"/>
  <c r="T75" i="2"/>
  <c r="T14" i="2"/>
  <c r="T10" i="2"/>
  <c r="T12" i="2" s="1"/>
  <c r="J26" i="53"/>
  <c r="J10" i="53"/>
  <c r="R26" i="53"/>
  <c r="R10" i="53"/>
  <c r="L49" i="42"/>
  <c r="L24" i="2"/>
  <c r="P24" i="2"/>
  <c r="T24" i="2"/>
  <c r="R36" i="2"/>
  <c r="N36" i="2"/>
  <c r="N49" i="2"/>
  <c r="R49" i="2"/>
  <c r="L104" i="2"/>
  <c r="P104" i="2"/>
  <c r="T104" i="2"/>
  <c r="L10" i="53"/>
  <c r="P26" i="53"/>
  <c r="K34" i="58"/>
  <c r="K10" i="58"/>
  <c r="Q34" i="58"/>
  <c r="Q10" i="58"/>
  <c r="N64" i="2"/>
  <c r="N75" i="2"/>
  <c r="N14" i="2"/>
  <c r="N10" i="2"/>
  <c r="N12" i="2" s="1"/>
  <c r="N26" i="53"/>
  <c r="N10" i="53"/>
  <c r="J49" i="42"/>
  <c r="N24" i="2"/>
  <c r="R24" i="2"/>
  <c r="T36" i="2"/>
  <c r="P36" i="2"/>
  <c r="L36" i="2"/>
  <c r="L49" i="2"/>
  <c r="P49" i="2"/>
  <c r="T49" i="2"/>
  <c r="N104" i="2"/>
  <c r="R104" i="2"/>
  <c r="P10" i="53"/>
  <c r="L26" i="53"/>
  <c r="J38" i="53"/>
  <c r="R38" i="53"/>
  <c r="K38" i="53"/>
  <c r="K26" i="53"/>
  <c r="K10" i="53"/>
  <c r="M38" i="53"/>
  <c r="M26" i="53"/>
  <c r="M10" i="53"/>
  <c r="O38" i="53"/>
  <c r="O26" i="53"/>
  <c r="O10" i="53"/>
  <c r="Q38" i="53"/>
  <c r="Q26" i="53"/>
  <c r="Q10" i="53"/>
  <c r="S38" i="53"/>
  <c r="S26" i="53"/>
  <c r="K49" i="42"/>
  <c r="M49" i="42"/>
  <c r="S49" i="42"/>
  <c r="J14" i="2"/>
  <c r="K24" i="2"/>
  <c r="M24" i="2"/>
  <c r="O24" i="2"/>
  <c r="Q24" i="2"/>
  <c r="S24" i="2"/>
  <c r="J36" i="2"/>
  <c r="S36" i="2"/>
  <c r="Q36" i="2"/>
  <c r="O36" i="2"/>
  <c r="M36" i="2"/>
  <c r="K36" i="2"/>
  <c r="K49" i="2"/>
  <c r="M49" i="2"/>
  <c r="O49" i="2"/>
  <c r="Q49" i="2"/>
  <c r="S49" i="2"/>
  <c r="J75" i="2"/>
  <c r="K104" i="2"/>
  <c r="M104" i="2"/>
  <c r="O104" i="2"/>
  <c r="Q104" i="2"/>
  <c r="S104" i="2"/>
  <c r="J31" i="42"/>
  <c r="R31" i="42"/>
  <c r="S31" i="42"/>
  <c r="Q31" i="42"/>
  <c r="K31" i="42"/>
  <c r="J10" i="42"/>
  <c r="R10" i="42"/>
  <c r="P10" i="42"/>
  <c r="N10" i="42"/>
  <c r="L10" i="42"/>
  <c r="J16" i="42"/>
  <c r="R16" i="42"/>
  <c r="P16" i="42"/>
  <c r="N16" i="42"/>
  <c r="L16" i="42"/>
  <c r="J37" i="42"/>
  <c r="L37" i="42"/>
  <c r="N37" i="42"/>
  <c r="P37" i="42"/>
  <c r="R37" i="42"/>
  <c r="J40" i="42"/>
  <c r="L40" i="42"/>
  <c r="N40" i="42"/>
  <c r="P40" i="42"/>
  <c r="R40" i="42"/>
  <c r="J43" i="42"/>
  <c r="L43" i="42"/>
  <c r="N43" i="42"/>
  <c r="P43" i="42"/>
  <c r="R43" i="42"/>
  <c r="J46" i="42"/>
  <c r="L46" i="42"/>
  <c r="N46" i="42"/>
  <c r="P46" i="42"/>
  <c r="R46" i="42"/>
  <c r="S10" i="42"/>
  <c r="Q10" i="42"/>
  <c r="O10" i="42"/>
  <c r="M10" i="42"/>
  <c r="K10" i="42"/>
  <c r="S16" i="42"/>
  <c r="Q16" i="42"/>
  <c r="O16" i="42"/>
  <c r="K16" i="42"/>
  <c r="K37" i="42"/>
  <c r="M37" i="42"/>
  <c r="O37" i="42"/>
  <c r="Q37" i="42"/>
  <c r="S37" i="42"/>
  <c r="K40" i="42"/>
  <c r="M40" i="42"/>
  <c r="O40" i="42"/>
  <c r="Q40" i="42"/>
  <c r="S40" i="42"/>
  <c r="K43" i="42"/>
  <c r="M43" i="42"/>
  <c r="O43" i="42"/>
  <c r="Q43" i="42"/>
  <c r="S43" i="42"/>
  <c r="K46" i="42"/>
  <c r="M46" i="42"/>
  <c r="O46" i="42"/>
  <c r="Q46" i="42"/>
  <c r="S46" i="42"/>
  <c r="S8" i="54"/>
  <c r="J14" i="42"/>
  <c r="F49" i="42"/>
  <c r="C49" i="42"/>
  <c r="F46" i="42"/>
  <c r="C46" i="42"/>
  <c r="F43" i="42"/>
  <c r="C43" i="42"/>
  <c r="F40" i="42"/>
  <c r="C40" i="42"/>
  <c r="F37" i="42"/>
  <c r="C37" i="42"/>
  <c r="F16" i="42"/>
  <c r="E16" i="42"/>
  <c r="F14" i="42"/>
  <c r="E14" i="42"/>
  <c r="F12" i="42"/>
  <c r="E12" i="42"/>
  <c r="V75" i="2"/>
  <c r="C26" i="2" l="1" a="1"/>
  <c r="C16" i="2" a="1"/>
  <c r="Q28" i="42"/>
  <c r="M28" i="42"/>
  <c r="S28" i="42"/>
  <c r="R28" i="42"/>
  <c r="P28" i="42"/>
  <c r="J28" i="42"/>
  <c r="O28" i="42"/>
  <c r="N28" i="42"/>
  <c r="K28" i="42"/>
  <c r="L28" i="42"/>
  <c r="E67" i="58"/>
  <c r="E49" i="42" s="1"/>
  <c r="E66" i="58"/>
  <c r="E46" i="42" s="1"/>
  <c r="E65" i="58"/>
  <c r="E43" i="42" s="1"/>
  <c r="E64" i="58"/>
  <c r="E63" i="58"/>
  <c r="E37" i="42" s="1"/>
  <c r="F55" i="58"/>
  <c r="E55" i="58"/>
  <c r="F54" i="58"/>
  <c r="E54" i="58"/>
  <c r="F52" i="58"/>
  <c r="E52" i="58"/>
  <c r="F51" i="58"/>
  <c r="E51" i="58"/>
  <c r="E45" i="58"/>
  <c r="E44" i="58"/>
  <c r="E43" i="58"/>
  <c r="E42" i="58"/>
  <c r="E41" i="58"/>
  <c r="E37" i="58"/>
  <c r="F27" i="58"/>
  <c r="F29" i="58" s="1"/>
  <c r="E27" i="58"/>
  <c r="F26" i="58"/>
  <c r="E26" i="58"/>
  <c r="F25" i="58"/>
  <c r="E25" i="58"/>
  <c r="F24" i="58"/>
  <c r="E24" i="58"/>
  <c r="F23" i="58"/>
  <c r="E23" i="58"/>
  <c r="F22" i="58"/>
  <c r="E22" i="58"/>
  <c r="F21" i="58"/>
  <c r="E21" i="58"/>
  <c r="F20" i="58"/>
  <c r="E20" i="58"/>
  <c r="F19" i="58"/>
  <c r="C2" i="58"/>
  <c r="G12" i="16"/>
  <c r="C1" i="58"/>
  <c r="C27" i="2" l="1"/>
  <c r="C26" i="2"/>
  <c r="C29" i="2"/>
  <c r="C30" i="2"/>
  <c r="C32" i="2"/>
  <c r="C28" i="2"/>
  <c r="C31" i="2"/>
  <c r="C16" i="2"/>
  <c r="C19" i="2"/>
  <c r="C18" i="2"/>
  <c r="C20" i="2"/>
  <c r="C22" i="2"/>
  <c r="P22" i="2" s="1"/>
  <c r="O22" i="2" s="1"/>
  <c r="C21" i="2"/>
  <c r="C17" i="2"/>
  <c r="F23" i="42"/>
  <c r="F21" i="42"/>
  <c r="E21" i="42"/>
  <c r="E23" i="42"/>
  <c r="E40" i="42"/>
  <c r="E19" i="42"/>
  <c r="T20" i="42" s="1"/>
  <c r="F17" i="44"/>
  <c r="F15" i="44"/>
  <c r="F14" i="44"/>
  <c r="D32" i="2" l="1"/>
  <c r="E32" i="2"/>
  <c r="T32" i="2"/>
  <c r="Q32" i="2"/>
  <c r="R32" i="2"/>
  <c r="S32" i="2"/>
  <c r="P32" i="2"/>
  <c r="D22" i="2"/>
  <c r="E22" i="2"/>
  <c r="E17" i="44"/>
  <c r="E15" i="44"/>
  <c r="E14" i="44"/>
  <c r="C13" i="44"/>
  <c r="C14" i="44"/>
  <c r="S11" i="44"/>
  <c r="R11" i="44"/>
  <c r="Q11" i="44"/>
  <c r="P11" i="44"/>
  <c r="O11" i="44"/>
  <c r="N11" i="44"/>
  <c r="M11" i="44"/>
  <c r="L11" i="44"/>
  <c r="K11" i="44"/>
  <c r="J11" i="44"/>
  <c r="F102" i="42"/>
  <c r="E102" i="42"/>
  <c r="J15" i="44" l="1"/>
  <c r="J17" i="44"/>
  <c r="J16" i="44"/>
  <c r="J18" i="44"/>
  <c r="N15" i="44"/>
  <c r="N17" i="44"/>
  <c r="N16" i="44"/>
  <c r="N18" i="44"/>
  <c r="K18" i="44"/>
  <c r="K15" i="44"/>
  <c r="K17" i="44"/>
  <c r="K16" i="44"/>
  <c r="L16" i="44"/>
  <c r="L18" i="44"/>
  <c r="L15" i="44"/>
  <c r="L17" i="44"/>
  <c r="M16" i="44"/>
  <c r="M18" i="44"/>
  <c r="M15" i="44"/>
  <c r="M17" i="44"/>
  <c r="K14" i="44"/>
  <c r="K13" i="44"/>
  <c r="J14" i="44"/>
  <c r="J13" i="44"/>
  <c r="N14" i="44"/>
  <c r="N13" i="44"/>
  <c r="L14" i="44"/>
  <c r="L13" i="44"/>
  <c r="M13" i="44"/>
  <c r="M14" i="44"/>
  <c r="F104" i="42"/>
  <c r="F103" i="42"/>
  <c r="F96" i="42"/>
  <c r="F92" i="42"/>
  <c r="F91" i="42"/>
  <c r="F90" i="42"/>
  <c r="F84" i="42"/>
  <c r="F82" i="42"/>
  <c r="F81" i="42"/>
  <c r="F80" i="42"/>
  <c r="F79" i="42"/>
  <c r="F78" i="42"/>
  <c r="F77" i="42"/>
  <c r="F76" i="42"/>
  <c r="F75" i="42"/>
  <c r="F74" i="42"/>
  <c r="S42" i="53"/>
  <c r="R22" i="53"/>
  <c r="Q42" i="53"/>
  <c r="P22" i="53"/>
  <c r="O42" i="53"/>
  <c r="N22" i="53"/>
  <c r="M42" i="53"/>
  <c r="L22" i="53"/>
  <c r="K42" i="53"/>
  <c r="J22" i="53"/>
  <c r="G26" i="55"/>
  <c r="G27" i="55"/>
  <c r="G28" i="55"/>
  <c r="G29" i="55"/>
  <c r="G30" i="55"/>
  <c r="G31" i="55"/>
  <c r="G32" i="55"/>
  <c r="G33" i="55"/>
  <c r="G34" i="55"/>
  <c r="G35" i="55"/>
  <c r="G36" i="55"/>
  <c r="G37" i="55"/>
  <c r="G38" i="55"/>
  <c r="G39" i="55"/>
  <c r="G40" i="55"/>
  <c r="G41" i="55"/>
  <c r="G42" i="55"/>
  <c r="G43" i="55"/>
  <c r="G44" i="55"/>
  <c r="G45" i="55"/>
  <c r="G46" i="55"/>
  <c r="G47" i="55"/>
  <c r="G48" i="55"/>
  <c r="G49" i="55"/>
  <c r="G50" i="55"/>
  <c r="G51" i="55"/>
  <c r="G52" i="55"/>
  <c r="G53" i="55"/>
  <c r="G54" i="55"/>
  <c r="G55" i="55"/>
  <c r="G56" i="55"/>
  <c r="G57" i="55"/>
  <c r="G58" i="55"/>
  <c r="G59" i="55"/>
  <c r="G60" i="55"/>
  <c r="G61" i="55"/>
  <c r="G62" i="55"/>
  <c r="G25" i="55"/>
  <c r="E14" i="55"/>
  <c r="E15" i="55"/>
  <c r="E16" i="55"/>
  <c r="E17" i="55"/>
  <c r="E18" i="55"/>
  <c r="E19" i="55"/>
  <c r="E20" i="55"/>
  <c r="E21" i="55"/>
  <c r="E22" i="55"/>
  <c r="E23" i="55"/>
  <c r="E24" i="55"/>
  <c r="E25" i="55"/>
  <c r="E26" i="55"/>
  <c r="E27" i="55"/>
  <c r="E28" i="55"/>
  <c r="E29" i="55"/>
  <c r="E13" i="55"/>
  <c r="D11" i="16"/>
  <c r="T9" i="55"/>
  <c r="T10" i="55"/>
  <c r="T11" i="55"/>
  <c r="T12" i="55"/>
  <c r="T13" i="55"/>
  <c r="T14" i="55"/>
  <c r="T15" i="55"/>
  <c r="T16" i="55"/>
  <c r="T17" i="55"/>
  <c r="T18" i="55"/>
  <c r="T19" i="55"/>
  <c r="T20" i="55"/>
  <c r="T21" i="55"/>
  <c r="T22" i="55"/>
  <c r="T23" i="55"/>
  <c r="T24" i="55"/>
  <c r="T25" i="55"/>
  <c r="T26" i="55"/>
  <c r="T27" i="55"/>
  <c r="T28" i="55"/>
  <c r="T29" i="55"/>
  <c r="T30" i="55"/>
  <c r="T31" i="55"/>
  <c r="T32" i="55"/>
  <c r="T33" i="55"/>
  <c r="T34" i="55"/>
  <c r="T35" i="55"/>
  <c r="T36" i="55"/>
  <c r="T37" i="55"/>
  <c r="T38" i="55"/>
  <c r="T39" i="55"/>
  <c r="T40" i="55"/>
  <c r="T41" i="55"/>
  <c r="T42" i="55"/>
  <c r="T43" i="55"/>
  <c r="T44" i="55"/>
  <c r="T45" i="55"/>
  <c r="T46" i="55"/>
  <c r="T47" i="55"/>
  <c r="T48" i="55"/>
  <c r="T49" i="55"/>
  <c r="T50" i="55"/>
  <c r="T51" i="55"/>
  <c r="T52" i="55"/>
  <c r="T53" i="55"/>
  <c r="T54" i="55"/>
  <c r="T55" i="55"/>
  <c r="T56" i="55"/>
  <c r="T57" i="55"/>
  <c r="T58" i="55"/>
  <c r="T59" i="55"/>
  <c r="T60" i="55"/>
  <c r="T61" i="55"/>
  <c r="T62" i="55"/>
  <c r="T63" i="55"/>
  <c r="T64" i="55"/>
  <c r="K108" i="2"/>
  <c r="S108" i="2"/>
  <c r="Q108" i="2"/>
  <c r="O108" i="2"/>
  <c r="M108" i="2"/>
  <c r="C24" i="4"/>
  <c r="S9" i="54"/>
  <c r="M12" i="2" l="1"/>
  <c r="L12" i="2"/>
  <c r="K12" i="2"/>
  <c r="J12" i="2"/>
  <c r="O12" i="2"/>
  <c r="N22" i="2" s="1"/>
  <c r="M22" i="2" s="1"/>
  <c r="L22" i="2" s="1"/>
  <c r="K22" i="2" s="1"/>
  <c r="K14" i="42"/>
  <c r="M14" i="42"/>
  <c r="O14" i="42"/>
  <c r="Q14" i="42"/>
  <c r="S14" i="42"/>
  <c r="N14" i="42"/>
  <c r="P14" i="42"/>
  <c r="R14" i="42"/>
  <c r="J100" i="42"/>
  <c r="L100" i="42"/>
  <c r="N100" i="42"/>
  <c r="P100" i="42"/>
  <c r="R100" i="42"/>
  <c r="K100" i="42"/>
  <c r="M100" i="42"/>
  <c r="O100" i="42"/>
  <c r="Q100" i="42"/>
  <c r="S100" i="42"/>
  <c r="J88" i="42"/>
  <c r="J72" i="42"/>
  <c r="J58" i="42"/>
  <c r="J61" i="42" s="1"/>
  <c r="L88" i="42"/>
  <c r="L72" i="42"/>
  <c r="L58" i="42"/>
  <c r="L61" i="42" s="1"/>
  <c r="N88" i="42"/>
  <c r="N72" i="42"/>
  <c r="N58" i="42"/>
  <c r="N61" i="42" s="1"/>
  <c r="P88" i="42"/>
  <c r="P72" i="42"/>
  <c r="P58" i="42"/>
  <c r="R88" i="42"/>
  <c r="R72" i="42"/>
  <c r="R58" i="42"/>
  <c r="K58" i="42"/>
  <c r="K61" i="42" s="1"/>
  <c r="M58" i="42"/>
  <c r="M61" i="42" s="1"/>
  <c r="O58" i="42"/>
  <c r="Q58" i="42"/>
  <c r="S58" i="42"/>
  <c r="K72" i="42"/>
  <c r="M72" i="42"/>
  <c r="O72" i="42"/>
  <c r="Q72" i="42"/>
  <c r="S72" i="42"/>
  <c r="K88" i="42"/>
  <c r="M88" i="42"/>
  <c r="O88" i="42"/>
  <c r="Q88" i="42"/>
  <c r="S88" i="42"/>
  <c r="S22" i="53"/>
  <c r="Q22" i="53"/>
  <c r="O22" i="53"/>
  <c r="M22" i="53"/>
  <c r="K22" i="53"/>
  <c r="J34" i="53"/>
  <c r="L34" i="53"/>
  <c r="N34" i="53"/>
  <c r="J42" i="53"/>
  <c r="L42" i="53"/>
  <c r="N42" i="53"/>
  <c r="P42" i="53"/>
  <c r="R42" i="53"/>
  <c r="K34" i="53"/>
  <c r="M34" i="53"/>
  <c r="K47" i="2"/>
  <c r="M47" i="2"/>
  <c r="Q60" i="2"/>
  <c r="M60" i="2"/>
  <c r="O47" i="2"/>
  <c r="K60" i="2"/>
  <c r="O60" i="2"/>
  <c r="S60" i="2"/>
  <c r="L60" i="2"/>
  <c r="L47" i="2"/>
  <c r="L108" i="2"/>
  <c r="L73" i="2"/>
  <c r="N60" i="2"/>
  <c r="N47" i="2"/>
  <c r="N108" i="2"/>
  <c r="N73" i="2"/>
  <c r="P60" i="2"/>
  <c r="P108" i="2"/>
  <c r="P73" i="2"/>
  <c r="R60" i="2"/>
  <c r="R108" i="2"/>
  <c r="R73" i="2"/>
  <c r="T60" i="2"/>
  <c r="T108" i="2"/>
  <c r="T73" i="2"/>
  <c r="J60" i="2"/>
  <c r="J108" i="2"/>
  <c r="J73" i="2"/>
  <c r="J47" i="2"/>
  <c r="S73" i="2"/>
  <c r="Q73" i="2"/>
  <c r="O73" i="2"/>
  <c r="M73" i="2"/>
  <c r="K73" i="2"/>
  <c r="X73" i="2" l="1"/>
  <c r="O32" i="2"/>
  <c r="X60" i="2"/>
  <c r="J68" i="42" a="1"/>
  <c r="J68" i="42" s="1"/>
  <c r="L68" i="42" a="1"/>
  <c r="L68" i="42" s="1"/>
  <c r="K68" i="42" a="1"/>
  <c r="K68" i="42" s="1"/>
  <c r="K102" i="42"/>
  <c r="K103" i="42"/>
  <c r="K104" i="42" s="1"/>
  <c r="L103" i="42"/>
  <c r="L104" i="42" s="1"/>
  <c r="L102" i="42"/>
  <c r="J102" i="42"/>
  <c r="J103" i="42"/>
  <c r="J104" i="42" s="1"/>
  <c r="W22" i="53"/>
  <c r="W42" i="53"/>
  <c r="X108" i="2"/>
  <c r="N32" i="2" l="1"/>
  <c r="P47" i="2"/>
  <c r="S47" i="2"/>
  <c r="Q47" i="2"/>
  <c r="R47" i="2"/>
  <c r="T47" i="2"/>
  <c r="X47" i="2" l="1"/>
  <c r="M32" i="2"/>
  <c r="L32" i="2" l="1"/>
  <c r="C50" i="42"/>
  <c r="F50" i="42"/>
  <c r="E50" i="42"/>
  <c r="C47" i="42"/>
  <c r="C44" i="42"/>
  <c r="C41" i="42"/>
  <c r="C38" i="42"/>
  <c r="F47" i="42"/>
  <c r="E47" i="42"/>
  <c r="F44" i="42"/>
  <c r="E44" i="42"/>
  <c r="F41" i="42"/>
  <c r="E41" i="42"/>
  <c r="F38" i="42"/>
  <c r="E38" i="42"/>
  <c r="J22" i="2" l="1"/>
  <c r="J32" i="2" s="1"/>
  <c r="K32" i="2"/>
  <c r="E84" i="42"/>
  <c r="E104" i="42" l="1"/>
  <c r="F17" i="42" l="1"/>
  <c r="F15" i="42"/>
  <c r="F54" i="42"/>
  <c r="F52" i="42"/>
  <c r="C75" i="42" l="1"/>
  <c r="C76" i="42"/>
  <c r="C77" i="42"/>
  <c r="C78" i="42"/>
  <c r="C79" i="42"/>
  <c r="C80" i="42"/>
  <c r="C81" i="42"/>
  <c r="C82" i="42"/>
  <c r="C90" i="42"/>
  <c r="F13" i="44"/>
  <c r="E54" i="42"/>
  <c r="F33" i="42"/>
  <c r="E52" i="42"/>
  <c r="F13" i="42"/>
  <c r="E13" i="42"/>
  <c r="E15" i="42"/>
  <c r="E13" i="44"/>
  <c r="E103" i="42"/>
  <c r="E17" i="42"/>
  <c r="E74" i="42"/>
  <c r="E75" i="42"/>
  <c r="E76" i="42"/>
  <c r="E77" i="42"/>
  <c r="E78" i="42"/>
  <c r="E79" i="42"/>
  <c r="E80" i="42"/>
  <c r="E81" i="42"/>
  <c r="E82" i="42"/>
  <c r="E90" i="42"/>
  <c r="E91" i="42"/>
  <c r="E92" i="42"/>
  <c r="E96" i="42"/>
  <c r="E33" i="42"/>
  <c r="B2" i="55"/>
  <c r="S11" i="54"/>
  <c r="S14" i="54"/>
  <c r="G15" i="16"/>
  <c r="G16" i="16"/>
  <c r="T1" i="55"/>
  <c r="G11" i="16" s="1"/>
  <c r="B1" i="55"/>
  <c r="E12" i="2"/>
  <c r="O63" i="42"/>
  <c r="O65" i="42"/>
  <c r="J63" i="42"/>
  <c r="J65" i="42"/>
  <c r="K63" i="42"/>
  <c r="K65" i="42"/>
  <c r="L63" i="42"/>
  <c r="L65" i="42"/>
  <c r="M63" i="42"/>
  <c r="M65" i="42"/>
  <c r="N63" i="42"/>
  <c r="N65" i="42"/>
  <c r="P63" i="42"/>
  <c r="Q63" i="42"/>
  <c r="R63" i="42"/>
  <c r="S63" i="42"/>
  <c r="C74" i="42"/>
  <c r="P65" i="42"/>
  <c r="Q65" i="42"/>
  <c r="R65" i="42"/>
  <c r="S65" i="42"/>
  <c r="C78" i="2"/>
  <c r="C79" i="2"/>
  <c r="C80" i="2"/>
  <c r="C81" i="2"/>
  <c r="C82" i="2"/>
  <c r="C77" i="2"/>
  <c r="S7" i="54"/>
  <c r="S10" i="54"/>
  <c r="S12" i="54"/>
  <c r="S13" i="54"/>
  <c r="D12" i="16"/>
  <c r="C10" i="16"/>
  <c r="D10" i="16" s="1"/>
  <c r="C52" i="2"/>
  <c r="C53" i="2"/>
  <c r="C54" i="2"/>
  <c r="C55" i="2"/>
  <c r="C56" i="2"/>
  <c r="C57" i="2"/>
  <c r="C58" i="2"/>
  <c r="C51" i="2"/>
  <c r="E58" i="2"/>
  <c r="E57" i="2"/>
  <c r="E56" i="2"/>
  <c r="E55" i="2"/>
  <c r="E54" i="2"/>
  <c r="E53" i="2"/>
  <c r="E52" i="2"/>
  <c r="E51" i="2"/>
  <c r="B2" i="53"/>
  <c r="B1" i="53"/>
  <c r="E106" i="2"/>
  <c r="B2" i="2"/>
  <c r="B1" i="2"/>
  <c r="C64" i="4"/>
  <c r="B2" i="54"/>
  <c r="B1" i="54"/>
  <c r="E44" i="2"/>
  <c r="E45" i="2"/>
  <c r="B2" i="44"/>
  <c r="B2" i="42"/>
  <c r="B1" i="44"/>
  <c r="B1" i="42"/>
  <c r="E43" i="2"/>
  <c r="E42" i="2"/>
  <c r="E41" i="2"/>
  <c r="E40" i="2"/>
  <c r="E39" i="2"/>
  <c r="E38" i="2"/>
  <c r="B2" i="16"/>
  <c r="B1" i="16"/>
  <c r="C9" i="4"/>
  <c r="B2" i="4"/>
  <c r="B1" i="4"/>
  <c r="T13" i="42" l="1"/>
  <c r="M67" i="42"/>
  <c r="K67" i="42"/>
  <c r="L67" i="42"/>
  <c r="R67" i="42"/>
  <c r="T1" i="2"/>
  <c r="G13" i="16" s="1"/>
  <c r="S1" i="54"/>
  <c r="G10" i="16" s="1"/>
  <c r="N67" i="42"/>
  <c r="J67" i="42"/>
  <c r="M68" i="42" l="1" a="1"/>
  <c r="M68" i="42" s="1"/>
  <c r="N68" i="42" a="1"/>
  <c r="N68" i="42" s="1"/>
  <c r="P67" i="42"/>
  <c r="O67" i="42"/>
  <c r="S67" i="42"/>
  <c r="Q67" i="42"/>
  <c r="T68" i="42" l="1" a="1"/>
  <c r="T68" i="42" s="1"/>
  <c r="S68" i="42" a="1"/>
  <c r="S68" i="42" s="1"/>
  <c r="Q68" i="42" a="1"/>
  <c r="Q68" i="42" s="1"/>
  <c r="R68" i="42" a="1"/>
  <c r="R68" i="42" s="1"/>
  <c r="O68" i="42" a="1"/>
  <c r="O68" i="42" s="1"/>
  <c r="P68" i="42" a="1"/>
  <c r="P68" i="42" s="1"/>
  <c r="O21" i="2"/>
  <c r="P21" i="2" l="1"/>
  <c r="N21" i="2"/>
  <c r="M19" i="2"/>
  <c r="M29" i="2" s="1"/>
  <c r="N20" i="2"/>
  <c r="J16" i="2"/>
  <c r="K16" i="2" s="1"/>
  <c r="K26" i="2" s="1"/>
  <c r="K17" i="2"/>
  <c r="K27" i="2" s="1"/>
  <c r="L18" i="2"/>
  <c r="L28" i="2" s="1"/>
  <c r="D21" i="2"/>
  <c r="E21" i="2"/>
  <c r="D17" i="2"/>
  <c r="E17" i="2"/>
  <c r="E18" i="2"/>
  <c r="D18" i="2"/>
  <c r="E31" i="2"/>
  <c r="D31" i="2"/>
  <c r="S31" i="2"/>
  <c r="R20" i="42" s="1"/>
  <c r="R31" i="2"/>
  <c r="Q20" i="42" s="1"/>
  <c r="Q31" i="2"/>
  <c r="P20" i="42" s="1"/>
  <c r="T31" i="2"/>
  <c r="S20" i="42" s="1"/>
  <c r="E27" i="2"/>
  <c r="D27" i="2"/>
  <c r="S27" i="2"/>
  <c r="R27" i="2"/>
  <c r="Q27" i="2"/>
  <c r="T27" i="2"/>
  <c r="D19" i="2"/>
  <c r="E19" i="2"/>
  <c r="O20" i="2"/>
  <c r="E20" i="2"/>
  <c r="D20" i="2"/>
  <c r="E16" i="2"/>
  <c r="D16" i="2"/>
  <c r="E29" i="2"/>
  <c r="D29" i="2"/>
  <c r="Q29" i="2"/>
  <c r="T29" i="2"/>
  <c r="S29" i="2"/>
  <c r="R29" i="2"/>
  <c r="E30" i="2"/>
  <c r="D30" i="2"/>
  <c r="S30" i="2"/>
  <c r="R30" i="2"/>
  <c r="Q30" i="2"/>
  <c r="T30" i="2"/>
  <c r="D26" i="2"/>
  <c r="E26" i="2"/>
  <c r="Q26" i="2"/>
  <c r="T26" i="2"/>
  <c r="S26" i="2"/>
  <c r="R26" i="2"/>
  <c r="E28" i="2"/>
  <c r="D28" i="2"/>
  <c r="Q28" i="2"/>
  <c r="T28" i="2"/>
  <c r="S28" i="2"/>
  <c r="R28" i="2"/>
  <c r="P20" i="2" l="1"/>
  <c r="P13" i="42"/>
  <c r="P26" i="42" s="1"/>
  <c r="P30" i="2"/>
  <c r="R13" i="42"/>
  <c r="R26" i="42" s="1"/>
  <c r="S13" i="42"/>
  <c r="S26" i="42" s="1"/>
  <c r="M21" i="2"/>
  <c r="O30" i="2"/>
  <c r="K18" i="2"/>
  <c r="K28" i="2" s="1"/>
  <c r="O31" i="2"/>
  <c r="J17" i="2"/>
  <c r="J27" i="2" s="1"/>
  <c r="L19" i="2"/>
  <c r="L29" i="2" s="1"/>
  <c r="L16" i="2"/>
  <c r="L26" i="2" s="1"/>
  <c r="M18" i="2"/>
  <c r="L17" i="2"/>
  <c r="L27" i="2" s="1"/>
  <c r="P31" i="2"/>
  <c r="O20" i="42" s="1"/>
  <c r="M20" i="2"/>
  <c r="M30" i="2" s="1"/>
  <c r="N31" i="2"/>
  <c r="N19" i="2"/>
  <c r="N29" i="2" s="1"/>
  <c r="Q13" i="42"/>
  <c r="Q26" i="42" s="1"/>
  <c r="J26" i="2"/>
  <c r="N30" i="2"/>
  <c r="N20" i="42" l="1"/>
  <c r="M20" i="42"/>
  <c r="M16" i="2"/>
  <c r="M26" i="2" s="1"/>
  <c r="L21" i="2"/>
  <c r="L20" i="2"/>
  <c r="L30" i="2" s="1"/>
  <c r="M17" i="2"/>
  <c r="K19" i="2"/>
  <c r="K29" i="2" s="1"/>
  <c r="O19" i="2"/>
  <c r="N18" i="2"/>
  <c r="N28" i="2" s="1"/>
  <c r="J18" i="2"/>
  <c r="J28" i="2" s="1"/>
  <c r="M31" i="2"/>
  <c r="M28" i="2"/>
  <c r="N16" i="2" l="1"/>
  <c r="L20" i="42"/>
  <c r="K92" i="42"/>
  <c r="J92" i="42"/>
  <c r="N92" i="42"/>
  <c r="M92" i="42"/>
  <c r="T92" i="42"/>
  <c r="T16" i="44" s="1"/>
  <c r="L92" i="42"/>
  <c r="O29" i="2"/>
  <c r="P19" i="2"/>
  <c r="P29" i="2" s="1"/>
  <c r="N13" i="42"/>
  <c r="N26" i="42" s="1"/>
  <c r="O13" i="42"/>
  <c r="O26" i="42" s="1"/>
  <c r="L13" i="42"/>
  <c r="L26" i="42" s="1"/>
  <c r="K21" i="2"/>
  <c r="O18" i="2"/>
  <c r="J19" i="2"/>
  <c r="J29" i="2" s="1"/>
  <c r="N17" i="2"/>
  <c r="M27" i="2"/>
  <c r="K20" i="2"/>
  <c r="K30" i="2" s="1"/>
  <c r="O16" i="2"/>
  <c r="N26" i="2"/>
  <c r="L31" i="2"/>
  <c r="K20" i="42" l="1"/>
  <c r="P18" i="2"/>
  <c r="P28" i="2" s="1"/>
  <c r="L74" i="42"/>
  <c r="R74" i="42"/>
  <c r="S74" i="42"/>
  <c r="J74" i="42"/>
  <c r="T74" i="42"/>
  <c r="K74" i="42"/>
  <c r="M29" i="42"/>
  <c r="N47" i="42"/>
  <c r="N44" i="42"/>
  <c r="O38" i="42"/>
  <c r="J38" i="42"/>
  <c r="R47" i="42"/>
  <c r="R38" i="42"/>
  <c r="T47" i="42"/>
  <c r="K29" i="42"/>
  <c r="L38" i="42"/>
  <c r="J50" i="42"/>
  <c r="P38" i="42"/>
  <c r="T44" i="42"/>
  <c r="N41" i="42"/>
  <c r="M38" i="42"/>
  <c r="J44" i="42"/>
  <c r="O50" i="42"/>
  <c r="S41" i="42"/>
  <c r="M47" i="42"/>
  <c r="S47" i="42"/>
  <c r="Q29" i="42"/>
  <c r="L50" i="42"/>
  <c r="O41" i="42"/>
  <c r="L47" i="42"/>
  <c r="P29" i="42"/>
  <c r="J41" i="42"/>
  <c r="Q47" i="42"/>
  <c r="K41" i="42"/>
  <c r="J29" i="42"/>
  <c r="T38" i="42"/>
  <c r="T50" i="42"/>
  <c r="K38" i="42"/>
  <c r="Q38" i="42"/>
  <c r="R44" i="42"/>
  <c r="N50" i="42"/>
  <c r="T41" i="42"/>
  <c r="O29" i="42"/>
  <c r="P44" i="42"/>
  <c r="P50" i="42"/>
  <c r="M50" i="42"/>
  <c r="T29" i="42"/>
  <c r="Q50" i="42"/>
  <c r="M41" i="42"/>
  <c r="R41" i="42"/>
  <c r="N29" i="42"/>
  <c r="Q41" i="42"/>
  <c r="J47" i="42"/>
  <c r="O47" i="42"/>
  <c r="S29" i="42"/>
  <c r="S50" i="42"/>
  <c r="N38" i="42"/>
  <c r="Q44" i="42"/>
  <c r="S44" i="42"/>
  <c r="K44" i="42"/>
  <c r="K47" i="42"/>
  <c r="L44" i="42"/>
  <c r="M44" i="42"/>
  <c r="P47" i="42"/>
  <c r="S38" i="42"/>
  <c r="K50" i="42"/>
  <c r="R50" i="42"/>
  <c r="L29" i="42"/>
  <c r="O44" i="42"/>
  <c r="P41" i="42"/>
  <c r="L41" i="42"/>
  <c r="R29" i="42"/>
  <c r="N74" i="42"/>
  <c r="M74" i="42"/>
  <c r="P74" i="42"/>
  <c r="Q74" i="42"/>
  <c r="O74" i="42"/>
  <c r="P16" i="2"/>
  <c r="K13" i="42"/>
  <c r="K26" i="42" s="1"/>
  <c r="J21" i="2"/>
  <c r="J31" i="2" s="1"/>
  <c r="J20" i="2"/>
  <c r="J30" i="2" s="1"/>
  <c r="O17" i="2"/>
  <c r="N27" i="2"/>
  <c r="O28" i="2"/>
  <c r="O26" i="2"/>
  <c r="K31" i="2"/>
  <c r="J20" i="42" l="1"/>
  <c r="P17" i="2"/>
  <c r="R94" i="42"/>
  <c r="R18" i="44" s="1"/>
  <c r="K94" i="42"/>
  <c r="O91" i="42"/>
  <c r="O15" i="44" s="1"/>
  <c r="Q94" i="42"/>
  <c r="Q18" i="44" s="1"/>
  <c r="M94" i="42"/>
  <c r="S93" i="42"/>
  <c r="S17" i="44" s="1"/>
  <c r="K93" i="42"/>
  <c r="N91" i="42"/>
  <c r="N94" i="42"/>
  <c r="L93" i="42"/>
  <c r="T91" i="42"/>
  <c r="T15" i="44" s="1"/>
  <c r="M93" i="42"/>
  <c r="M91" i="42"/>
  <c r="K91" i="42"/>
  <c r="N93" i="42"/>
  <c r="S94" i="42"/>
  <c r="S18" i="44" s="1"/>
  <c r="R93" i="42"/>
  <c r="R17" i="44" s="1"/>
  <c r="T93" i="42"/>
  <c r="T17" i="44" s="1"/>
  <c r="P93" i="42"/>
  <c r="P17" i="44" s="1"/>
  <c r="Q91" i="42"/>
  <c r="Q15" i="44" s="1"/>
  <c r="Q93" i="42"/>
  <c r="Q17" i="44" s="1"/>
  <c r="J91" i="42"/>
  <c r="J93" i="42"/>
  <c r="S91" i="42"/>
  <c r="S15" i="44" s="1"/>
  <c r="T94" i="42"/>
  <c r="L94" i="42"/>
  <c r="J94" i="42"/>
  <c r="L91" i="42"/>
  <c r="P91" i="42"/>
  <c r="P15" i="44" s="1"/>
  <c r="P94" i="42"/>
  <c r="P18" i="44" s="1"/>
  <c r="R91" i="42"/>
  <c r="R15" i="44" s="1"/>
  <c r="O94" i="42"/>
  <c r="O18" i="44" s="1"/>
  <c r="O93" i="42"/>
  <c r="O17" i="44" s="1"/>
  <c r="P27" i="2"/>
  <c r="M77" i="42"/>
  <c r="R77" i="42"/>
  <c r="L77" i="42"/>
  <c r="Q81" i="42"/>
  <c r="K81" i="42"/>
  <c r="T81" i="42"/>
  <c r="M80" i="42"/>
  <c r="R80" i="42"/>
  <c r="N78" i="42"/>
  <c r="S78" i="42"/>
  <c r="Q78" i="42"/>
  <c r="R82" i="42"/>
  <c r="L82" i="42"/>
  <c r="Q82" i="42"/>
  <c r="L76" i="42"/>
  <c r="Q76" i="42"/>
  <c r="K76" i="42"/>
  <c r="R90" i="42"/>
  <c r="J90" i="42"/>
  <c r="M90" i="42"/>
  <c r="S75" i="42"/>
  <c r="M75" i="42"/>
  <c r="N75" i="42"/>
  <c r="L79" i="42"/>
  <c r="Q79" i="42"/>
  <c r="S77" i="42"/>
  <c r="P81" i="42"/>
  <c r="T80" i="42"/>
  <c r="S80" i="42"/>
  <c r="O78" i="42"/>
  <c r="N82" i="42"/>
  <c r="M82" i="42"/>
  <c r="M76" i="42"/>
  <c r="N90" i="42"/>
  <c r="T90" i="42"/>
  <c r="T14" i="44" s="1"/>
  <c r="T75" i="42"/>
  <c r="S79" i="42"/>
  <c r="M79" i="42"/>
  <c r="R79" i="42"/>
  <c r="Q77" i="42"/>
  <c r="K77" i="42"/>
  <c r="P77" i="42"/>
  <c r="J81" i="42"/>
  <c r="O81" i="42"/>
  <c r="L81" i="42"/>
  <c r="L80" i="42"/>
  <c r="Q80" i="42"/>
  <c r="K80" i="42"/>
  <c r="R78" i="42"/>
  <c r="L78" i="42"/>
  <c r="M78" i="42"/>
  <c r="K82" i="42"/>
  <c r="P82" i="42"/>
  <c r="P76" i="42"/>
  <c r="J76" i="42"/>
  <c r="O76" i="42"/>
  <c r="K90" i="42"/>
  <c r="L90" i="42"/>
  <c r="Q90" i="42"/>
  <c r="L75" i="42"/>
  <c r="Q75" i="42"/>
  <c r="K79" i="42"/>
  <c r="P79" i="42"/>
  <c r="J79" i="42"/>
  <c r="J77" i="42"/>
  <c r="O77" i="42"/>
  <c r="T77" i="42"/>
  <c r="N81" i="42"/>
  <c r="S81" i="42"/>
  <c r="P80" i="42"/>
  <c r="J80" i="42"/>
  <c r="O80" i="42"/>
  <c r="K78" i="42"/>
  <c r="P78" i="42"/>
  <c r="J82" i="42"/>
  <c r="O82" i="42"/>
  <c r="T82" i="42"/>
  <c r="T76" i="42"/>
  <c r="N76" i="42"/>
  <c r="S76" i="42"/>
  <c r="O90" i="42"/>
  <c r="P90" i="42"/>
  <c r="K75" i="42"/>
  <c r="P75" i="42"/>
  <c r="R75" i="42"/>
  <c r="O79" i="42"/>
  <c r="T79" i="42"/>
  <c r="N79" i="42"/>
  <c r="N77" i="42"/>
  <c r="M81" i="42"/>
  <c r="R81" i="42"/>
  <c r="N80" i="42"/>
  <c r="J78" i="42"/>
  <c r="T78" i="42"/>
  <c r="S82" i="42"/>
  <c r="R76" i="42"/>
  <c r="O75" i="42"/>
  <c r="J75" i="42"/>
  <c r="P26" i="2"/>
  <c r="R22" i="42"/>
  <c r="K22" i="42"/>
  <c r="M22" i="42"/>
  <c r="S22" i="42"/>
  <c r="Q22" i="42"/>
  <c r="L22" i="42"/>
  <c r="N22" i="42"/>
  <c r="O24" i="42"/>
  <c r="J24" i="42"/>
  <c r="T24" i="42"/>
  <c r="P22" i="42"/>
  <c r="T22" i="42"/>
  <c r="K24" i="42"/>
  <c r="L24" i="42"/>
  <c r="P24" i="42"/>
  <c r="J22" i="42"/>
  <c r="R24" i="42"/>
  <c r="N24" i="42"/>
  <c r="O22" i="42"/>
  <c r="Q24" i="42"/>
  <c r="S24" i="42"/>
  <c r="M24" i="42"/>
  <c r="J15" i="42"/>
  <c r="N15" i="42"/>
  <c r="R15" i="42"/>
  <c r="K17" i="42"/>
  <c r="T17" i="42"/>
  <c r="K15" i="42"/>
  <c r="P17" i="42"/>
  <c r="S17" i="42"/>
  <c r="M15" i="42"/>
  <c r="O15" i="42"/>
  <c r="R17" i="42"/>
  <c r="Q17" i="42"/>
  <c r="L17" i="42"/>
  <c r="T15" i="42"/>
  <c r="Q15" i="42"/>
  <c r="S15" i="42"/>
  <c r="J17" i="42"/>
  <c r="N17" i="42"/>
  <c r="P15" i="42"/>
  <c r="O17" i="42"/>
  <c r="L31" i="42"/>
  <c r="P31" i="42"/>
  <c r="K52" i="42"/>
  <c r="K54" i="42" s="1"/>
  <c r="S52" i="42"/>
  <c r="S54" i="42" s="1"/>
  <c r="Q52" i="42"/>
  <c r="Q54" i="42" s="1"/>
  <c r="R52" i="42"/>
  <c r="R54" i="42" s="1"/>
  <c r="J52" i="42"/>
  <c r="J54" i="42" s="1"/>
  <c r="J13" i="42"/>
  <c r="J26" i="42" s="1"/>
  <c r="O27" i="2"/>
  <c r="Q14" i="44" l="1"/>
  <c r="R14" i="44"/>
  <c r="P14" i="44"/>
  <c r="N96" i="42"/>
  <c r="O14" i="44"/>
  <c r="R84" i="42"/>
  <c r="J84" i="42"/>
  <c r="N84" i="42"/>
  <c r="J96" i="42"/>
  <c r="Q84" i="42"/>
  <c r="M84" i="42"/>
  <c r="L84" i="42"/>
  <c r="K96" i="42"/>
  <c r="M96" i="42"/>
  <c r="K84" i="42"/>
  <c r="P84" i="42"/>
  <c r="O84" i="42"/>
  <c r="S84" i="42"/>
  <c r="L96" i="42"/>
  <c r="T84" i="42"/>
  <c r="T96" i="42"/>
  <c r="O35" i="42"/>
  <c r="P35" i="42"/>
  <c r="P33" i="42"/>
  <c r="P52" i="42" s="1"/>
  <c r="L35" i="42"/>
  <c r="M35" i="42"/>
  <c r="L33" i="42"/>
  <c r="L52" i="42" s="1"/>
  <c r="N35" i="42"/>
  <c r="S90" i="42" l="1"/>
  <c r="P54" i="42"/>
  <c r="L54" i="42"/>
  <c r="S14" i="44" l="1"/>
  <c r="M102" i="42"/>
  <c r="M103" i="42"/>
  <c r="M104" i="42" s="1"/>
  <c r="M16" i="42" l="1"/>
  <c r="M17" i="42" s="1"/>
  <c r="L14" i="42"/>
  <c r="L15" i="42" s="1"/>
  <c r="N31" i="42" l="1"/>
  <c r="O31" i="42"/>
  <c r="M31" i="42"/>
  <c r="O33" i="42" l="1"/>
  <c r="O52" i="42" s="1"/>
  <c r="M33" i="42"/>
  <c r="O54" i="42" l="1"/>
  <c r="M52" i="42"/>
  <c r="M54" i="42" l="1"/>
  <c r="N103" i="42" l="1"/>
  <c r="N104" i="42" s="1"/>
  <c r="T13" i="44"/>
  <c r="N102" i="42"/>
  <c r="R92" i="42" l="1"/>
  <c r="R34" i="53"/>
  <c r="S92" i="42"/>
  <c r="S34" i="53"/>
  <c r="O34" i="53"/>
  <c r="O92" i="42"/>
  <c r="Q92" i="42"/>
  <c r="Q34" i="53"/>
  <c r="P92" i="42"/>
  <c r="P34" i="53"/>
  <c r="W34" i="53" l="1"/>
  <c r="S1" i="53" s="1"/>
  <c r="G14" i="16" s="1"/>
  <c r="S1" i="16" s="1"/>
  <c r="P16" i="44"/>
  <c r="P96" i="42"/>
  <c r="S16" i="44"/>
  <c r="S96" i="42"/>
  <c r="O16" i="44"/>
  <c r="O96" i="42"/>
  <c r="Q16" i="44"/>
  <c r="Q96" i="42"/>
  <c r="R16" i="44"/>
  <c r="R96" i="42"/>
  <c r="V1" i="53" l="1"/>
  <c r="W1" i="44"/>
  <c r="X1" i="2"/>
  <c r="W1" i="58"/>
  <c r="V1" i="54"/>
  <c r="V1" i="4"/>
  <c r="W1" i="55"/>
  <c r="W1" i="42"/>
  <c r="M47" i="58" l="1"/>
  <c r="M12" i="42" l="1"/>
  <c r="M13" i="42" s="1"/>
  <c r="M26" i="42" s="1"/>
  <c r="N33" i="42" l="1"/>
  <c r="N52" i="42" l="1"/>
  <c r="N54" i="42" l="1"/>
  <c r="O102" i="42" l="1"/>
  <c r="O103" i="42"/>
  <c r="R103" i="42"/>
  <c r="P102" i="42"/>
  <c r="P13" i="44" s="1"/>
  <c r="Q103" i="42"/>
  <c r="Q102" i="42"/>
  <c r="Q13" i="44" s="1"/>
  <c r="R102" i="42"/>
  <c r="R13" i="44" s="1"/>
  <c r="S102" i="42"/>
  <c r="S13" i="44" s="1"/>
  <c r="P103" i="42"/>
  <c r="S103" i="42"/>
  <c r="Q104" i="42" l="1"/>
  <c r="R104" i="42"/>
  <c r="O13" i="44"/>
  <c r="O104" i="42"/>
  <c r="P104" i="42"/>
  <c r="S104" i="42"/>
  <c r="K47" i="58" l="1"/>
  <c r="L47" i="58" l="1"/>
  <c r="J47" i="58"/>
</calcChain>
</file>

<file path=xl/sharedStrings.xml><?xml version="1.0" encoding="utf-8"?>
<sst xmlns="http://schemas.openxmlformats.org/spreadsheetml/2006/main" count="734" uniqueCount="228">
  <si>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</si>
  <si>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</si>
  <si>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</si>
  <si>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</si>
  <si>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</si>
  <si>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</si>
  <si>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</si>
  <si>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</si>
  <si>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</si>
  <si>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</si>
  <si>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</si>
  <si>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</si>
  <si>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</si>
  <si>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</si>
  <si>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</si>
  <si>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</si>
  <si>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</si>
  <si>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</si>
  <si>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</si>
  <si>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</si>
  <si>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</si>
  <si>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</si>
  <si>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</si>
  <si>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</si>
  <si>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</si>
  <si>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</si>
  <si>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</si>
  <si>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</si>
  <si>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</si>
  <si>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</si>
  <si>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</si>
  <si>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</si>
  <si>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</si>
  <si>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</si>
  <si>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</si>
  <si>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</si>
  <si>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</si>
  <si>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</si>
  <si>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</si>
  <si>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</si>
  <si>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</si>
  <si>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Index</t>
  </si>
  <si>
    <t>Rate of change</t>
  </si>
  <si>
    <t>Weights</t>
  </si>
  <si>
    <t>Input | Debt raising costs</t>
  </si>
  <si>
    <t>Input | Opex allowances</t>
  </si>
  <si>
    <t>Operating expenditure</t>
  </si>
  <si>
    <t>CPI indexes (nominal to real)</t>
  </si>
  <si>
    <t>Partial factor productivity</t>
  </si>
  <si>
    <t>Total step changes</t>
  </si>
  <si>
    <t>Input |Step changes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</si>
  <si>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</si>
  <si>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Shows checks on the calculations within the model</t>
  </si>
  <si>
    <t>Lookup | Tables</t>
  </si>
  <si>
    <t>Notes</t>
  </si>
  <si>
    <t>Inputs for Post Tax Revenue Model</t>
  </si>
  <si>
    <t>Note. The dollar base should be consistent with the post tax revenue model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</si>
  <si>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</si>
  <si>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</si>
  <si>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</si>
  <si>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</si>
  <si>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</si>
  <si>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</si>
  <si>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</si>
  <si>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</si>
  <si>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</si>
  <si>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</si>
  <si>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</si>
  <si>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</si>
  <si>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</si>
  <si>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</si>
  <si>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</si>
  <si>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</si>
  <si>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</si>
  <si>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</si>
  <si>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</si>
  <si>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</si>
  <si>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</si>
  <si>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</si>
  <si>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</si>
  <si>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</si>
  <si>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</si>
  <si>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</si>
  <si>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</si>
  <si>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</si>
  <si>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</si>
  <si>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</si>
  <si>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</si>
  <si>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</si>
  <si>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</si>
  <si>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</si>
  <si>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</si>
  <si>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Inputs|Reported opex</t>
  </si>
  <si>
    <t>Input | General inputs</t>
  </si>
  <si>
    <t>Inputs</t>
  </si>
  <si>
    <t>AER opex model</t>
  </si>
  <si>
    <t>ABS</t>
  </si>
  <si>
    <t>Inputs inflation data.</t>
  </si>
  <si>
    <t>Index value, new base</t>
  </si>
  <si>
    <t>calculated</t>
  </si>
  <si>
    <t>CPI indexes (real to real)</t>
  </si>
  <si>
    <t>nominal</t>
  </si>
  <si>
    <t>external</t>
  </si>
  <si>
    <t>Forecast productivity change</t>
  </si>
  <si>
    <t>Step changes</t>
  </si>
  <si>
    <t>Calc | Opex forecast</t>
  </si>
  <si>
    <t>Estimated final year opex</t>
  </si>
  <si>
    <t>Forecast output change</t>
  </si>
  <si>
    <t>Base</t>
  </si>
  <si>
    <t>Total forecast opex, excluding debt raising costs</t>
  </si>
  <si>
    <t>Total forecast opex, including debt raising costs</t>
  </si>
  <si>
    <t>Category specific forecasts</t>
  </si>
  <si>
    <t>Expenditure related to category specific forecasts</t>
  </si>
  <si>
    <t>Input | Adjustments</t>
  </si>
  <si>
    <t>Adjustment</t>
  </si>
  <si>
    <t>Adjustment 1</t>
  </si>
  <si>
    <t>Adjustment 2</t>
  </si>
  <si>
    <t>Adjustment 3</t>
  </si>
  <si>
    <t>Adjustment 4</t>
  </si>
  <si>
    <t>Adjustment 5</t>
  </si>
  <si>
    <t>Input | Category specifc forecasts</t>
  </si>
  <si>
    <t>Calc | Category specific forecasts</t>
  </si>
  <si>
    <t>Total category specific forecasts</t>
  </si>
  <si>
    <t>WPI - average of DAE and CIE</t>
  </si>
  <si>
    <t>Year ending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</si>
  <si>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</si>
  <si>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</si>
  <si>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</si>
  <si>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</si>
  <si>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</si>
  <si>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</si>
  <si>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</si>
  <si>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</si>
  <si>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</si>
  <si>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</si>
  <si>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</si>
  <si>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</si>
  <si>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</si>
  <si>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Percentage Change from Corresponding Quarter of Previous Year</t>
  </si>
  <si>
    <t>Total forecast opex, excluding category specific forecasts</t>
  </si>
  <si>
    <t>Decision stage</t>
  </si>
  <si>
    <t>draft</t>
  </si>
  <si>
    <t>Reported base year opex</t>
  </si>
  <si>
    <t>Forecast rate of change, year-on-year</t>
  </si>
  <si>
    <t>Forecast rate of change, cumulative</t>
  </si>
  <si>
    <t>Previous period year 1</t>
  </si>
  <si>
    <t>Previous period year 2</t>
  </si>
  <si>
    <t>Previous period year 3</t>
  </si>
  <si>
    <t>Previous period year 4</t>
  </si>
  <si>
    <t>Previous period year 5</t>
  </si>
  <si>
    <t>Forecast period year 1</t>
  </si>
  <si>
    <t>Forecast period year 2</t>
  </si>
  <si>
    <t>Forecast period year 3</t>
  </si>
  <si>
    <t>Forecast period year 4</t>
  </si>
  <si>
    <t>Forecast period year 5</t>
  </si>
  <si>
    <t>Previous regulatory control period, first year</t>
  </si>
  <si>
    <t>Previous regulatory control period, last year</t>
  </si>
  <si>
    <t>Regulatory years</t>
  </si>
  <si>
    <t>Year</t>
  </si>
  <si>
    <t>Year Ending</t>
  </si>
  <si>
    <t>Financial Year</t>
  </si>
  <si>
    <t>Calendar Year</t>
  </si>
  <si>
    <t>Add estimated change in opex between the base year and the final year</t>
  </si>
  <si>
    <t>Total opex, categories forecast specifically</t>
  </si>
  <si>
    <t>Add back non-recurrent efficiency gains in the base year</t>
  </si>
  <si>
    <t>Allowances related to category specific forecasts</t>
  </si>
  <si>
    <t>Reported opex, total</t>
  </si>
  <si>
    <t>Base year opex allowance, total</t>
  </si>
  <si>
    <t>Final year opex allowance, total</t>
  </si>
  <si>
    <t>Reported opex, category specific forecasts</t>
  </si>
  <si>
    <t>Base year opex allowance, category specific forecasts</t>
  </si>
  <si>
    <t>Final year opex allowance, category specific forecasts</t>
  </si>
  <si>
    <t>Remove estimated final year opex for categories forecast specifically</t>
  </si>
  <si>
    <t>Adjusted final year opex</t>
  </si>
  <si>
    <t>Version</t>
  </si>
  <si>
    <t>Version history</t>
  </si>
  <si>
    <t>AER opex model version history</t>
  </si>
  <si>
    <t>Description of changes</t>
  </si>
  <si>
    <t>Dollar basis automatically set to last month of previous control period on opex forecast sheet ('Calc|Opex forecast'!F8)</t>
  </si>
  <si>
    <t>CPI values updated with the latest ABS values</t>
  </si>
  <si>
    <t>CPI index corrected on the rate of change sheet ('Input|Rate of change'!21:21)</t>
  </si>
  <si>
    <t>Row label corrected. Change from 'Total opex' to 'Total opex, categories forecast specifically' ('Input|Reported opex'!C29)</t>
  </si>
  <si>
    <t>Conditional formatting corrected ('Input|Rate of change'!T36:T43,'Input|Rate of change'!T49:T56)</t>
  </si>
  <si>
    <t>Formula corrected to pick up correct cells with the output weights ('Calc|Opex forecast'!J61:S61)</t>
  </si>
  <si>
    <t>Minor bug fixes</t>
  </si>
  <si>
    <t>AER PTRM in the previous regulatory period.</t>
  </si>
  <si>
    <t>Annual RIN for each year and/or reset RIN.</t>
  </si>
  <si>
    <t>Output weights</t>
  </si>
  <si>
    <t>Forecast output growth</t>
  </si>
  <si>
    <t>These inputs should be entered as positive values.</t>
  </si>
  <si>
    <t>Movement in provisions</t>
  </si>
  <si>
    <t>Total opex to be trended</t>
  </si>
  <si>
    <t>Non-recurrent efficiency gain in the base year</t>
  </si>
  <si>
    <t>These inputs should be entered as reported.</t>
  </si>
  <si>
    <t>Categories of opex to be excluded from forecast opex (excluding category specific forecasts)</t>
  </si>
  <si>
    <t>Trend from base or final year</t>
  </si>
  <si>
    <t>Option 1</t>
  </si>
  <si>
    <t>Option 2</t>
  </si>
  <si>
    <t>Final</t>
  </si>
  <si>
    <t>AER opex model v1.8</t>
  </si>
  <si>
    <t>Inputs the cost escalation weights, cost escalation forecast, and inflation actuals and forecast. Sheet used when the rate of change is applied from the final year.</t>
  </si>
  <si>
    <t>Calculates the opex forecast. Sheet used when the rate of change is applied from the final year.</t>
  </si>
  <si>
    <t>Outputs the forecasts needed as a post tax revenue model inputs. Sheet used when the rate of change is applied from the final year.</t>
  </si>
  <si>
    <t>Previous period year 0</t>
  </si>
  <si>
    <t>Network support costs (for TNSPs)</t>
  </si>
  <si>
    <t>Adjustments can be postive or negative.</t>
  </si>
  <si>
    <t>Minor bug fixes and tidying up</t>
  </si>
  <si>
    <t>Allows applying the rate of change from the base year of final year</t>
  </si>
  <si>
    <t>1.8 aplha 1.3</t>
  </si>
  <si>
    <t>Extra year added to allow a six year current period.</t>
  </si>
  <si>
    <t>Previous period year 6</t>
  </si>
  <si>
    <t>WPI - DAE + 0.5% super guarantee</t>
  </si>
  <si>
    <t>AusNet Services Tx</t>
  </si>
  <si>
    <t>Easement land tax</t>
  </si>
  <si>
    <t>Self insurance cost</t>
  </si>
  <si>
    <t>Availability rebate</t>
  </si>
  <si>
    <t>Merits review</t>
  </si>
  <si>
    <t>Cyber Security</t>
  </si>
  <si>
    <t>5 minute settlement</t>
  </si>
  <si>
    <t>EPA</t>
  </si>
  <si>
    <t>Cloud</t>
  </si>
  <si>
    <t>Council Rates</t>
  </si>
  <si>
    <t>Group 3 roll in</t>
  </si>
  <si>
    <t>Innovation</t>
  </si>
  <si>
    <t>WPI - BIS Oxford</t>
  </si>
  <si>
    <t>Input | Rate of change</t>
  </si>
  <si>
    <t>Calc | Opex Forecast</t>
  </si>
  <si>
    <t>Output | Models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</si>
</sst>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6">
    <numFmt numFmtId="164" formatCode="_(* #,##0_);_(* \(#,##0\);_(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(&quot;$&quot;* #,##0_);_(&quot;$&quot;* \(#,##0\);_(&quot;$&quot;* &quot;-&quot;_);_(@_)"/>
    <numFmt numFmtId="168" formatCode="_-* #,##0_-;\-* #,##0_-;_-* &quot;-&quot;??_-;_-@_-"/>
    <numFmt numFmtId="169" formatCode="dd\-mmm"/>
    <numFmt numFmtId="170" formatCode="dd/mmm"/>
    <numFmt numFmtId="171" formatCode="_(#,##0_);\(#,##0\);_(&quot;-&quot;_)"/>
    <numFmt numFmtId="172" formatCode="_(#,##0.00%_);\(#,##0.00%\);_(&quot;-&quot;_)"/>
    <numFmt numFmtId="173" formatCode="_(#,##0.000_);\(#,##0.000\);_(&quot;-&quot;_)"/>
    <numFmt numFmtId="174" formatCode="_(#,##0.00_);\(#,##0.00\);_(&quot;-&quot;_)"/>
    <numFmt numFmtId="175" formatCode="[$-C09]dd\-mmm\-yy;@"/>
    <numFmt numFmtId="176" formatCode="_-* #,##0.0000_-;\-* #,##0.0000_-;_-* &quot;-&quot;??_-;_-@_-"/>
    <numFmt numFmtId="177" formatCode="_(#,##0.0000_);\(#,##0.0000\);_(&quot;-&quot;_)"/>
    <numFmt numFmtId="178" formatCode="_-* #,##0.00_-;[Red]\(#,##0.00\)_-;_-* &quot;-&quot;??_-;_-@_-"/>
    <numFmt numFmtId="179" formatCode="mm/dd/yy"/>
    <numFmt numFmtId="180" formatCode="_([$€-2]* #,##0.00_);_([$€-2]* \(#,##0.00\);_([$€-2]* &quot;-&quot;??_)"/>
    <numFmt numFmtId="181" formatCode="0_);[Red]\(0\)"/>
    <numFmt numFmtId="182" formatCode="0.0%"/>
    <numFmt numFmtId="183" formatCode="_(* #,##0_);_(* \(#,##0\);_(* &quot;-&quot;?_);_(@_)"/>
    <numFmt numFmtId="184" formatCode="#,##0.0_);\(#,##0.0\)"/>
    <numFmt numFmtId="185" formatCode="#,##0_ ;\-#,##0\ "/>
    <numFmt numFmtId="186" formatCode="#,##0;[Red]\(#,##0.0\)"/>
    <numFmt numFmtId="187" formatCode="#,##0_ ;[Red]\(#,##0\)\ "/>
    <numFmt numFmtId="188" formatCode="#,##0.00;\(#,##0.00\)"/>
    <numFmt numFmtId="189" formatCode="_)d\-mmm\-yy_)"/>
    <numFmt numFmtId="190" formatCode="_(#,##0.0_);\(#,##0.0\);_(&quot;-&quot;_)"/>
    <numFmt numFmtId="191" formatCode="_(###0_);\(###0\);_(###0_)"/>
    <numFmt numFmtId="192" formatCode="#,##0.0000_);[Red]\(#,##0.0000\)"/>
    <numFmt numFmtId="193" formatCode="0.0"/>
    <numFmt numFmtId="194" formatCode=";;_(&quot;-&quot;_)"/>
    <numFmt numFmtId="195" formatCode="_-* #,##0.0_-;\-* #,##0.0_-;_-* &quot;-&quot;??_-;_-@_-"/>
    <numFmt numFmtId="196" formatCode="0.00;\-0.00;_(&quot;-&quot;_)"/>
    <numFmt numFmtId="197" formatCode="[$-C09]mmm\-yyyy;@"/>
    <numFmt numFmtId="198" formatCode="_-* #\ ##0.00_-;\-* #\ ##0.00_-;_-* &quot;-&quot;??_-;_-@_-"/>
    <numFmt numFmtId="199" formatCode="_(#\ ##0.00_);\(#\ ##0.00\);_(&quot;-&quot;_)"/>
    <numFmt numFmtId="200" formatCode="#\ ##0.00_ ;\-#\ ##0.00\ ;&quot;-&quot;"/>
    <numFmt numFmtId="201" formatCode="#\ ##0.00;\-#\ ##0.00;&quot;-&quot;"/>
    <numFmt numFmtId="202" formatCode="&quot;Warning&quot;;&quot;Warning&quot;;&quot;OK&quot;"/>
    <numFmt numFmtId="203" formatCode="mmmm"/>
    <numFmt numFmtId="204" formatCode="mmm\ yyyy"/>
    <numFmt numFmtId="205" formatCode="0.00_ ;\-0.00\ "/>
    <numFmt numFmtId="206" formatCode="0_ ;\-0\ "/>
    <numFmt numFmtId="207" formatCode="#,##0.0_ ;\-#,##0.0\ "/>
    <numFmt numFmtId="208" formatCode="#,##0_);\(#,##0\);\-\-_)"/>
    <numFmt numFmtId="209" formatCode="##\ ##0.00_ ;\-##\ ##0.00\ ;&quot;-&quot;"/>
  </numFmts>
  <fonts count="93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b/>
      <i/>
      <sz val="8"/>
      <color theme="0"/>
      <name val="Arial"/>
      <family val="2"/>
    </font>
    <font>
      <b/>
      <sz val="12"/>
      <color theme="0"/>
      <name val="Arial"/>
      <family val="2"/>
    </font>
    <font>
      <sz val="10"/>
      <color theme="1"/>
      <name val="Verdana"/>
      <family val="2"/>
    </font>
  </fonts>
  <fills count="52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AEEF3"/>
        <bgColor rgb="FF00FFFF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medium">
        <color indexed="9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05">
    <xf numFmtId="0" fontId="0" fillId="0" borderId="0"/>
    <xf numFmtId="170" fontId="5" fillId="7" borderId="0" applyProtection="0"/>
    <xf numFmtId="9" fontId="12" fillId="0" borderId="0" applyFont="0" applyFill="0" applyBorder="0" applyAlignment="0" applyProtection="0"/>
    <xf numFmtId="0" fontId="13" fillId="0" borderId="0" applyNumberFormat="0" applyFill="0" applyBorder="0" applyAlignment="0" applyProtection="0"/>
    <xf numFmtId="9" fontId="15" fillId="0" borderId="0" applyFont="0" applyFill="0" applyBorder="0" applyAlignment="0" applyProtection="0"/>
    <xf numFmtId="171" fontId="14" fillId="0" borderId="5">
      <alignment horizontal="right" vertical="center"/>
      <protection locked="0"/>
    </xf>
    <xf numFmtId="166" fontId="12" fillId="0" borderId="0" applyFont="0" applyFill="0" applyBorder="0" applyAlignment="0" applyProtection="0"/>
    <xf numFmtId="0" fontId="21" fillId="0" borderId="0"/>
    <xf numFmtId="166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8" fontId="14" fillId="0" borderId="0"/>
    <xf numFmtId="178" fontId="14" fillId="0" borderId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4" fillId="22" borderId="0" applyNumberFormat="0" applyBorder="0" applyAlignment="0" applyProtection="0"/>
    <xf numFmtId="0" fontId="24" fillId="23" borderId="0" applyNumberFormat="0" applyBorder="0" applyAlignment="0" applyProtection="0"/>
    <xf numFmtId="0" fontId="20" fillId="20" borderId="0" applyNumberFormat="0" applyBorder="0" applyAlignment="0" applyProtection="0"/>
    <xf numFmtId="0" fontId="20" fillId="24" borderId="0" applyNumberFormat="0" applyBorder="0" applyAlignment="0" applyProtection="0"/>
    <xf numFmtId="0" fontId="24" fillId="21" borderId="0" applyNumberFormat="0" applyBorder="0" applyAlignment="0" applyProtection="0"/>
    <xf numFmtId="0" fontId="24" fillId="25" borderId="0" applyNumberFormat="0" applyBorder="0" applyAlignment="0" applyProtection="0"/>
    <xf numFmtId="0" fontId="20" fillId="17" borderId="0" applyNumberFormat="0" applyBorder="0" applyAlignment="0" applyProtection="0"/>
    <xf numFmtId="0" fontId="20" fillId="21" borderId="0" applyNumberFormat="0" applyBorder="0" applyAlignment="0" applyProtection="0"/>
    <xf numFmtId="0" fontId="24" fillId="21" borderId="0" applyNumberFormat="0" applyBorder="0" applyAlignment="0" applyProtection="0"/>
    <xf numFmtId="0" fontId="24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9" borderId="0" applyNumberFormat="0" applyBorder="0" applyAlignment="0" applyProtection="0"/>
    <xf numFmtId="0" fontId="25" fillId="0" borderId="0"/>
    <xf numFmtId="167" fontId="26" fillId="0" borderId="0" applyFont="0" applyFill="0" applyBorder="0" applyAlignment="0" applyProtection="0"/>
    <xf numFmtId="0" fontId="27" fillId="30" borderId="0" applyNumberFormat="0" applyBorder="0" applyAlignment="0" applyProtection="0"/>
    <xf numFmtId="0" fontId="28" fillId="0" borderId="0" applyNumberFormat="0" applyFill="0" applyBorder="0" applyAlignment="0"/>
    <xf numFmtId="164" fontId="21" fillId="4" borderId="0" applyNumberFormat="0" applyFont="0" applyBorder="0" applyAlignment="0">
      <alignment horizontal="right"/>
    </xf>
    <xf numFmtId="164" fontId="21" fillId="4" borderId="0" applyNumberFormat="0" applyFont="0" applyBorder="0" applyAlignment="0">
      <alignment horizontal="right"/>
    </xf>
    <xf numFmtId="0" fontId="29" fillId="0" borderId="0" applyNumberFormat="0" applyFill="0" applyBorder="0" applyAlignment="0">
      <protection locked="0"/>
    </xf>
    <xf numFmtId="0" fontId="30" fillId="14" borderId="11" applyNumberFormat="0" applyAlignment="0" applyProtection="0"/>
    <xf numFmtId="0" fontId="31" fillId="31" borderId="12" applyNumberFormat="0" applyAlignment="0" applyProtection="0"/>
    <xf numFmtId="164" fontId="21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20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66" fontId="33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3" fontId="34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35" fillId="32" borderId="0" applyNumberFormat="0" applyBorder="0" applyAlignment="0" applyProtection="0"/>
    <xf numFmtId="0" fontId="35" fillId="33" borderId="0" applyNumberFormat="0" applyBorder="0" applyAlignment="0" applyProtection="0"/>
    <xf numFmtId="0" fontId="35" fillId="34" borderId="0" applyNumberFormat="0" applyBorder="0" applyAlignment="0" applyProtection="0"/>
    <xf numFmtId="180" fontId="20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0" fontId="37" fillId="0" borderId="0"/>
    <xf numFmtId="0" fontId="38" fillId="0" borderId="0"/>
    <xf numFmtId="0" fontId="39" fillId="35" borderId="0" applyNumberFormat="0" applyBorder="0" applyAlignment="0" applyProtection="0"/>
    <xf numFmtId="0" fontId="23" fillId="0" borderId="0" applyFill="0" applyBorder="0">
      <alignment vertical="center"/>
    </xf>
    <xf numFmtId="0" fontId="40" fillId="0" borderId="13" applyNumberFormat="0" applyFill="0" applyAlignment="0" applyProtection="0"/>
    <xf numFmtId="0" fontId="23" fillId="0" borderId="0" applyFill="0" applyBorder="0">
      <alignment vertical="center"/>
    </xf>
    <xf numFmtId="0" fontId="41" fillId="0" borderId="0" applyFill="0" applyBorder="0">
      <alignment vertical="center"/>
    </xf>
    <xf numFmtId="0" fontId="42" fillId="0" borderId="14" applyNumberFormat="0" applyFill="0" applyAlignment="0" applyProtection="0"/>
    <xf numFmtId="0" fontId="41" fillId="0" borderId="0" applyFill="0" applyBorder="0">
      <alignment vertical="center"/>
    </xf>
    <xf numFmtId="0" fontId="11" fillId="0" borderId="0" applyFill="0" applyBorder="0">
      <alignment vertical="center"/>
    </xf>
    <xf numFmtId="0" fontId="43" fillId="0" borderId="15" applyNumberFormat="0" applyFill="0" applyAlignment="0" applyProtection="0"/>
    <xf numFmtId="0" fontId="11" fillId="0" borderId="0" applyFill="0" applyBorder="0">
      <alignment vertical="center"/>
    </xf>
    <xf numFmtId="0" fontId="14" fillId="0" borderId="0" applyFill="0" applyBorder="0">
      <alignment vertical="center"/>
    </xf>
    <xf numFmtId="0" fontId="43" fillId="0" borderId="0" applyNumberFormat="0" applyFill="0" applyBorder="0" applyAlignment="0" applyProtection="0"/>
    <xf numFmtId="0" fontId="14" fillId="0" borderId="0" applyFill="0" applyBorder="0">
      <alignment vertical="center"/>
    </xf>
    <xf numFmtId="182" fontId="44" fillId="0" borderId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Fill="0" applyBorder="0">
      <alignment horizontal="center" vertical="center"/>
      <protection locked="0"/>
    </xf>
    <xf numFmtId="0" fontId="47" fillId="0" borderId="0" applyFill="0" applyBorder="0">
      <alignment horizontal="left" vertical="center"/>
      <protection locked="0"/>
    </xf>
    <xf numFmtId="0" fontId="48" fillId="12" borderId="11" applyNumberFormat="0" applyAlignment="0" applyProtection="0"/>
    <xf numFmtId="164" fontId="21" fillId="36" borderId="0" applyFont="0" applyBorder="0" applyAlignment="0">
      <alignment horizontal="right"/>
      <protection locked="0"/>
    </xf>
    <xf numFmtId="164" fontId="21" fillId="36" borderId="0" applyFont="0" applyBorder="0" applyAlignment="0">
      <alignment horizontal="right"/>
      <protection locked="0"/>
    </xf>
    <xf numFmtId="183" fontId="21" fillId="6" borderId="0" applyFont="0" applyBorder="0">
      <alignment horizontal="right"/>
      <protection locked="0"/>
    </xf>
    <xf numFmtId="183" fontId="21" fillId="6" borderId="0" applyFont="0" applyBorder="0">
      <alignment horizontal="right"/>
      <protection locked="0"/>
    </xf>
    <xf numFmtId="164" fontId="21" fillId="10" borderId="0" applyFont="0" applyBorder="0">
      <alignment horizontal="right"/>
      <protection locked="0"/>
    </xf>
    <xf numFmtId="164" fontId="21" fillId="10" borderId="0" applyFont="0" applyBorder="0">
      <alignment horizontal="right"/>
      <protection locked="0"/>
    </xf>
    <xf numFmtId="0" fontId="14" fillId="4" borderId="0"/>
    <xf numFmtId="0" fontId="49" fillId="0" borderId="16" applyNumberFormat="0" applyFill="0" applyAlignment="0" applyProtection="0"/>
    <xf numFmtId="184" fontId="50" fillId="0" borderId="0"/>
    <xf numFmtId="0" fontId="51" fillId="0" borderId="0" applyFill="0" applyBorder="0">
      <alignment horizontal="left" vertical="center"/>
    </xf>
    <xf numFmtId="0" fontId="52" fillId="15" borderId="0" applyNumberFormat="0" applyBorder="0" applyAlignment="0" applyProtection="0"/>
    <xf numFmtId="185" fontId="5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3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1" fillId="0" borderId="0"/>
    <xf numFmtId="0" fontId="26" fillId="0" borderId="0"/>
    <xf numFmtId="0" fontId="21" fillId="3" borderId="0"/>
    <xf numFmtId="0" fontId="54" fillId="0" borderId="0"/>
    <xf numFmtId="0" fontId="21" fillId="0" borderId="0"/>
    <xf numFmtId="0" fontId="21" fillId="0" borderId="0"/>
    <xf numFmtId="0" fontId="21" fillId="13" borderId="17" applyNumberFormat="0" applyFont="0" applyAlignment="0" applyProtection="0"/>
    <xf numFmtId="0" fontId="55" fillId="14" borderId="18" applyNumberFormat="0" applyAlignment="0" applyProtection="0"/>
    <xf numFmtId="186" fontId="21" fillId="0" borderId="0" applyFill="0" applyBorder="0"/>
    <xf numFmtId="186" fontId="21" fillId="0" borderId="0" applyFill="0" applyBorder="0"/>
    <xf numFmtId="186" fontId="21" fillId="0" borderId="0" applyFill="0" applyBorder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182" fontId="56" fillId="0" borderId="0"/>
    <xf numFmtId="0" fontId="11" fillId="0" borderId="0" applyFill="0" applyBorder="0">
      <alignment vertical="center"/>
    </xf>
    <xf numFmtId="0" fontId="32" fillId="0" borderId="0" applyNumberFormat="0" applyFont="0" applyFill="0" applyBorder="0" applyAlignment="0" applyProtection="0">
      <alignment horizontal="left"/>
    </xf>
    <xf numFmtId="15" fontId="32" fillId="0" borderId="0" applyFont="0" applyFill="0" applyBorder="0" applyAlignment="0" applyProtection="0"/>
    <xf numFmtId="4" fontId="32" fillId="0" borderId="0" applyFont="0" applyFill="0" applyBorder="0" applyAlignment="0" applyProtection="0"/>
    <xf numFmtId="187" fontId="57" fillId="0" borderId="19"/>
    <xf numFmtId="0" fontId="58" fillId="0" borderId="20">
      <alignment horizontal="center"/>
    </xf>
    <xf numFmtId="3" fontId="32" fillId="0" borderId="0" applyFont="0" applyFill="0" applyBorder="0" applyAlignment="0" applyProtection="0"/>
    <xf numFmtId="0" fontId="32" fillId="37" borderId="0" applyNumberFormat="0" applyFont="0" applyBorder="0" applyAlignment="0" applyProtection="0"/>
    <xf numFmtId="188" fontId="21" fillId="0" borderId="0"/>
    <xf numFmtId="188" fontId="21" fillId="0" borderId="0"/>
    <xf numFmtId="188" fontId="21" fillId="0" borderId="0"/>
    <xf numFmtId="189" fontId="14" fillId="0" borderId="0" applyFill="0" applyBorder="0">
      <alignment horizontal="right" vertical="center"/>
    </xf>
    <xf numFmtId="190" fontId="14" fillId="0" borderId="0" applyFill="0" applyBorder="0">
      <alignment horizontal="right" vertical="center"/>
    </xf>
    <xf numFmtId="191" fontId="14" fillId="0" borderId="0" applyFill="0" applyBorder="0">
      <alignment horizontal="right" vertical="center"/>
    </xf>
    <xf numFmtId="0" fontId="21" fillId="13" borderId="0" applyNumberFormat="0" applyFont="0" applyBorder="0" applyAlignment="0" applyProtection="0"/>
    <xf numFmtId="0" fontId="21" fillId="13" borderId="0" applyNumberFormat="0" applyFont="0" applyBorder="0" applyAlignment="0" applyProtection="0"/>
    <xf numFmtId="0" fontId="21" fillId="14" borderId="0" applyNumberFormat="0" applyFont="0" applyBorder="0" applyAlignment="0" applyProtection="0"/>
    <xf numFmtId="0" fontId="21" fillId="14" borderId="0" applyNumberFormat="0" applyFont="0" applyBorder="0" applyAlignment="0" applyProtection="0"/>
    <xf numFmtId="0" fontId="21" fillId="16" borderId="0" applyNumberFormat="0" applyFont="0" applyBorder="0" applyAlignment="0" applyProtection="0"/>
    <xf numFmtId="0" fontId="21" fillId="16" borderId="0" applyNumberFormat="0" applyFon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16" borderId="0" applyNumberFormat="0" applyFont="0" applyBorder="0" applyAlignment="0" applyProtection="0"/>
    <xf numFmtId="0" fontId="21" fillId="16" borderId="0" applyNumberFormat="0" applyFon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Border="0" applyAlignment="0" applyProtection="0"/>
    <xf numFmtId="0" fontId="21" fillId="0" borderId="0" applyNumberFormat="0" applyFont="0" applyBorder="0" applyAlignment="0" applyProtection="0"/>
    <xf numFmtId="0" fontId="59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51" fillId="0" borderId="0"/>
    <xf numFmtId="0" fontId="60" fillId="0" borderId="0"/>
    <xf numFmtId="15" fontId="21" fillId="0" borderId="0"/>
    <xf numFmtId="15" fontId="21" fillId="0" borderId="0"/>
    <xf numFmtId="15" fontId="21" fillId="0" borderId="0"/>
    <xf numFmtId="10" fontId="21" fillId="0" borderId="0"/>
    <xf numFmtId="10" fontId="21" fillId="0" borderId="0"/>
    <xf numFmtId="10" fontId="21" fillId="0" borderId="0"/>
    <xf numFmtId="0" fontId="61" fillId="9" borderId="7" applyBorder="0" applyProtection="0">
      <alignment horizontal="centerContinuous" vertical="center"/>
    </xf>
    <xf numFmtId="0" fontId="62" fillId="0" borderId="0" applyBorder="0" applyProtection="0">
      <alignment vertical="center"/>
    </xf>
    <xf numFmtId="0" fontId="63" fillId="0" borderId="0">
      <alignment horizontal="left"/>
    </xf>
    <xf numFmtId="0" fontId="63" fillId="0" borderId="10" applyFill="0" applyBorder="0" applyProtection="0">
      <alignment horizontal="left" vertical="top"/>
    </xf>
    <xf numFmtId="49" fontId="21" fillId="0" borderId="0" applyFont="0" applyFill="0" applyBorder="0" applyAlignment="0" applyProtection="0"/>
    <xf numFmtId="0" fontId="64" fillId="0" borderId="0"/>
    <xf numFmtId="49" fontId="21" fillId="0" borderId="0" applyFont="0" applyFill="0" applyBorder="0" applyAlignment="0" applyProtection="0"/>
    <xf numFmtId="0" fontId="65" fillId="0" borderId="0"/>
    <xf numFmtId="0" fontId="65" fillId="0" borderId="0"/>
    <xf numFmtId="0" fontId="64" fillId="0" borderId="0"/>
    <xf numFmtId="184" fontId="66" fillId="0" borderId="0"/>
    <xf numFmtId="0" fontId="59" fillId="0" borderId="0" applyNumberFormat="0" applyFill="0" applyBorder="0" applyAlignment="0" applyProtection="0"/>
    <xf numFmtId="0" fontId="67" fillId="0" borderId="0" applyFill="0" applyBorder="0">
      <alignment horizontal="left" vertical="center"/>
      <protection locked="0"/>
    </xf>
    <xf numFmtId="0" fontId="64" fillId="0" borderId="0"/>
    <xf numFmtId="0" fontId="68" fillId="0" borderId="0" applyFill="0" applyBorder="0">
      <alignment horizontal="left" vertical="center"/>
      <protection locked="0"/>
    </xf>
    <xf numFmtId="0" fontId="35" fillId="0" borderId="21" applyNumberFormat="0" applyFill="0" applyAlignment="0" applyProtection="0"/>
    <xf numFmtId="0" fontId="69" fillId="0" borderId="0" applyNumberFormat="0" applyFill="0" applyBorder="0" applyAlignment="0" applyProtection="0"/>
    <xf numFmtId="192" fontId="21" fillId="0" borderId="7" applyBorder="0" applyProtection="0">
      <alignment horizontal="right"/>
    </xf>
    <xf numFmtId="192" fontId="21" fillId="0" borderId="7" applyBorder="0" applyProtection="0">
      <alignment horizontal="right"/>
    </xf>
    <xf numFmtId="192" fontId="21" fillId="0" borderId="7" applyBorder="0" applyProtection="0">
      <alignment horizontal="right"/>
    </xf>
    <xf numFmtId="0" fontId="3" fillId="0" borderId="0"/>
    <xf numFmtId="9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75" fillId="42" borderId="0"/>
    <xf numFmtId="202" fontId="76" fillId="0" borderId="23">
      <alignment horizontal="center"/>
    </xf>
    <xf numFmtId="0" fontId="77" fillId="43" borderId="6">
      <alignment horizontal="center" vertical="center"/>
    </xf>
    <xf numFmtId="0" fontId="21" fillId="44" borderId="11"/>
    <xf numFmtId="0" fontId="78" fillId="0" borderId="0" applyFill="0" applyBorder="0"/>
    <xf numFmtId="0" fontId="79" fillId="0" borderId="0" applyNumberFormat="0" applyFill="0"/>
    <xf numFmtId="0" fontId="80" fillId="0" borderId="0" applyFill="0"/>
    <xf numFmtId="0" fontId="81" fillId="0" borderId="0" applyFill="0"/>
    <xf numFmtId="0" fontId="82" fillId="0" borderId="0" applyFill="0"/>
    <xf numFmtId="0" fontId="75" fillId="45" borderId="0"/>
    <xf numFmtId="0" fontId="21" fillId="38" borderId="24" applyNumberFormat="0" applyFont="0" applyAlignment="0"/>
    <xf numFmtId="0" fontId="83" fillId="7" borderId="25" applyNumberFormat="0"/>
    <xf numFmtId="0" fontId="84" fillId="46" borderId="0"/>
    <xf numFmtId="0" fontId="85" fillId="46" borderId="0" applyNumberFormat="0"/>
    <xf numFmtId="0" fontId="86" fillId="46" borderId="0"/>
    <xf numFmtId="0" fontId="87" fillId="47" borderId="6" applyNumberFormat="0">
      <alignment horizontal="center" vertical="center"/>
    </xf>
    <xf numFmtId="0" fontId="88" fillId="48" borderId="11" applyNumberFormat="0" applyAlignment="0">
      <alignment horizontal="right"/>
    </xf>
    <xf numFmtId="0" fontId="23" fillId="38" borderId="24" applyNumberFormat="0" applyAlignment="0"/>
    <xf numFmtId="0" fontId="76" fillId="0" borderId="0" applyNumberFormat="0" applyFill="0" applyBorder="0"/>
    <xf numFmtId="0" fontId="89" fillId="49" borderId="24" applyNumberFormat="0">
      <protection locked="0"/>
    </xf>
    <xf numFmtId="0" fontId="2" fillId="0" borderId="0"/>
    <xf numFmtId="0" fontId="91" fillId="50" borderId="29">
      <alignment vertical="center"/>
    </xf>
    <xf numFmtId="166" fontId="12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21" fillId="4" borderId="0" applyNumberFormat="0" applyFont="0" applyBorder="0" applyAlignment="0">
      <alignment horizontal="right"/>
    </xf>
    <xf numFmtId="164" fontId="21" fillId="4" borderId="0" applyNumberFormat="0" applyFont="0" applyBorder="0" applyAlignment="0">
      <alignment horizontal="right"/>
    </xf>
    <xf numFmtId="166" fontId="20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33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36" borderId="0" applyFont="0" applyBorder="0" applyAlignment="0">
      <alignment horizontal="right"/>
      <protection locked="0"/>
    </xf>
    <xf numFmtId="164" fontId="21" fillId="36" borderId="0" applyFont="0" applyBorder="0" applyAlignment="0">
      <alignment horizontal="right"/>
      <protection locked="0"/>
    </xf>
    <xf numFmtId="164" fontId="21" fillId="10" borderId="0" applyFont="0" applyBorder="0">
      <alignment horizontal="right"/>
      <protection locked="0"/>
    </xf>
    <xf numFmtId="164" fontId="21" fillId="10" borderId="0" applyFont="0" applyBorder="0">
      <alignment horizontal="right"/>
      <protection locked="0"/>
    </xf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2" fillId="0" borderId="0"/>
    <xf numFmtId="9" fontId="92" fillId="0" borderId="0" applyFont="0" applyFill="0" applyBorder="0" applyAlignment="0" applyProtection="0"/>
    <xf numFmtId="165" fontId="92" fillId="0" borderId="0" applyFont="0" applyFill="0" applyBorder="0" applyAlignment="0" applyProtection="0"/>
    <xf numFmtId="0" fontId="1" fillId="0" borderId="0"/>
    <xf numFmtId="166" fontId="92" fillId="0" borderId="0" applyFont="0" applyFill="0" applyBorder="0" applyAlignment="0" applyProtection="0"/>
    <xf numFmtId="0" fontId="92" fillId="0" borderId="0"/>
    <xf numFmtId="208" fontId="21" fillId="0" borderId="0" applyFill="0" applyBorder="0">
      <alignment vertical="center"/>
    </xf>
  </cellStyleXfs>
  <cellXfs count="229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/>
    <xf numFmtId="0" fontId="4" fillId="2" borderId="1" xfId="0" applyFont="1" applyFill="1" applyBorder="1"/>
    <xf numFmtId="168" fontId="5" fillId="3" borderId="0" xfId="0" applyNumberFormat="1" applyFont="1" applyFill="1"/>
    <xf numFmtId="168" fontId="6" fillId="0" borderId="0" xfId="0" applyNumberFormat="1" applyFont="1"/>
    <xf numFmtId="168" fontId="5" fillId="0" borderId="0" xfId="0" applyNumberFormat="1" applyFont="1"/>
    <xf numFmtId="168" fontId="7" fillId="0" borderId="0" xfId="0" applyNumberFormat="1" applyFont="1"/>
    <xf numFmtId="168" fontId="8" fillId="0" borderId="0" xfId="0" applyNumberFormat="1" applyFont="1" applyAlignment="1" applyProtection="1"/>
    <xf numFmtId="0" fontId="5" fillId="5" borderId="0" xfId="0" applyFont="1" applyFill="1" applyBorder="1"/>
    <xf numFmtId="0" fontId="5" fillId="6" borderId="0" xfId="0" applyFont="1" applyFill="1" applyBorder="1"/>
    <xf numFmtId="168" fontId="11" fillId="0" borderId="0" xfId="0" applyNumberFormat="1" applyFont="1"/>
    <xf numFmtId="168" fontId="7" fillId="0" borderId="0" xfId="0" applyNumberFormat="1" applyFont="1" applyAlignment="1">
      <alignment horizontal="center"/>
    </xf>
    <xf numFmtId="168" fontId="5" fillId="0" borderId="0" xfId="0" applyNumberFormat="1" applyFont="1" applyAlignment="1">
      <alignment horizontal="left" indent="1"/>
    </xf>
    <xf numFmtId="168" fontId="6" fillId="0" borderId="0" xfId="0" applyNumberFormat="1" applyFont="1" applyAlignment="1">
      <alignment horizontal="center"/>
    </xf>
    <xf numFmtId="168" fontId="0" fillId="0" borderId="0" xfId="0" applyNumberFormat="1"/>
    <xf numFmtId="166" fontId="11" fillId="0" borderId="6" xfId="0" applyNumberFormat="1" applyFont="1" applyBorder="1" applyAlignment="1">
      <alignment horizontal="center"/>
    </xf>
    <xf numFmtId="168" fontId="16" fillId="0" borderId="0" xfId="3" applyNumberFormat="1" applyFont="1" applyAlignment="1" applyProtection="1"/>
    <xf numFmtId="168" fontId="6" fillId="3" borderId="0" xfId="0" applyNumberFormat="1" applyFont="1" applyFill="1"/>
    <xf numFmtId="168" fontId="17" fillId="0" borderId="0" xfId="0" applyNumberFormat="1" applyFont="1" applyAlignment="1">
      <alignment horizontal="center"/>
    </xf>
    <xf numFmtId="173" fontId="14" fillId="0" borderId="0" xfId="5" applyNumberFormat="1" applyFont="1" applyFill="1" applyBorder="1" applyAlignment="1" applyProtection="1">
      <alignment horizontal="center" vertical="center"/>
    </xf>
    <xf numFmtId="174" fontId="11" fillId="0" borderId="0" xfId="5" applyNumberFormat="1" applyFont="1" applyFill="1" applyBorder="1" applyAlignment="1" applyProtection="1">
      <alignment horizontal="center" vertical="center"/>
    </xf>
    <xf numFmtId="174" fontId="19" fillId="0" borderId="0" xfId="5" applyNumberFormat="1" applyFont="1" applyFill="1" applyBorder="1" applyAlignment="1" applyProtection="1">
      <alignment horizontal="center" vertical="center"/>
    </xf>
    <xf numFmtId="175" fontId="5" fillId="0" borderId="0" xfId="0" applyNumberFormat="1" applyFont="1"/>
    <xf numFmtId="177" fontId="14" fillId="0" borderId="0" xfId="5" applyNumberFormat="1" applyFont="1" applyFill="1" applyBorder="1" applyAlignment="1" applyProtection="1">
      <alignment horizontal="center" vertical="center"/>
    </xf>
    <xf numFmtId="168" fontId="5" fillId="3" borderId="0" xfId="0" applyNumberFormat="1" applyFont="1" applyFill="1" applyProtection="1"/>
    <xf numFmtId="168" fontId="6" fillId="3" borderId="0" xfId="0" applyNumberFormat="1" applyFont="1" applyFill="1" applyAlignment="1" applyProtection="1">
      <alignment horizontal="center"/>
    </xf>
    <xf numFmtId="168" fontId="5" fillId="0" borderId="0" xfId="0" applyNumberFormat="1" applyFont="1" applyProtection="1"/>
    <xf numFmtId="168" fontId="6" fillId="0" borderId="0" xfId="0" applyNumberFormat="1" applyFont="1" applyAlignment="1" applyProtection="1">
      <alignment horizontal="center"/>
    </xf>
    <xf numFmtId="168" fontId="11" fillId="0" borderId="0" xfId="0" applyNumberFormat="1" applyFont="1" applyProtection="1"/>
    <xf numFmtId="168" fontId="17" fillId="0" borderId="0" xfId="0" applyNumberFormat="1" applyFont="1" applyAlignment="1" applyProtection="1">
      <alignment horizontal="center"/>
    </xf>
    <xf numFmtId="168" fontId="7" fillId="0" borderId="0" xfId="0" applyNumberFormat="1" applyFont="1" applyAlignment="1" applyProtection="1">
      <alignment horizontal="center"/>
    </xf>
    <xf numFmtId="168" fontId="16" fillId="0" borderId="0" xfId="3" applyNumberFormat="1" applyFont="1" applyAlignment="1" applyProtection="1">
      <alignment horizontal="center"/>
    </xf>
    <xf numFmtId="0" fontId="70" fillId="38" borderId="0" xfId="0" applyFont="1" applyFill="1" applyBorder="1" applyAlignment="1">
      <alignment horizontal="left" vertical="center"/>
    </xf>
    <xf numFmtId="0" fontId="70" fillId="38" borderId="0" xfId="0" applyFont="1" applyFill="1" applyBorder="1" applyAlignment="1">
      <alignment horizontal="left" indent="9"/>
    </xf>
    <xf numFmtId="0" fontId="71" fillId="38" borderId="0" xfId="0" applyFont="1" applyFill="1" applyBorder="1" applyAlignment="1" applyProtection="1"/>
    <xf numFmtId="0" fontId="0" fillId="38" borderId="0" xfId="0" applyFont="1" applyFill="1" applyBorder="1"/>
    <xf numFmtId="0" fontId="0" fillId="38" borderId="0" xfId="0" applyFont="1" applyFill="1" applyBorder="1" applyAlignment="1">
      <alignment horizontal="right"/>
    </xf>
    <xf numFmtId="166" fontId="22" fillId="38" borderId="0" xfId="0" applyNumberFormat="1" applyFont="1" applyFill="1" applyBorder="1" applyAlignment="1">
      <alignment horizontal="center"/>
    </xf>
    <xf numFmtId="0" fontId="72" fillId="38" borderId="1" xfId="0" applyFont="1" applyFill="1" applyBorder="1" applyAlignment="1">
      <alignment horizontal="left"/>
    </xf>
    <xf numFmtId="0" fontId="0" fillId="38" borderId="1" xfId="0" applyFont="1" applyFill="1" applyBorder="1"/>
    <xf numFmtId="0" fontId="0" fillId="39" borderId="4" xfId="0" applyFill="1" applyBorder="1"/>
    <xf numFmtId="0" fontId="23" fillId="39" borderId="4" xfId="0" applyFont="1" applyFill="1" applyBorder="1" applyAlignment="1">
      <alignment vertical="center"/>
    </xf>
    <xf numFmtId="0" fontId="0" fillId="39" borderId="4" xfId="0" applyFill="1" applyBorder="1" applyAlignment="1">
      <alignment wrapText="1"/>
    </xf>
    <xf numFmtId="165" fontId="23" fillId="39" borderId="4" xfId="0" applyNumberFormat="1" applyFont="1" applyFill="1" applyBorder="1" applyAlignment="1">
      <alignment horizontal="center" wrapText="1"/>
    </xf>
    <xf numFmtId="0" fontId="0" fillId="3" borderId="0" xfId="0" applyFill="1" applyBorder="1" applyAlignment="1">
      <alignment wrapText="1"/>
    </xf>
    <xf numFmtId="0" fontId="0" fillId="3" borderId="0" xfId="0" applyFill="1" applyAlignment="1">
      <alignment wrapText="1"/>
    </xf>
    <xf numFmtId="0" fontId="0" fillId="3" borderId="0" xfId="0" applyFill="1"/>
    <xf numFmtId="0" fontId="0" fillId="0" borderId="0" xfId="0" applyFill="1"/>
    <xf numFmtId="0" fontId="22" fillId="39" borderId="4" xfId="0" applyFont="1" applyFill="1" applyBorder="1"/>
    <xf numFmtId="169" fontId="5" fillId="41" borderId="3" xfId="0" applyNumberFormat="1" applyFont="1" applyFill="1" applyBorder="1" applyAlignment="1" applyProtection="1">
      <alignment horizontal="center"/>
      <protection locked="0"/>
    </xf>
    <xf numFmtId="0" fontId="72" fillId="38" borderId="0" xfId="0" applyFont="1" applyFill="1" applyBorder="1" applyAlignment="1">
      <alignment horizontal="left"/>
    </xf>
    <xf numFmtId="0" fontId="72" fillId="38" borderId="0" xfId="0" applyFont="1" applyFill="1" applyBorder="1" applyAlignment="1">
      <alignment horizontal="left" indent="9"/>
    </xf>
    <xf numFmtId="0" fontId="0" fillId="3" borderId="8" xfId="0" applyFill="1" applyBorder="1" applyAlignment="1">
      <alignment wrapText="1"/>
    </xf>
    <xf numFmtId="0" fontId="0" fillId="3" borderId="8" xfId="0" applyFill="1" applyBorder="1"/>
    <xf numFmtId="0" fontId="0" fillId="0" borderId="8" xfId="0" applyFill="1" applyBorder="1"/>
    <xf numFmtId="0" fontId="0" fillId="0" borderId="8" xfId="0" applyBorder="1"/>
    <xf numFmtId="0" fontId="5" fillId="40" borderId="0" xfId="0" applyFont="1" applyFill="1" applyBorder="1" applyAlignment="1">
      <alignment horizontal="center"/>
    </xf>
    <xf numFmtId="10" fontId="5" fillId="41" borderId="3" xfId="2" applyNumberFormat="1" applyFont="1" applyFill="1" applyBorder="1" applyAlignment="1" applyProtection="1">
      <alignment horizontal="center"/>
      <protection locked="0"/>
    </xf>
    <xf numFmtId="49" fontId="5" fillId="41" borderId="3" xfId="0" applyNumberFormat="1" applyFont="1" applyFill="1" applyBorder="1" applyAlignment="1" applyProtection="1">
      <alignment horizontal="left" indent="1"/>
      <protection locked="0"/>
    </xf>
    <xf numFmtId="168" fontId="17" fillId="0" borderId="0" xfId="0" applyNumberFormat="1" applyFont="1" applyAlignment="1" applyProtection="1">
      <alignment horizontal="center" wrapText="1"/>
    </xf>
    <xf numFmtId="193" fontId="5" fillId="41" borderId="3" xfId="0" applyNumberFormat="1" applyFont="1" applyFill="1" applyBorder="1" applyAlignment="1" applyProtection="1">
      <alignment horizontal="center"/>
      <protection locked="0"/>
    </xf>
    <xf numFmtId="197" fontId="5" fillId="0" borderId="0" xfId="0" applyNumberFormat="1" applyFont="1" applyAlignment="1" applyProtection="1">
      <alignment horizontal="left"/>
    </xf>
    <xf numFmtId="195" fontId="5" fillId="0" borderId="0" xfId="0" applyNumberFormat="1" applyFont="1" applyProtection="1"/>
    <xf numFmtId="168" fontId="6" fillId="0" borderId="0" xfId="0" applyNumberFormat="1" applyFont="1" applyAlignment="1" applyProtection="1">
      <alignment horizontal="center" wrapText="1"/>
    </xf>
    <xf numFmtId="168" fontId="7" fillId="0" borderId="0" xfId="0" applyNumberFormat="1" applyFont="1" applyProtection="1"/>
    <xf numFmtId="168" fontId="18" fillId="40" borderId="9" xfId="0" applyNumberFormat="1" applyFont="1" applyFill="1" applyBorder="1" applyAlignment="1" applyProtection="1">
      <alignment horizontal="center"/>
      <protection locked="0"/>
    </xf>
    <xf numFmtId="0" fontId="0" fillId="38" borderId="0" xfId="0" applyFont="1" applyFill="1" applyBorder="1" applyProtection="1"/>
    <xf numFmtId="0" fontId="70" fillId="38" borderId="0" xfId="0" applyFont="1" applyFill="1" applyBorder="1" applyAlignment="1" applyProtection="1">
      <alignment horizontal="left" vertical="center"/>
    </xf>
    <xf numFmtId="0" fontId="70" fillId="38" borderId="0" xfId="0" applyFont="1" applyFill="1" applyBorder="1" applyAlignment="1" applyProtection="1">
      <alignment horizontal="left" indent="9"/>
    </xf>
    <xf numFmtId="0" fontId="0" fillId="38" borderId="0" xfId="0" applyFont="1" applyFill="1" applyBorder="1" applyAlignment="1" applyProtection="1">
      <alignment horizontal="right"/>
    </xf>
    <xf numFmtId="0" fontId="5" fillId="40" borderId="0" xfId="0" applyFont="1" applyFill="1" applyBorder="1" applyAlignment="1" applyProtection="1">
      <alignment horizontal="center"/>
    </xf>
    <xf numFmtId="0" fontId="5" fillId="5" borderId="0" xfId="0" applyFont="1" applyFill="1" applyBorder="1" applyProtection="1"/>
    <xf numFmtId="0" fontId="5" fillId="6" borderId="0" xfId="0" applyFont="1" applyFill="1" applyBorder="1" applyProtection="1"/>
    <xf numFmtId="166" fontId="22" fillId="38" borderId="0" xfId="0" applyNumberFormat="1" applyFont="1" applyFill="1" applyBorder="1" applyAlignment="1" applyProtection="1">
      <alignment horizontal="center"/>
    </xf>
    <xf numFmtId="0" fontId="0" fillId="38" borderId="1" xfId="0" applyFont="1" applyFill="1" applyBorder="1" applyProtection="1"/>
    <xf numFmtId="0" fontId="72" fillId="38" borderId="1" xfId="0" applyFont="1" applyFill="1" applyBorder="1" applyAlignment="1" applyProtection="1">
      <alignment horizontal="left"/>
    </xf>
    <xf numFmtId="0" fontId="72" fillId="38" borderId="1" xfId="0" applyFont="1" applyFill="1" applyBorder="1" applyAlignment="1" applyProtection="1">
      <alignment horizontal="left" indent="9"/>
    </xf>
    <xf numFmtId="0" fontId="22" fillId="38" borderId="2" xfId="0" applyNumberFormat="1" applyFont="1" applyFill="1" applyBorder="1" applyProtection="1"/>
    <xf numFmtId="0" fontId="22" fillId="38" borderId="2" xfId="0" applyFont="1" applyFill="1" applyBorder="1" applyProtection="1"/>
    <xf numFmtId="0" fontId="73" fillId="38" borderId="2" xfId="0" applyNumberFormat="1" applyFont="1" applyFill="1" applyBorder="1" applyProtection="1"/>
    <xf numFmtId="0" fontId="73" fillId="39" borderId="4" xfId="0" applyFont="1" applyFill="1" applyBorder="1" applyProtection="1"/>
    <xf numFmtId="0" fontId="73" fillId="39" borderId="4" xfId="0" applyFont="1" applyFill="1" applyBorder="1" applyAlignment="1" applyProtection="1">
      <alignment horizontal="center"/>
    </xf>
    <xf numFmtId="0" fontId="18" fillId="39" borderId="4" xfId="0" applyFont="1" applyFill="1" applyBorder="1" applyAlignment="1" applyProtection="1">
      <alignment horizontal="center" vertical="center"/>
    </xf>
    <xf numFmtId="0" fontId="18" fillId="39" borderId="4" xfId="0" applyFont="1" applyFill="1" applyBorder="1" applyAlignment="1" applyProtection="1">
      <alignment vertical="center"/>
    </xf>
    <xf numFmtId="0" fontId="73" fillId="39" borderId="4" xfId="0" applyFont="1" applyFill="1" applyBorder="1" applyAlignment="1" applyProtection="1">
      <alignment wrapText="1"/>
    </xf>
    <xf numFmtId="165" fontId="18" fillId="39" borderId="4" xfId="0" applyNumberFormat="1" applyFont="1" applyFill="1" applyBorder="1" applyAlignment="1" applyProtection="1">
      <alignment horizontal="center" wrapText="1"/>
    </xf>
    <xf numFmtId="0" fontId="73" fillId="3" borderId="0" xfId="0" applyFont="1" applyFill="1" applyBorder="1" applyAlignment="1" applyProtection="1">
      <alignment wrapText="1"/>
    </xf>
    <xf numFmtId="0" fontId="73" fillId="3" borderId="0" xfId="0" applyFont="1" applyFill="1" applyAlignment="1" applyProtection="1">
      <alignment wrapText="1"/>
    </xf>
    <xf numFmtId="0" fontId="73" fillId="3" borderId="0" xfId="0" applyFont="1" applyFill="1" applyProtection="1"/>
    <xf numFmtId="0" fontId="73" fillId="0" borderId="0" xfId="0" applyFont="1" applyFill="1" applyProtection="1"/>
    <xf numFmtId="0" fontId="73" fillId="0" borderId="0" xfId="0" applyFont="1" applyProtection="1"/>
    <xf numFmtId="0" fontId="0" fillId="39" borderId="4" xfId="0" applyFill="1" applyBorder="1" applyProtection="1"/>
    <xf numFmtId="0" fontId="22" fillId="39" borderId="4" xfId="0" applyFont="1" applyFill="1" applyBorder="1" applyProtection="1"/>
    <xf numFmtId="0" fontId="23" fillId="39" borderId="4" xfId="0" applyFont="1" applyFill="1" applyBorder="1" applyAlignment="1" applyProtection="1">
      <alignment vertical="center"/>
    </xf>
    <xf numFmtId="0" fontId="0" fillId="39" borderId="4" xfId="0" applyFill="1" applyBorder="1" applyAlignment="1" applyProtection="1">
      <alignment wrapText="1"/>
    </xf>
    <xf numFmtId="165" fontId="23" fillId="39" borderId="4" xfId="0" applyNumberFormat="1" applyFont="1" applyFill="1" applyBorder="1" applyAlignment="1" applyProtection="1">
      <alignment horizontal="center" wrapText="1"/>
    </xf>
    <xf numFmtId="0" fontId="0" fillId="3" borderId="0" xfId="0" applyFill="1" applyBorder="1" applyAlignment="1" applyProtection="1">
      <alignment wrapText="1"/>
    </xf>
    <xf numFmtId="0" fontId="0" fillId="3" borderId="0" xfId="0" applyFill="1" applyAlignment="1" applyProtection="1">
      <alignment wrapText="1"/>
    </xf>
    <xf numFmtId="0" fontId="0" fillId="3" borderId="0" xfId="0" applyFill="1" applyProtection="1"/>
    <xf numFmtId="0" fontId="0" fillId="0" borderId="0" xfId="0" applyFill="1" applyProtection="1"/>
    <xf numFmtId="0" fontId="0" fillId="0" borderId="0" xfId="0" applyProtection="1"/>
    <xf numFmtId="168" fontId="7" fillId="0" borderId="0" xfId="0" applyNumberFormat="1" applyFont="1" applyFill="1" applyBorder="1" applyProtection="1"/>
    <xf numFmtId="168" fontId="6" fillId="0" borderId="0" xfId="0" applyNumberFormat="1" applyFont="1" applyFill="1" applyAlignment="1" applyProtection="1">
      <alignment horizontal="center"/>
    </xf>
    <xf numFmtId="168" fontId="5" fillId="0" borderId="0" xfId="0" applyNumberFormat="1" applyFont="1" applyBorder="1" applyAlignment="1" applyProtection="1">
      <alignment horizontal="left" indent="1"/>
    </xf>
    <xf numFmtId="168" fontId="5" fillId="0" borderId="0" xfId="0" applyNumberFormat="1" applyFont="1" applyAlignment="1" applyProtection="1">
      <alignment horizontal="center"/>
    </xf>
    <xf numFmtId="168" fontId="16" fillId="0" borderId="0" xfId="3" applyNumberFormat="1" applyFont="1" applyFill="1" applyAlignment="1" applyProtection="1">
      <alignment horizontal="center"/>
    </xf>
    <xf numFmtId="198" fontId="5" fillId="0" borderId="0" xfId="0" applyNumberFormat="1" applyFont="1" applyAlignment="1" applyProtection="1">
      <alignment horizontal="center"/>
    </xf>
    <xf numFmtId="168" fontId="6" fillId="0" borderId="0" xfId="0" applyNumberFormat="1" applyFont="1" applyBorder="1" applyAlignment="1" applyProtection="1">
      <alignment horizontal="center"/>
    </xf>
    <xf numFmtId="168" fontId="5" fillId="0" borderId="0" xfId="0" applyNumberFormat="1" applyFont="1" applyAlignment="1" applyProtection="1">
      <alignment horizontal="left" indent="1"/>
    </xf>
    <xf numFmtId="168" fontId="6" fillId="0" borderId="7" xfId="0" applyNumberFormat="1" applyFont="1" applyBorder="1" applyAlignment="1" applyProtection="1">
      <alignment horizontal="center"/>
    </xf>
    <xf numFmtId="168" fontId="7" fillId="0" borderId="8" xfId="0" applyNumberFormat="1" applyFont="1" applyBorder="1" applyAlignment="1" applyProtection="1">
      <alignment horizontal="left" indent="1"/>
    </xf>
    <xf numFmtId="168" fontId="6" fillId="0" borderId="8" xfId="0" applyNumberFormat="1" applyFont="1" applyBorder="1" applyAlignment="1" applyProtection="1">
      <alignment horizontal="center"/>
    </xf>
    <xf numFmtId="198" fontId="7" fillId="0" borderId="0" xfId="0" applyNumberFormat="1" applyFont="1" applyAlignment="1" applyProtection="1">
      <alignment horizontal="center"/>
    </xf>
    <xf numFmtId="168" fontId="6" fillId="0" borderId="0" xfId="0" applyNumberFormat="1" applyFont="1" applyAlignment="1" applyProtection="1">
      <alignment horizontal="left"/>
    </xf>
    <xf numFmtId="10" fontId="5" fillId="0" borderId="0" xfId="2" applyNumberFormat="1" applyFont="1" applyAlignment="1" applyProtection="1">
      <alignment horizontal="center"/>
    </xf>
    <xf numFmtId="168" fontId="7" fillId="0" borderId="8" xfId="0" applyNumberFormat="1" applyFont="1" applyBorder="1" applyProtection="1"/>
    <xf numFmtId="176" fontId="5" fillId="0" borderId="0" xfId="0" applyNumberFormat="1" applyFont="1" applyAlignment="1" applyProtection="1">
      <alignment horizontal="center"/>
    </xf>
    <xf numFmtId="168" fontId="7" fillId="0" borderId="0" xfId="0" applyNumberFormat="1" applyFont="1" applyBorder="1" applyAlignment="1" applyProtection="1">
      <alignment horizontal="center"/>
    </xf>
    <xf numFmtId="168" fontId="5" fillId="0" borderId="0" xfId="0" applyNumberFormat="1" applyFont="1" applyFill="1" applyAlignment="1" applyProtection="1">
      <alignment horizontal="left" indent="2"/>
    </xf>
    <xf numFmtId="168" fontId="17" fillId="0" borderId="8" xfId="0" applyNumberFormat="1" applyFont="1" applyBorder="1" applyAlignment="1" applyProtection="1">
      <alignment horizontal="center"/>
    </xf>
    <xf numFmtId="168" fontId="7" fillId="0" borderId="0" xfId="0" applyNumberFormat="1" applyFont="1" applyBorder="1" applyAlignment="1" applyProtection="1">
      <alignment horizontal="left" indent="1"/>
    </xf>
    <xf numFmtId="168" fontId="7" fillId="0" borderId="0" xfId="0" applyNumberFormat="1" applyFont="1" applyBorder="1" applyProtection="1"/>
    <xf numFmtId="195" fontId="7" fillId="0" borderId="0" xfId="0" applyNumberFormat="1" applyFont="1" applyBorder="1" applyAlignment="1" applyProtection="1">
      <alignment horizontal="center"/>
    </xf>
    <xf numFmtId="168" fontId="17" fillId="0" borderId="0" xfId="0" applyNumberFormat="1" applyFont="1" applyBorder="1" applyAlignment="1" applyProtection="1">
      <alignment horizontal="center"/>
    </xf>
    <xf numFmtId="201" fontId="5" fillId="0" borderId="0" xfId="0" applyNumberFormat="1" applyFont="1" applyAlignment="1" applyProtection="1">
      <alignment horizontal="center"/>
    </xf>
    <xf numFmtId="201" fontId="7" fillId="0" borderId="0" xfId="0" applyNumberFormat="1" applyFont="1" applyAlignment="1" applyProtection="1">
      <alignment horizontal="center"/>
    </xf>
    <xf numFmtId="199" fontId="11" fillId="0" borderId="4" xfId="5" applyNumberFormat="1" applyFont="1" applyFill="1" applyBorder="1" applyAlignment="1" applyProtection="1">
      <alignment horizontal="center" vertical="center"/>
    </xf>
    <xf numFmtId="49" fontId="6" fillId="41" borderId="22" xfId="0" applyNumberFormat="1" applyFont="1" applyFill="1" applyBorder="1" applyAlignment="1" applyProtection="1">
      <alignment horizontal="center"/>
      <protection locked="0"/>
    </xf>
    <xf numFmtId="166" fontId="11" fillId="0" borderId="3" xfId="0" applyNumberFormat="1" applyFont="1" applyBorder="1" applyAlignment="1" applyProtection="1">
      <alignment horizontal="center"/>
    </xf>
    <xf numFmtId="166" fontId="11" fillId="0" borderId="0" xfId="0" applyNumberFormat="1" applyFont="1" applyBorder="1" applyAlignment="1" applyProtection="1">
      <alignment horizontal="center"/>
    </xf>
    <xf numFmtId="0" fontId="9" fillId="38" borderId="2" xfId="0" applyNumberFormat="1" applyFont="1" applyFill="1" applyBorder="1" applyProtection="1"/>
    <xf numFmtId="0" fontId="9" fillId="38" borderId="2" xfId="0" applyFont="1" applyFill="1" applyBorder="1" applyProtection="1"/>
    <xf numFmtId="0" fontId="10" fillId="38" borderId="2" xfId="0" applyNumberFormat="1" applyFont="1" applyFill="1" applyBorder="1" applyAlignment="1" applyProtection="1">
      <alignment horizontal="center"/>
    </xf>
    <xf numFmtId="0" fontId="10" fillId="38" borderId="2" xfId="0" applyNumberFormat="1" applyFont="1" applyFill="1" applyBorder="1" applyProtection="1"/>
    <xf numFmtId="168" fontId="7" fillId="0" borderId="7" xfId="0" applyNumberFormat="1" applyFont="1" applyBorder="1" applyProtection="1"/>
    <xf numFmtId="168" fontId="5" fillId="0" borderId="7" xfId="0" applyNumberFormat="1" applyFont="1" applyBorder="1" applyProtection="1"/>
    <xf numFmtId="168" fontId="7" fillId="0" borderId="4" xfId="0" applyNumberFormat="1" applyFont="1" applyBorder="1" applyAlignment="1" applyProtection="1">
      <alignment horizontal="left"/>
    </xf>
    <xf numFmtId="168" fontId="6" fillId="0" borderId="4" xfId="0" applyNumberFormat="1" applyFont="1" applyBorder="1" applyAlignment="1" applyProtection="1">
      <alignment horizontal="center"/>
    </xf>
    <xf numFmtId="166" fontId="5" fillId="0" borderId="0" xfId="0" applyNumberFormat="1" applyFont="1" applyProtection="1"/>
    <xf numFmtId="168" fontId="5" fillId="0" borderId="0" xfId="0" applyNumberFormat="1" applyFont="1" applyBorder="1" applyProtection="1"/>
    <xf numFmtId="10" fontId="5" fillId="0" borderId="0" xfId="2" applyNumberFormat="1" applyFont="1" applyBorder="1" applyAlignment="1" applyProtection="1">
      <alignment horizontal="center"/>
    </xf>
    <xf numFmtId="168" fontId="6" fillId="0" borderId="0" xfId="6" applyNumberFormat="1" applyFont="1" applyAlignment="1" applyProtection="1">
      <alignment horizontal="center"/>
    </xf>
    <xf numFmtId="172" fontId="14" fillId="0" borderId="0" xfId="2" applyNumberFormat="1" applyFont="1" applyFill="1" applyBorder="1" applyAlignment="1" applyProtection="1">
      <alignment horizontal="center" vertical="center"/>
    </xf>
    <xf numFmtId="176" fontId="5" fillId="0" borderId="0" xfId="0" applyNumberFormat="1" applyFont="1" applyProtection="1"/>
    <xf numFmtId="168" fontId="5" fillId="0" borderId="0" xfId="0" applyNumberFormat="1" applyFont="1" applyAlignment="1" applyProtection="1">
      <alignment horizontal="left"/>
    </xf>
    <xf numFmtId="194" fontId="5" fillId="8" borderId="3" xfId="0" applyNumberFormat="1" applyFont="1" applyFill="1" applyBorder="1" applyAlignment="1" applyProtection="1">
      <alignment horizontal="left" indent="1"/>
    </xf>
    <xf numFmtId="0" fontId="74" fillId="39" borderId="4" xfId="0" applyFont="1" applyFill="1" applyBorder="1" applyAlignment="1" applyProtection="1"/>
    <xf numFmtId="196" fontId="6" fillId="41" borderId="3" xfId="2" applyNumberFormat="1" applyFont="1" applyFill="1" applyBorder="1" applyAlignment="1" applyProtection="1">
      <alignment horizontal="center"/>
      <protection locked="0"/>
    </xf>
    <xf numFmtId="200" fontId="7" fillId="0" borderId="0" xfId="0" applyNumberFormat="1" applyFont="1" applyBorder="1" applyAlignment="1" applyProtection="1">
      <alignment horizontal="center"/>
    </xf>
    <xf numFmtId="168" fontId="5" fillId="0" borderId="0" xfId="0" applyNumberFormat="1" applyFont="1" applyProtection="1">
      <protection locked="0"/>
    </xf>
    <xf numFmtId="203" fontId="5" fillId="41" borderId="3" xfId="0" applyNumberFormat="1" applyFont="1" applyFill="1" applyBorder="1" applyAlignment="1" applyProtection="1">
      <alignment horizontal="center"/>
      <protection locked="0"/>
    </xf>
    <xf numFmtId="1" fontId="5" fillId="41" borderId="3" xfId="0" applyNumberFormat="1" applyFont="1" applyFill="1" applyBorder="1" applyAlignment="1" applyProtection="1">
      <alignment horizontal="center"/>
      <protection locked="0"/>
    </xf>
    <xf numFmtId="204" fontId="73" fillId="39" borderId="4" xfId="0" applyNumberFormat="1" applyFont="1" applyFill="1" applyBorder="1" applyAlignment="1" applyProtection="1">
      <alignment horizontal="center" wrapText="1"/>
    </xf>
    <xf numFmtId="204" fontId="90" fillId="38" borderId="2" xfId="0" applyNumberFormat="1" applyFont="1" applyFill="1" applyBorder="1" applyAlignment="1" applyProtection="1">
      <alignment horizontal="center"/>
    </xf>
    <xf numFmtId="204" fontId="73" fillId="38" borderId="2" xfId="0" applyNumberFormat="1" applyFont="1" applyFill="1" applyBorder="1" applyAlignment="1" applyProtection="1">
      <alignment horizontal="left"/>
    </xf>
    <xf numFmtId="204" fontId="7" fillId="0" borderId="7" xfId="0" applyNumberFormat="1" applyFont="1" applyBorder="1" applyAlignment="1" applyProtection="1">
      <alignment horizontal="center"/>
    </xf>
    <xf numFmtId="204" fontId="5" fillId="0" borderId="0" xfId="0" applyNumberFormat="1" applyFont="1" applyAlignment="1">
      <alignment horizontal="left" indent="1"/>
    </xf>
    <xf numFmtId="204" fontId="6" fillId="0" borderId="0" xfId="0" applyNumberFormat="1" applyFont="1" applyAlignment="1" applyProtection="1">
      <alignment horizontal="center"/>
    </xf>
    <xf numFmtId="204" fontId="6" fillId="41" borderId="22" xfId="0" applyNumberFormat="1" applyFont="1" applyFill="1" applyBorder="1" applyAlignment="1" applyProtection="1">
      <alignment horizontal="center"/>
      <protection locked="0"/>
    </xf>
    <xf numFmtId="204" fontId="7" fillId="0" borderId="0" xfId="0" applyNumberFormat="1" applyFont="1" applyBorder="1" applyAlignment="1" applyProtection="1">
      <alignment horizontal="center"/>
    </xf>
    <xf numFmtId="2" fontId="5" fillId="0" borderId="0" xfId="0" applyNumberFormat="1" applyFont="1" applyFill="1" applyBorder="1" applyAlignment="1" applyProtection="1">
      <alignment horizontal="center"/>
      <protection locked="0"/>
    </xf>
    <xf numFmtId="168" fontId="5" fillId="0" borderId="0" xfId="0" applyNumberFormat="1" applyFont="1" applyFill="1" applyBorder="1" applyProtection="1"/>
    <xf numFmtId="204" fontId="5" fillId="0" borderId="0" xfId="0" applyNumberFormat="1" applyFont="1" applyAlignment="1" applyProtection="1">
      <alignment horizontal="left" indent="1"/>
    </xf>
    <xf numFmtId="168" fontId="13" fillId="0" borderId="0" xfId="3" applyNumberFormat="1" applyAlignment="1" applyProtection="1">
      <alignment horizontal="center"/>
    </xf>
    <xf numFmtId="10" fontId="5" fillId="41" borderId="26" xfId="2" applyNumberFormat="1" applyFont="1" applyFill="1" applyBorder="1" applyAlignment="1" applyProtection="1">
      <alignment horizontal="center"/>
      <protection locked="0"/>
    </xf>
    <xf numFmtId="168" fontId="6" fillId="0" borderId="0" xfId="0" applyNumberFormat="1" applyFont="1" applyFill="1" applyBorder="1" applyAlignment="1" applyProtection="1">
      <alignment horizontal="center"/>
    </xf>
    <xf numFmtId="10" fontId="5" fillId="0" borderId="0" xfId="2" applyNumberFormat="1" applyFont="1" applyFill="1" applyBorder="1" applyAlignment="1" applyProtection="1">
      <alignment horizontal="center"/>
      <protection locked="0"/>
    </xf>
    <xf numFmtId="196" fontId="5" fillId="0" borderId="0" xfId="2" applyNumberFormat="1" applyFont="1" applyFill="1" applyBorder="1" applyAlignment="1" applyProtection="1">
      <alignment horizontal="center"/>
      <protection locked="0"/>
    </xf>
    <xf numFmtId="204" fontId="5" fillId="41" borderId="3" xfId="2" applyNumberFormat="1" applyFont="1" applyFill="1" applyBorder="1" applyAlignment="1" applyProtection="1">
      <alignment horizontal="center"/>
      <protection locked="0"/>
    </xf>
    <xf numFmtId="0" fontId="73" fillId="38" borderId="27" xfId="0" applyNumberFormat="1" applyFont="1" applyFill="1" applyBorder="1" applyAlignment="1" applyProtection="1"/>
    <xf numFmtId="168" fontId="5" fillId="0" borderId="0" xfId="0" applyNumberFormat="1" applyFont="1" applyBorder="1" applyAlignment="1" applyProtection="1">
      <alignment horizontal="center"/>
    </xf>
    <xf numFmtId="204" fontId="17" fillId="0" borderId="0" xfId="0" applyNumberFormat="1" applyFont="1" applyAlignment="1" applyProtection="1">
      <alignment horizontal="center"/>
    </xf>
    <xf numFmtId="201" fontId="5" fillId="0" borderId="0" xfId="0" applyNumberFormat="1" applyFont="1" applyBorder="1" applyAlignment="1" applyProtection="1">
      <alignment horizontal="center"/>
    </xf>
    <xf numFmtId="201" fontId="7" fillId="0" borderId="0" xfId="0" applyNumberFormat="1" applyFont="1" applyBorder="1" applyAlignment="1" applyProtection="1">
      <alignment horizontal="center"/>
    </xf>
    <xf numFmtId="198" fontId="7" fillId="0" borderId="0" xfId="0" applyNumberFormat="1" applyFont="1" applyBorder="1" applyAlignment="1" applyProtection="1">
      <alignment horizontal="center"/>
    </xf>
    <xf numFmtId="168" fontId="7" fillId="0" borderId="7" xfId="0" applyNumberFormat="1" applyFont="1" applyBorder="1" applyAlignment="1" applyProtection="1">
      <alignment horizontal="left" indent="1"/>
    </xf>
    <xf numFmtId="204" fontId="6" fillId="0" borderId="7" xfId="0" applyNumberFormat="1" applyFont="1" applyBorder="1" applyAlignment="1" applyProtection="1">
      <alignment horizontal="center"/>
    </xf>
    <xf numFmtId="205" fontId="5" fillId="0" borderId="0" xfId="2" applyNumberFormat="1" applyFont="1" applyFill="1" applyBorder="1" applyAlignment="1" applyProtection="1">
      <alignment horizontal="center"/>
    </xf>
    <xf numFmtId="0" fontId="13" fillId="38" borderId="0" xfId="3" applyFill="1" applyBorder="1" applyAlignment="1">
      <alignment horizontal="right"/>
    </xf>
    <xf numFmtId="0" fontId="73" fillId="38" borderId="2" xfId="0" applyNumberFormat="1" applyFont="1" applyFill="1" applyBorder="1" applyAlignment="1" applyProtection="1">
      <alignment horizontal="center"/>
    </xf>
    <xf numFmtId="0" fontId="5" fillId="0" borderId="3" xfId="0" applyNumberFormat="1" applyFont="1" applyFill="1" applyBorder="1" applyAlignment="1" applyProtection="1">
      <alignment horizontal="center"/>
      <protection locked="0"/>
    </xf>
    <xf numFmtId="1" fontId="5" fillId="0" borderId="3" xfId="0" applyNumberFormat="1" applyFont="1" applyFill="1" applyBorder="1" applyAlignment="1" applyProtection="1">
      <alignment horizontal="center"/>
      <protection locked="0"/>
    </xf>
    <xf numFmtId="204" fontId="5" fillId="0" borderId="3" xfId="0" applyNumberFormat="1" applyFont="1" applyFill="1" applyBorder="1" applyAlignment="1" applyProtection="1">
      <alignment horizontal="center"/>
      <protection locked="0"/>
    </xf>
    <xf numFmtId="2" fontId="11" fillId="0" borderId="4" xfId="5" applyNumberFormat="1" applyFont="1" applyFill="1" applyBorder="1" applyAlignment="1" applyProtection="1">
      <alignment horizontal="center" vertical="center"/>
    </xf>
    <xf numFmtId="0" fontId="13" fillId="38" borderId="0" xfId="3" applyFill="1" applyBorder="1" applyAlignment="1" applyProtection="1">
      <alignment horizontal="right"/>
    </xf>
    <xf numFmtId="195" fontId="5" fillId="0" borderId="0" xfId="0" applyNumberFormat="1" applyFont="1" applyProtection="1">
      <protection locked="0"/>
    </xf>
    <xf numFmtId="195" fontId="7" fillId="0" borderId="0" xfId="0" applyNumberFormat="1" applyFont="1" applyProtection="1">
      <protection locked="0"/>
    </xf>
    <xf numFmtId="49" fontId="6" fillId="0" borderId="22" xfId="0" applyNumberFormat="1" applyFont="1" applyFill="1" applyBorder="1" applyAlignment="1" applyProtection="1">
      <alignment horizontal="center"/>
    </xf>
    <xf numFmtId="204" fontId="6" fillId="0" borderId="22" xfId="0" applyNumberFormat="1" applyFont="1" applyFill="1" applyBorder="1" applyAlignment="1" applyProtection="1">
      <alignment horizontal="center"/>
    </xf>
    <xf numFmtId="10" fontId="5" fillId="0" borderId="0" xfId="2" applyNumberFormat="1" applyFont="1" applyFill="1" applyBorder="1" applyAlignment="1" applyProtection="1">
      <alignment horizontal="center"/>
    </xf>
    <xf numFmtId="182" fontId="5" fillId="0" borderId="0" xfId="2" applyNumberFormat="1" applyFont="1" applyAlignment="1" applyProtection="1">
      <alignment horizontal="center"/>
      <protection locked="0"/>
    </xf>
    <xf numFmtId="174" fontId="11" fillId="0" borderId="0" xfId="5" applyNumberFormat="1" applyFont="1" applyFill="1" applyBorder="1" applyAlignment="1" applyProtection="1">
      <alignment horizontal="center" vertical="center"/>
      <protection locked="0"/>
    </xf>
    <xf numFmtId="168" fontId="14" fillId="0" borderId="0" xfId="5" applyNumberFormat="1" applyFont="1" applyFill="1" applyBorder="1" applyAlignment="1" applyProtection="1">
      <alignment horizontal="center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168" fontId="5" fillId="0" borderId="0" xfId="0" applyNumberFormat="1" applyFont="1" applyFill="1" applyProtection="1"/>
    <xf numFmtId="49" fontId="5" fillId="0" borderId="3" xfId="0" applyNumberFormat="1" applyFont="1" applyFill="1" applyBorder="1" applyAlignment="1" applyProtection="1">
      <alignment horizontal="left" indent="1"/>
      <protection locked="0"/>
    </xf>
    <xf numFmtId="204" fontId="5" fillId="0" borderId="0" xfId="2" applyNumberFormat="1" applyFont="1" applyFill="1" applyBorder="1" applyAlignment="1" applyProtection="1">
      <alignment horizontal="center"/>
      <protection locked="0"/>
    </xf>
    <xf numFmtId="168" fontId="17" fillId="0" borderId="0" xfId="0" applyNumberFormat="1" applyFont="1" applyFill="1" applyAlignment="1" applyProtection="1">
      <alignment horizontal="center"/>
    </xf>
    <xf numFmtId="168" fontId="5" fillId="0" borderId="0" xfId="0" applyNumberFormat="1" applyFont="1" applyFill="1" applyBorder="1" applyAlignment="1" applyProtection="1">
      <alignment horizontal="center"/>
      <protection locked="0"/>
    </xf>
    <xf numFmtId="182" fontId="5" fillId="0" borderId="0" xfId="2" applyNumberFormat="1" applyFont="1" applyFill="1" applyBorder="1" applyAlignment="1" applyProtection="1">
      <alignment horizontal="center"/>
      <protection locked="0"/>
    </xf>
    <xf numFmtId="204" fontId="6" fillId="0" borderId="22" xfId="0" applyNumberFormat="1" applyFont="1" applyFill="1" applyBorder="1" applyAlignment="1" applyProtection="1">
      <alignment horizontal="center"/>
      <protection locked="0"/>
    </xf>
    <xf numFmtId="168" fontId="6" fillId="0" borderId="0" xfId="0" applyNumberFormat="1" applyFont="1" applyAlignment="1" applyProtection="1">
      <alignment horizontal="center"/>
      <protection locked="0"/>
    </xf>
    <xf numFmtId="168" fontId="6" fillId="0" borderId="0" xfId="0" applyNumberFormat="1" applyFont="1" applyFill="1" applyBorder="1" applyAlignment="1" applyProtection="1">
      <alignment horizontal="center"/>
      <protection locked="0"/>
    </xf>
    <xf numFmtId="204" fontId="18" fillId="8" borderId="9" xfId="0" applyNumberFormat="1" applyFont="1" applyFill="1" applyBorder="1" applyAlignment="1" applyProtection="1">
      <alignment horizontal="center"/>
      <protection locked="0"/>
    </xf>
    <xf numFmtId="206" fontId="5" fillId="0" borderId="0" xfId="0" applyNumberFormat="1" applyFont="1" applyProtection="1">
      <protection locked="0"/>
    </xf>
    <xf numFmtId="10" fontId="14" fillId="0" borderId="0" xfId="2" applyNumberFormat="1" applyFont="1" applyFill="1" applyBorder="1" applyAlignment="1" applyProtection="1">
      <alignment horizontal="center" vertical="center"/>
    </xf>
    <xf numFmtId="207" fontId="6" fillId="0" borderId="0" xfId="0" applyNumberFormat="1" applyFont="1" applyAlignment="1">
      <alignment horizontal="left"/>
    </xf>
    <xf numFmtId="168" fontId="5" fillId="0" borderId="0" xfId="0" quotePrefix="1" applyNumberFormat="1" applyFont="1"/>
    <xf numFmtId="10" fontId="5" fillId="0" borderId="0" xfId="2" applyNumberFormat="1" applyFont="1" applyProtection="1">
      <protection locked="0"/>
    </xf>
    <xf numFmtId="204" fontId="14" fillId="8" borderId="9" xfId="0" applyNumberFormat="1" applyFont="1" applyFill="1" applyBorder="1" applyAlignment="1" applyProtection="1">
      <alignment horizontal="center"/>
      <protection locked="0"/>
    </xf>
    <xf numFmtId="1" fontId="5" fillId="0" borderId="0" xfId="0" applyNumberFormat="1" applyFont="1" applyFill="1" applyBorder="1" applyAlignment="1" applyProtection="1">
      <alignment horizontal="center"/>
      <protection locked="0"/>
    </xf>
    <xf numFmtId="204" fontId="5" fillId="0" borderId="0" xfId="0" applyNumberFormat="1" applyFont="1" applyFill="1" applyBorder="1" applyAlignment="1" applyProtection="1">
      <alignment horizontal="center"/>
      <protection locked="0"/>
    </xf>
    <xf numFmtId="168" fontId="7" fillId="0" borderId="0" xfId="0" applyNumberFormat="1" applyFont="1" applyBorder="1" applyAlignment="1">
      <alignment horizontal="center"/>
    </xf>
    <xf numFmtId="168" fontId="6" fillId="41" borderId="3" xfId="0" applyNumberFormat="1" applyFont="1" applyFill="1" applyBorder="1" applyAlignment="1" applyProtection="1">
      <alignment horizontal="center"/>
    </xf>
    <xf numFmtId="204" fontId="6" fillId="41" borderId="3" xfId="0" applyNumberFormat="1" applyFont="1" applyFill="1" applyBorder="1" applyAlignment="1" applyProtection="1">
      <alignment horizontal="center"/>
    </xf>
    <xf numFmtId="0" fontId="71" fillId="38" borderId="0" xfId="3" applyFont="1" applyFill="1" applyBorder="1" applyAlignment="1" applyProtection="1"/>
    <xf numFmtId="0" fontId="73" fillId="38" borderId="2" xfId="0" applyNumberFormat="1" applyFont="1" applyFill="1" applyBorder="1" applyAlignment="1" applyProtection="1">
      <alignment horizontal="center"/>
    </xf>
    <xf numFmtId="2" fontId="19" fillId="0" borderId="0" xfId="0" applyNumberFormat="1" applyFont="1" applyFill="1" applyBorder="1" applyAlignment="1" applyProtection="1">
      <alignment horizontal="center"/>
      <protection locked="0"/>
    </xf>
    <xf numFmtId="168" fontId="5" fillId="51" borderId="3" xfId="0" applyNumberFormat="1" applyFont="1" applyFill="1" applyBorder="1" applyAlignment="1" applyProtection="1">
      <alignment horizontal="left" indent="1"/>
      <protection locked="0"/>
    </xf>
    <xf numFmtId="168" fontId="5" fillId="41" borderId="3" xfId="0" applyNumberFormat="1" applyFont="1" applyFill="1" applyBorder="1" applyAlignment="1" applyProtection="1">
      <alignment horizontal="left" indent="1"/>
      <protection locked="0"/>
    </xf>
    <xf numFmtId="0" fontId="5" fillId="41" borderId="3" xfId="0" applyNumberFormat="1" applyFont="1" applyFill="1" applyBorder="1" applyAlignment="1" applyProtection="1">
      <alignment horizontal="left" indent="1"/>
      <protection locked="0"/>
    </xf>
    <xf numFmtId="194" fontId="7" fillId="40" borderId="28" xfId="0" applyNumberFormat="1" applyFont="1" applyFill="1" applyBorder="1" applyAlignment="1" applyProtection="1">
      <alignment horizontal="center"/>
      <protection locked="0"/>
    </xf>
    <xf numFmtId="193" fontId="5" fillId="41" borderId="3" xfId="0" applyNumberFormat="1" applyFont="1" applyFill="1" applyBorder="1" applyAlignment="1" applyProtection="1">
      <alignment horizontal="center"/>
      <protection locked="0"/>
    </xf>
    <xf numFmtId="209" fontId="7" fillId="0" borderId="0" xfId="0" applyNumberFormat="1" applyFont="1" applyBorder="1" applyAlignment="1" applyProtection="1">
      <alignment horizontal="center"/>
    </xf>
    <xf numFmtId="168" fontId="13" fillId="0" borderId="0" xfId="3" applyNumberFormat="1" applyAlignment="1" applyProtection="1"/>
    <xf numFmtId="0" fontId="73" fillId="38" borderId="2" xfId="0" applyNumberFormat="1" applyFont="1" applyFill="1" applyBorder="1" applyAlignment="1" applyProtection="1">
      <alignment horizontal="center"/>
    </xf>
  </cellXfs>
  <cellStyles count="305">
    <cellStyle name=" 1" xfId="10"/>
    <cellStyle name=" 1 2" xfId="11"/>
    <cellStyle name=" 1_29(d) - Gas extensions -tariffs" xfId="12"/>
    <cellStyle name="_Capex" xfId="13"/>
    <cellStyle name="_Capex 2" xfId="14"/>
    <cellStyle name="_Capex_29(d) - Gas extensions -tariffs" xfId="15"/>
    <cellStyle name="_UED AMP 2009-14 Final 250309 Less PU" xfId="16"/>
    <cellStyle name="_UED AMP 2009-14 Final 250309 Less PU_1011 monthly" xfId="17"/>
    <cellStyle name="20% - Accent1 2" xfId="18"/>
    <cellStyle name="20% - Accent2 2" xfId="19"/>
    <cellStyle name="20% - Accent3 2" xfId="20"/>
    <cellStyle name="20% - Accent4 2" xfId="21"/>
    <cellStyle name="20% - Accent5 2" xfId="22"/>
    <cellStyle name="20% - Accent6 2" xfId="23"/>
    <cellStyle name="40% - Accent1 2" xfId="24"/>
    <cellStyle name="40% - Accent2 2" xfId="25"/>
    <cellStyle name="40% - Accent3 2" xfId="26"/>
    <cellStyle name="40% - Accent4 2" xfId="27"/>
    <cellStyle name="40% - Accent5 2" xfId="28"/>
    <cellStyle name="40% - Accent6 2" xfId="29"/>
    <cellStyle name="60% - Accent1 2" xfId="30"/>
    <cellStyle name="60% - Accent2 2" xfId="31"/>
    <cellStyle name="60% - Accent3 2" xfId="32"/>
    <cellStyle name="60% - Accent4 2" xfId="33"/>
    <cellStyle name="60% - Accent5 2" xfId="34"/>
    <cellStyle name="60% - Accent6 2" xfId="35"/>
    <cellStyle name="Accent1 - 20%" xfId="36"/>
    <cellStyle name="Accent1 - 40%" xfId="37"/>
    <cellStyle name="Accent1 - 60%" xfId="38"/>
    <cellStyle name="Accent1 2" xfId="39"/>
    <cellStyle name="Accent2 - 20%" xfId="40"/>
    <cellStyle name="Accent2 - 40%" xfId="41"/>
    <cellStyle name="Accent2 - 60%" xfId="42"/>
    <cellStyle name="Accent2 2" xfId="43"/>
    <cellStyle name="Accent3 - 20%" xfId="44"/>
    <cellStyle name="Accent3 - 40%" xfId="45"/>
    <cellStyle name="Accent3 - 60%" xfId="46"/>
    <cellStyle name="Accent3 2" xfId="47"/>
    <cellStyle name="Accent4 - 20%" xfId="48"/>
    <cellStyle name="Accent4 - 40%" xfId="49"/>
    <cellStyle name="Accent4 - 60%" xfId="50"/>
    <cellStyle name="Accent4 2" xfId="51"/>
    <cellStyle name="Accent5 - 20%" xfId="52"/>
    <cellStyle name="Accent5 - 40%" xfId="53"/>
    <cellStyle name="Accent5 - 60%" xfId="54"/>
    <cellStyle name="Accent5 2" xfId="55"/>
    <cellStyle name="Accent6 - 20%" xfId="56"/>
    <cellStyle name="Accent6 - 40%" xfId="57"/>
    <cellStyle name="Accent6 - 60%" xfId="58"/>
    <cellStyle name="Accent6 2" xfId="59"/>
    <cellStyle name="Agara" xfId="60"/>
    <cellStyle name="Assumptions Right Number" xfId="5"/>
    <cellStyle name="B79812_.wvu.PrintTitlest" xfId="61"/>
    <cellStyle name="Bad 2" xfId="62"/>
    <cellStyle name="Black" xfId="63"/>
    <cellStyle name="Blockout" xfId="64"/>
    <cellStyle name="Blockout 2" xfId="65"/>
    <cellStyle name="Blockout 2 2" xfId="269"/>
    <cellStyle name="Blockout 3" xfId="268"/>
    <cellStyle name="Blue" xfId="66"/>
    <cellStyle name="Calcs_Divider" xfId="244"/>
    <cellStyle name="Calculation 2" xfId="67"/>
    <cellStyle name="Check" xfId="245"/>
    <cellStyle name="Check Cell 2" xfId="68"/>
    <cellStyle name="Column_Heading_1" xfId="246"/>
    <cellStyle name="Comma" xfId="6" builtinId="3"/>
    <cellStyle name="Comma [0]7Z_87C" xfId="69"/>
    <cellStyle name="Comma 0" xfId="70"/>
    <cellStyle name="Comma 1" xfId="71"/>
    <cellStyle name="Comma 1 2" xfId="72"/>
    <cellStyle name="Comma 10" xfId="266"/>
    <cellStyle name="Comma 2" xfId="8"/>
    <cellStyle name="Comma 2 2" xfId="73"/>
    <cellStyle name="Comma 2 2 2" xfId="270"/>
    <cellStyle name="Comma 2 3" xfId="74"/>
    <cellStyle name="Comma 2 3 2" xfId="75"/>
    <cellStyle name="Comma 2 3 2 2" xfId="272"/>
    <cellStyle name="Comma 2 3 3" xfId="271"/>
    <cellStyle name="Comma 2 4" xfId="76"/>
    <cellStyle name="Comma 2 4 2" xfId="273"/>
    <cellStyle name="Comma 2 5" xfId="77"/>
    <cellStyle name="Comma 2 5 2" xfId="274"/>
    <cellStyle name="Comma 2 6" xfId="267"/>
    <cellStyle name="Comma 3" xfId="78"/>
    <cellStyle name="Comma 3 2" xfId="79"/>
    <cellStyle name="Comma 3 3" xfId="80"/>
    <cellStyle name="Comma 3 3 2" xfId="275"/>
    <cellStyle name="Comma 4" xfId="81"/>
    <cellStyle name="Comma 4 2" xfId="276"/>
    <cellStyle name="Comma 5" xfId="82"/>
    <cellStyle name="Comma 5 2" xfId="277"/>
    <cellStyle name="Comma 6" xfId="83"/>
    <cellStyle name="Comma 6 2" xfId="278"/>
    <cellStyle name="Comma 7" xfId="84"/>
    <cellStyle name="Comma 7 2" xfId="279"/>
    <cellStyle name="Comma 8" xfId="85"/>
    <cellStyle name="Comma 8 2" xfId="280"/>
    <cellStyle name="Comma 9" xfId="302"/>
    <cellStyle name="Comma0" xfId="86"/>
    <cellStyle name="Currency 11" xfId="87"/>
    <cellStyle name="Currency 11 2" xfId="88"/>
    <cellStyle name="Currency 11 2 2" xfId="282"/>
    <cellStyle name="Currency 11 3" xfId="281"/>
    <cellStyle name="Currency 2" xfId="89"/>
    <cellStyle name="Currency 2 2" xfId="90"/>
    <cellStyle name="Currency 2 2 2" xfId="284"/>
    <cellStyle name="Currency 2 3" xfId="283"/>
    <cellStyle name="Currency 3" xfId="91"/>
    <cellStyle name="Currency 3 2" xfId="92"/>
    <cellStyle name="Currency 3 2 2" xfId="286"/>
    <cellStyle name="Currency 3 3" xfId="285"/>
    <cellStyle name="Currency 4" xfId="93"/>
    <cellStyle name="Currency 4 2" xfId="94"/>
    <cellStyle name="Currency 4 2 2" xfId="288"/>
    <cellStyle name="Currency 4 3" xfId="287"/>
    <cellStyle name="Currency 5" xfId="243"/>
    <cellStyle name="Currency 5 2" xfId="297"/>
    <cellStyle name="Currency 6" xfId="300"/>
    <cellStyle name="D4_B8B1_005004B79812_.wvu.PrintTitlest" xfId="95"/>
    <cellStyle name="Date" xfId="96"/>
    <cellStyle name="Date 2" xfId="97"/>
    <cellStyle name="dms_1" xfId="265"/>
    <cellStyle name="Emphasis 1" xfId="98"/>
    <cellStyle name="Emphasis 2" xfId="99"/>
    <cellStyle name="Emphasis 3" xfId="100"/>
    <cellStyle name="Empty_Cell" xfId="247"/>
    <cellStyle name="Euro" xfId="101"/>
    <cellStyle name="Explanatory Text 2" xfId="102"/>
    <cellStyle name="Fixed" xfId="103"/>
    <cellStyle name="Fixed 2" xfId="104"/>
    <cellStyle name="Gilsans" xfId="105"/>
    <cellStyle name="Gilsansl" xfId="106"/>
    <cellStyle name="Good 2" xfId="107"/>
    <cellStyle name="Header1" xfId="248"/>
    <cellStyle name="Header2" xfId="249"/>
    <cellStyle name="Header3" xfId="250"/>
    <cellStyle name="Header4" xfId="251"/>
    <cellStyle name="Header5" xfId="252"/>
    <cellStyle name="Heading 1 2" xfId="108"/>
    <cellStyle name="Heading 1 2 2" xfId="109"/>
    <cellStyle name="Heading 1 3" xfId="110"/>
    <cellStyle name="Heading 2 2" xfId="111"/>
    <cellStyle name="Heading 2 2 2" xfId="112"/>
    <cellStyle name="Heading 2 3" xfId="113"/>
    <cellStyle name="Heading 3 2" xfId="114"/>
    <cellStyle name="Heading 3 2 2" xfId="115"/>
    <cellStyle name="Heading 3 3" xfId="116"/>
    <cellStyle name="Heading 4 2" xfId="117"/>
    <cellStyle name="Heading 4 2 2" xfId="118"/>
    <cellStyle name="Heading 4 3" xfId="119"/>
    <cellStyle name="Heading(4)" xfId="120"/>
    <cellStyle name="Hyperlink" xfId="3" builtinId="8"/>
    <cellStyle name="Hyperlink 2" xfId="121"/>
    <cellStyle name="Hyperlink Arrow" xfId="122"/>
    <cellStyle name="Hyperlink Text" xfId="123"/>
    <cellStyle name="Input 2" xfId="124"/>
    <cellStyle name="Input|Date" xfId="1"/>
    <cellStyle name="Input1" xfId="125"/>
    <cellStyle name="Input1 2" xfId="126"/>
    <cellStyle name="Input1 2 2" xfId="290"/>
    <cellStyle name="Input1 3" xfId="289"/>
    <cellStyle name="Input2" xfId="127"/>
    <cellStyle name="Input2 2" xfId="128"/>
    <cellStyle name="Input3" xfId="129"/>
    <cellStyle name="Input3 2" xfId="130"/>
    <cellStyle name="Input3 2 2" xfId="292"/>
    <cellStyle name="Input3 3" xfId="291"/>
    <cellStyle name="Inputs_Divider" xfId="253"/>
    <cellStyle name="InSheet" xfId="254"/>
    <cellStyle name="K_Number" xfId="304"/>
    <cellStyle name="Lines" xfId="131"/>
    <cellStyle name="Linked Cell 2" xfId="132"/>
    <cellStyle name="Mine" xfId="133"/>
    <cellStyle name="Model Name" xfId="134"/>
    <cellStyle name="Neutral 2" xfId="135"/>
    <cellStyle name="Normal" xfId="0" builtinId="0"/>
    <cellStyle name="Normal - Style1" xfId="136"/>
    <cellStyle name="Normal 10" xfId="241"/>
    <cellStyle name="Normal 10 2" xfId="295"/>
    <cellStyle name="Normal 11" xfId="264"/>
    <cellStyle name="Normal 11 2" xfId="298"/>
    <cellStyle name="Normal 12" xfId="301"/>
    <cellStyle name="Normal 13" xfId="137"/>
    <cellStyle name="Normal 13 2" xfId="7"/>
    <cellStyle name="Normal 13_29(d) - Gas extensions -tariffs" xfId="138"/>
    <cellStyle name="Normal 15" xfId="139"/>
    <cellStyle name="Normal 16" xfId="140"/>
    <cellStyle name="Normal 2" xfId="141"/>
    <cellStyle name="Normal 2 2" xfId="142"/>
    <cellStyle name="Normal 2 2 2" xfId="143"/>
    <cellStyle name="Normal 2 3" xfId="144"/>
    <cellStyle name="Normal 2 3 2" xfId="145"/>
    <cellStyle name="Normal 2 3_29(d) - Gas extensions -tariffs" xfId="146"/>
    <cellStyle name="Normal 2 4" xfId="147"/>
    <cellStyle name="Normal 2 5" xfId="148"/>
    <cellStyle name="Normal 2_29(d) - Gas extensions -tariffs" xfId="149"/>
    <cellStyle name="Normal 3" xfId="150"/>
    <cellStyle name="Normal 3 2" xfId="151"/>
    <cellStyle name="Normal 3_29(d) - Gas extensions -tariffs" xfId="152"/>
    <cellStyle name="Normal 38" xfId="153"/>
    <cellStyle name="Normal 38 2" xfId="154"/>
    <cellStyle name="Normal 38_29(d) - Gas extensions -tariffs" xfId="155"/>
    <cellStyle name="Normal 4" xfId="156"/>
    <cellStyle name="Normal 4 2" xfId="157"/>
    <cellStyle name="Normal 4 3" xfId="158"/>
    <cellStyle name="Normal 4 3 2" xfId="293"/>
    <cellStyle name="Normal 4_29(d) - Gas extensions -tariffs" xfId="159"/>
    <cellStyle name="Normal 40" xfId="160"/>
    <cellStyle name="Normal 40 2" xfId="161"/>
    <cellStyle name="Normal 40_29(d) - Gas extensions -tariffs" xfId="162"/>
    <cellStyle name="Normal 42" xfId="303"/>
    <cellStyle name="Normal 5" xfId="163"/>
    <cellStyle name="Normal 5 2" xfId="164"/>
    <cellStyle name="Normal 6" xfId="165"/>
    <cellStyle name="Normal 6 2" xfId="166"/>
    <cellStyle name="Normal 7" xfId="9"/>
    <cellStyle name="Normal 7 2" xfId="167"/>
    <cellStyle name="Normal 7 2 2" xfId="294"/>
    <cellStyle name="Normal 8" xfId="168"/>
    <cellStyle name="Normal 9" xfId="169"/>
    <cellStyle name="Note 2" xfId="170"/>
    <cellStyle name="OffSheet" xfId="255"/>
    <cellStyle name="Output 2" xfId="171"/>
    <cellStyle name="Percent" xfId="2" builtinId="5"/>
    <cellStyle name="Percent [2]" xfId="172"/>
    <cellStyle name="Percent [2] 2" xfId="173"/>
    <cellStyle name="Percent [2]_29(d) - Gas extensions -tariffs" xfId="174"/>
    <cellStyle name="Percent 2" xfId="4"/>
    <cellStyle name="Percent 2 2" xfId="175"/>
    <cellStyle name="Percent 3" xfId="176"/>
    <cellStyle name="Percent 3 2" xfId="177"/>
    <cellStyle name="Percent 4" xfId="178"/>
    <cellStyle name="Percent 5" xfId="242"/>
    <cellStyle name="Percent 5 2" xfId="296"/>
    <cellStyle name="Percent 6" xfId="299"/>
    <cellStyle name="Percent 7" xfId="179"/>
    <cellStyle name="Percentage" xfId="180"/>
    <cellStyle name="Period Title" xfId="181"/>
    <cellStyle name="PSChar" xfId="182"/>
    <cellStyle name="PSDate" xfId="183"/>
    <cellStyle name="PSDec" xfId="184"/>
    <cellStyle name="PSDetail" xfId="185"/>
    <cellStyle name="PSHeading" xfId="186"/>
    <cellStyle name="PSInt" xfId="187"/>
    <cellStyle name="PSSpacer" xfId="188"/>
    <cellStyle name="Ratio" xfId="189"/>
    <cellStyle name="Ratio 2" xfId="190"/>
    <cellStyle name="Ratio_29(d) - Gas extensions -tariffs" xfId="191"/>
    <cellStyle name="Right Date" xfId="192"/>
    <cellStyle name="Right Number" xfId="193"/>
    <cellStyle name="Right Year" xfId="194"/>
    <cellStyle name="SAPError" xfId="195"/>
    <cellStyle name="SAPError 2" xfId="196"/>
    <cellStyle name="SAPKey" xfId="197"/>
    <cellStyle name="SAPKey 2" xfId="198"/>
    <cellStyle name="SAPLocked" xfId="199"/>
    <cellStyle name="SAPLocked 2" xfId="200"/>
    <cellStyle name="SAPOutput" xfId="201"/>
    <cellStyle name="SAPOutput 2" xfId="202"/>
    <cellStyle name="SAPSpace" xfId="203"/>
    <cellStyle name="SAPSpace 2" xfId="204"/>
    <cellStyle name="SAPText" xfId="205"/>
    <cellStyle name="SAPText 2" xfId="206"/>
    <cellStyle name="SAPUnLocked" xfId="207"/>
    <cellStyle name="SAPUnLocked 2" xfId="208"/>
    <cellStyle name="Sheet Title" xfId="209"/>
    <cellStyle name="SheetHeader1" xfId="256"/>
    <cellStyle name="SheetHeader2" xfId="257"/>
    <cellStyle name="SheetHeader3" xfId="258"/>
    <cellStyle name="Style 1" xfId="210"/>
    <cellStyle name="Style 1 2" xfId="211"/>
    <cellStyle name="Style 1_29(d) - Gas extensions -tariffs" xfId="212"/>
    <cellStyle name="Style2" xfId="213"/>
    <cellStyle name="Style3" xfId="214"/>
    <cellStyle name="Style4" xfId="215"/>
    <cellStyle name="Style4 2" xfId="216"/>
    <cellStyle name="Style4_29(d) - Gas extensions -tariffs" xfId="217"/>
    <cellStyle name="Style5" xfId="218"/>
    <cellStyle name="Style5 2" xfId="219"/>
    <cellStyle name="Style5_29(d) - Gas extensions -tariffs" xfId="220"/>
    <cellStyle name="Table Head Green" xfId="221"/>
    <cellStyle name="Table Head_pldt" xfId="222"/>
    <cellStyle name="Table Source" xfId="223"/>
    <cellStyle name="Table Units" xfId="224"/>
    <cellStyle name="Table_Heading" xfId="259"/>
    <cellStyle name="Technical_Input" xfId="260"/>
    <cellStyle name="Text" xfId="225"/>
    <cellStyle name="Text 2" xfId="226"/>
    <cellStyle name="Text 3" xfId="227"/>
    <cellStyle name="Text Head 1" xfId="228"/>
    <cellStyle name="Text Head 2" xfId="229"/>
    <cellStyle name="Text Indent 2" xfId="230"/>
    <cellStyle name="Theirs" xfId="231"/>
    <cellStyle name="Title 2" xfId="232"/>
    <cellStyle name="TOC 1" xfId="233"/>
    <cellStyle name="TOC 2" xfId="234"/>
    <cellStyle name="TOC 3" xfId="235"/>
    <cellStyle name="Total 2" xfId="236"/>
    <cellStyle name="Totals" xfId="261"/>
    <cellStyle name="unit" xfId="262"/>
    <cellStyle name="User_Input" xfId="263"/>
    <cellStyle name="Warning Text 2" xfId="237"/>
    <cellStyle name="year" xfId="238"/>
    <cellStyle name="year 2" xfId="239"/>
    <cellStyle name="year_29(d) - Gas extensions -tariffs" xfId="240"/>
  </cellStyles>
  <dxfs count="205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AEEF3"/>
      <color rgb="FFFFFFCC"/>
      <color rgb="FFDBE5F1"/>
      <color rgb="FF006100"/>
      <color rgb="FFC6EFCE"/>
      <color rgb="FF9C0006"/>
      <color rgb="FFFFFF99"/>
      <color rgb="FFCCFFCC"/>
      <color rgb="FFC0C0C0"/>
      <color rgb="FF8DB4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1"/>
  </sheetPr>
  <dimension ref="A1:AU34"/>
  <sheetViews>
    <sheetView showGridLines="0" tabSelected="1" workbookViewId="0"/>
  </sheetViews>
  <sheetFormatPr defaultColWidth="0" defaultRowHeight="11.25" customHeight="1" zeroHeight="1"/>
  <cols>
    <col min="1" max="2" width="1.5" style="8" customWidth="1"/>
    <col min="3" max="3" width="13" style="8" bestFit="1" customWidth="1"/>
    <col min="4" max="4" width="189.6640625" style="8" bestFit="1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47" s="1" customFormat="1" ht="15.75" customHeight="1">
      <c r="A1" s="38"/>
      <c r="B1" s="35" t="s">
        <v>95</v>
      </c>
      <c r="C1" s="35"/>
      <c r="D1" s="38"/>
      <c r="E1" s="38"/>
      <c r="G1" s="2"/>
      <c r="H1" s="3"/>
      <c r="I1" s="4"/>
    </row>
    <row r="2" spans="1:47" s="5" customFormat="1" ht="13.5" customHeight="1" thickBot="1">
      <c r="A2" s="42"/>
      <c r="B2" s="41" t="s">
        <v>175</v>
      </c>
      <c r="C2" s="41"/>
      <c r="D2" s="42"/>
      <c r="E2" s="42"/>
    </row>
    <row r="3" spans="1:47" s="6" customFormat="1" ht="3" customHeight="1"/>
    <row r="4" spans="1:47" customFormat="1" ht="12.75">
      <c r="A4" s="43"/>
      <c r="B4" s="51" t="s">
        <v>176</v>
      </c>
      <c r="C4" s="43"/>
      <c r="D4" s="43"/>
      <c r="E4" s="43"/>
      <c r="F4" s="44"/>
      <c r="G4" s="44"/>
      <c r="H4" s="44"/>
      <c r="I4" s="44"/>
      <c r="J4" s="45"/>
      <c r="K4" s="46"/>
      <c r="L4" s="45"/>
      <c r="M4" s="46"/>
      <c r="N4" s="45"/>
      <c r="O4" s="45"/>
      <c r="P4" s="45"/>
      <c r="Q4" s="45"/>
      <c r="R4" s="45"/>
      <c r="S4" s="45"/>
      <c r="T4" s="45"/>
      <c r="U4" s="45"/>
      <c r="V4" s="46"/>
      <c r="W4" s="46"/>
      <c r="X4" s="47"/>
      <c r="Y4" s="47"/>
      <c r="Z4" s="47"/>
      <c r="AA4" s="47"/>
      <c r="AB4" s="48"/>
      <c r="AC4" s="49"/>
      <c r="AD4" s="49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</row>
    <row r="5" spans="1:47"/>
    <row r="6" spans="1:47">
      <c r="C6" s="9" t="s">
        <v>174</v>
      </c>
      <c r="D6" s="9" t="s">
        <v>177</v>
      </c>
    </row>
    <row r="7" spans="1:47">
      <c r="C7" s="209">
        <v>1.4</v>
      </c>
      <c r="D7" s="210" t="s">
        <v>178</v>
      </c>
    </row>
    <row r="8" spans="1:47">
      <c r="C8" s="19"/>
      <c r="D8" s="8" t="s">
        <v>179</v>
      </c>
    </row>
    <row r="9" spans="1:47">
      <c r="C9" s="19"/>
      <c r="D9" s="8" t="s">
        <v>180</v>
      </c>
    </row>
    <row r="10" spans="1:47">
      <c r="C10" s="209">
        <v>1.5</v>
      </c>
      <c r="D10" s="8" t="s">
        <v>181</v>
      </c>
    </row>
    <row r="11" spans="1:47">
      <c r="C11" s="19"/>
      <c r="D11" s="8" t="s">
        <v>182</v>
      </c>
    </row>
    <row r="12" spans="1:47">
      <c r="C12" s="19"/>
      <c r="D12" s="8" t="s">
        <v>183</v>
      </c>
    </row>
    <row r="13" spans="1:47">
      <c r="C13" s="209">
        <v>1.6</v>
      </c>
      <c r="D13" s="8" t="s">
        <v>184</v>
      </c>
    </row>
    <row r="14" spans="1:47">
      <c r="C14" s="209">
        <v>1.7</v>
      </c>
      <c r="D14" s="8" t="s">
        <v>207</v>
      </c>
    </row>
    <row r="15" spans="1:47">
      <c r="C15" s="209">
        <v>1.8</v>
      </c>
      <c r="D15" s="8" t="s">
        <v>206</v>
      </c>
    </row>
    <row r="16" spans="1:47">
      <c r="C16" s="209" t="s">
        <v>208</v>
      </c>
      <c r="D16" s="8" t="s">
        <v>209</v>
      </c>
    </row>
    <row r="17" spans="1:47">
      <c r="C17" s="19"/>
      <c r="D17" s="7"/>
    </row>
    <row r="18" spans="1:47" ht="12.75">
      <c r="C18" s="10"/>
      <c r="D18" s="7"/>
    </row>
    <row r="19" spans="1:47" customFormat="1" ht="12.75">
      <c r="A19" s="43"/>
      <c r="B19" s="51" t="s">
        <v>21</v>
      </c>
      <c r="C19" s="43"/>
      <c r="D19" s="43"/>
      <c r="E19" s="43"/>
      <c r="F19" s="44"/>
      <c r="G19" s="44"/>
      <c r="H19" s="44"/>
      <c r="I19" s="44"/>
      <c r="J19" s="45"/>
      <c r="K19" s="46"/>
      <c r="L19" s="45"/>
      <c r="M19" s="46"/>
      <c r="N19" s="45"/>
      <c r="O19" s="45"/>
      <c r="P19" s="45"/>
      <c r="Q19" s="45"/>
      <c r="R19" s="45"/>
      <c r="S19" s="45"/>
      <c r="T19" s="45"/>
      <c r="U19" s="45"/>
      <c r="V19" s="46"/>
      <c r="W19" s="46"/>
      <c r="X19" s="47"/>
      <c r="Y19" s="47"/>
      <c r="Z19" s="47"/>
      <c r="AA19" s="47"/>
      <c r="AB19" s="48"/>
      <c r="AC19" s="49"/>
      <c r="AD19" s="49"/>
      <c r="AE19" s="50"/>
      <c r="AF19" s="50"/>
      <c r="AG19" s="50"/>
      <c r="AH19" s="50"/>
      <c r="AI19" s="50"/>
      <c r="AJ19" s="50"/>
      <c r="AK19" s="50"/>
      <c r="AL19" s="50"/>
      <c r="AM19" s="50"/>
      <c r="AN19" s="50"/>
      <c r="AO19" s="50"/>
      <c r="AP19" s="50"/>
      <c r="AQ19" s="50"/>
      <c r="AR19" s="50"/>
      <c r="AS19" s="50"/>
      <c r="AT19" s="50"/>
      <c r="AU19" s="50"/>
    </row>
    <row r="20" spans="1:47" hidden="1">
      <c r="D20" s="7"/>
      <c r="F20" s="25"/>
    </row>
    <row r="21" spans="1:47" hidden="1">
      <c r="D21" s="7"/>
      <c r="F21" s="25"/>
    </row>
    <row r="22" spans="1:47" hidden="1">
      <c r="D22" s="7"/>
      <c r="F22" s="25"/>
    </row>
    <row r="23" spans="1:47" hidden="1">
      <c r="D23" s="7"/>
      <c r="F23" s="25"/>
    </row>
    <row r="24" spans="1:47" hidden="1">
      <c r="D24" s="7"/>
      <c r="F24" s="25"/>
    </row>
    <row r="25" spans="1:47" hidden="1">
      <c r="C25" s="7"/>
      <c r="D25" s="7"/>
      <c r="F25" s="25"/>
    </row>
    <row r="26" spans="1:47" hidden="1">
      <c r="C26" s="7"/>
      <c r="D26" s="7"/>
      <c r="F26" s="25"/>
    </row>
    <row r="27" spans="1:47" hidden="1">
      <c r="C27" s="7"/>
      <c r="D27" s="7"/>
    </row>
    <row r="28" spans="1:47" hidden="1">
      <c r="D28" s="7"/>
    </row>
    <row r="29" spans="1:47" hidden="1">
      <c r="D29" s="7"/>
    </row>
    <row r="30" spans="1:47" hidden="1">
      <c r="D30" s="7"/>
    </row>
    <row r="31" spans="1:47" hidden="1">
      <c r="D31" s="7"/>
    </row>
    <row r="32" spans="1:47" hidden="1">
      <c r="D32" s="7"/>
    </row>
    <row r="33" spans="3:4" ht="12.75" hidden="1">
      <c r="C33" s="10"/>
      <c r="D33" s="7"/>
    </row>
    <row r="34" spans="3:4" hidden="1"/>
  </sheetData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</sheetPr>
  <dimension ref="A1:AU39"/>
  <sheetViews>
    <sheetView showGridLines="0" workbookViewId="0"/>
  </sheetViews>
  <sheetFormatPr defaultColWidth="0" defaultRowHeight="11.25" zeroHeight="1"/>
  <cols>
    <col min="1" max="2" width="1.5" style="8" customWidth="1"/>
    <col min="3" max="3" width="30.83203125" style="8" customWidth="1"/>
    <col min="4" max="4" width="163.83203125" style="8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47" s="1" customFormat="1" ht="15.75" customHeight="1">
      <c r="A1" s="38"/>
      <c r="B1" s="35" t="s">
        <v>199</v>
      </c>
      <c r="C1" s="35"/>
      <c r="D1" s="38"/>
      <c r="E1" s="38"/>
      <c r="G1" s="2"/>
      <c r="H1" s="3"/>
      <c r="I1" s="4"/>
    </row>
    <row r="2" spans="1:47" s="5" customFormat="1" ht="13.5" customHeight="1" thickBot="1">
      <c r="A2" s="42"/>
      <c r="B2" s="41" t="s">
        <v>41</v>
      </c>
      <c r="C2" s="41"/>
      <c r="D2" s="42"/>
      <c r="E2" s="42"/>
    </row>
    <row r="3" spans="1:47" s="6" customFormat="1" ht="3" customHeight="1"/>
    <row r="4" spans="1:47" customFormat="1" ht="12.75">
      <c r="A4" s="43"/>
      <c r="B4" s="51" t="s">
        <v>63</v>
      </c>
      <c r="C4" s="43"/>
      <c r="D4" s="43"/>
      <c r="E4" s="43"/>
      <c r="F4" s="44"/>
      <c r="G4" s="44"/>
      <c r="H4" s="44"/>
      <c r="I4" s="44"/>
      <c r="J4" s="45"/>
      <c r="K4" s="46"/>
      <c r="L4" s="45"/>
      <c r="M4" s="46"/>
      <c r="N4" s="45"/>
      <c r="O4" s="45"/>
      <c r="P4" s="45"/>
      <c r="Q4" s="45"/>
      <c r="R4" s="45"/>
      <c r="S4" s="45"/>
      <c r="T4" s="45"/>
      <c r="U4" s="45"/>
      <c r="V4" s="46"/>
      <c r="W4" s="46"/>
      <c r="X4" s="47"/>
      <c r="Y4" s="47"/>
      <c r="Z4" s="47"/>
      <c r="AA4" s="47"/>
      <c r="AB4" s="48"/>
      <c r="AC4" s="49"/>
      <c r="AD4" s="49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</row>
    <row r="5" spans="1:47"/>
    <row r="6" spans="1:47">
      <c r="C6" s="9" t="s">
        <v>0</v>
      </c>
      <c r="D6" s="9" t="s">
        <v>1</v>
      </c>
    </row>
    <row r="7" spans="1:47">
      <c r="C7" s="227" t="s">
        <v>61</v>
      </c>
      <c r="D7" s="7" t="s">
        <v>62</v>
      </c>
    </row>
    <row r="8" spans="1:47">
      <c r="C8" s="227" t="s">
        <v>35</v>
      </c>
      <c r="D8" s="7" t="s">
        <v>97</v>
      </c>
    </row>
    <row r="9" spans="1:47">
      <c r="C9" s="227" t="s">
        <v>57</v>
      </c>
      <c r="D9" s="7" t="s">
        <v>58</v>
      </c>
    </row>
    <row r="10" spans="1:47">
      <c r="C10" s="227" t="s">
        <v>225</v>
      </c>
      <c r="D10" s="7" t="s">
        <v>200</v>
      </c>
    </row>
    <row r="11" spans="1:47">
      <c r="C11" s="227" t="s">
        <v>60</v>
      </c>
      <c r="D11" s="7" t="s">
        <v>51</v>
      </c>
    </row>
    <row r="12" spans="1:47">
      <c r="C12" s="227" t="s">
        <v>226</v>
      </c>
      <c r="D12" s="7" t="s">
        <v>201</v>
      </c>
    </row>
    <row r="13" spans="1:47">
      <c r="C13" s="227" t="s">
        <v>227</v>
      </c>
      <c r="D13" s="7" t="s">
        <v>202</v>
      </c>
    </row>
    <row r="14" spans="1:47">
      <c r="C14" s="227" t="s">
        <v>53</v>
      </c>
      <c r="D14" s="7" t="s">
        <v>59</v>
      </c>
    </row>
    <row r="15" spans="1:47">
      <c r="C15" s="227" t="s">
        <v>25</v>
      </c>
      <c r="D15" s="7" t="s">
        <v>52</v>
      </c>
    </row>
    <row r="16" spans="1:47" ht="12.75">
      <c r="C16" s="10"/>
      <c r="D16" s="7"/>
    </row>
    <row r="17" spans="1:47" customFormat="1" ht="12.75">
      <c r="A17" s="43"/>
      <c r="B17" s="51" t="s">
        <v>21</v>
      </c>
      <c r="C17" s="43"/>
      <c r="D17" s="43"/>
      <c r="E17" s="43"/>
      <c r="F17" s="44"/>
      <c r="G17" s="44"/>
      <c r="H17" s="44"/>
      <c r="I17" s="44"/>
      <c r="J17" s="45"/>
      <c r="K17" s="46"/>
      <c r="L17" s="45"/>
      <c r="M17" s="46"/>
      <c r="N17" s="45"/>
      <c r="O17" s="45"/>
      <c r="P17" s="45"/>
      <c r="Q17" s="45"/>
      <c r="R17" s="45"/>
      <c r="S17" s="45"/>
      <c r="T17" s="45"/>
      <c r="U17" s="45"/>
      <c r="V17" s="46"/>
      <c r="W17" s="46"/>
      <c r="X17" s="47"/>
      <c r="Y17" s="47"/>
      <c r="Z17" s="47"/>
      <c r="AA17" s="47"/>
      <c r="AB17" s="48"/>
      <c r="AC17" s="49"/>
      <c r="AD17" s="49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</row>
    <row r="18" spans="1:47" hidden="1">
      <c r="D18" s="7"/>
      <c r="F18" s="25"/>
    </row>
    <row r="19" spans="1:47" hidden="1">
      <c r="D19" s="7"/>
      <c r="F19" s="25"/>
    </row>
    <row r="20" spans="1:47" hidden="1">
      <c r="D20" s="7"/>
      <c r="F20" s="25"/>
    </row>
    <row r="21" spans="1:47" hidden="1">
      <c r="D21" s="7"/>
      <c r="F21" s="25"/>
    </row>
    <row r="22" spans="1:47" hidden="1">
      <c r="D22" s="7"/>
      <c r="F22" s="25"/>
    </row>
    <row r="23" spans="1:47" hidden="1">
      <c r="C23" s="7"/>
      <c r="D23" s="7"/>
      <c r="F23" s="25"/>
    </row>
    <row r="24" spans="1:47" hidden="1">
      <c r="C24" s="7"/>
      <c r="D24" s="7"/>
      <c r="F24" s="25"/>
    </row>
    <row r="25" spans="1:47" hidden="1">
      <c r="C25" s="7"/>
      <c r="D25" s="7"/>
    </row>
    <row r="26" spans="1:47" hidden="1">
      <c r="D26" s="7"/>
    </row>
    <row r="27" spans="1:47" hidden="1">
      <c r="D27" s="7"/>
    </row>
    <row r="28" spans="1:47" hidden="1">
      <c r="D28" s="7"/>
    </row>
    <row r="29" spans="1:47" hidden="1">
      <c r="D29" s="7"/>
    </row>
    <row r="30" spans="1:47" hidden="1">
      <c r="D30" s="7"/>
    </row>
    <row r="31" spans="1:47" ht="12.75" hidden="1">
      <c r="C31" s="10"/>
      <c r="D31" s="7"/>
    </row>
    <row r="32" spans="1:47" hidden="1"/>
    <row r="33"/>
    <row r="34"/>
    <row r="35"/>
    <row r="36"/>
    <row r="37"/>
    <row r="38"/>
    <row r="39"/>
  </sheetData>
  <hyperlinks>
    <hyperlink ref="C12" location="'Calc|Opex forecast'!A1" display="Calc | Opex Forecast"/>
    <hyperlink ref="C13" location="'Output|Models'!A1" display="Output | Models"/>
    <hyperlink ref="C14" location="'Lookup|Tables'!A1" display="Lookup | Tables"/>
    <hyperlink ref="C15" location="'Check|List'!A1" display="Check | List"/>
    <hyperlink ref="C7" location="'Input|General'!A1" display="Input | General"/>
    <hyperlink ref="C9" location="'Input|Reported opex'!A1" display="Input | Reported opex"/>
    <hyperlink ref="C10" location="'Input|Rate of change'!A1" display="Input | Rate of change"/>
    <hyperlink ref="C11" location="'Input|Step changes'!A1" display="Input | Step changes"/>
    <hyperlink ref="C8" location="'Input|Inflation'!A1" display="Input | Inflation"/>
  </hyperlinks>
  <pageMargins left="0.7" right="0.7" top="0.75" bottom="0.75" header="0.3" footer="0.3"/>
  <pageSetup paperSize="9" orientation="portrait" verticalDpi="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99"/>
  </sheetPr>
  <dimension ref="A1:AU27"/>
  <sheetViews>
    <sheetView showGridLines="0" zoomScaleNormal="100" workbookViewId="0"/>
  </sheetViews>
  <sheetFormatPr defaultColWidth="0" defaultRowHeight="11.25" zeroHeight="1"/>
  <cols>
    <col min="1" max="2" width="1.5" style="29" customWidth="1"/>
    <col min="3" max="3" width="42" style="29" customWidth="1"/>
    <col min="4" max="4" width="11.1640625" style="30" customWidth="1"/>
    <col min="5" max="6" width="3.33203125" style="30" customWidth="1"/>
    <col min="7" max="7" width="16.1640625" style="30" bestFit="1" customWidth="1"/>
    <col min="8" max="9" width="3.3320312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69" customFormat="1" ht="15.75">
      <c r="B1" s="70" t="str">
        <f>Index!$B$1</f>
        <v>AER opex model v1.8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82</v>
      </c>
      <c r="S1" s="76" t="str">
        <f>IF(COUNTA($S$5:$S$16)=COUNTIF($S5:$S17,"OK"),"OK","Check")</f>
        <v>OK</v>
      </c>
      <c r="U1" s="187" t="s">
        <v>24</v>
      </c>
      <c r="V1" s="76" t="str">
        <f>'Check|List'!$S$1</f>
        <v>Ok</v>
      </c>
    </row>
    <row r="2" spans="1:47" s="77" customFormat="1" ht="13.5" thickBot="1">
      <c r="B2" s="78" t="str">
        <f>Index!$C$7</f>
        <v>Input | General</v>
      </c>
      <c r="C2" s="78"/>
      <c r="D2" s="78"/>
      <c r="E2" s="78"/>
      <c r="F2" s="79"/>
      <c r="G2" s="79"/>
      <c r="H2" s="79"/>
      <c r="I2" s="79"/>
    </row>
    <row r="3" spans="1:47" s="27" customFormat="1" ht="3" customHeight="1">
      <c r="D3" s="28"/>
      <c r="E3" s="28"/>
      <c r="F3" s="28"/>
      <c r="G3" s="28"/>
      <c r="H3" s="28"/>
      <c r="I3" s="28"/>
    </row>
    <row r="4" spans="1:47" s="103" customFormat="1" ht="12.75">
      <c r="A4" s="94"/>
      <c r="B4" s="95" t="s">
        <v>93</v>
      </c>
      <c r="C4" s="94"/>
      <c r="D4" s="94"/>
      <c r="E4" s="94"/>
      <c r="F4" s="96"/>
      <c r="G4" s="96"/>
      <c r="H4" s="96"/>
      <c r="I4" s="96"/>
      <c r="J4" s="97"/>
      <c r="K4" s="98"/>
      <c r="L4" s="97"/>
      <c r="M4" s="98"/>
      <c r="N4" s="97"/>
      <c r="O4" s="97"/>
      <c r="P4" s="97"/>
      <c r="Q4" s="97"/>
      <c r="R4" s="97"/>
      <c r="S4" s="97"/>
      <c r="T4" s="97"/>
      <c r="U4" s="97"/>
      <c r="V4" s="98"/>
      <c r="W4" s="98"/>
      <c r="X4" s="99"/>
      <c r="Y4" s="99"/>
      <c r="Z4" s="99"/>
      <c r="AA4" s="99"/>
      <c r="AB4" s="100"/>
      <c r="AC4" s="101"/>
      <c r="AD4" s="101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</row>
    <row r="5" spans="1:47"/>
    <row r="6" spans="1:47">
      <c r="C6" s="31" t="s">
        <v>94</v>
      </c>
      <c r="D6" s="32" t="s">
        <v>7</v>
      </c>
      <c r="E6" s="32"/>
      <c r="F6" s="33"/>
      <c r="G6" s="33" t="s">
        <v>67</v>
      </c>
      <c r="H6" s="33"/>
      <c r="I6" s="29"/>
    </row>
    <row r="7" spans="1:47">
      <c r="C7" s="29" t="s">
        <v>64</v>
      </c>
      <c r="D7" s="30" t="s">
        <v>68</v>
      </c>
      <c r="E7" s="29"/>
      <c r="F7" s="29"/>
      <c r="G7" s="52" t="s">
        <v>212</v>
      </c>
      <c r="H7" s="29"/>
      <c r="I7" s="29"/>
      <c r="S7" s="131" t="str">
        <f>IF(COUNTBLANK($G7),"Check","Ok")</f>
        <v>Ok</v>
      </c>
    </row>
    <row r="8" spans="1:47">
      <c r="C8" s="29" t="s">
        <v>140</v>
      </c>
      <c r="D8" s="30" t="s">
        <v>69</v>
      </c>
      <c r="E8" s="29"/>
      <c r="F8" s="29"/>
      <c r="G8" s="52" t="s">
        <v>141</v>
      </c>
      <c r="H8" s="29"/>
      <c r="I8" s="29"/>
      <c r="S8" s="131" t="str">
        <f>IF(COUNTBLANK($G8),"Check","Ok")</f>
        <v>Ok</v>
      </c>
    </row>
    <row r="9" spans="1:47">
      <c r="C9" s="29" t="s">
        <v>124</v>
      </c>
      <c r="D9" s="30" t="s">
        <v>68</v>
      </c>
      <c r="E9" s="29"/>
      <c r="F9" s="29"/>
      <c r="G9" s="153">
        <v>36586</v>
      </c>
      <c r="H9" s="29"/>
      <c r="I9" s="29"/>
      <c r="S9" s="131" t="str">
        <f>IF(COUNTBLANK($G9),"Check","Ok")</f>
        <v>Ok</v>
      </c>
    </row>
    <row r="10" spans="1:47">
      <c r="C10" s="29" t="s">
        <v>155</v>
      </c>
      <c r="D10" s="30" t="s">
        <v>68</v>
      </c>
      <c r="E10" s="29"/>
      <c r="F10" s="29"/>
      <c r="G10" s="154">
        <v>2018</v>
      </c>
      <c r="H10" s="29"/>
      <c r="I10" s="29"/>
      <c r="S10" s="131" t="str">
        <f t="shared" ref="S10:S14" si="0">IF(COUNTBLANK($G10),"Check","Ok")</f>
        <v>Ok</v>
      </c>
    </row>
    <row r="11" spans="1:47">
      <c r="C11" s="29" t="s">
        <v>71</v>
      </c>
      <c r="D11" s="30" t="s">
        <v>68</v>
      </c>
      <c r="E11" s="29"/>
      <c r="F11" s="29"/>
      <c r="G11" s="154">
        <v>2021</v>
      </c>
      <c r="H11" s="29"/>
      <c r="I11" s="29"/>
      <c r="S11" s="131" t="str">
        <f t="shared" si="0"/>
        <v>Ok</v>
      </c>
    </row>
    <row r="12" spans="1:47">
      <c r="C12" s="29" t="s">
        <v>156</v>
      </c>
      <c r="D12" s="30" t="s">
        <v>68</v>
      </c>
      <c r="E12" s="29"/>
      <c r="F12" s="29"/>
      <c r="G12" s="154">
        <v>2022</v>
      </c>
      <c r="H12" s="29"/>
      <c r="I12" s="29"/>
      <c r="S12" s="131" t="str">
        <f t="shared" si="0"/>
        <v>Ok</v>
      </c>
    </row>
    <row r="13" spans="1:47">
      <c r="C13" s="29" t="s">
        <v>65</v>
      </c>
      <c r="D13" s="30" t="s">
        <v>68</v>
      </c>
      <c r="E13" s="29"/>
      <c r="F13" s="29"/>
      <c r="G13" s="154">
        <v>2023</v>
      </c>
      <c r="H13" s="29"/>
      <c r="I13" s="29"/>
      <c r="S13" s="131" t="str">
        <f t="shared" si="0"/>
        <v>Ok</v>
      </c>
    </row>
    <row r="14" spans="1:47">
      <c r="C14" s="29" t="s">
        <v>66</v>
      </c>
      <c r="D14" s="30" t="s">
        <v>68</v>
      </c>
      <c r="E14" s="29"/>
      <c r="F14" s="29"/>
      <c r="G14" s="154">
        <v>2027</v>
      </c>
      <c r="H14" s="29"/>
      <c r="I14" s="29"/>
      <c r="S14" s="131" t="str">
        <f t="shared" si="0"/>
        <v>Ok</v>
      </c>
    </row>
    <row r="15" spans="1:47">
      <c r="C15" s="29" t="s">
        <v>195</v>
      </c>
      <c r="D15" s="30" t="s">
        <v>69</v>
      </c>
      <c r="E15" s="29"/>
      <c r="F15" s="29"/>
      <c r="G15" s="154" t="s">
        <v>198</v>
      </c>
      <c r="H15" s="29"/>
      <c r="I15" s="29"/>
      <c r="S15" s="132"/>
    </row>
    <row r="16" spans="1:47">
      <c r="D16" s="29"/>
      <c r="E16" s="29"/>
      <c r="F16" s="29"/>
      <c r="G16" s="29"/>
      <c r="H16" s="29"/>
      <c r="I16" s="29"/>
    </row>
    <row r="17" spans="1:47" s="103" customFormat="1" ht="12.75">
      <c r="A17" s="94"/>
      <c r="B17" s="95" t="s">
        <v>21</v>
      </c>
      <c r="C17" s="94"/>
      <c r="D17" s="94"/>
      <c r="E17" s="94"/>
      <c r="F17" s="96"/>
      <c r="G17" s="96"/>
      <c r="H17" s="96"/>
      <c r="I17" s="96"/>
      <c r="J17" s="97"/>
      <c r="K17" s="98"/>
      <c r="L17" s="97"/>
      <c r="M17" s="98"/>
      <c r="N17" s="97"/>
      <c r="O17" s="97"/>
      <c r="P17" s="97"/>
      <c r="Q17" s="97"/>
      <c r="R17" s="97"/>
      <c r="S17" s="97"/>
      <c r="T17" s="97"/>
      <c r="U17" s="97"/>
      <c r="V17" s="98"/>
      <c r="W17" s="98"/>
      <c r="X17" s="99"/>
      <c r="Y17" s="99"/>
      <c r="Z17" s="99"/>
      <c r="AA17" s="99"/>
      <c r="AB17" s="100"/>
      <c r="AC17" s="101"/>
      <c r="AD17" s="101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</row>
    <row r="18" spans="1:47" hidden="1">
      <c r="G18" s="32"/>
      <c r="H18" s="32"/>
    </row>
    <row r="19" spans="1:47" hidden="1">
      <c r="G19" s="32"/>
      <c r="H19" s="32"/>
    </row>
    <row r="20" spans="1:47" hidden="1">
      <c r="G20" s="32"/>
      <c r="H20" s="32"/>
    </row>
    <row r="21" spans="1:47" hidden="1">
      <c r="G21" s="32"/>
      <c r="H21" s="32"/>
    </row>
    <row r="22" spans="1:47" hidden="1">
      <c r="G22" s="32"/>
      <c r="H22" s="32"/>
    </row>
    <row r="23" spans="1:47" hidden="1">
      <c r="G23" s="32"/>
      <c r="H23" s="32"/>
    </row>
    <row r="24" spans="1:47" hidden="1">
      <c r="G24" s="32"/>
      <c r="H24" s="32"/>
    </row>
    <row r="25" spans="1:47" hidden="1">
      <c r="G25" s="32"/>
      <c r="H25" s="32"/>
    </row>
    <row r="26" spans="1:47" hidden="1">
      <c r="G26" s="32"/>
      <c r="H26" s="32"/>
    </row>
    <row r="27" spans="1:47" hidden="1">
      <c r="G27" s="32"/>
      <c r="H27" s="32"/>
    </row>
  </sheetData>
  <dataConsolidate/>
  <conditionalFormatting sqref="W14:W16">
    <cfRule type="cellIs" dxfId="204" priority="13" operator="equal">
      <formula>"Check"</formula>
    </cfRule>
    <cfRule type="cellIs" dxfId="203" priority="14" operator="equal">
      <formula>"Ok"</formula>
    </cfRule>
  </conditionalFormatting>
  <conditionalFormatting sqref="V1">
    <cfRule type="cellIs" dxfId="202" priority="3" operator="equal">
      <formula>"Check"</formula>
    </cfRule>
    <cfRule type="cellIs" dxfId="201" priority="4" operator="equal">
      <formula>"Ok"</formula>
    </cfRule>
  </conditionalFormatting>
  <conditionalFormatting sqref="S7:S15">
    <cfRule type="cellIs" dxfId="200" priority="5" operator="equal">
      <formula>"Check"</formula>
    </cfRule>
    <cfRule type="cellIs" dxfId="199" priority="6" operator="equal">
      <formula>"Ok"</formula>
    </cfRule>
  </conditionalFormatting>
  <conditionalFormatting sqref="S1">
    <cfRule type="cellIs" dxfId="198" priority="1" operator="equal">
      <formula>"Check"</formula>
    </cfRule>
    <cfRule type="cellIs" dxfId="197" priority="2" operator="equal">
      <formula>"Ok"</formula>
    </cfRule>
  </conditionalFormatting>
  <dataValidations count="4">
    <dataValidation type="list" allowBlank="1" showInputMessage="1" showErrorMessage="1" sqref="F12:F13">
      <formula1>#REF!</formula1>
    </dataValidation>
    <dataValidation type="list" allowBlank="1" showInputMessage="1" showErrorMessage="1" sqref="F14:F16">
      <formula1>"Real 2010,Real 2011,Real 2012,Real 2013,Real 2014,Real 2015,Nominal"</formula1>
    </dataValidation>
    <dataValidation type="list" allowBlank="1" showInputMessage="1" showErrorMessage="1" sqref="I12:I16">
      <formula1>#REF!</formula1>
    </dataValidation>
    <dataValidation type="list" allowBlank="1" showInputMessage="1" showErrorMessage="1" sqref="G8">
      <formula1>"draft,final"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'Lookup|Tables'!$G$25:$G$36</xm:f>
          </x14:formula1>
          <xm:sqref>G9</xm:sqref>
        </x14:dataValidation>
        <x14:dataValidation type="list" allowBlank="1" showInputMessage="1" showErrorMessage="1">
          <x14:formula1>
            <xm:f>'Lookup|Tables'!$G$41:$G$60</xm:f>
          </x14:formula1>
          <xm:sqref>G10:G14</xm:sqref>
        </x14:dataValidation>
        <x14:dataValidation type="list" allowBlank="1" showInputMessage="1" showErrorMessage="1">
          <x14:formula1>
            <xm:f>'Lookup|Tables'!$G$81:$G$82</xm:f>
          </x14:formula1>
          <xm:sqref>G15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99"/>
  </sheetPr>
  <dimension ref="A1:AV102"/>
  <sheetViews>
    <sheetView showGridLines="0" workbookViewId="0"/>
  </sheetViews>
  <sheetFormatPr defaultColWidth="0" defaultRowHeight="11.25" customHeight="1" zeroHeight="1"/>
  <cols>
    <col min="1" max="2" width="1.5" style="29" customWidth="1"/>
    <col min="3" max="3" width="11.6640625" style="29" bestFit="1" customWidth="1"/>
    <col min="4" max="4" width="21.5" style="30" bestFit="1" customWidth="1"/>
    <col min="5" max="5" width="21.5" style="30" customWidth="1"/>
    <col min="6" max="7" width="15" style="30" customWidth="1"/>
    <col min="8" max="10" width="3.33203125" style="30" customWidth="1"/>
    <col min="11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 v1.8</v>
      </c>
      <c r="C1" s="70"/>
      <c r="D1" s="70"/>
      <c r="E1" s="70"/>
      <c r="F1" s="70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S1" s="72" t="s">
        <v>82</v>
      </c>
      <c r="T1" s="76" t="str">
        <f>IF(COUNTA($T$5:$T$85)=COUNTIF($T5:$T86,"OK"),"OK","Check")</f>
        <v>OK</v>
      </c>
      <c r="V1" s="187" t="s">
        <v>24</v>
      </c>
      <c r="W1" s="76" t="str">
        <f>'Check|List'!$S$1</f>
        <v>Ok</v>
      </c>
    </row>
    <row r="2" spans="1:48" s="77" customFormat="1" ht="13.5" thickBot="1">
      <c r="B2" s="78" t="str">
        <f>Index!$C$7</f>
        <v>Input | General</v>
      </c>
      <c r="C2" s="78"/>
      <c r="D2" s="78"/>
      <c r="E2" s="78"/>
      <c r="F2" s="78"/>
      <c r="G2" s="79"/>
      <c r="H2" s="79"/>
      <c r="I2" s="79"/>
      <c r="J2" s="79"/>
    </row>
    <row r="3" spans="1:48" s="27" customFormat="1" ht="3" customHeight="1">
      <c r="D3" s="28"/>
      <c r="E3" s="28"/>
      <c r="F3" s="28"/>
      <c r="G3" s="28"/>
      <c r="H3" s="28"/>
      <c r="I3" s="28"/>
      <c r="J3" s="28"/>
    </row>
    <row r="4" spans="1:48" s="103" customFormat="1" ht="12.75">
      <c r="A4" s="94"/>
      <c r="B4" s="95" t="s">
        <v>93</v>
      </c>
      <c r="C4" s="94"/>
      <c r="D4" s="94"/>
      <c r="E4" s="94"/>
      <c r="F4" s="94"/>
      <c r="G4" s="96"/>
      <c r="H4" s="96"/>
      <c r="I4" s="96"/>
      <c r="J4" s="96"/>
      <c r="K4" s="97"/>
      <c r="L4" s="98"/>
      <c r="M4" s="97"/>
      <c r="N4" s="98"/>
      <c r="O4" s="97"/>
      <c r="P4" s="97"/>
      <c r="Q4" s="97"/>
      <c r="R4" s="97"/>
      <c r="S4" s="97"/>
      <c r="T4" s="97"/>
      <c r="U4" s="97"/>
      <c r="V4" s="97"/>
      <c r="W4" s="98"/>
      <c r="X4" s="98"/>
      <c r="Y4" s="99"/>
      <c r="Z4" s="99"/>
      <c r="AA4" s="99"/>
      <c r="AB4" s="99"/>
      <c r="AC4" s="100"/>
      <c r="AD4" s="101"/>
      <c r="AE4" s="101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  <c r="AV4" s="102"/>
    </row>
    <row r="5" spans="1:48" ht="11.25" customHeight="1"/>
    <row r="6" spans="1:48" ht="53.25">
      <c r="D6" s="62" t="s">
        <v>98</v>
      </c>
      <c r="E6" s="62" t="s">
        <v>138</v>
      </c>
      <c r="F6" s="62" t="s">
        <v>98</v>
      </c>
      <c r="G6" s="62" t="s">
        <v>138</v>
      </c>
      <c r="H6" s="62"/>
      <c r="I6" s="29"/>
      <c r="J6" s="29"/>
    </row>
    <row r="7" spans="1:48">
      <c r="C7" s="67" t="s">
        <v>7</v>
      </c>
      <c r="D7" s="66" t="s">
        <v>96</v>
      </c>
      <c r="E7" s="66" t="s">
        <v>30</v>
      </c>
      <c r="F7" s="66" t="s">
        <v>96</v>
      </c>
      <c r="G7" s="66" t="s">
        <v>30</v>
      </c>
      <c r="H7" s="66"/>
      <c r="I7" s="29"/>
      <c r="J7" s="29"/>
    </row>
    <row r="8" spans="1:48">
      <c r="C8" s="67" t="s">
        <v>8</v>
      </c>
      <c r="D8" s="66" t="s">
        <v>83</v>
      </c>
      <c r="E8" s="66" t="s">
        <v>16</v>
      </c>
      <c r="F8" s="66" t="s">
        <v>83</v>
      </c>
      <c r="G8" s="66" t="s">
        <v>16</v>
      </c>
      <c r="H8" s="66"/>
      <c r="I8" s="29"/>
      <c r="J8" s="29"/>
    </row>
    <row r="9" spans="1:48">
      <c r="C9" s="64">
        <v>39172</v>
      </c>
      <c r="D9" s="63">
        <v>155.6</v>
      </c>
      <c r="E9" s="29"/>
      <c r="F9" s="29"/>
      <c r="G9" s="29"/>
      <c r="H9" s="29"/>
      <c r="I9" s="29"/>
      <c r="J9" s="29"/>
      <c r="T9" s="131" t="str">
        <f>IF(C9&gt;EOMONTH(DATE('Input|General'!$G$12,MONTH('Input|General'!$G$9),1),0),"Ok",IF(ISBLANK($D9),"Check","Ok"))</f>
        <v>Ok</v>
      </c>
    </row>
    <row r="10" spans="1:48">
      <c r="C10" s="64">
        <v>39263</v>
      </c>
      <c r="D10" s="63">
        <v>157.5</v>
      </c>
      <c r="E10" s="29"/>
      <c r="F10" s="29"/>
      <c r="G10" s="29"/>
      <c r="H10" s="29"/>
      <c r="I10" s="29"/>
      <c r="J10" s="29"/>
      <c r="T10" s="131" t="str">
        <f>IF(C10&gt;EOMONTH(DATE('Input|General'!$G$12,MONTH('Input|General'!$G$9),1),0),"Ok",IF(ISBLANK($D10),"Check","Ok"))</f>
        <v>Ok</v>
      </c>
    </row>
    <row r="11" spans="1:48">
      <c r="C11" s="64">
        <v>39355</v>
      </c>
      <c r="D11" s="63">
        <v>158.6</v>
      </c>
      <c r="E11" s="29"/>
      <c r="F11" s="29"/>
      <c r="G11" s="29"/>
      <c r="H11" s="29"/>
      <c r="I11" s="29"/>
      <c r="J11" s="29"/>
      <c r="T11" s="131" t="str">
        <f>IF(C11&gt;EOMONTH(DATE('Input|General'!$G$12,MONTH('Input|General'!$G$9),1),0),"Ok",IF(ISBLANK($D11),"Check","Ok"))</f>
        <v>Ok</v>
      </c>
    </row>
    <row r="12" spans="1:48">
      <c r="C12" s="64">
        <v>39447</v>
      </c>
      <c r="D12" s="63">
        <v>160.1</v>
      </c>
      <c r="E12" s="29"/>
      <c r="F12" s="29"/>
      <c r="G12" s="65"/>
      <c r="H12" s="29"/>
      <c r="I12" s="29"/>
      <c r="J12" s="29"/>
      <c r="T12" s="131" t="str">
        <f>IF(C12&gt;EOMONTH(DATE('Input|General'!$G$12,MONTH('Input|General'!$G$9),1),0),"Ok",IF(ISBLANK($D12),"Check","Ok"))</f>
        <v>Ok</v>
      </c>
    </row>
    <row r="13" spans="1:48">
      <c r="C13" s="64">
        <v>39538</v>
      </c>
      <c r="D13" s="63">
        <v>162.19999999999999</v>
      </c>
      <c r="E13" s="117">
        <f>D13/D9-1</f>
        <v>4.2416452442159303E-2</v>
      </c>
      <c r="F13" s="29"/>
      <c r="G13" s="65"/>
      <c r="H13" s="29"/>
      <c r="I13" s="29"/>
      <c r="J13" s="29"/>
      <c r="T13" s="131" t="str">
        <f>IF(C13&gt;EOMONTH(DATE('Input|General'!$G$12,MONTH('Input|General'!$G$9),1),0),"Ok",IF(ISBLANK($D13),"Check","Ok"))</f>
        <v>Ok</v>
      </c>
    </row>
    <row r="14" spans="1:48">
      <c r="C14" s="64">
        <v>39629</v>
      </c>
      <c r="D14" s="63">
        <v>164.6</v>
      </c>
      <c r="E14" s="117">
        <f t="shared" ref="E14:E29" si="0">D14/D10-1</f>
        <v>4.5079365079365052E-2</v>
      </c>
      <c r="F14" s="29"/>
      <c r="G14" s="65"/>
      <c r="H14" s="29"/>
      <c r="I14" s="29"/>
      <c r="J14" s="29"/>
      <c r="T14" s="131" t="str">
        <f>IF(C14&gt;EOMONTH(DATE('Input|General'!$G$12,MONTH('Input|General'!$G$9),1),0),"Ok",IF(ISBLANK($D14),"Check","Ok"))</f>
        <v>Ok</v>
      </c>
    </row>
    <row r="15" spans="1:48">
      <c r="C15" s="64">
        <v>39721</v>
      </c>
      <c r="D15" s="63">
        <v>166.5</v>
      </c>
      <c r="E15" s="117">
        <f t="shared" si="0"/>
        <v>4.9810844892812067E-2</v>
      </c>
      <c r="F15" s="29"/>
      <c r="G15" s="65"/>
      <c r="H15" s="29"/>
      <c r="I15" s="29"/>
      <c r="J15" s="29"/>
      <c r="T15" s="131" t="str">
        <f>IF(C15&gt;EOMONTH(DATE('Input|General'!$G$12,MONTH('Input|General'!$G$9),1),0),"Ok",IF(ISBLANK($D15),"Check","Ok"))</f>
        <v>Ok</v>
      </c>
    </row>
    <row r="16" spans="1:48">
      <c r="C16" s="64">
        <v>39813</v>
      </c>
      <c r="D16" s="63">
        <v>166</v>
      </c>
      <c r="E16" s="117">
        <f t="shared" si="0"/>
        <v>3.6851967520299844E-2</v>
      </c>
      <c r="F16" s="29"/>
      <c r="G16" s="65"/>
      <c r="H16" s="29"/>
      <c r="I16" s="29"/>
      <c r="J16" s="29"/>
      <c r="T16" s="131" t="str">
        <f>IF(C16&gt;EOMONTH(DATE('Input|General'!$G$12,MONTH('Input|General'!$G$9),1),0),"Ok",IF(ISBLANK($D16),"Check","Ok"))</f>
        <v>Ok</v>
      </c>
    </row>
    <row r="17" spans="3:20">
      <c r="C17" s="64">
        <v>39903</v>
      </c>
      <c r="D17" s="63">
        <v>166.2</v>
      </c>
      <c r="E17" s="117">
        <f t="shared" si="0"/>
        <v>2.4660912453760897E-2</v>
      </c>
      <c r="F17" s="29"/>
      <c r="G17" s="65"/>
      <c r="H17" s="29"/>
      <c r="I17" s="29"/>
      <c r="J17" s="29"/>
      <c r="T17" s="131" t="str">
        <f>IF(C17&gt;EOMONTH(DATE('Input|General'!$G$12,MONTH('Input|General'!$G$9),1),0),"Ok",IF(ISBLANK($D17),"Check","Ok"))</f>
        <v>Ok</v>
      </c>
    </row>
    <row r="18" spans="3:20">
      <c r="C18" s="64">
        <v>39994</v>
      </c>
      <c r="D18" s="63">
        <v>167</v>
      </c>
      <c r="E18" s="117">
        <f t="shared" si="0"/>
        <v>1.4580801944106936E-2</v>
      </c>
      <c r="F18" s="29"/>
      <c r="G18" s="65"/>
      <c r="H18" s="29"/>
      <c r="I18" s="29"/>
      <c r="J18" s="29"/>
      <c r="T18" s="131" t="str">
        <f>IF(C18&gt;EOMONTH(DATE('Input|General'!$G$12,MONTH('Input|General'!$G$9),1),0),"Ok",IF(ISBLANK($D18),"Check","Ok"))</f>
        <v>Ok</v>
      </c>
    </row>
    <row r="19" spans="3:20">
      <c r="C19" s="64">
        <v>40086</v>
      </c>
      <c r="D19" s="63">
        <v>168.6</v>
      </c>
      <c r="E19" s="117">
        <f t="shared" si="0"/>
        <v>1.2612612612612484E-2</v>
      </c>
      <c r="F19" s="29"/>
      <c r="G19" s="65"/>
      <c r="H19" s="29"/>
      <c r="I19" s="29"/>
      <c r="J19" s="29"/>
      <c r="T19" s="131" t="str">
        <f>IF(C19&gt;EOMONTH(DATE('Input|General'!$G$12,MONTH('Input|General'!$G$9),1),0),"Ok",IF(ISBLANK($D19),"Check","Ok"))</f>
        <v>Ok</v>
      </c>
    </row>
    <row r="20" spans="3:20">
      <c r="C20" s="64">
        <v>40178</v>
      </c>
      <c r="D20" s="63">
        <v>169.5</v>
      </c>
      <c r="E20" s="117">
        <f t="shared" si="0"/>
        <v>2.108433734939763E-2</v>
      </c>
      <c r="F20" s="29"/>
      <c r="G20" s="65"/>
      <c r="H20" s="29"/>
      <c r="I20" s="29"/>
      <c r="J20" s="29"/>
      <c r="T20" s="131" t="str">
        <f>IF(C20&gt;EOMONTH(DATE('Input|General'!$G$12,MONTH('Input|General'!$G$9),1),0),"Ok",IF(ISBLANK($D20),"Check","Ok"))</f>
        <v>Ok</v>
      </c>
    </row>
    <row r="21" spans="3:20">
      <c r="C21" s="64">
        <v>40268</v>
      </c>
      <c r="D21" s="63">
        <v>171</v>
      </c>
      <c r="E21" s="117">
        <f t="shared" si="0"/>
        <v>2.8880866425992746E-2</v>
      </c>
      <c r="F21" s="225">
        <v>95.2</v>
      </c>
      <c r="G21" s="65"/>
      <c r="H21" s="188"/>
      <c r="I21" s="29"/>
      <c r="J21" s="29"/>
      <c r="T21" s="131" t="str">
        <f>IF(C21&gt;EOMONTH(DATE('Input|General'!$G$12,MONTH('Input|General'!$G$9),1),0),"Ok",IF(ISBLANK($F21),"Check","Ok"))</f>
        <v>Ok</v>
      </c>
    </row>
    <row r="22" spans="3:20">
      <c r="C22" s="64">
        <v>40359</v>
      </c>
      <c r="D22" s="63">
        <v>172.1</v>
      </c>
      <c r="E22" s="117">
        <f t="shared" si="0"/>
        <v>3.0538922155688653E-2</v>
      </c>
      <c r="F22" s="225">
        <v>95.8</v>
      </c>
      <c r="G22" s="65"/>
      <c r="H22" s="188"/>
      <c r="I22" s="29"/>
      <c r="J22" s="29"/>
      <c r="T22" s="131" t="str">
        <f>IF(C22&gt;EOMONTH(DATE('Input|General'!$G$12,MONTH('Input|General'!$G$9),1),0),"Ok",IF(ISBLANK($F22),"Check","Ok"))</f>
        <v>Ok</v>
      </c>
    </row>
    <row r="23" spans="3:20">
      <c r="C23" s="64">
        <v>40451</v>
      </c>
      <c r="D23" s="63">
        <v>173.3</v>
      </c>
      <c r="E23" s="117">
        <f t="shared" si="0"/>
        <v>2.7876631079478242E-2</v>
      </c>
      <c r="F23" s="225">
        <v>96.5</v>
      </c>
      <c r="G23" s="65"/>
      <c r="H23" s="188"/>
      <c r="I23" s="29"/>
      <c r="J23" s="29"/>
      <c r="T23" s="131" t="str">
        <f>IF(C23&gt;EOMONTH(DATE('Input|General'!$G$12,MONTH('Input|General'!$G$9),1),0),"Ok",IF(ISBLANK($F23),"Check","Ok"))</f>
        <v>Ok</v>
      </c>
    </row>
    <row r="24" spans="3:20">
      <c r="C24" s="64">
        <v>40543</v>
      </c>
      <c r="D24" s="63">
        <v>174</v>
      </c>
      <c r="E24" s="117">
        <f t="shared" si="0"/>
        <v>2.6548672566371723E-2</v>
      </c>
      <c r="F24" s="225">
        <v>96.9</v>
      </c>
      <c r="G24" s="65"/>
      <c r="H24" s="188"/>
      <c r="I24" s="29"/>
      <c r="J24" s="29"/>
      <c r="T24" s="131" t="str">
        <f>IF(C24&gt;EOMONTH(DATE('Input|General'!$G$12,MONTH('Input|General'!$G$9),1),0),"Ok",IF(ISBLANK($F24),"Check","Ok"))</f>
        <v>Ok</v>
      </c>
    </row>
    <row r="25" spans="3:20">
      <c r="C25" s="64">
        <v>40633</v>
      </c>
      <c r="D25" s="63">
        <v>176.7</v>
      </c>
      <c r="E25" s="117">
        <f t="shared" si="0"/>
        <v>3.3333333333333215E-2</v>
      </c>
      <c r="F25" s="225">
        <v>98.3</v>
      </c>
      <c r="G25" s="117">
        <f>IF(ISBLANK(F25),"",F25/F21-1)</f>
        <v>3.2563025210083918E-2</v>
      </c>
      <c r="H25" s="188"/>
      <c r="I25" s="29"/>
      <c r="J25" s="29"/>
      <c r="T25" s="131" t="str">
        <f>IF(C25&gt;EOMONTH(DATE('Input|General'!$G$12,MONTH('Input|General'!$G$9),1),0),"Ok",IF(ISBLANK($F25),"Check","Ok"))</f>
        <v>Ok</v>
      </c>
    </row>
    <row r="26" spans="3:20">
      <c r="C26" s="64">
        <v>40724</v>
      </c>
      <c r="D26" s="63">
        <v>178.3</v>
      </c>
      <c r="E26" s="117">
        <f t="shared" si="0"/>
        <v>3.6025566531086683E-2</v>
      </c>
      <c r="F26" s="225">
        <v>99.2</v>
      </c>
      <c r="G26" s="117">
        <f t="shared" ref="G26:G84" si="1">IF(ISBLANK(F26),"",F26/F22-1)</f>
        <v>3.5490605427975108E-2</v>
      </c>
      <c r="H26" s="188"/>
      <c r="I26" s="29"/>
      <c r="J26" s="29"/>
      <c r="T26" s="131" t="str">
        <f>IF(C26&gt;EOMONTH(DATE('Input|General'!$G$12,MONTH('Input|General'!$G$9),1),0),"Ok",IF(ISBLANK($F26),"Check","Ok"))</f>
        <v>Ok</v>
      </c>
    </row>
    <row r="27" spans="3:20">
      <c r="C27" s="64">
        <v>40816</v>
      </c>
      <c r="D27" s="63">
        <v>179.4</v>
      </c>
      <c r="E27" s="117">
        <f t="shared" si="0"/>
        <v>3.5199076745527913E-2</v>
      </c>
      <c r="F27" s="225">
        <v>99.8</v>
      </c>
      <c r="G27" s="117">
        <f t="shared" si="1"/>
        <v>3.4196891191709877E-2</v>
      </c>
      <c r="H27" s="188"/>
      <c r="I27" s="29"/>
      <c r="J27" s="29"/>
      <c r="T27" s="131" t="str">
        <f>IF(C27&gt;EOMONTH(DATE('Input|General'!$G$12,MONTH('Input|General'!$G$9),1),0),"Ok",IF(ISBLANK($F27),"Check","Ok"))</f>
        <v>Ok</v>
      </c>
    </row>
    <row r="28" spans="3:20">
      <c r="C28" s="64">
        <v>40908</v>
      </c>
      <c r="D28" s="63">
        <v>179.4</v>
      </c>
      <c r="E28" s="117">
        <f t="shared" si="0"/>
        <v>3.1034482758620641E-2</v>
      </c>
      <c r="F28" s="225">
        <v>99.8</v>
      </c>
      <c r="G28" s="117">
        <f t="shared" si="1"/>
        <v>2.9927760577915352E-2</v>
      </c>
      <c r="H28" s="188"/>
      <c r="I28" s="29"/>
      <c r="J28" s="29"/>
      <c r="T28" s="131" t="str">
        <f>IF(C28&gt;EOMONTH(DATE('Input|General'!$G$12,MONTH('Input|General'!$G$9),1),0),"Ok",IF(ISBLANK($F28),"Check","Ok"))</f>
        <v>Ok</v>
      </c>
    </row>
    <row r="29" spans="3:20">
      <c r="C29" s="64">
        <v>40999</v>
      </c>
      <c r="D29" s="63">
        <v>179.5</v>
      </c>
      <c r="E29" s="117">
        <f t="shared" si="0"/>
        <v>1.5846066779853007E-2</v>
      </c>
      <c r="F29" s="225">
        <v>99.9</v>
      </c>
      <c r="G29" s="117">
        <f t="shared" si="1"/>
        <v>1.6276703967446737E-2</v>
      </c>
      <c r="H29" s="188"/>
      <c r="I29" s="29"/>
      <c r="J29" s="29"/>
      <c r="T29" s="131" t="str">
        <f>IF(C29&gt;EOMONTH(DATE('Input|General'!$G$12,MONTH('Input|General'!$G$9),1),0),"Ok",IF(ISBLANK($F29),"Check","Ok"))</f>
        <v>Ok</v>
      </c>
    </row>
    <row r="30" spans="3:20">
      <c r="C30" s="64">
        <v>41090</v>
      </c>
      <c r="D30" s="29"/>
      <c r="E30" s="29"/>
      <c r="F30" s="225">
        <v>100.4</v>
      </c>
      <c r="G30" s="117">
        <f t="shared" si="1"/>
        <v>1.2096774193548487E-2</v>
      </c>
      <c r="H30" s="188"/>
      <c r="I30" s="29"/>
      <c r="J30" s="29"/>
      <c r="T30" s="131" t="str">
        <f>IF(C30&gt;EOMONTH(DATE('Input|General'!$G$12,MONTH('Input|General'!$G$9),1),0),"Ok",IF(ISBLANK($F30),"Check","Ok"))</f>
        <v>Ok</v>
      </c>
    </row>
    <row r="31" spans="3:20">
      <c r="C31" s="64">
        <v>41182</v>
      </c>
      <c r="D31" s="29"/>
      <c r="E31" s="29"/>
      <c r="F31" s="225">
        <v>101.8</v>
      </c>
      <c r="G31" s="117">
        <f t="shared" si="1"/>
        <v>2.0040080160320661E-2</v>
      </c>
      <c r="H31" s="188"/>
      <c r="I31" s="29"/>
      <c r="J31" s="29"/>
      <c r="T31" s="131" t="str">
        <f>IF(C31&gt;EOMONTH(DATE('Input|General'!$G$12,MONTH('Input|General'!$G$9),1),0),"Ok",IF(ISBLANK($F31),"Check","Ok"))</f>
        <v>Ok</v>
      </c>
    </row>
    <row r="32" spans="3:20">
      <c r="C32" s="64">
        <v>41274</v>
      </c>
      <c r="D32" s="29"/>
      <c r="E32" s="29"/>
      <c r="F32" s="225">
        <v>102</v>
      </c>
      <c r="G32" s="117">
        <f t="shared" si="1"/>
        <v>2.2044088176352838E-2</v>
      </c>
      <c r="H32" s="188"/>
      <c r="I32" s="29"/>
      <c r="J32" s="29"/>
      <c r="T32" s="131" t="str">
        <f>IF(C32&gt;EOMONTH(DATE('Input|General'!$G$12,MONTH('Input|General'!$G$9),1),0),"Ok",IF(ISBLANK($F32),"Check","Ok"))</f>
        <v>Ok</v>
      </c>
    </row>
    <row r="33" spans="3:20">
      <c r="C33" s="64">
        <v>41364</v>
      </c>
      <c r="D33" s="29"/>
      <c r="E33" s="29"/>
      <c r="F33" s="225">
        <v>102.4</v>
      </c>
      <c r="G33" s="117">
        <f t="shared" si="1"/>
        <v>2.5025025025025016E-2</v>
      </c>
      <c r="H33" s="188"/>
      <c r="I33" s="29"/>
      <c r="J33" s="29"/>
      <c r="T33" s="131" t="str">
        <f>IF(C33&gt;EOMONTH(DATE('Input|General'!$G$12,MONTH('Input|General'!$G$9),1),0),"Ok",IF(ISBLANK($F33),"Check","Ok"))</f>
        <v>Ok</v>
      </c>
    </row>
    <row r="34" spans="3:20">
      <c r="C34" s="64">
        <v>41455</v>
      </c>
      <c r="D34" s="29"/>
      <c r="E34" s="29"/>
      <c r="F34" s="225">
        <v>102.8</v>
      </c>
      <c r="G34" s="117">
        <f t="shared" si="1"/>
        <v>2.3904382470119501E-2</v>
      </c>
      <c r="H34" s="188"/>
      <c r="I34" s="29"/>
      <c r="J34" s="29"/>
      <c r="T34" s="131" t="str">
        <f>IF(C34&gt;EOMONTH(DATE('Input|General'!$G$12,MONTH('Input|General'!$G$9),1),0),"Ok",IF(ISBLANK($F34),"Check","Ok"))</f>
        <v>Ok</v>
      </c>
    </row>
    <row r="35" spans="3:20">
      <c r="C35" s="64">
        <v>41547</v>
      </c>
      <c r="D35" s="29"/>
      <c r="E35" s="29"/>
      <c r="F35" s="225">
        <v>104</v>
      </c>
      <c r="G35" s="117">
        <f t="shared" si="1"/>
        <v>2.16110019646365E-2</v>
      </c>
      <c r="H35" s="188"/>
      <c r="I35" s="29"/>
      <c r="J35" s="29"/>
      <c r="T35" s="131" t="str">
        <f>IF(C35&gt;EOMONTH(DATE('Input|General'!$G$12,MONTH('Input|General'!$G$9),1),0),"Ok",IF(ISBLANK($F35),"Check","Ok"))</f>
        <v>Ok</v>
      </c>
    </row>
    <row r="36" spans="3:20">
      <c r="C36" s="64">
        <v>41639</v>
      </c>
      <c r="D36" s="29"/>
      <c r="E36" s="29"/>
      <c r="F36" s="225">
        <v>104.8</v>
      </c>
      <c r="G36" s="117">
        <f t="shared" si="1"/>
        <v>2.7450980392156765E-2</v>
      </c>
      <c r="H36" s="188"/>
      <c r="I36" s="29"/>
      <c r="J36" s="29"/>
      <c r="T36" s="131" t="str">
        <f>IF(C36&gt;EOMONTH(DATE('Input|General'!$G$12,MONTH('Input|General'!$G$9),1),0),"Ok",IF(ISBLANK($F36),"Check","Ok"))</f>
        <v>Ok</v>
      </c>
    </row>
    <row r="37" spans="3:20">
      <c r="C37" s="64">
        <v>41729</v>
      </c>
      <c r="D37" s="29"/>
      <c r="E37" s="29"/>
      <c r="F37" s="225">
        <v>105.4</v>
      </c>
      <c r="G37" s="117">
        <f t="shared" si="1"/>
        <v>2.9296875E-2</v>
      </c>
      <c r="H37" s="188"/>
      <c r="I37" s="29"/>
      <c r="J37" s="29"/>
      <c r="T37" s="131" t="str">
        <f>IF(C37&gt;EOMONTH(DATE('Input|General'!$G$12,MONTH('Input|General'!$G$9),1),0),"Ok",IF(ISBLANK($F37),"Check","Ok"))</f>
        <v>Ok</v>
      </c>
    </row>
    <row r="38" spans="3:20">
      <c r="C38" s="64">
        <v>41820</v>
      </c>
      <c r="D38" s="29"/>
      <c r="E38" s="29"/>
      <c r="F38" s="225">
        <v>105.9</v>
      </c>
      <c r="G38" s="117">
        <f t="shared" si="1"/>
        <v>3.0155642023346418E-2</v>
      </c>
      <c r="H38" s="188"/>
      <c r="I38" s="29"/>
      <c r="J38" s="29"/>
      <c r="T38" s="131" t="str">
        <f>IF(C38&gt;EOMONTH(DATE('Input|General'!$G$12,MONTH('Input|General'!$G$9),1),0),"Ok",IF(ISBLANK($F38),"Check","Ok"))</f>
        <v>Ok</v>
      </c>
    </row>
    <row r="39" spans="3:20">
      <c r="C39" s="64">
        <v>41912</v>
      </c>
      <c r="D39" s="29"/>
      <c r="E39" s="29"/>
      <c r="F39" s="225">
        <v>106.4</v>
      </c>
      <c r="G39" s="117">
        <f t="shared" si="1"/>
        <v>2.3076923076923217E-2</v>
      </c>
      <c r="H39" s="188"/>
      <c r="I39" s="29"/>
      <c r="J39" s="29"/>
      <c r="T39" s="131" t="str">
        <f>IF(C39&gt;EOMONTH(DATE('Input|General'!$G$12,MONTH('Input|General'!$G$9),1),0),"Ok",IF(ISBLANK($F39),"Check","Ok"))</f>
        <v>Ok</v>
      </c>
    </row>
    <row r="40" spans="3:20">
      <c r="C40" s="64">
        <v>42004</v>
      </c>
      <c r="D40" s="29"/>
      <c r="E40" s="29"/>
      <c r="F40" s="225">
        <v>106.6</v>
      </c>
      <c r="G40" s="117">
        <f t="shared" si="1"/>
        <v>1.7175572519083859E-2</v>
      </c>
      <c r="H40" s="188"/>
      <c r="I40" s="29"/>
      <c r="J40" s="29"/>
      <c r="T40" s="131" t="str">
        <f>IF(C40&gt;EOMONTH(DATE('Input|General'!$G$12,MONTH('Input|General'!$G$9),1),0),"Ok",IF(ISBLANK($F40),"Check","Ok"))</f>
        <v>Ok</v>
      </c>
    </row>
    <row r="41" spans="3:20">
      <c r="C41" s="64">
        <v>42094</v>
      </c>
      <c r="D41" s="29"/>
      <c r="E41" s="29"/>
      <c r="F41" s="225">
        <v>106.8</v>
      </c>
      <c r="G41" s="117">
        <f t="shared" si="1"/>
        <v>1.3282732447817747E-2</v>
      </c>
      <c r="H41" s="188"/>
      <c r="I41" s="29"/>
      <c r="J41" s="29"/>
      <c r="T41" s="131" t="str">
        <f>IF(C41&gt;EOMONTH(DATE('Input|General'!$G$12,MONTH('Input|General'!$G$9),1),0),"Ok",IF(ISBLANK($F41),"Check","Ok"))</f>
        <v>Ok</v>
      </c>
    </row>
    <row r="42" spans="3:20">
      <c r="C42" s="64">
        <v>42185</v>
      </c>
      <c r="D42" s="29"/>
      <c r="E42" s="29"/>
      <c r="F42" s="225">
        <v>107.5</v>
      </c>
      <c r="G42" s="117">
        <f t="shared" si="1"/>
        <v>1.5108593012275628E-2</v>
      </c>
      <c r="H42" s="188"/>
      <c r="I42" s="29"/>
      <c r="J42" s="29"/>
      <c r="T42" s="131" t="str">
        <f>IF(C42&gt;EOMONTH(DATE('Input|General'!$G$12,MONTH('Input|General'!$G$9),1),0),"Ok",IF(ISBLANK($F42),"Check","Ok"))</f>
        <v>Ok</v>
      </c>
    </row>
    <row r="43" spans="3:20">
      <c r="C43" s="64">
        <v>42277</v>
      </c>
      <c r="D43" s="29"/>
      <c r="E43" s="29"/>
      <c r="F43" s="225">
        <v>108</v>
      </c>
      <c r="G43" s="117">
        <f t="shared" si="1"/>
        <v>1.5037593984962294E-2</v>
      </c>
      <c r="H43" s="188"/>
      <c r="I43" s="29"/>
      <c r="J43" s="29"/>
      <c r="T43" s="131" t="str">
        <f>IF(C43&gt;EOMONTH(DATE('Input|General'!$G$12,MONTH('Input|General'!$G$9),1),0),"Ok",IF(ISBLANK($F43),"Check","Ok"))</f>
        <v>Ok</v>
      </c>
    </row>
    <row r="44" spans="3:20">
      <c r="C44" s="64">
        <v>42369</v>
      </c>
      <c r="D44" s="29"/>
      <c r="E44" s="29"/>
      <c r="F44" s="225">
        <v>108.4</v>
      </c>
      <c r="G44" s="117">
        <f t="shared" si="1"/>
        <v>1.6885553470919357E-2</v>
      </c>
      <c r="H44" s="188"/>
      <c r="I44" s="29"/>
      <c r="J44" s="29"/>
      <c r="T44" s="131" t="str">
        <f>IF(C44&gt;EOMONTH(DATE('Input|General'!$G$12,MONTH('Input|General'!$G$9),1),0),"Ok",IF(ISBLANK($F44),"Check","Ok"))</f>
        <v>Ok</v>
      </c>
    </row>
    <row r="45" spans="3:20">
      <c r="C45" s="64">
        <v>42460</v>
      </c>
      <c r="D45" s="29"/>
      <c r="E45" s="29"/>
      <c r="F45" s="225">
        <v>108.2</v>
      </c>
      <c r="G45" s="117">
        <f t="shared" si="1"/>
        <v>1.3108614232209881E-2</v>
      </c>
      <c r="H45" s="188"/>
      <c r="I45" s="29"/>
      <c r="J45" s="29"/>
      <c r="T45" s="131" t="str">
        <f>IF(C45&gt;EOMONTH(DATE('Input|General'!$G$12,MONTH('Input|General'!$G$9),1),0),"Ok",IF(ISBLANK($F45),"Check","Ok"))</f>
        <v>Ok</v>
      </c>
    </row>
    <row r="46" spans="3:20">
      <c r="C46" s="64">
        <v>42551</v>
      </c>
      <c r="D46" s="29"/>
      <c r="E46" s="29"/>
      <c r="F46" s="225">
        <v>108.6</v>
      </c>
      <c r="G46" s="117">
        <f t="shared" si="1"/>
        <v>1.0232558139534831E-2</v>
      </c>
      <c r="H46" s="188"/>
      <c r="I46" s="29"/>
      <c r="J46" s="29"/>
      <c r="T46" s="131" t="str">
        <f>IF(C46&gt;EOMONTH(DATE('Input|General'!$G$12,MONTH('Input|General'!$G$9),1),0),"Ok",IF(ISBLANK($F46),"Check","Ok"))</f>
        <v>Ok</v>
      </c>
    </row>
    <row r="47" spans="3:20">
      <c r="C47" s="64">
        <v>42643</v>
      </c>
      <c r="D47" s="29"/>
      <c r="E47" s="29"/>
      <c r="F47" s="225">
        <v>109.4</v>
      </c>
      <c r="G47" s="117">
        <f t="shared" si="1"/>
        <v>1.2962962962963065E-2</v>
      </c>
      <c r="H47" s="188"/>
      <c r="I47" s="29"/>
      <c r="J47" s="29"/>
      <c r="T47" s="131" t="str">
        <f>IF(C47&gt;EOMONTH(DATE('Input|General'!$G$12,MONTH('Input|General'!$G$9),1),0),"Ok",IF(ISBLANK($F47),"Check","Ok"))</f>
        <v>Ok</v>
      </c>
    </row>
    <row r="48" spans="3:20">
      <c r="C48" s="64">
        <v>42735</v>
      </c>
      <c r="D48" s="29"/>
      <c r="E48" s="29"/>
      <c r="F48" s="225">
        <v>110</v>
      </c>
      <c r="G48" s="117">
        <f t="shared" si="1"/>
        <v>1.4760147601476037E-2</v>
      </c>
      <c r="H48" s="188"/>
      <c r="I48" s="29"/>
      <c r="J48" s="29"/>
      <c r="T48" s="131" t="str">
        <f>IF(C48&gt;EOMONTH(DATE('Input|General'!$G$12,MONTH('Input|General'!$G$9),1),0),"Ok",IF(ISBLANK($F48),"Check","Ok"))</f>
        <v>Ok</v>
      </c>
    </row>
    <row r="49" spans="3:20">
      <c r="C49" s="64">
        <v>42825</v>
      </c>
      <c r="D49" s="29"/>
      <c r="E49" s="29"/>
      <c r="F49" s="225">
        <v>110.5</v>
      </c>
      <c r="G49" s="117">
        <f t="shared" si="1"/>
        <v>2.1256931608133023E-2</v>
      </c>
      <c r="H49" s="188"/>
      <c r="I49" s="29"/>
      <c r="J49" s="29"/>
      <c r="T49" s="131" t="str">
        <f>IF(C49&gt;EOMONTH(DATE('Input|General'!$G$12,MONTH('Input|General'!$G$9),1),0),"Ok",IF(ISBLANK($F49),"Check","Ok"))</f>
        <v>Ok</v>
      </c>
    </row>
    <row r="50" spans="3:20">
      <c r="C50" s="64">
        <v>42916</v>
      </c>
      <c r="D50" s="29"/>
      <c r="E50" s="29"/>
      <c r="F50" s="225">
        <v>110.7</v>
      </c>
      <c r="G50" s="117">
        <f t="shared" si="1"/>
        <v>1.9337016574585641E-2</v>
      </c>
      <c r="H50" s="189"/>
      <c r="I50" s="29"/>
      <c r="J50" s="29"/>
      <c r="T50" s="131" t="str">
        <f>IF(C50&gt;EOMONTH(DATE('Input|General'!$G$12,MONTH('Input|General'!$G$9),1),0),"Ok",IF(ISBLANK($F50),"Check","Ok"))</f>
        <v>Ok</v>
      </c>
    </row>
    <row r="51" spans="3:20">
      <c r="C51" s="64">
        <v>43008</v>
      </c>
      <c r="D51" s="29"/>
      <c r="E51" s="29"/>
      <c r="F51" s="225">
        <v>111.4</v>
      </c>
      <c r="G51" s="117">
        <f t="shared" si="1"/>
        <v>1.8281535648994485E-2</v>
      </c>
      <c r="H51" s="188"/>
      <c r="I51" s="29"/>
      <c r="J51" s="29"/>
      <c r="T51" s="131" t="str">
        <f>IF(C51&gt;EOMONTH(DATE('Input|General'!$G$12,MONTH('Input|General'!$G$9),1),0),"Ok",IF(ISBLANK($F51),"Check","Ok"))</f>
        <v>Ok</v>
      </c>
    </row>
    <row r="52" spans="3:20">
      <c r="C52" s="64">
        <v>43100</v>
      </c>
      <c r="D52" s="29"/>
      <c r="E52" s="29"/>
      <c r="F52" s="225">
        <v>112.1</v>
      </c>
      <c r="G52" s="117">
        <f t="shared" si="1"/>
        <v>1.9090909090909047E-2</v>
      </c>
      <c r="H52" s="188"/>
      <c r="I52" s="29"/>
      <c r="J52" s="29"/>
      <c r="T52" s="131" t="str">
        <f>IF(C52&gt;EOMONTH(DATE('Input|General'!$G$12,MONTH('Input|General'!$G$9),1),0),"Ok",IF(ISBLANK($F52),"Check","Ok"))</f>
        <v>Ok</v>
      </c>
    </row>
    <row r="53" spans="3:20">
      <c r="C53" s="64">
        <v>43190</v>
      </c>
      <c r="D53" s="29"/>
      <c r="E53" s="29"/>
      <c r="F53" s="225">
        <v>112.6</v>
      </c>
      <c r="G53" s="117">
        <f t="shared" si="1"/>
        <v>1.9004524886877761E-2</v>
      </c>
      <c r="H53" s="188"/>
      <c r="I53" s="29"/>
      <c r="J53" s="29"/>
      <c r="T53" s="131" t="str">
        <f>IF(C53&gt;EOMONTH(DATE('Input|General'!$G$12,MONTH('Input|General'!$G$9),1),0),"Ok",IF(ISBLANK($F53),"Check","Ok"))</f>
        <v>Ok</v>
      </c>
    </row>
    <row r="54" spans="3:20">
      <c r="C54" s="64">
        <v>43281</v>
      </c>
      <c r="D54" s="29"/>
      <c r="E54" s="29"/>
      <c r="F54" s="225">
        <v>113</v>
      </c>
      <c r="G54" s="117">
        <f t="shared" si="1"/>
        <v>2.0776874435411097E-2</v>
      </c>
      <c r="H54" s="188"/>
      <c r="I54" s="29"/>
      <c r="J54" s="29"/>
      <c r="T54" s="131" t="str">
        <f>IF(C54&gt;EOMONTH(DATE('Input|General'!$G$12,MONTH('Input|General'!$G$9),1),0),"Ok",IF(ISBLANK($F54),"Check","Ok"))</f>
        <v>Ok</v>
      </c>
    </row>
    <row r="55" spans="3:20">
      <c r="C55" s="64">
        <v>43373</v>
      </c>
      <c r="D55" s="29"/>
      <c r="E55" s="29"/>
      <c r="F55" s="225">
        <v>113.5</v>
      </c>
      <c r="G55" s="117">
        <f t="shared" si="1"/>
        <v>1.8850987432674993E-2</v>
      </c>
      <c r="H55" s="188"/>
      <c r="I55" s="29"/>
      <c r="J55" s="29"/>
      <c r="T55" s="131" t="str">
        <f>IF(C55&gt;EOMONTH(DATE('Input|General'!$G$12,MONTH('Input|General'!$G$9),1),0),"Ok",IF(ISBLANK($F55),"Check","Ok"))</f>
        <v>Ok</v>
      </c>
    </row>
    <row r="56" spans="3:20">
      <c r="C56" s="64">
        <v>43465</v>
      </c>
      <c r="D56" s="29"/>
      <c r="E56" s="29"/>
      <c r="F56" s="225">
        <v>114.1</v>
      </c>
      <c r="G56" s="117">
        <f t="shared" si="1"/>
        <v>1.7841213202497874E-2</v>
      </c>
      <c r="H56" s="188"/>
      <c r="I56" s="29"/>
      <c r="J56" s="29"/>
      <c r="T56" s="131" t="str">
        <f>IF(C56&gt;EOMONTH(DATE('Input|General'!$G$12,MONTH('Input|General'!$G$9),1),0),"Ok",IF(ISBLANK($F56),"Check","Ok"))</f>
        <v>Ok</v>
      </c>
    </row>
    <row r="57" spans="3:20">
      <c r="C57" s="64">
        <v>43555</v>
      </c>
      <c r="D57" s="29"/>
      <c r="E57" s="29"/>
      <c r="F57" s="225">
        <v>114.1</v>
      </c>
      <c r="G57" s="117">
        <f t="shared" si="1"/>
        <v>1.3321492007104752E-2</v>
      </c>
      <c r="H57" s="188"/>
      <c r="I57" s="29"/>
      <c r="J57" s="29"/>
      <c r="T57" s="131" t="str">
        <f>IF(C57&gt;EOMONTH(DATE('Input|General'!$G$12,MONTH('Input|General'!$G$9),1),0),"Ok",IF(ISBLANK($F57),"Check","Ok"))</f>
        <v>Ok</v>
      </c>
    </row>
    <row r="58" spans="3:20">
      <c r="C58" s="64">
        <v>43646</v>
      </c>
      <c r="D58" s="29"/>
      <c r="E58" s="29"/>
      <c r="F58" s="225">
        <v>114.8</v>
      </c>
      <c r="G58" s="117">
        <f t="shared" si="1"/>
        <v>1.5929203539823078E-2</v>
      </c>
      <c r="H58" s="188"/>
      <c r="I58" s="29"/>
      <c r="J58" s="29"/>
      <c r="T58" s="131" t="str">
        <f>IF(C58&gt;EOMONTH(DATE('Input|General'!$G$12,MONTH('Input|General'!$G$9),1),0),"Ok",IF(ISBLANK($F58),"Check","Ok"))</f>
        <v>Ok</v>
      </c>
    </row>
    <row r="59" spans="3:20">
      <c r="C59" s="64">
        <v>43738</v>
      </c>
      <c r="D59" s="29"/>
      <c r="E59" s="29"/>
      <c r="F59" s="225">
        <v>115.4</v>
      </c>
      <c r="G59" s="117">
        <f t="shared" si="1"/>
        <v>1.6740088105726914E-2</v>
      </c>
      <c r="H59" s="188"/>
      <c r="I59" s="29"/>
      <c r="J59" s="29"/>
      <c r="T59" s="131" t="str">
        <f>IF(C59&gt;EOMONTH(DATE('Input|General'!$G$12,MONTH('Input|General'!$G$9),1),0),"Ok",IF(ISBLANK($F59),"Check","Ok"))</f>
        <v>Ok</v>
      </c>
    </row>
    <row r="60" spans="3:20">
      <c r="C60" s="64">
        <v>43830</v>
      </c>
      <c r="D60" s="29"/>
      <c r="E60" s="29"/>
      <c r="F60" s="225">
        <v>116.2</v>
      </c>
      <c r="G60" s="117">
        <f t="shared" si="1"/>
        <v>1.8404907975460238E-2</v>
      </c>
      <c r="H60" s="188"/>
      <c r="I60" s="29"/>
      <c r="J60" s="29"/>
      <c r="T60" s="131" t="str">
        <f>IF(C60&gt;EOMONTH(DATE('Input|General'!$G$12,MONTH('Input|General'!$G$9),1),0),"Ok",IF(ISBLANK($F60),"Check","Ok"))</f>
        <v>Ok</v>
      </c>
    </row>
    <row r="61" spans="3:20">
      <c r="C61" s="64">
        <v>43921</v>
      </c>
      <c r="D61" s="29"/>
      <c r="E61" s="29"/>
      <c r="F61" s="225">
        <v>116.6</v>
      </c>
      <c r="G61" s="117">
        <f t="shared" si="1"/>
        <v>2.1910604732690686E-2</v>
      </c>
      <c r="H61" s="188"/>
      <c r="I61" s="29"/>
      <c r="J61" s="29"/>
      <c r="T61" s="131" t="str">
        <f>IF(C61&gt;EOMONTH(DATE('Input|General'!$G$12,MONTH('Input|General'!$G$9),1),0),"Ok",IF(ISBLANK($F61),"Check","Ok"))</f>
        <v>Ok</v>
      </c>
    </row>
    <row r="62" spans="3:20">
      <c r="C62" s="64">
        <v>44012</v>
      </c>
      <c r="D62" s="29"/>
      <c r="E62" s="29"/>
      <c r="F62" s="225">
        <v>114.4</v>
      </c>
      <c r="G62" s="117">
        <f t="shared" si="1"/>
        <v>-3.4843205574912606E-3</v>
      </c>
      <c r="H62" s="188"/>
      <c r="I62" s="29"/>
      <c r="J62" s="29"/>
      <c r="T62" s="131" t="str">
        <f>IF(C62&gt;EOMONTH(DATE('Input|General'!$G$12,MONTH('Input|General'!$G$9),1),0),"Ok",IF(ISBLANK($F62),"Check","Ok"))</f>
        <v>Ok</v>
      </c>
    </row>
    <row r="63" spans="3:20">
      <c r="C63" s="64">
        <v>44104</v>
      </c>
      <c r="D63" s="29"/>
      <c r="E63" s="29"/>
      <c r="F63" s="225">
        <v>116.2</v>
      </c>
      <c r="G63" s="117">
        <f t="shared" si="1"/>
        <v>6.9324090121316573E-3</v>
      </c>
      <c r="H63" s="188"/>
      <c r="I63" s="29"/>
      <c r="J63" s="29"/>
      <c r="T63" s="131" t="str">
        <f>IF(C63&gt;EOMONTH(DATE('Input|General'!$G$12,MONTH('Input|General'!$G$9),1),0),"Ok",IF(ISBLANK($F63),"Check","Ok"))</f>
        <v>Ok</v>
      </c>
    </row>
    <row r="64" spans="3:20">
      <c r="C64" s="64">
        <v>44196</v>
      </c>
      <c r="D64" s="29"/>
      <c r="E64" s="29"/>
      <c r="F64" s="225">
        <v>117.2</v>
      </c>
      <c r="G64" s="117">
        <f t="shared" si="1"/>
        <v>8.6058519793459354E-3</v>
      </c>
      <c r="H64" s="188"/>
      <c r="I64" s="29"/>
      <c r="J64" s="29"/>
      <c r="T64" s="131" t="str">
        <f>IF(C64&gt;EOMONTH(DATE('Input|General'!$G$12,MONTH('Input|General'!$G$9),1),0),"Ok",IF(ISBLANK($F64),"Check","Ok"))</f>
        <v>Ok</v>
      </c>
    </row>
    <row r="65" spans="3:20">
      <c r="C65" s="64">
        <v>44286</v>
      </c>
      <c r="D65" s="29"/>
      <c r="E65" s="29"/>
      <c r="F65" s="225">
        <v>117.9</v>
      </c>
      <c r="G65" s="117">
        <f t="shared" si="1"/>
        <v>1.1149228130360234E-2</v>
      </c>
      <c r="H65" s="188"/>
      <c r="I65" s="29"/>
      <c r="J65" s="29"/>
      <c r="T65" s="131" t="str">
        <f>IF(C65&gt;EOMONTH(DATE('Input|General'!$G$12,MONTH('Input|General'!$G$9),1),0),"Ok",IF(ISBLANK($F65),"Check","Ok"))</f>
        <v>Ok</v>
      </c>
    </row>
    <row r="66" spans="3:20">
      <c r="C66" s="64">
        <v>44377</v>
      </c>
      <c r="D66" s="29"/>
      <c r="E66" s="29"/>
      <c r="F66" s="225">
        <f>F62*(1+3.25%)</f>
        <v>118.11800000000001</v>
      </c>
      <c r="G66" s="117">
        <f t="shared" si="1"/>
        <v>3.2499999999999973E-2</v>
      </c>
      <c r="H66" s="188"/>
      <c r="I66" s="29"/>
      <c r="J66" s="29"/>
      <c r="T66" s="131" t="str">
        <f>IF(C66&gt;EOMONTH(DATE('Input|General'!$G$12,MONTH('Input|General'!$G$9),1),0),"Ok",IF(ISBLANK($F66),"Check","Ok"))</f>
        <v>Ok</v>
      </c>
    </row>
    <row r="67" spans="3:20">
      <c r="C67" s="64">
        <v>44469</v>
      </c>
      <c r="D67" s="29"/>
      <c r="E67" s="29"/>
      <c r="F67" s="225">
        <f>AVERAGE(F66,F68)</f>
        <v>118.68450000000001</v>
      </c>
      <c r="G67" s="117">
        <f t="shared" si="1"/>
        <v>2.1381239242685091E-2</v>
      </c>
      <c r="H67" s="188"/>
      <c r="I67" s="29"/>
      <c r="J67" s="29"/>
      <c r="T67" s="131" t="str">
        <f>IF(C67&gt;EOMONTH(DATE('Input|General'!$G$12,MONTH('Input|General'!$G$9),1),0),"Ok",IF(ISBLANK($F67),"Check","Ok"))</f>
        <v>Ok</v>
      </c>
    </row>
    <row r="68" spans="3:20">
      <c r="C68" s="64">
        <v>44561</v>
      </c>
      <c r="D68" s="29"/>
      <c r="E68" s="29"/>
      <c r="F68" s="225">
        <f>F64*(1+1.75%)</f>
        <v>119.251</v>
      </c>
      <c r="G68" s="117">
        <f t="shared" si="1"/>
        <v>1.7500000000000071E-2</v>
      </c>
      <c r="H68" s="188"/>
      <c r="I68" s="29"/>
      <c r="J68" s="29"/>
      <c r="T68" s="131" t="str">
        <f>IF(C68&gt;EOMONTH(DATE('Input|General'!$G$12,MONTH('Input|General'!$G$9),1),0),"Ok",IF(ISBLANK($F68),"Check","Ok"))</f>
        <v>Ok</v>
      </c>
    </row>
    <row r="69" spans="3:20">
      <c r="C69" s="64">
        <v>44651</v>
      </c>
      <c r="D69" s="29"/>
      <c r="E69" s="29"/>
      <c r="F69" s="225">
        <f>AVERAGE(F68,F70)</f>
        <v>119.42273750000001</v>
      </c>
      <c r="G69" s="117">
        <f t="shared" si="1"/>
        <v>1.2915500424088178E-2</v>
      </c>
      <c r="H69" s="188"/>
      <c r="I69" s="29"/>
      <c r="J69" s="29"/>
      <c r="T69" s="131" t="str">
        <f>IF(C69&gt;EOMONTH(DATE('Input|General'!$G$12,MONTH('Input|General'!$G$9),1),0),"Ok",IF(ISBLANK($F69),"Check","Ok"))</f>
        <v>Ok</v>
      </c>
    </row>
    <row r="70" spans="3:20">
      <c r="C70" s="64">
        <v>44742</v>
      </c>
      <c r="D70" s="29"/>
      <c r="E70" s="29"/>
      <c r="F70" s="225">
        <f>F66*(1+1.25%)</f>
        <v>119.594475</v>
      </c>
      <c r="G70" s="117">
        <f t="shared" si="1"/>
        <v>1.2499999999999956E-2</v>
      </c>
      <c r="H70" s="188"/>
      <c r="I70" s="29"/>
      <c r="J70" s="29"/>
      <c r="T70" s="131" t="str">
        <f>IF(C70&gt;EOMONTH(DATE('Input|General'!$G$12,MONTH('Input|General'!$G$9),1),0),"Ok",IF(ISBLANK($F70),"Check","Ok"))</f>
        <v>Ok</v>
      </c>
    </row>
    <row r="71" spans="3:20">
      <c r="C71" s="64">
        <v>44834</v>
      </c>
      <c r="D71" s="29"/>
      <c r="E71" s="29"/>
      <c r="F71" s="225">
        <f>AVERAGE(F70,F72)</f>
        <v>120.31711999999999</v>
      </c>
      <c r="G71" s="117">
        <f t="shared" si="1"/>
        <v>1.3755966448862011E-2</v>
      </c>
      <c r="H71" s="188"/>
      <c r="I71" s="29"/>
      <c r="J71" s="29"/>
      <c r="T71" s="131" t="str">
        <f>IF(C71&gt;EOMONTH(DATE('Input|General'!$G$12,MONTH('Input|General'!$G$9),1),0),"Ok",IF(ISBLANK($F71),"Check","Ok"))</f>
        <v>Ok</v>
      </c>
    </row>
    <row r="72" spans="3:20">
      <c r="C72" s="64">
        <v>44926</v>
      </c>
      <c r="D72" s="29"/>
      <c r="E72" s="29"/>
      <c r="F72" s="225">
        <f>F68*(1+1.5%)</f>
        <v>121.03976499999999</v>
      </c>
      <c r="G72" s="117">
        <f t="shared" si="1"/>
        <v>1.4999999999999902E-2</v>
      </c>
      <c r="H72" s="188"/>
      <c r="I72" s="29"/>
      <c r="J72" s="29"/>
      <c r="T72" s="131" t="str">
        <f>IF(C72&gt;EOMONTH(DATE('Input|General'!$G$12,MONTH('Input|General'!$G$9),1),0),"Ok",IF(ISBLANK($F72),"Check","Ok"))</f>
        <v>Ok</v>
      </c>
    </row>
    <row r="73" spans="3:20">
      <c r="C73" s="64">
        <v>45016</v>
      </c>
      <c r="D73" s="29"/>
      <c r="E73" s="29"/>
      <c r="F73" s="225"/>
      <c r="G73" s="117" t="str">
        <f t="shared" si="1"/>
        <v/>
      </c>
      <c r="H73" s="188"/>
      <c r="I73" s="29"/>
      <c r="J73" s="29"/>
      <c r="T73" s="131" t="str">
        <f>IF(C73&gt;EOMONTH(DATE('Input|General'!$G$12,MONTH('Input|General'!$G$9),1),0),"Ok",IF(ISBLANK($F73),"Check","Ok"))</f>
        <v>Ok</v>
      </c>
    </row>
    <row r="74" spans="3:20">
      <c r="C74" s="64">
        <v>45107</v>
      </c>
      <c r="D74" s="29"/>
      <c r="E74" s="29"/>
      <c r="F74" s="225"/>
      <c r="G74" s="117" t="str">
        <f t="shared" si="1"/>
        <v/>
      </c>
      <c r="H74" s="188"/>
      <c r="I74" s="29"/>
      <c r="J74" s="29"/>
      <c r="T74" s="131" t="str">
        <f>IF(C74&gt;EOMONTH(DATE('Input|General'!$G$12,MONTH('Input|General'!$G$9),1),0),"Ok",IF(ISBLANK($F74),"Check","Ok"))</f>
        <v>Ok</v>
      </c>
    </row>
    <row r="75" spans="3:20">
      <c r="C75" s="64">
        <v>45199</v>
      </c>
      <c r="D75" s="29"/>
      <c r="E75" s="29"/>
      <c r="F75" s="225"/>
      <c r="G75" s="117" t="str">
        <f t="shared" si="1"/>
        <v/>
      </c>
      <c r="H75" s="188"/>
      <c r="I75" s="29"/>
      <c r="J75" s="29"/>
      <c r="T75" s="131" t="str">
        <f>IF(C75&gt;EOMONTH(DATE('Input|General'!$G$12,MONTH('Input|General'!$G$9),1),0),"Ok",IF(ISBLANK($F75),"Check","Ok"))</f>
        <v>Ok</v>
      </c>
    </row>
    <row r="76" spans="3:20">
      <c r="C76" s="64">
        <v>45291</v>
      </c>
      <c r="D76" s="29"/>
      <c r="E76" s="29"/>
      <c r="F76" s="63"/>
      <c r="G76" s="117" t="str">
        <f t="shared" si="1"/>
        <v/>
      </c>
      <c r="H76" s="188"/>
      <c r="I76" s="29"/>
      <c r="J76" s="29"/>
      <c r="T76" s="131" t="str">
        <f>IF(C76&gt;EOMONTH(DATE('Input|General'!$G$12,MONTH('Input|General'!$G$9),1),0),"Ok",IF(ISBLANK($F76),"Check","Ok"))</f>
        <v>Ok</v>
      </c>
    </row>
    <row r="77" spans="3:20">
      <c r="C77" s="64">
        <v>45382</v>
      </c>
      <c r="D77" s="29"/>
      <c r="E77" s="29"/>
      <c r="F77" s="63"/>
      <c r="G77" s="117" t="str">
        <f t="shared" si="1"/>
        <v/>
      </c>
      <c r="H77" s="188"/>
      <c r="I77" s="29"/>
      <c r="J77" s="29"/>
      <c r="T77" s="131" t="str">
        <f>IF(C77&gt;EOMONTH(DATE('Input|General'!$G$12,MONTH('Input|General'!$G$9),1),0),"Ok",IF(ISBLANK($F77),"Check","Ok"))</f>
        <v>Ok</v>
      </c>
    </row>
    <row r="78" spans="3:20">
      <c r="C78" s="64">
        <v>45473</v>
      </c>
      <c r="D78" s="29"/>
      <c r="E78" s="29"/>
      <c r="F78" s="63"/>
      <c r="G78" s="117" t="str">
        <f t="shared" si="1"/>
        <v/>
      </c>
      <c r="H78" s="188"/>
      <c r="I78" s="29"/>
      <c r="J78" s="29"/>
      <c r="T78" s="131" t="str">
        <f>IF(C78&gt;EOMONTH(DATE('Input|General'!$G$12,MONTH('Input|General'!$G$9),1),0),"Ok",IF(ISBLANK($F78),"Check","Ok"))</f>
        <v>Ok</v>
      </c>
    </row>
    <row r="79" spans="3:20">
      <c r="C79" s="64">
        <v>45565</v>
      </c>
      <c r="D79" s="29"/>
      <c r="E79" s="29"/>
      <c r="F79" s="63"/>
      <c r="G79" s="117" t="str">
        <f t="shared" si="1"/>
        <v/>
      </c>
      <c r="H79" s="188"/>
      <c r="I79" s="29"/>
      <c r="J79" s="29"/>
      <c r="T79" s="131" t="str">
        <f>IF(C79&gt;EOMONTH(DATE('Input|General'!$G$12,MONTH('Input|General'!$G$9),1),0),"Ok",IF(ISBLANK($F79),"Check","Ok"))</f>
        <v>Ok</v>
      </c>
    </row>
    <row r="80" spans="3:20">
      <c r="C80" s="64">
        <v>45657</v>
      </c>
      <c r="D80" s="29"/>
      <c r="E80" s="29"/>
      <c r="F80" s="63"/>
      <c r="G80" s="117" t="str">
        <f t="shared" si="1"/>
        <v/>
      </c>
      <c r="H80" s="188"/>
      <c r="I80" s="29"/>
      <c r="J80" s="29"/>
      <c r="T80" s="131" t="str">
        <f>IF(C80&gt;EOMONTH(DATE('Input|General'!$G$12,MONTH('Input|General'!$G$9),1),0),"Ok",IF(ISBLANK($F80),"Check","Ok"))</f>
        <v>Ok</v>
      </c>
    </row>
    <row r="81" spans="1:48">
      <c r="C81" s="64">
        <v>45747</v>
      </c>
      <c r="D81" s="29"/>
      <c r="E81" s="29"/>
      <c r="F81" s="63"/>
      <c r="G81" s="117" t="str">
        <f t="shared" si="1"/>
        <v/>
      </c>
      <c r="H81" s="188"/>
      <c r="I81" s="29"/>
      <c r="J81" s="29"/>
      <c r="T81" s="131" t="str">
        <f>IF(C81&gt;EOMONTH(DATE('Input|General'!$G$12,MONTH('Input|General'!$G$9),1),0),"Ok",IF(ISBLANK($F81),"Check","Ok"))</f>
        <v>Ok</v>
      </c>
    </row>
    <row r="82" spans="1:48">
      <c r="C82" s="64">
        <v>45838</v>
      </c>
      <c r="D82" s="29"/>
      <c r="E82" s="29"/>
      <c r="F82" s="63"/>
      <c r="G82" s="117" t="str">
        <f t="shared" si="1"/>
        <v/>
      </c>
      <c r="H82" s="188"/>
      <c r="I82" s="29"/>
      <c r="J82" s="29"/>
      <c r="T82" s="131" t="str">
        <f>IF(C82&gt;EOMONTH(DATE('Input|General'!$G$12,MONTH('Input|General'!$G$9),1),0),"Ok",IF(ISBLANK($F82),"Check","Ok"))</f>
        <v>Ok</v>
      </c>
    </row>
    <row r="83" spans="1:48">
      <c r="C83" s="64">
        <v>45930</v>
      </c>
      <c r="D83" s="29"/>
      <c r="E83" s="29"/>
      <c r="F83" s="63"/>
      <c r="G83" s="117" t="str">
        <f t="shared" si="1"/>
        <v/>
      </c>
      <c r="H83" s="188"/>
      <c r="I83" s="29"/>
      <c r="J83" s="29"/>
      <c r="T83" s="131" t="str">
        <f>IF(C83&gt;EOMONTH(DATE('Input|General'!$G$12,MONTH('Input|General'!$G$9),1),0),"Ok",IF(ISBLANK($F83),"Check","Ok"))</f>
        <v>Ok</v>
      </c>
    </row>
    <row r="84" spans="1:48">
      <c r="C84" s="64">
        <v>46022</v>
      </c>
      <c r="D84" s="29"/>
      <c r="E84" s="29"/>
      <c r="F84" s="63"/>
      <c r="G84" s="117" t="str">
        <f t="shared" si="1"/>
        <v/>
      </c>
      <c r="H84" s="188"/>
      <c r="I84" s="29"/>
      <c r="J84" s="29"/>
      <c r="T84" s="131" t="str">
        <f>IF(C84&gt;EOMONTH(DATE('Input|General'!$G$12,MONTH('Input|General'!$G$9),1),0),"Ok",IF(ISBLANK($F84),"Check","Ok"))</f>
        <v>Ok</v>
      </c>
    </row>
    <row r="85" spans="1:48">
      <c r="F85" s="29"/>
      <c r="G85" s="29"/>
      <c r="H85" s="29"/>
      <c r="I85" s="29"/>
      <c r="J85" s="29"/>
      <c r="T85" s="132"/>
    </row>
    <row r="86" spans="1:48" s="103" customFormat="1" ht="12.75">
      <c r="A86" s="94"/>
      <c r="B86" s="95" t="s">
        <v>21</v>
      </c>
      <c r="C86" s="94"/>
      <c r="D86" s="94"/>
      <c r="E86" s="94"/>
      <c r="F86" s="94"/>
      <c r="G86" s="96"/>
      <c r="H86" s="96"/>
      <c r="I86" s="96"/>
      <c r="J86" s="96"/>
      <c r="K86" s="97"/>
      <c r="L86" s="98"/>
      <c r="M86" s="97"/>
      <c r="N86" s="98"/>
      <c r="O86" s="97"/>
      <c r="P86" s="97"/>
      <c r="Q86" s="97"/>
      <c r="R86" s="97"/>
      <c r="S86" s="97"/>
      <c r="T86" s="97"/>
      <c r="U86" s="97"/>
      <c r="V86" s="97"/>
      <c r="W86" s="98"/>
      <c r="X86" s="98"/>
      <c r="Y86" s="99"/>
      <c r="Z86" s="99"/>
      <c r="AA86" s="99"/>
      <c r="AB86" s="99"/>
      <c r="AC86" s="100"/>
      <c r="AD86" s="101"/>
      <c r="AE86" s="101"/>
      <c r="AF86" s="102"/>
      <c r="AG86" s="102"/>
      <c r="AH86" s="102"/>
      <c r="AI86" s="102"/>
      <c r="AJ86" s="102"/>
      <c r="AK86" s="102"/>
      <c r="AL86" s="102"/>
      <c r="AM86" s="102"/>
      <c r="AN86" s="102"/>
      <c r="AO86" s="102"/>
      <c r="AP86" s="102"/>
      <c r="AQ86" s="102"/>
      <c r="AR86" s="102"/>
      <c r="AS86" s="102"/>
      <c r="AT86" s="102"/>
      <c r="AU86" s="102"/>
      <c r="AV86" s="102"/>
    </row>
    <row r="87" spans="1:48" hidden="1">
      <c r="H87" s="32"/>
      <c r="I87" s="32"/>
    </row>
    <row r="88" spans="1:48" hidden="1">
      <c r="H88" s="32"/>
      <c r="I88" s="32"/>
    </row>
    <row r="89" spans="1:48" s="30" customFormat="1" hidden="1">
      <c r="A89" s="29"/>
      <c r="B89" s="29"/>
      <c r="C89" s="29"/>
      <c r="H89" s="32"/>
      <c r="I89" s="32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</row>
    <row r="90" spans="1:48" s="30" customFormat="1" hidden="1">
      <c r="A90" s="29"/>
      <c r="B90" s="29"/>
      <c r="C90" s="29"/>
      <c r="H90" s="32"/>
      <c r="I90" s="32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</row>
    <row r="91" spans="1:48" s="30" customFormat="1" hidden="1">
      <c r="A91" s="29"/>
      <c r="B91" s="29"/>
      <c r="C91" s="29"/>
      <c r="H91" s="32"/>
      <c r="I91" s="32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</row>
    <row r="92" spans="1:48" s="30" customFormat="1" hidden="1">
      <c r="A92" s="29"/>
      <c r="B92" s="29"/>
      <c r="C92" s="29"/>
      <c r="H92" s="32"/>
      <c r="I92" s="32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</row>
    <row r="93" spans="1:48" s="30" customFormat="1" hidden="1">
      <c r="A93" s="29"/>
      <c r="B93" s="29"/>
      <c r="C93" s="29"/>
      <c r="H93" s="32"/>
      <c r="I93" s="32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</row>
    <row r="94" spans="1:48" s="30" customFormat="1" hidden="1">
      <c r="A94" s="29"/>
      <c r="B94" s="29"/>
      <c r="C94" s="29"/>
      <c r="H94" s="32"/>
      <c r="I94" s="32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</row>
    <row r="95" spans="1:48" s="30" customFormat="1" hidden="1">
      <c r="A95" s="29"/>
      <c r="B95" s="29"/>
      <c r="C95" s="29"/>
      <c r="H95" s="32"/>
      <c r="I95" s="32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</row>
    <row r="96" spans="1:48" s="30" customFormat="1" hidden="1">
      <c r="A96" s="29"/>
      <c r="B96" s="29"/>
      <c r="C96" s="29"/>
      <c r="H96" s="32"/>
      <c r="I96" s="32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</row>
    <row r="97" ht="11.25" hidden="1" customHeight="1"/>
    <row r="98" ht="11.25" hidden="1" customHeight="1"/>
    <row r="99" ht="11.25" hidden="1" customHeight="1"/>
    <row r="100" ht="11.25" hidden="1" customHeight="1"/>
    <row r="101" ht="11.25" hidden="1" customHeight="1"/>
    <row r="102" ht="11.25" hidden="1" customHeight="1"/>
  </sheetData>
  <conditionalFormatting sqref="X14:X50 T85 X63:X85">
    <cfRule type="cellIs" dxfId="196" priority="11" operator="equal">
      <formula>"Check"</formula>
    </cfRule>
    <cfRule type="cellIs" dxfId="195" priority="12" operator="equal">
      <formula>"Ok"</formula>
    </cfRule>
  </conditionalFormatting>
  <conditionalFormatting sqref="W1">
    <cfRule type="cellIs" dxfId="194" priority="7" operator="equal">
      <formula>"Check"</formula>
    </cfRule>
    <cfRule type="cellIs" dxfId="193" priority="8" operator="equal">
      <formula>"Ok"</formula>
    </cfRule>
  </conditionalFormatting>
  <conditionalFormatting sqref="T1">
    <cfRule type="cellIs" dxfId="192" priority="5" operator="equal">
      <formula>"Check"</formula>
    </cfRule>
    <cfRule type="cellIs" dxfId="191" priority="6" operator="equal">
      <formula>"Ok"</formula>
    </cfRule>
  </conditionalFormatting>
  <conditionalFormatting sqref="X51:X57">
    <cfRule type="cellIs" dxfId="190" priority="3" operator="equal">
      <formula>"Check"</formula>
    </cfRule>
    <cfRule type="cellIs" dxfId="189" priority="4" operator="equal">
      <formula>"Ok"</formula>
    </cfRule>
  </conditionalFormatting>
  <conditionalFormatting sqref="X58:X62 T9:T84">
    <cfRule type="cellIs" dxfId="188" priority="1" operator="equal">
      <formula>"Check"</formula>
    </cfRule>
    <cfRule type="cellIs" dxfId="187" priority="2" operator="equal">
      <formula>"Ok"</formula>
    </cfRule>
  </conditionalFormatting>
  <dataValidations disablePrompts="1" count="2">
    <dataValidation type="list" allowBlank="1" showInputMessage="1" showErrorMessage="1" sqref="G85">
      <formula1>"Real 2010,Real 2011,Real 2012,Real 2013,Real 2014,Real 2015,Nominal"</formula1>
    </dataValidation>
    <dataValidation type="list" allowBlank="1" showInputMessage="1" showErrorMessage="1" sqref="J12:J85">
      <formula1>#REF!</formula1>
    </dataValidation>
  </dataValidations>
  <hyperlinks>
    <hyperlink ref="K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FFFF99"/>
  </sheetPr>
  <dimension ref="A1:X73"/>
  <sheetViews>
    <sheetView zoomScale="107" zoomScaleNormal="80" workbookViewId="0"/>
  </sheetViews>
  <sheetFormatPr defaultColWidth="0" defaultRowHeight="11.25" zeroHeight="1"/>
  <cols>
    <col min="1" max="2" width="1.6640625" style="103" customWidth="1"/>
    <col min="3" max="3" width="49.83203125" style="103" bestFit="1" customWidth="1"/>
    <col min="4" max="6" width="13.33203125" style="103" customWidth="1"/>
    <col min="7" max="9" width="3.33203125" style="103" customWidth="1"/>
    <col min="10" max="24" width="10.83203125" style="103" customWidth="1"/>
    <col min="25" max="16384" width="9.33203125" style="103" hidden="1"/>
  </cols>
  <sheetData>
    <row r="1" spans="1:24" ht="15.75">
      <c r="A1" s="69"/>
      <c r="B1" s="70"/>
      <c r="C1" s="70" t="str">
        <f>Index!$B$1</f>
        <v>AER opex model v1.8</v>
      </c>
      <c r="D1" s="70"/>
      <c r="E1" s="70"/>
      <c r="F1" s="71"/>
      <c r="G1" s="71"/>
      <c r="H1" s="71"/>
      <c r="I1" s="71"/>
      <c r="J1" s="218" t="s">
        <v>2</v>
      </c>
      <c r="K1" s="69"/>
      <c r="L1" s="72" t="s">
        <v>3</v>
      </c>
      <c r="M1" s="73" t="s">
        <v>4</v>
      </c>
      <c r="N1" s="74" t="s">
        <v>5</v>
      </c>
      <c r="O1" s="75" t="s">
        <v>6</v>
      </c>
      <c r="P1" s="69"/>
      <c r="Q1" s="69"/>
      <c r="R1" s="72" t="s">
        <v>82</v>
      </c>
      <c r="S1" s="76" t="str">
        <f>IF(COUNTA($X$29:$X$266)=COUNTIF($X$29:$X$266,"OK"),"OK","Check")</f>
        <v>OK</v>
      </c>
      <c r="T1" s="76"/>
      <c r="U1" s="69"/>
      <c r="V1" s="187" t="s">
        <v>24</v>
      </c>
      <c r="W1" s="76" t="str">
        <f>'Check|List'!$S$1</f>
        <v>Ok</v>
      </c>
      <c r="X1" s="69"/>
    </row>
    <row r="2" spans="1:24" ht="13.5" thickBot="1">
      <c r="A2" s="77"/>
      <c r="B2" s="78"/>
      <c r="C2" s="78" t="str">
        <f>Index!$C$9</f>
        <v>Input | Reported opex</v>
      </c>
      <c r="D2" s="78"/>
      <c r="E2" s="78"/>
      <c r="F2" s="79"/>
      <c r="G2" s="79"/>
      <c r="H2" s="79"/>
      <c r="I2" s="79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</row>
    <row r="3" spans="1:24">
      <c r="A3" s="133"/>
      <c r="B3" s="133"/>
      <c r="C3" s="134"/>
      <c r="D3" s="135"/>
      <c r="E3" s="135"/>
      <c r="F3" s="135"/>
      <c r="G3" s="135"/>
      <c r="H3" s="135"/>
      <c r="I3" s="135"/>
      <c r="J3" s="157" t="s">
        <v>124</v>
      </c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36"/>
      <c r="V3" s="136"/>
      <c r="W3" s="136"/>
      <c r="X3" s="136"/>
    </row>
    <row r="4" spans="1:24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5">
        <f>DATE(PPFirstYear,MONTH('Input|General'!$G$9),1)</f>
        <v>43160</v>
      </c>
      <c r="K4" s="155">
        <f>DATE(PPFirstYear+1,MONTH('Input|General'!$G$9),1)</f>
        <v>43525</v>
      </c>
      <c r="L4" s="155">
        <f>DATE(PPFirstYear+2,MONTH('Input|General'!$G$9),1)</f>
        <v>43891</v>
      </c>
      <c r="M4" s="155">
        <f>DATE(PPFirstYear+3,MONTH('Input|General'!$G$9),1)</f>
        <v>44256</v>
      </c>
      <c r="N4" s="155">
        <f>DATE(PPFirstYear+4,MONTH('Input|General'!$G$9),1)</f>
        <v>44621</v>
      </c>
      <c r="O4" s="155">
        <f>DATE(PPFirstYear+5,MONTH('Input|General'!$G$9),1)</f>
        <v>44986</v>
      </c>
      <c r="P4" s="155">
        <f>DATE(PPFirstYear+6,MONTH('Input|General'!$G$9),1)</f>
        <v>45352</v>
      </c>
      <c r="Q4" s="155">
        <f>DATE(PPFirstYear+7,MONTH('Input|General'!$G$9),1)</f>
        <v>45717</v>
      </c>
      <c r="R4" s="155">
        <f>DATE(PPFirstYear+8,MONTH('Input|General'!$G$9),1)</f>
        <v>46082</v>
      </c>
      <c r="S4" s="155">
        <f>DATE(PPFirstYear+9,MONTH('Input|General'!$G$9),1)</f>
        <v>46447</v>
      </c>
      <c r="T4" s="155">
        <f>DATE(PPFirstYear+10,MONTH('Input|General'!$G$9),1)</f>
        <v>46813</v>
      </c>
      <c r="U4" s="87"/>
      <c r="V4" s="87"/>
      <c r="W4" s="88"/>
      <c r="X4" s="88"/>
    </row>
    <row r="5" spans="1:24" ht="5.25" customHeight="1">
      <c r="A5" s="27"/>
      <c r="B5" s="27"/>
      <c r="C5" s="27"/>
      <c r="D5" s="28"/>
      <c r="E5" s="28"/>
      <c r="F5" s="28"/>
      <c r="G5" s="28"/>
      <c r="H5" s="28"/>
      <c r="I5" s="28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</row>
    <row r="6" spans="1:24" ht="6.75" customHeight="1">
      <c r="A6" s="27"/>
      <c r="B6" s="27"/>
      <c r="C6" s="27"/>
      <c r="D6" s="28"/>
      <c r="E6" s="28"/>
      <c r="F6" s="28"/>
      <c r="G6" s="28"/>
      <c r="H6" s="28"/>
      <c r="I6" s="28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</row>
    <row r="7" spans="1:24" ht="5.25" customHeight="1">
      <c r="A7" s="27"/>
      <c r="B7" s="27"/>
      <c r="C7" s="27"/>
      <c r="D7" s="28"/>
      <c r="E7" s="28"/>
      <c r="F7" s="28"/>
      <c r="G7" s="28"/>
      <c r="H7" s="28"/>
      <c r="I7" s="28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</row>
    <row r="8" spans="1:24" ht="12.75">
      <c r="A8" s="94"/>
      <c r="B8" s="95" t="s">
        <v>45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</row>
    <row r="9" spans="1:24">
      <c r="A9" s="29"/>
      <c r="B9" s="29"/>
      <c r="C9" s="29"/>
      <c r="D9" s="30"/>
      <c r="E9" s="30"/>
      <c r="F9" s="30"/>
      <c r="G9" s="32"/>
      <c r="H9" s="32"/>
      <c r="I9" s="30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</row>
    <row r="10" spans="1:24">
      <c r="A10" s="29"/>
      <c r="B10" s="29"/>
      <c r="C10" s="67" t="s">
        <v>76</v>
      </c>
      <c r="D10" s="32" t="s">
        <v>7</v>
      </c>
      <c r="E10" s="32" t="s">
        <v>8</v>
      </c>
      <c r="F10" s="32" t="s">
        <v>22</v>
      </c>
      <c r="G10" s="32"/>
      <c r="H10" s="32"/>
      <c r="I10" s="30"/>
      <c r="J10" s="158">
        <f t="shared" ref="J10:S10" si="0">IF(YEAR(J$4)&lt;=PPLastYear,J$4,"")</f>
        <v>43160</v>
      </c>
      <c r="K10" s="158">
        <f t="shared" si="0"/>
        <v>43525</v>
      </c>
      <c r="L10" s="158">
        <f t="shared" si="0"/>
        <v>43891</v>
      </c>
      <c r="M10" s="158">
        <f t="shared" si="0"/>
        <v>44256</v>
      </c>
      <c r="N10" s="158">
        <f t="shared" si="0"/>
        <v>44621</v>
      </c>
      <c r="O10" s="158" t="str">
        <f t="shared" si="0"/>
        <v/>
      </c>
      <c r="P10" s="158" t="str">
        <f t="shared" si="0"/>
        <v/>
      </c>
      <c r="Q10" s="158" t="str">
        <f t="shared" si="0"/>
        <v/>
      </c>
      <c r="R10" s="158" t="str">
        <f t="shared" si="0"/>
        <v/>
      </c>
      <c r="S10" s="158" t="str">
        <f t="shared" si="0"/>
        <v/>
      </c>
      <c r="T10" s="158"/>
      <c r="U10" s="137" t="s">
        <v>54</v>
      </c>
      <c r="V10" s="138"/>
      <c r="W10" s="138"/>
      <c r="X10" s="29"/>
    </row>
    <row r="11" spans="1:24">
      <c r="A11" s="29"/>
      <c r="B11" s="29"/>
      <c r="C11" s="111"/>
      <c r="D11" s="30"/>
      <c r="E11" s="30"/>
      <c r="F11" s="30"/>
      <c r="G11" s="32"/>
      <c r="H11" s="32"/>
      <c r="I11" s="30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9"/>
      <c r="V11" s="29"/>
      <c r="W11" s="29"/>
      <c r="X11" s="29"/>
    </row>
    <row r="12" spans="1:24">
      <c r="A12" s="29"/>
      <c r="B12" s="29"/>
      <c r="C12" s="111"/>
      <c r="D12" s="30"/>
      <c r="E12" s="110"/>
      <c r="F12" s="30"/>
      <c r="G12" s="32"/>
      <c r="H12" s="32"/>
      <c r="I12" s="30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9"/>
      <c r="V12" s="29"/>
      <c r="W12" s="29"/>
      <c r="X12" s="29"/>
    </row>
    <row r="13" spans="1:24">
      <c r="A13" s="29"/>
      <c r="B13" s="29"/>
      <c r="C13" s="61" t="s">
        <v>73</v>
      </c>
      <c r="D13" s="30" t="s">
        <v>69</v>
      </c>
      <c r="E13" s="171" t="s">
        <v>15</v>
      </c>
      <c r="F13" s="171">
        <v>42795</v>
      </c>
      <c r="G13" s="32"/>
      <c r="H13" s="32"/>
      <c r="I13" s="30"/>
      <c r="J13" s="163">
        <v>226.93182997030331</v>
      </c>
      <c r="K13" s="163">
        <v>227.41990662559633</v>
      </c>
      <c r="L13" s="163">
        <v>228.41411358460027</v>
      </c>
      <c r="M13" s="163">
        <v>228.53516874760538</v>
      </c>
      <c r="N13" s="163">
        <v>229.00109683926635</v>
      </c>
      <c r="O13" s="163"/>
      <c r="P13" s="163"/>
      <c r="Q13" s="163"/>
      <c r="R13" s="163"/>
      <c r="S13" s="163"/>
      <c r="T13" s="163"/>
      <c r="U13" s="29" t="s">
        <v>185</v>
      </c>
      <c r="V13" s="29"/>
      <c r="W13" s="29"/>
      <c r="X13" s="29"/>
    </row>
    <row r="14" spans="1:24">
      <c r="A14" s="29"/>
      <c r="B14" s="29"/>
      <c r="C14" s="111"/>
      <c r="D14" s="30"/>
      <c r="E14" s="30"/>
      <c r="F14" s="30"/>
      <c r="G14" s="32"/>
      <c r="H14" s="32"/>
      <c r="I14" s="30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9"/>
      <c r="V14" s="29"/>
      <c r="W14" s="29"/>
      <c r="X14" s="29"/>
    </row>
    <row r="15" spans="1:24">
      <c r="A15" s="29"/>
      <c r="B15" s="29"/>
      <c r="C15" s="139" t="s">
        <v>73</v>
      </c>
      <c r="D15" s="140" t="str">
        <f>D13</f>
        <v>AER</v>
      </c>
      <c r="E15" s="203" t="str">
        <f>E13</f>
        <v>$millions</v>
      </c>
      <c r="F15" s="203">
        <v>42795</v>
      </c>
      <c r="G15" s="32"/>
      <c r="H15" s="32"/>
      <c r="I15" s="30"/>
      <c r="J15" s="129">
        <f>J13</f>
        <v>226.93182997030331</v>
      </c>
      <c r="K15" s="129">
        <f t="shared" ref="K15:S15" si="1">K13</f>
        <v>227.41990662559633</v>
      </c>
      <c r="L15" s="129">
        <f t="shared" si="1"/>
        <v>228.41411358460027</v>
      </c>
      <c r="M15" s="129">
        <f t="shared" si="1"/>
        <v>228.53516874760538</v>
      </c>
      <c r="N15" s="129">
        <f t="shared" si="1"/>
        <v>229.00109683926635</v>
      </c>
      <c r="O15" s="129">
        <f t="shared" si="1"/>
        <v>0</v>
      </c>
      <c r="P15" s="129">
        <f t="shared" si="1"/>
        <v>0</v>
      </c>
      <c r="Q15" s="129">
        <f t="shared" si="1"/>
        <v>0</v>
      </c>
      <c r="R15" s="129">
        <f t="shared" si="1"/>
        <v>0</v>
      </c>
      <c r="S15" s="129">
        <f t="shared" si="1"/>
        <v>0</v>
      </c>
      <c r="T15" s="129"/>
      <c r="U15" s="29"/>
      <c r="V15" s="29"/>
      <c r="W15" s="29"/>
      <c r="X15" s="29"/>
    </row>
    <row r="16" spans="1:24">
      <c r="A16" s="29"/>
      <c r="B16" s="29"/>
      <c r="C16" s="111"/>
      <c r="D16" s="30"/>
      <c r="E16" s="30"/>
      <c r="F16" s="30"/>
      <c r="G16" s="32"/>
      <c r="H16" s="32"/>
      <c r="I16" s="30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9"/>
      <c r="V16" s="29"/>
      <c r="W16" s="29"/>
      <c r="X16" s="29"/>
    </row>
    <row r="17" spans="1:24">
      <c r="A17" s="29"/>
      <c r="B17" s="29"/>
      <c r="C17" s="67" t="s">
        <v>165</v>
      </c>
      <c r="D17" s="30"/>
      <c r="E17" s="30"/>
      <c r="F17" s="30"/>
      <c r="G17" s="32"/>
      <c r="H17" s="32"/>
      <c r="I17" s="30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9"/>
      <c r="V17" s="29"/>
      <c r="W17" s="29"/>
      <c r="X17" s="29"/>
    </row>
    <row r="18" spans="1:24">
      <c r="A18" s="29"/>
      <c r="B18" s="29"/>
      <c r="C18" s="111"/>
      <c r="D18" s="30"/>
      <c r="E18" s="30"/>
      <c r="F18" s="30"/>
      <c r="G18" s="32"/>
      <c r="H18" s="32"/>
      <c r="I18" s="30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9"/>
      <c r="V18" s="29"/>
      <c r="W18" s="29"/>
      <c r="X18" s="29"/>
    </row>
    <row r="19" spans="1:24">
      <c r="A19" s="29"/>
      <c r="B19" s="29"/>
      <c r="C19" s="61" t="s">
        <v>39</v>
      </c>
      <c r="D19" s="30" t="s">
        <v>69</v>
      </c>
      <c r="E19" s="30" t="str">
        <f>$E$29</f>
        <v>$millions</v>
      </c>
      <c r="F19" s="160">
        <f t="shared" ref="F19:F27" si="2">$F$15</f>
        <v>42795</v>
      </c>
      <c r="G19" s="32"/>
      <c r="H19" s="32"/>
      <c r="I19" s="30"/>
      <c r="J19" s="163">
        <v>1.573632843584865</v>
      </c>
      <c r="K19" s="163">
        <v>1.5808297973074614</v>
      </c>
      <c r="L19" s="163">
        <v>1.5763574214506153</v>
      </c>
      <c r="M19" s="163">
        <v>1.5638889979705424</v>
      </c>
      <c r="N19" s="163">
        <v>1.5414351643926099</v>
      </c>
      <c r="O19" s="163"/>
      <c r="P19" s="163"/>
      <c r="Q19" s="163"/>
      <c r="R19" s="163"/>
      <c r="S19" s="163"/>
      <c r="T19" s="163"/>
      <c r="U19" s="29" t="s">
        <v>189</v>
      </c>
      <c r="V19" s="29"/>
      <c r="W19" s="29"/>
      <c r="X19" s="29"/>
    </row>
    <row r="20" spans="1:24">
      <c r="A20" s="29"/>
      <c r="B20" s="29"/>
      <c r="C20" s="61" t="s">
        <v>204</v>
      </c>
      <c r="D20" s="30" t="s">
        <v>69</v>
      </c>
      <c r="E20" s="30" t="str">
        <f t="shared" ref="E20:E27" si="3">$E$15</f>
        <v>$millions</v>
      </c>
      <c r="F20" s="160">
        <f t="shared" si="2"/>
        <v>42795</v>
      </c>
      <c r="G20" s="32"/>
      <c r="H20" s="32"/>
      <c r="I20" s="30"/>
      <c r="J20" s="163"/>
      <c r="K20" s="163"/>
      <c r="L20" s="163"/>
      <c r="M20" s="163"/>
      <c r="N20" s="163"/>
      <c r="O20" s="163"/>
      <c r="P20" s="163"/>
      <c r="Q20" s="163"/>
      <c r="R20" s="163"/>
      <c r="S20" s="163"/>
      <c r="T20" s="163"/>
      <c r="U20" s="29"/>
      <c r="V20" s="29"/>
      <c r="W20" s="29"/>
      <c r="X20" s="29"/>
    </row>
    <row r="21" spans="1:24">
      <c r="A21" s="29"/>
      <c r="B21" s="29"/>
      <c r="C21" s="61" t="s">
        <v>213</v>
      </c>
      <c r="D21" s="30" t="s">
        <v>69</v>
      </c>
      <c r="E21" s="30" t="str">
        <f t="shared" si="3"/>
        <v>$millions</v>
      </c>
      <c r="F21" s="160">
        <f t="shared" si="2"/>
        <v>42795</v>
      </c>
      <c r="G21" s="32"/>
      <c r="H21" s="32"/>
      <c r="I21" s="30"/>
      <c r="J21" s="163">
        <v>135.01954098084065</v>
      </c>
      <c r="K21" s="163">
        <v>135.01954098084065</v>
      </c>
      <c r="L21" s="163">
        <v>135.01954098084065</v>
      </c>
      <c r="M21" s="163">
        <v>135.01954098084065</v>
      </c>
      <c r="N21" s="163">
        <v>135.01954098084065</v>
      </c>
      <c r="O21" s="163"/>
      <c r="P21" s="163"/>
      <c r="Q21" s="163"/>
      <c r="R21" s="163"/>
      <c r="S21" s="163"/>
      <c r="T21" s="163"/>
      <c r="U21" s="29"/>
      <c r="V21" s="29"/>
      <c r="W21" s="29"/>
      <c r="X21" s="29"/>
    </row>
    <row r="22" spans="1:24">
      <c r="A22" s="29"/>
      <c r="B22" s="29"/>
      <c r="C22" s="61"/>
      <c r="D22" s="30" t="s">
        <v>69</v>
      </c>
      <c r="E22" s="30" t="str">
        <f t="shared" si="3"/>
        <v>$millions</v>
      </c>
      <c r="F22" s="160">
        <f t="shared" si="2"/>
        <v>42795</v>
      </c>
      <c r="G22" s="32"/>
      <c r="H22" s="32"/>
      <c r="I22" s="30"/>
      <c r="J22" s="163"/>
      <c r="K22" s="163"/>
      <c r="L22" s="163"/>
      <c r="M22" s="163"/>
      <c r="N22" s="163"/>
      <c r="O22" s="163"/>
      <c r="P22" s="163"/>
      <c r="Q22" s="163"/>
      <c r="R22" s="163"/>
      <c r="S22" s="163"/>
      <c r="T22" s="163"/>
      <c r="U22" s="29"/>
      <c r="V22" s="29"/>
      <c r="W22" s="29"/>
      <c r="X22" s="29"/>
    </row>
    <row r="23" spans="1:24">
      <c r="A23" s="29"/>
      <c r="B23" s="29"/>
      <c r="C23" s="61"/>
      <c r="D23" s="30" t="s">
        <v>69</v>
      </c>
      <c r="E23" s="30" t="str">
        <f t="shared" si="3"/>
        <v>$millions</v>
      </c>
      <c r="F23" s="160">
        <f t="shared" si="2"/>
        <v>42795</v>
      </c>
      <c r="G23" s="32"/>
      <c r="H23" s="32"/>
      <c r="I23" s="30"/>
      <c r="J23" s="163"/>
      <c r="K23" s="163"/>
      <c r="L23" s="163"/>
      <c r="M23" s="163"/>
      <c r="N23" s="163"/>
      <c r="O23" s="163"/>
      <c r="P23" s="163"/>
      <c r="Q23" s="163"/>
      <c r="R23" s="163"/>
      <c r="S23" s="163"/>
      <c r="T23" s="163"/>
      <c r="U23" s="29"/>
      <c r="V23" s="29"/>
      <c r="W23" s="29"/>
      <c r="X23" s="29"/>
    </row>
    <row r="24" spans="1:24">
      <c r="A24" s="29"/>
      <c r="B24" s="29"/>
      <c r="C24" s="61"/>
      <c r="D24" s="30" t="s">
        <v>69</v>
      </c>
      <c r="E24" s="30" t="str">
        <f t="shared" si="3"/>
        <v>$millions</v>
      </c>
      <c r="F24" s="160">
        <f t="shared" si="2"/>
        <v>42795</v>
      </c>
      <c r="G24" s="32"/>
      <c r="H24" s="32"/>
      <c r="I24" s="30"/>
      <c r="J24" s="163"/>
      <c r="K24" s="163"/>
      <c r="L24" s="163"/>
      <c r="M24" s="163"/>
      <c r="N24" s="163"/>
      <c r="O24" s="163"/>
      <c r="P24" s="163"/>
      <c r="Q24" s="163"/>
      <c r="R24" s="163"/>
      <c r="S24" s="163"/>
      <c r="T24" s="163"/>
      <c r="U24" s="29"/>
      <c r="V24" s="29"/>
      <c r="W24" s="29"/>
      <c r="X24" s="29"/>
    </row>
    <row r="25" spans="1:24">
      <c r="A25" s="29"/>
      <c r="B25" s="29"/>
      <c r="C25" s="61"/>
      <c r="D25" s="30" t="s">
        <v>69</v>
      </c>
      <c r="E25" s="30" t="str">
        <f t="shared" si="3"/>
        <v>$millions</v>
      </c>
      <c r="F25" s="160">
        <f t="shared" si="2"/>
        <v>42795</v>
      </c>
      <c r="G25" s="32"/>
      <c r="H25" s="32"/>
      <c r="I25" s="30"/>
      <c r="J25" s="163"/>
      <c r="K25" s="163"/>
      <c r="L25" s="163"/>
      <c r="M25" s="163"/>
      <c r="N25" s="163"/>
      <c r="O25" s="163"/>
      <c r="P25" s="163"/>
      <c r="Q25" s="163"/>
      <c r="R25" s="163"/>
      <c r="S25" s="163"/>
      <c r="T25" s="163"/>
      <c r="U25" s="29"/>
      <c r="V25" s="29"/>
      <c r="W25" s="29"/>
      <c r="X25" s="29"/>
    </row>
    <row r="26" spans="1:24">
      <c r="A26" s="29"/>
      <c r="B26" s="29"/>
      <c r="C26" s="61"/>
      <c r="D26" s="30" t="s">
        <v>69</v>
      </c>
      <c r="E26" s="30" t="str">
        <f t="shared" si="3"/>
        <v>$millions</v>
      </c>
      <c r="F26" s="160">
        <f t="shared" si="2"/>
        <v>42795</v>
      </c>
      <c r="G26" s="32"/>
      <c r="H26" s="32"/>
      <c r="I26" s="30"/>
      <c r="J26" s="163"/>
      <c r="K26" s="163"/>
      <c r="L26" s="163"/>
      <c r="M26" s="163"/>
      <c r="N26" s="163"/>
      <c r="O26" s="163"/>
      <c r="P26" s="163"/>
      <c r="Q26" s="163"/>
      <c r="R26" s="163"/>
      <c r="S26" s="163"/>
      <c r="T26" s="163"/>
      <c r="U26" s="29"/>
      <c r="V26" s="29"/>
      <c r="W26" s="29"/>
      <c r="X26" s="29"/>
    </row>
    <row r="27" spans="1:24">
      <c r="A27" s="29"/>
      <c r="B27" s="29"/>
      <c r="C27" s="61"/>
      <c r="D27" s="30" t="s">
        <v>69</v>
      </c>
      <c r="E27" s="30" t="str">
        <f t="shared" si="3"/>
        <v>$millions</v>
      </c>
      <c r="F27" s="160">
        <f t="shared" si="2"/>
        <v>42795</v>
      </c>
      <c r="G27" s="32"/>
      <c r="H27" s="32"/>
      <c r="I27" s="30"/>
      <c r="J27" s="163"/>
      <c r="K27" s="163"/>
      <c r="L27" s="163"/>
      <c r="M27" s="163"/>
      <c r="N27" s="163"/>
      <c r="O27" s="163"/>
      <c r="P27" s="163"/>
      <c r="Q27" s="163"/>
      <c r="R27" s="163"/>
      <c r="S27" s="163"/>
      <c r="T27" s="163"/>
      <c r="U27" s="29"/>
      <c r="V27" s="29"/>
      <c r="W27" s="29"/>
      <c r="X27" s="29"/>
    </row>
    <row r="28" spans="1:24">
      <c r="A28" s="29"/>
      <c r="B28" s="29"/>
      <c r="C28" s="111"/>
      <c r="D28" s="30"/>
      <c r="E28" s="30"/>
      <c r="F28" s="30"/>
      <c r="G28" s="32"/>
      <c r="H28" s="32"/>
      <c r="I28" s="30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9"/>
      <c r="V28" s="29"/>
      <c r="W28" s="29"/>
      <c r="X28" s="29"/>
    </row>
    <row r="29" spans="1:24">
      <c r="A29" s="29"/>
      <c r="B29" s="29"/>
      <c r="C29" s="139" t="s">
        <v>163</v>
      </c>
      <c r="D29" s="140" t="s">
        <v>30</v>
      </c>
      <c r="E29" s="130" t="s">
        <v>15</v>
      </c>
      <c r="F29" s="161">
        <f>F27</f>
        <v>42795</v>
      </c>
      <c r="G29" s="32"/>
      <c r="H29" s="32"/>
      <c r="I29" s="30"/>
      <c r="J29" s="129">
        <f>SUM(J19:J27)</f>
        <v>136.59317382442552</v>
      </c>
      <c r="K29" s="129">
        <f t="shared" ref="K29:S29" si="4">SUM(K19:K27)</f>
        <v>136.60037077814812</v>
      </c>
      <c r="L29" s="129">
        <f t="shared" si="4"/>
        <v>136.59589840229125</v>
      </c>
      <c r="M29" s="129">
        <f t="shared" si="4"/>
        <v>136.58342997881118</v>
      </c>
      <c r="N29" s="129">
        <f t="shared" si="4"/>
        <v>136.56097614523327</v>
      </c>
      <c r="O29" s="129">
        <f t="shared" si="4"/>
        <v>0</v>
      </c>
      <c r="P29" s="129">
        <f t="shared" si="4"/>
        <v>0</v>
      </c>
      <c r="Q29" s="129">
        <f t="shared" si="4"/>
        <v>0</v>
      </c>
      <c r="R29" s="129">
        <f t="shared" si="4"/>
        <v>0</v>
      </c>
      <c r="S29" s="129">
        <f t="shared" si="4"/>
        <v>0</v>
      </c>
      <c r="T29" s="129"/>
      <c r="U29" s="29"/>
      <c r="V29" s="29"/>
      <c r="W29" s="29"/>
      <c r="X29" s="29" t="str">
        <f>IF(COUNTIF(J19:S27,"&lt;0")&gt;0,"Check","Ok")</f>
        <v>Ok</v>
      </c>
    </row>
    <row r="30" spans="1:24">
      <c r="A30" s="29"/>
      <c r="B30" s="29"/>
      <c r="C30" s="29"/>
      <c r="D30" s="30"/>
      <c r="E30" s="30"/>
      <c r="F30" s="30"/>
      <c r="G30" s="32"/>
      <c r="H30" s="32"/>
      <c r="I30" s="30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</row>
    <row r="31" spans="1:24" ht="12.75">
      <c r="A31" s="94"/>
      <c r="B31" s="95" t="s">
        <v>57</v>
      </c>
      <c r="C31" s="94"/>
      <c r="D31" s="94"/>
      <c r="E31" s="94"/>
      <c r="F31" s="96"/>
      <c r="G31" s="96"/>
      <c r="H31" s="96"/>
      <c r="I31" s="96"/>
      <c r="J31" s="97"/>
      <c r="K31" s="98"/>
      <c r="L31" s="97"/>
      <c r="M31" s="98"/>
      <c r="N31" s="97"/>
      <c r="O31" s="97"/>
      <c r="P31" s="97"/>
      <c r="Q31" s="97"/>
      <c r="R31" s="97"/>
      <c r="S31" s="97"/>
      <c r="T31" s="97"/>
      <c r="U31" s="97"/>
      <c r="V31" s="97"/>
      <c r="W31" s="98"/>
      <c r="X31" s="98"/>
    </row>
    <row r="32" spans="1:24">
      <c r="A32" s="29"/>
      <c r="B32" s="29"/>
      <c r="C32" s="29"/>
      <c r="D32" s="30"/>
      <c r="E32" s="30"/>
      <c r="F32" s="30"/>
      <c r="G32" s="30"/>
      <c r="H32" s="30"/>
      <c r="I32" s="30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</row>
    <row r="33" spans="1:24">
      <c r="A33" s="29"/>
      <c r="B33" s="29"/>
      <c r="C33" s="29"/>
      <c r="D33" s="30"/>
      <c r="E33" s="30"/>
      <c r="F33" s="30"/>
      <c r="G33" s="30"/>
      <c r="H33" s="30"/>
      <c r="I33" s="30"/>
      <c r="J33" s="163" t="s">
        <v>23</v>
      </c>
      <c r="K33" s="163" t="s">
        <v>23</v>
      </c>
      <c r="L33" s="163" t="s">
        <v>23</v>
      </c>
      <c r="M33" s="163" t="s">
        <v>74</v>
      </c>
      <c r="N33" s="163" t="s">
        <v>74</v>
      </c>
      <c r="O33" s="163"/>
      <c r="P33" s="163"/>
      <c r="Q33" s="163"/>
      <c r="R33" s="163"/>
      <c r="S33" s="163"/>
      <c r="T33" s="163"/>
      <c r="U33" s="29"/>
      <c r="V33" s="29"/>
      <c r="W33" s="29"/>
      <c r="X33" s="29"/>
    </row>
    <row r="34" spans="1:24">
      <c r="A34" s="29"/>
      <c r="B34" s="29"/>
      <c r="C34" s="67" t="s">
        <v>76</v>
      </c>
      <c r="D34" s="32" t="s">
        <v>7</v>
      </c>
      <c r="E34" s="32" t="s">
        <v>8</v>
      </c>
      <c r="F34" s="32" t="s">
        <v>22</v>
      </c>
      <c r="G34" s="32"/>
      <c r="H34" s="32"/>
      <c r="I34" s="32"/>
      <c r="J34" s="158">
        <f t="shared" ref="J34:S34" si="5">IF(YEAR(J$4)&lt;=PPLastYear,J$4,"")</f>
        <v>43160</v>
      </c>
      <c r="K34" s="158">
        <f t="shared" si="5"/>
        <v>43525</v>
      </c>
      <c r="L34" s="158">
        <f t="shared" si="5"/>
        <v>43891</v>
      </c>
      <c r="M34" s="158">
        <f t="shared" si="5"/>
        <v>44256</v>
      </c>
      <c r="N34" s="158">
        <f t="shared" si="5"/>
        <v>44621</v>
      </c>
      <c r="O34" s="158" t="str">
        <f t="shared" si="5"/>
        <v/>
      </c>
      <c r="P34" s="158" t="str">
        <f t="shared" si="5"/>
        <v/>
      </c>
      <c r="Q34" s="158" t="str">
        <f t="shared" si="5"/>
        <v/>
      </c>
      <c r="R34" s="158" t="str">
        <f t="shared" si="5"/>
        <v/>
      </c>
      <c r="S34" s="158" t="str">
        <f t="shared" si="5"/>
        <v/>
      </c>
      <c r="T34" s="158"/>
      <c r="U34" s="137" t="s">
        <v>54</v>
      </c>
      <c r="V34" s="138"/>
      <c r="W34" s="138"/>
      <c r="X34" s="29"/>
    </row>
    <row r="35" spans="1:24">
      <c r="A35" s="29"/>
      <c r="B35" s="29"/>
      <c r="C35" s="111"/>
      <c r="D35" s="30"/>
      <c r="E35" s="30"/>
      <c r="F35" s="30"/>
      <c r="G35" s="32"/>
      <c r="H35" s="32"/>
      <c r="I35" s="30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</row>
    <row r="36" spans="1:24">
      <c r="A36" s="29"/>
      <c r="B36" s="29"/>
      <c r="C36" s="111"/>
      <c r="D36" s="30"/>
      <c r="E36" s="30"/>
      <c r="F36" s="30"/>
      <c r="G36" s="32"/>
      <c r="H36" s="32"/>
      <c r="I36" s="30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</row>
    <row r="37" spans="1:24">
      <c r="A37" s="29"/>
      <c r="B37" s="29"/>
      <c r="C37" s="61" t="s">
        <v>73</v>
      </c>
      <c r="D37" s="30" t="s">
        <v>75</v>
      </c>
      <c r="E37" s="216" t="str">
        <f>$E$57</f>
        <v>$millions</v>
      </c>
      <c r="F37" s="217" t="s">
        <v>101</v>
      </c>
      <c r="G37" s="32"/>
      <c r="H37" s="32"/>
      <c r="I37" s="30"/>
      <c r="J37" s="163">
        <v>217.32291967324866</v>
      </c>
      <c r="K37" s="163">
        <v>224.20537962300003</v>
      </c>
      <c r="L37" s="163">
        <v>250.20949023817616</v>
      </c>
      <c r="M37" s="163">
        <v>241.56594000000001</v>
      </c>
      <c r="N37" s="163">
        <v>247.08647140726305</v>
      </c>
      <c r="O37" s="163"/>
      <c r="P37" s="163"/>
      <c r="Q37" s="163"/>
      <c r="R37" s="163"/>
      <c r="S37" s="163"/>
      <c r="T37" s="163"/>
      <c r="U37" s="29" t="s">
        <v>186</v>
      </c>
      <c r="V37" s="29"/>
      <c r="W37" s="29"/>
      <c r="X37" s="29"/>
    </row>
    <row r="38" spans="1:24">
      <c r="A38" s="29"/>
      <c r="B38" s="29"/>
      <c r="C38" s="111"/>
      <c r="D38" s="30"/>
      <c r="E38" s="30"/>
      <c r="F38" s="160"/>
      <c r="G38" s="32"/>
      <c r="H38" s="32"/>
      <c r="I38" s="30"/>
      <c r="J38" s="163"/>
      <c r="K38" s="163"/>
      <c r="L38" s="163"/>
      <c r="M38" s="163"/>
      <c r="N38" s="163"/>
      <c r="O38" s="163"/>
      <c r="P38" s="163"/>
      <c r="Q38" s="163"/>
      <c r="R38" s="163"/>
      <c r="S38" s="163"/>
      <c r="T38" s="163"/>
      <c r="U38" s="29"/>
      <c r="V38" s="29"/>
      <c r="W38" s="29"/>
      <c r="X38" s="29"/>
    </row>
    <row r="39" spans="1:24">
      <c r="A39" s="29"/>
      <c r="B39" s="29"/>
      <c r="C39" s="67" t="s">
        <v>194</v>
      </c>
      <c r="D39" s="30"/>
      <c r="E39" s="30"/>
      <c r="F39" s="160"/>
      <c r="G39" s="32"/>
      <c r="H39" s="32"/>
      <c r="I39" s="30"/>
      <c r="J39" s="163"/>
      <c r="K39" s="163"/>
      <c r="L39" s="163"/>
      <c r="M39" s="163"/>
      <c r="N39" s="163"/>
      <c r="O39" s="163"/>
      <c r="P39" s="163"/>
      <c r="Q39" s="163"/>
      <c r="R39" s="163"/>
      <c r="S39" s="163"/>
      <c r="T39" s="163"/>
      <c r="U39" s="29"/>
      <c r="V39" s="29"/>
      <c r="W39" s="29"/>
      <c r="X39" s="29"/>
    </row>
    <row r="40" spans="1:24">
      <c r="A40" s="29"/>
      <c r="B40" s="29"/>
      <c r="C40" s="67"/>
      <c r="D40" s="30"/>
      <c r="E40" s="30"/>
      <c r="F40" s="160"/>
      <c r="G40" s="32"/>
      <c r="H40" s="32"/>
      <c r="I40" s="30"/>
      <c r="J40" s="163"/>
      <c r="K40" s="163"/>
      <c r="L40" s="163"/>
      <c r="M40" s="163"/>
      <c r="N40" s="163"/>
      <c r="O40" s="163"/>
      <c r="P40" s="163"/>
      <c r="Q40" s="163"/>
      <c r="R40" s="163"/>
      <c r="S40" s="163"/>
      <c r="T40" s="163"/>
      <c r="U40" s="29"/>
      <c r="V40" s="29"/>
      <c r="W40" s="29"/>
      <c r="X40" s="29"/>
    </row>
    <row r="41" spans="1:24">
      <c r="A41" s="29"/>
      <c r="B41" s="29"/>
      <c r="C41" s="61" t="s">
        <v>190</v>
      </c>
      <c r="D41" s="30" t="s">
        <v>75</v>
      </c>
      <c r="E41" s="30" t="str">
        <f>$E$57</f>
        <v>$millions</v>
      </c>
      <c r="F41" s="160" t="str">
        <f>$F$37</f>
        <v>nominal</v>
      </c>
      <c r="G41" s="32"/>
      <c r="H41" s="32"/>
      <c r="I41" s="30"/>
      <c r="J41" s="163">
        <v>-1.9584093390493615</v>
      </c>
      <c r="K41" s="163">
        <v>4.4521951897330343</v>
      </c>
      <c r="L41" s="163">
        <v>-4.849248599211025</v>
      </c>
      <c r="M41" s="163">
        <v>0</v>
      </c>
      <c r="N41" s="163"/>
      <c r="O41" s="163"/>
      <c r="P41" s="163"/>
      <c r="Q41" s="163"/>
      <c r="R41" s="163"/>
      <c r="S41" s="163"/>
      <c r="T41" s="163"/>
      <c r="U41" s="29" t="s">
        <v>193</v>
      </c>
      <c r="V41" s="29"/>
      <c r="W41" s="29"/>
      <c r="X41" s="29"/>
    </row>
    <row r="42" spans="1:24">
      <c r="A42" s="29"/>
      <c r="B42" s="29"/>
      <c r="C42" s="61" t="s">
        <v>213</v>
      </c>
      <c r="D42" s="30" t="s">
        <v>75</v>
      </c>
      <c r="E42" s="30" t="str">
        <f>$E$57</f>
        <v>$millions</v>
      </c>
      <c r="F42" s="160" t="str">
        <f t="shared" ref="F42:F45" si="6">$F$37</f>
        <v>nominal</v>
      </c>
      <c r="G42" s="32"/>
      <c r="H42" s="32"/>
      <c r="I42" s="30"/>
      <c r="J42" s="163">
        <v>136.36501500000003</v>
      </c>
      <c r="K42" s="163">
        <v>136.36501500000003</v>
      </c>
      <c r="L42" s="163">
        <v>170.58593424999998</v>
      </c>
      <c r="M42" s="163">
        <v>161.36593999999999</v>
      </c>
      <c r="N42" s="163">
        <v>173.61030500000001</v>
      </c>
      <c r="O42" s="163"/>
      <c r="P42" s="163"/>
      <c r="Q42" s="163"/>
      <c r="R42" s="163"/>
      <c r="S42" s="163"/>
      <c r="T42" s="163"/>
      <c r="U42" s="29"/>
      <c r="V42" s="29"/>
      <c r="W42" s="29"/>
      <c r="X42" s="29"/>
    </row>
    <row r="43" spans="1:24">
      <c r="A43" s="29"/>
      <c r="B43" s="29"/>
      <c r="C43" s="61" t="s">
        <v>214</v>
      </c>
      <c r="D43" s="30" t="s">
        <v>75</v>
      </c>
      <c r="E43" s="30" t="str">
        <f>$E$57</f>
        <v>$millions</v>
      </c>
      <c r="F43" s="160" t="str">
        <f t="shared" si="6"/>
        <v>nominal</v>
      </c>
      <c r="G43" s="32"/>
      <c r="H43" s="32"/>
      <c r="I43" s="30"/>
      <c r="J43" s="163"/>
      <c r="K43" s="163"/>
      <c r="L43" s="163"/>
      <c r="M43" s="163"/>
      <c r="N43" s="163"/>
      <c r="O43" s="163"/>
      <c r="P43" s="163"/>
      <c r="Q43" s="163"/>
      <c r="R43" s="163"/>
      <c r="S43" s="163"/>
      <c r="T43" s="163"/>
      <c r="U43" s="29"/>
      <c r="V43" s="29"/>
      <c r="W43" s="29"/>
      <c r="X43" s="29"/>
    </row>
    <row r="44" spans="1:24">
      <c r="A44" s="29"/>
      <c r="B44" s="29"/>
      <c r="C44" s="61" t="s">
        <v>215</v>
      </c>
      <c r="D44" s="30" t="s">
        <v>75</v>
      </c>
      <c r="E44" s="30" t="str">
        <f>$E$57</f>
        <v>$millions</v>
      </c>
      <c r="F44" s="160" t="str">
        <f t="shared" si="6"/>
        <v>nominal</v>
      </c>
      <c r="G44" s="32"/>
      <c r="H44" s="32"/>
      <c r="I44" s="30"/>
      <c r="J44" s="163">
        <v>9.1041670000000005E-2</v>
      </c>
      <c r="K44" s="163">
        <v>0.22914175000000001</v>
      </c>
      <c r="L44" s="163">
        <v>0.33252113</v>
      </c>
      <c r="M44" s="163">
        <v>0</v>
      </c>
      <c r="N44" s="163"/>
      <c r="O44" s="163"/>
      <c r="P44" s="163"/>
      <c r="Q44" s="163"/>
      <c r="R44" s="163"/>
      <c r="S44" s="163"/>
      <c r="T44" s="163"/>
      <c r="U44" s="29"/>
      <c r="V44" s="29"/>
      <c r="W44" s="29"/>
      <c r="X44" s="29"/>
    </row>
    <row r="45" spans="1:24">
      <c r="A45" s="29"/>
      <c r="B45" s="29"/>
      <c r="C45" s="61" t="s">
        <v>216</v>
      </c>
      <c r="D45" s="30" t="s">
        <v>75</v>
      </c>
      <c r="E45" s="30" t="str">
        <f>$E$57</f>
        <v>$millions</v>
      </c>
      <c r="F45" s="160" t="str">
        <f t="shared" si="6"/>
        <v>nominal</v>
      </c>
      <c r="G45" s="32"/>
      <c r="H45" s="32"/>
      <c r="I45" s="30"/>
      <c r="J45" s="163">
        <v>9.6775E-2</v>
      </c>
      <c r="K45" s="163">
        <v>0</v>
      </c>
      <c r="L45" s="163">
        <v>0</v>
      </c>
      <c r="M45" s="163">
        <v>0</v>
      </c>
      <c r="N45" s="163"/>
      <c r="O45" s="163"/>
      <c r="P45" s="163"/>
      <c r="Q45" s="163"/>
      <c r="R45" s="163"/>
      <c r="S45" s="163"/>
      <c r="T45" s="163"/>
      <c r="U45" s="29"/>
      <c r="V45" s="29"/>
      <c r="W45" s="29"/>
      <c r="X45" s="29"/>
    </row>
    <row r="46" spans="1:24">
      <c r="A46" s="29"/>
      <c r="B46" s="29"/>
      <c r="C46" s="111"/>
      <c r="D46" s="30"/>
      <c r="E46" s="30"/>
      <c r="F46" s="30"/>
      <c r="G46" s="32"/>
      <c r="H46" s="32"/>
      <c r="I46" s="30"/>
      <c r="J46" s="29"/>
      <c r="K46" s="29"/>
      <c r="L46" s="29"/>
      <c r="M46" s="29"/>
      <c r="N46" s="141"/>
      <c r="O46" s="141"/>
      <c r="P46" s="141"/>
      <c r="Q46" s="141"/>
      <c r="R46" s="141"/>
      <c r="S46" s="141"/>
      <c r="T46" s="141"/>
      <c r="U46" s="29"/>
      <c r="V46" s="29"/>
      <c r="W46" s="29"/>
      <c r="X46" s="29"/>
    </row>
    <row r="47" spans="1:24">
      <c r="A47" s="29"/>
      <c r="B47" s="29"/>
      <c r="C47" s="139" t="s">
        <v>191</v>
      </c>
      <c r="D47" s="140" t="s">
        <v>30</v>
      </c>
      <c r="E47" s="190" t="str">
        <f>$E$57</f>
        <v>$millions</v>
      </c>
      <c r="F47" s="191" t="str">
        <f>F37</f>
        <v>nominal</v>
      </c>
      <c r="G47" s="32"/>
      <c r="H47" s="32"/>
      <c r="I47" s="30"/>
      <c r="J47" s="129">
        <f>J37-SUM(J41:J45)</f>
        <v>82.72849734229797</v>
      </c>
      <c r="K47" s="129">
        <f t="shared" ref="K47:S47" si="7">K37-SUM(K41:K45)</f>
        <v>83.15902768326697</v>
      </c>
      <c r="L47" s="129">
        <f t="shared" si="7"/>
        <v>84.140283457387198</v>
      </c>
      <c r="M47" s="129">
        <f t="shared" si="7"/>
        <v>80.200000000000017</v>
      </c>
      <c r="N47" s="129">
        <f t="shared" si="7"/>
        <v>73.476166407263037</v>
      </c>
      <c r="O47" s="129">
        <f t="shared" si="7"/>
        <v>0</v>
      </c>
      <c r="P47" s="129">
        <f t="shared" si="7"/>
        <v>0</v>
      </c>
      <c r="Q47" s="129">
        <f t="shared" si="7"/>
        <v>0</v>
      </c>
      <c r="R47" s="129">
        <f t="shared" si="7"/>
        <v>0</v>
      </c>
      <c r="S47" s="129">
        <f t="shared" si="7"/>
        <v>0</v>
      </c>
      <c r="T47" s="129"/>
      <c r="U47" s="29"/>
      <c r="V47" s="29"/>
      <c r="W47" s="29"/>
      <c r="X47" s="29"/>
    </row>
    <row r="48" spans="1:24">
      <c r="A48" s="29"/>
      <c r="B48" s="29"/>
      <c r="C48" s="29"/>
      <c r="D48" s="30"/>
      <c r="E48" s="30"/>
      <c r="F48" s="30"/>
      <c r="G48" s="30"/>
      <c r="H48" s="30"/>
      <c r="I48" s="30"/>
      <c r="J48" s="164"/>
      <c r="K48" s="164"/>
      <c r="L48" s="164"/>
      <c r="M48" s="164"/>
      <c r="N48" s="164"/>
      <c r="O48" s="164"/>
      <c r="P48" s="164"/>
      <c r="Q48" s="164"/>
      <c r="R48" s="164"/>
      <c r="S48" s="164"/>
      <c r="T48" s="164"/>
      <c r="U48" s="29"/>
      <c r="V48" s="29"/>
      <c r="W48" s="29"/>
      <c r="X48" s="29"/>
    </row>
    <row r="49" spans="1:24">
      <c r="A49" s="29"/>
      <c r="B49" s="29"/>
      <c r="C49" s="67" t="s">
        <v>112</v>
      </c>
      <c r="D49" s="30"/>
      <c r="E49" s="30"/>
      <c r="F49" s="30"/>
      <c r="G49" s="30"/>
      <c r="H49" s="30"/>
      <c r="I49" s="30"/>
      <c r="J49" s="164"/>
      <c r="K49" s="164"/>
      <c r="L49" s="164"/>
      <c r="M49" s="164"/>
      <c r="N49" s="164"/>
      <c r="O49" s="164"/>
      <c r="P49" s="164"/>
      <c r="Q49" s="164"/>
      <c r="R49" s="164"/>
      <c r="S49" s="164"/>
      <c r="T49" s="164"/>
      <c r="U49" s="29"/>
      <c r="V49" s="29"/>
      <c r="W49" s="29"/>
      <c r="X49" s="29"/>
    </row>
    <row r="50" spans="1:24">
      <c r="A50" s="29"/>
      <c r="B50" s="29"/>
      <c r="C50" s="29"/>
      <c r="D50" s="30"/>
      <c r="E50" s="30"/>
      <c r="F50" s="30"/>
      <c r="G50" s="30"/>
      <c r="H50" s="30"/>
      <c r="I50" s="30"/>
      <c r="J50" s="164"/>
      <c r="K50" s="164"/>
      <c r="L50" s="164"/>
      <c r="M50" s="164"/>
      <c r="N50" s="164"/>
      <c r="O50" s="164"/>
      <c r="P50" s="164"/>
      <c r="Q50" s="164"/>
      <c r="R50" s="164"/>
      <c r="S50" s="164"/>
      <c r="T50" s="164"/>
      <c r="U50" s="29"/>
      <c r="V50" s="29"/>
      <c r="W50" s="29"/>
      <c r="X50" s="29"/>
    </row>
    <row r="51" spans="1:24">
      <c r="A51" s="29"/>
      <c r="B51" s="29"/>
      <c r="C51" s="61"/>
      <c r="D51" s="30" t="s">
        <v>75</v>
      </c>
      <c r="E51" s="30" t="str">
        <f>$E$57</f>
        <v>$millions</v>
      </c>
      <c r="F51" s="160" t="str">
        <f>$F$57</f>
        <v>nominal</v>
      </c>
      <c r="G51" s="32"/>
      <c r="H51" s="32"/>
      <c r="I51" s="30"/>
      <c r="J51" s="163"/>
      <c r="K51" s="163"/>
      <c r="L51" s="163"/>
      <c r="M51" s="163"/>
      <c r="N51" s="163"/>
      <c r="O51" s="163"/>
      <c r="P51" s="163"/>
      <c r="Q51" s="163"/>
      <c r="R51" s="163"/>
      <c r="S51" s="163"/>
      <c r="T51" s="163"/>
      <c r="U51" s="29" t="s">
        <v>189</v>
      </c>
      <c r="V51" s="29"/>
      <c r="W51" s="29"/>
      <c r="X51" s="29"/>
    </row>
    <row r="52" spans="1:24">
      <c r="A52" s="29"/>
      <c r="B52" s="29"/>
      <c r="C52" s="61"/>
      <c r="D52" s="30" t="s">
        <v>75</v>
      </c>
      <c r="E52" s="30" t="str">
        <f>$E$57</f>
        <v>$millions</v>
      </c>
      <c r="F52" s="160" t="str">
        <f>$F$57</f>
        <v>nominal</v>
      </c>
      <c r="G52" s="32"/>
      <c r="H52" s="32"/>
      <c r="I52" s="30"/>
      <c r="J52" s="163"/>
      <c r="K52" s="163"/>
      <c r="L52" s="163"/>
      <c r="M52" s="163"/>
      <c r="N52" s="220"/>
      <c r="O52" s="163"/>
      <c r="P52" s="163"/>
      <c r="Q52" s="163"/>
      <c r="R52" s="163"/>
      <c r="S52" s="163"/>
      <c r="T52" s="163"/>
      <c r="U52" s="29"/>
      <c r="V52" s="29"/>
      <c r="W52" s="29"/>
      <c r="X52" s="29"/>
    </row>
    <row r="53" spans="1:24">
      <c r="A53" s="29"/>
      <c r="B53" s="29"/>
      <c r="C53" s="61"/>
      <c r="D53" s="30"/>
      <c r="E53" s="30"/>
      <c r="F53" s="160"/>
      <c r="G53" s="32"/>
      <c r="H53" s="32"/>
      <c r="I53" s="30"/>
      <c r="J53" s="163"/>
      <c r="K53" s="163"/>
      <c r="L53" s="163"/>
      <c r="M53" s="163"/>
      <c r="N53" s="163"/>
      <c r="O53" s="163"/>
      <c r="P53" s="163"/>
      <c r="Q53" s="163"/>
      <c r="R53" s="163"/>
      <c r="S53" s="163"/>
      <c r="T53" s="163"/>
      <c r="U53" s="29"/>
      <c r="V53" s="29"/>
      <c r="W53" s="29"/>
      <c r="X53" s="29"/>
    </row>
    <row r="54" spans="1:24">
      <c r="A54" s="29"/>
      <c r="B54" s="29"/>
      <c r="C54" s="61"/>
      <c r="D54" s="30" t="s">
        <v>75</v>
      </c>
      <c r="E54" s="30" t="str">
        <f>$E$57</f>
        <v>$millions</v>
      </c>
      <c r="F54" s="160" t="str">
        <f>$F$57</f>
        <v>nominal</v>
      </c>
      <c r="G54" s="32"/>
      <c r="H54" s="32"/>
      <c r="I54" s="30"/>
      <c r="J54" s="163"/>
      <c r="K54" s="163"/>
      <c r="L54" s="163"/>
      <c r="M54" s="163"/>
      <c r="N54" s="163"/>
      <c r="O54" s="163"/>
      <c r="P54" s="163"/>
      <c r="Q54" s="163"/>
      <c r="R54" s="163"/>
      <c r="S54" s="163"/>
      <c r="T54" s="163"/>
      <c r="U54" s="29"/>
      <c r="V54" s="29"/>
      <c r="W54" s="29"/>
      <c r="X54" s="29"/>
    </row>
    <row r="55" spans="1:24">
      <c r="A55" s="29"/>
      <c r="B55" s="29"/>
      <c r="C55" s="61"/>
      <c r="D55" s="30" t="s">
        <v>75</v>
      </c>
      <c r="E55" s="30" t="str">
        <f>$E$57</f>
        <v>$millions</v>
      </c>
      <c r="F55" s="160" t="str">
        <f>$F$57</f>
        <v>nominal</v>
      </c>
      <c r="G55" s="32"/>
      <c r="H55" s="32"/>
      <c r="I55" s="30"/>
      <c r="J55" s="163"/>
      <c r="K55" s="163"/>
      <c r="L55" s="163"/>
      <c r="M55" s="163"/>
      <c r="N55" s="163"/>
      <c r="O55" s="163"/>
      <c r="P55" s="163"/>
      <c r="Q55" s="163"/>
      <c r="R55" s="163"/>
      <c r="S55" s="163"/>
      <c r="T55" s="163"/>
      <c r="U55" s="29"/>
      <c r="V55" s="29"/>
      <c r="W55" s="29"/>
      <c r="X55" s="29"/>
    </row>
    <row r="56" spans="1:24">
      <c r="A56" s="29"/>
      <c r="B56" s="29"/>
      <c r="C56" s="111"/>
      <c r="D56" s="30"/>
      <c r="E56" s="30"/>
      <c r="F56" s="30"/>
      <c r="G56" s="32"/>
      <c r="H56" s="32"/>
      <c r="I56" s="30"/>
      <c r="J56" s="29"/>
      <c r="K56" s="29"/>
      <c r="L56" s="29"/>
      <c r="M56" s="29"/>
      <c r="N56" s="141"/>
      <c r="O56" s="141"/>
      <c r="P56" s="141"/>
      <c r="Q56" s="141"/>
      <c r="R56" s="141"/>
      <c r="S56" s="141"/>
      <c r="T56" s="141"/>
      <c r="U56" s="29"/>
      <c r="V56" s="29"/>
      <c r="W56" s="29"/>
      <c r="X56" s="29"/>
    </row>
    <row r="57" spans="1:24">
      <c r="A57" s="29"/>
      <c r="B57" s="29"/>
      <c r="C57" s="139" t="s">
        <v>163</v>
      </c>
      <c r="D57" s="140" t="s">
        <v>30</v>
      </c>
      <c r="E57" s="130" t="s">
        <v>15</v>
      </c>
      <c r="F57" s="161" t="s">
        <v>101</v>
      </c>
      <c r="G57" s="32"/>
      <c r="H57" s="32"/>
      <c r="I57" s="30"/>
      <c r="J57" s="186">
        <f>SUM(J51:J55)</f>
        <v>0</v>
      </c>
      <c r="K57" s="186">
        <f t="shared" ref="K57:S57" si="8">SUM(K51:K55)</f>
        <v>0</v>
      </c>
      <c r="L57" s="186">
        <f t="shared" si="8"/>
        <v>0</v>
      </c>
      <c r="M57" s="186">
        <f t="shared" si="8"/>
        <v>0</v>
      </c>
      <c r="N57" s="186">
        <f t="shared" si="8"/>
        <v>0</v>
      </c>
      <c r="O57" s="186">
        <f t="shared" si="8"/>
        <v>0</v>
      </c>
      <c r="P57" s="186">
        <f t="shared" si="8"/>
        <v>0</v>
      </c>
      <c r="Q57" s="186">
        <f t="shared" si="8"/>
        <v>0</v>
      </c>
      <c r="R57" s="186">
        <f t="shared" si="8"/>
        <v>0</v>
      </c>
      <c r="S57" s="186">
        <f t="shared" si="8"/>
        <v>0</v>
      </c>
      <c r="T57" s="186"/>
      <c r="U57" s="29"/>
      <c r="V57" s="29"/>
      <c r="W57" s="29"/>
      <c r="X57" s="29" t="str">
        <f>IF(COUNTIF(J51:S55,"&lt;0")&gt;0,"Check","Ok")</f>
        <v>Ok</v>
      </c>
    </row>
    <row r="58" spans="1:24">
      <c r="A58" s="29"/>
      <c r="B58" s="29"/>
      <c r="C58" s="29"/>
      <c r="D58" s="30"/>
      <c r="E58" s="30"/>
      <c r="F58" s="30"/>
      <c r="G58" s="32"/>
      <c r="H58" s="32"/>
      <c r="I58" s="30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</row>
    <row r="59" spans="1:24" ht="12.75">
      <c r="A59" s="94"/>
      <c r="B59" s="95" t="s">
        <v>113</v>
      </c>
      <c r="C59" s="94"/>
      <c r="D59" s="94"/>
      <c r="E59" s="94"/>
      <c r="F59" s="96"/>
      <c r="G59" s="96"/>
      <c r="H59" s="96"/>
      <c r="I59" s="96"/>
      <c r="J59" s="97"/>
      <c r="K59" s="98"/>
      <c r="L59" s="97"/>
      <c r="M59" s="98"/>
      <c r="N59" s="97"/>
      <c r="O59" s="97"/>
      <c r="P59" s="97"/>
      <c r="Q59" s="97"/>
      <c r="R59" s="97"/>
      <c r="S59" s="97"/>
      <c r="T59" s="97"/>
      <c r="U59" s="97"/>
      <c r="V59" s="97"/>
      <c r="W59" s="98"/>
      <c r="X59" s="98"/>
    </row>
    <row r="60" spans="1:24">
      <c r="A60" s="29"/>
      <c r="B60" s="29"/>
      <c r="C60" s="29"/>
      <c r="D60" s="30"/>
      <c r="E60" s="30"/>
      <c r="F60" s="30"/>
      <c r="G60" s="30"/>
      <c r="H60" s="30"/>
      <c r="I60" s="30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</row>
    <row r="61" spans="1:24">
      <c r="A61" s="29"/>
      <c r="B61" s="29"/>
      <c r="C61" s="67" t="s">
        <v>114</v>
      </c>
      <c r="D61" s="32" t="s">
        <v>7</v>
      </c>
      <c r="E61" s="32" t="s">
        <v>8</v>
      </c>
      <c r="F61" s="32" t="s">
        <v>22</v>
      </c>
      <c r="G61" s="32"/>
      <c r="H61" s="32"/>
      <c r="I61" s="32"/>
      <c r="J61" s="158" t="str">
        <f t="shared" ref="J61:S61" si="9">IF(YEAR(J$4)=PPLastYear,J$4,"")</f>
        <v/>
      </c>
      <c r="K61" s="158" t="str">
        <f t="shared" si="9"/>
        <v/>
      </c>
      <c r="L61" s="158" t="str">
        <f t="shared" si="9"/>
        <v/>
      </c>
      <c r="M61" s="158" t="str">
        <f t="shared" si="9"/>
        <v/>
      </c>
      <c r="N61" s="158">
        <f t="shared" si="9"/>
        <v>44621</v>
      </c>
      <c r="O61" s="158" t="str">
        <f t="shared" si="9"/>
        <v/>
      </c>
      <c r="P61" s="158" t="str">
        <f t="shared" si="9"/>
        <v/>
      </c>
      <c r="Q61" s="158" t="str">
        <f t="shared" si="9"/>
        <v/>
      </c>
      <c r="R61" s="158" t="str">
        <f t="shared" si="9"/>
        <v/>
      </c>
      <c r="S61" s="158" t="str">
        <f t="shared" si="9"/>
        <v/>
      </c>
      <c r="T61" s="158"/>
      <c r="U61" s="29"/>
      <c r="V61" s="29"/>
      <c r="W61" s="29"/>
      <c r="X61" s="29"/>
    </row>
    <row r="62" spans="1:24">
      <c r="A62" s="29"/>
      <c r="B62" s="29"/>
      <c r="C62" s="67"/>
      <c r="D62" s="32"/>
      <c r="E62" s="32"/>
      <c r="F62" s="32"/>
      <c r="G62" s="32"/>
      <c r="H62" s="32"/>
      <c r="I62" s="32"/>
      <c r="J62" s="162"/>
      <c r="K62" s="162"/>
      <c r="L62" s="162"/>
      <c r="M62" s="162"/>
      <c r="N62" s="162"/>
      <c r="O62" s="162"/>
      <c r="P62" s="162"/>
      <c r="Q62" s="162"/>
      <c r="R62" s="162"/>
      <c r="S62" s="162"/>
      <c r="T62" s="162"/>
      <c r="U62" s="29"/>
      <c r="V62" s="29"/>
      <c r="W62" s="29"/>
      <c r="X62" s="29"/>
    </row>
    <row r="63" spans="1:24">
      <c r="A63" s="29"/>
      <c r="B63" s="29"/>
      <c r="C63" s="61" t="s">
        <v>115</v>
      </c>
      <c r="D63" s="30" t="s">
        <v>34</v>
      </c>
      <c r="E63" s="30" t="str">
        <f>$E$57</f>
        <v>$millions</v>
      </c>
      <c r="F63" s="171">
        <v>42795</v>
      </c>
      <c r="G63" s="32"/>
      <c r="H63" s="32"/>
      <c r="I63" s="32"/>
      <c r="J63" s="163"/>
      <c r="K63" s="163"/>
      <c r="L63" s="163"/>
      <c r="M63" s="163"/>
      <c r="N63" s="163"/>
      <c r="O63" s="163"/>
      <c r="P63" s="163"/>
      <c r="Q63" s="163"/>
      <c r="R63" s="163"/>
      <c r="S63" s="163"/>
      <c r="T63" s="163"/>
      <c r="U63" s="29" t="s">
        <v>205</v>
      </c>
      <c r="V63" s="142"/>
      <c r="W63" s="142"/>
      <c r="X63" s="29"/>
    </row>
    <row r="64" spans="1:24">
      <c r="A64" s="29"/>
      <c r="B64" s="29"/>
      <c r="C64" s="61" t="s">
        <v>116</v>
      </c>
      <c r="D64" s="30" t="s">
        <v>34</v>
      </c>
      <c r="E64" s="30" t="str">
        <f t="shared" ref="E64:E69" si="10">$E$57</f>
        <v>$millions</v>
      </c>
      <c r="F64" s="171">
        <v>42795</v>
      </c>
      <c r="G64" s="32"/>
      <c r="H64" s="32"/>
      <c r="I64" s="32"/>
      <c r="J64" s="163"/>
      <c r="K64" s="163"/>
      <c r="L64" s="163"/>
      <c r="M64" s="163"/>
      <c r="N64" s="163"/>
      <c r="O64" s="163"/>
      <c r="P64" s="163"/>
      <c r="Q64" s="163"/>
      <c r="R64" s="163"/>
      <c r="S64" s="163"/>
      <c r="T64" s="163"/>
      <c r="U64" s="124"/>
      <c r="V64" s="142"/>
      <c r="W64" s="142"/>
      <c r="X64" s="29"/>
    </row>
    <row r="65" spans="1:24">
      <c r="A65" s="29"/>
      <c r="B65" s="29"/>
      <c r="C65" s="61" t="s">
        <v>117</v>
      </c>
      <c r="D65" s="30" t="s">
        <v>34</v>
      </c>
      <c r="E65" s="30" t="str">
        <f t="shared" si="10"/>
        <v>$millions</v>
      </c>
      <c r="F65" s="171">
        <v>42795</v>
      </c>
      <c r="G65" s="32"/>
      <c r="H65" s="32"/>
      <c r="I65" s="32"/>
      <c r="J65" s="163"/>
      <c r="K65" s="163"/>
      <c r="L65" s="163"/>
      <c r="M65" s="163"/>
      <c r="N65" s="163"/>
      <c r="O65" s="163"/>
      <c r="P65" s="163"/>
      <c r="Q65" s="163"/>
      <c r="R65" s="163"/>
      <c r="S65" s="163"/>
      <c r="T65" s="163"/>
      <c r="U65" s="124"/>
      <c r="V65" s="142"/>
      <c r="W65" s="142"/>
      <c r="X65" s="29"/>
    </row>
    <row r="66" spans="1:24">
      <c r="A66" s="29"/>
      <c r="B66" s="29"/>
      <c r="C66" s="61" t="s">
        <v>118</v>
      </c>
      <c r="D66" s="30" t="s">
        <v>34</v>
      </c>
      <c r="E66" s="30" t="str">
        <f t="shared" si="10"/>
        <v>$millions</v>
      </c>
      <c r="F66" s="171">
        <v>42795</v>
      </c>
      <c r="G66" s="32"/>
      <c r="H66" s="32"/>
      <c r="I66" s="32"/>
      <c r="J66" s="163"/>
      <c r="K66" s="163"/>
      <c r="L66" s="163"/>
      <c r="M66" s="163"/>
      <c r="N66" s="163"/>
      <c r="O66" s="163"/>
      <c r="P66" s="163"/>
      <c r="Q66" s="163"/>
      <c r="R66" s="163"/>
      <c r="S66" s="163"/>
      <c r="T66" s="163"/>
      <c r="U66" s="124"/>
      <c r="V66" s="142"/>
      <c r="W66" s="142"/>
      <c r="X66" s="29"/>
    </row>
    <row r="67" spans="1:24">
      <c r="A67" s="29"/>
      <c r="B67" s="29"/>
      <c r="C67" s="61" t="s">
        <v>119</v>
      </c>
      <c r="D67" s="30" t="s">
        <v>34</v>
      </c>
      <c r="E67" s="30" t="str">
        <f t="shared" si="10"/>
        <v>$millions</v>
      </c>
      <c r="F67" s="171">
        <v>42795</v>
      </c>
      <c r="G67" s="32"/>
      <c r="H67" s="32"/>
      <c r="I67" s="32"/>
      <c r="J67" s="163"/>
      <c r="K67" s="163"/>
      <c r="L67" s="163"/>
      <c r="M67" s="163"/>
      <c r="N67" s="163"/>
      <c r="O67" s="163"/>
      <c r="P67" s="163"/>
      <c r="Q67" s="163"/>
      <c r="R67" s="163"/>
      <c r="S67" s="163"/>
      <c r="T67" s="163"/>
      <c r="U67" s="124"/>
      <c r="V67" s="142"/>
      <c r="W67" s="142"/>
      <c r="X67" s="29"/>
    </row>
    <row r="68" spans="1:24" s="102" customFormat="1">
      <c r="A68" s="197"/>
      <c r="B68" s="197"/>
      <c r="C68" s="198"/>
      <c r="D68" s="105"/>
      <c r="E68" s="105"/>
      <c r="F68" s="199"/>
      <c r="G68" s="200"/>
      <c r="H68" s="200"/>
      <c r="I68" s="200"/>
      <c r="J68" s="201"/>
      <c r="K68" s="201"/>
      <c r="L68" s="201"/>
      <c r="M68" s="201"/>
      <c r="N68" s="201"/>
      <c r="O68" s="201"/>
      <c r="P68" s="201"/>
      <c r="Q68" s="201"/>
      <c r="R68" s="201"/>
      <c r="S68" s="201"/>
      <c r="T68" s="201"/>
      <c r="U68" s="104"/>
      <c r="V68" s="164"/>
      <c r="W68" s="164"/>
      <c r="X68" s="197"/>
    </row>
    <row r="69" spans="1:24">
      <c r="A69" s="29"/>
      <c r="B69" s="29"/>
      <c r="C69" s="61" t="s">
        <v>192</v>
      </c>
      <c r="D69" s="30" t="s">
        <v>34</v>
      </c>
      <c r="E69" s="30" t="str">
        <f t="shared" si="10"/>
        <v>$millions</v>
      </c>
      <c r="F69" s="171">
        <v>42795</v>
      </c>
      <c r="G69" s="32"/>
      <c r="H69" s="32"/>
      <c r="I69" s="32"/>
      <c r="J69" s="163"/>
      <c r="K69" s="163"/>
      <c r="L69" s="163"/>
      <c r="M69" s="163"/>
      <c r="N69" s="163"/>
      <c r="O69" s="163"/>
      <c r="P69" s="163"/>
      <c r="Q69" s="163"/>
      <c r="R69" s="163"/>
      <c r="S69" s="163"/>
      <c r="T69" s="163"/>
      <c r="U69" s="124"/>
      <c r="V69" s="142"/>
      <c r="W69" s="142"/>
      <c r="X69" s="29"/>
    </row>
    <row r="70" spans="1:24" s="102" customFormat="1">
      <c r="A70" s="197"/>
      <c r="B70" s="197"/>
      <c r="C70" s="198"/>
      <c r="D70" s="105"/>
      <c r="E70" s="105"/>
      <c r="F70" s="199"/>
      <c r="G70" s="200"/>
      <c r="H70" s="200"/>
      <c r="I70" s="200"/>
      <c r="J70" s="201"/>
      <c r="K70" s="201"/>
      <c r="L70" s="201"/>
      <c r="M70" s="201"/>
      <c r="N70" s="201"/>
      <c r="O70" s="201"/>
      <c r="P70" s="201"/>
      <c r="Q70" s="201"/>
      <c r="R70" s="201"/>
      <c r="S70" s="201"/>
      <c r="T70" s="201"/>
      <c r="U70" s="104"/>
      <c r="V70" s="164"/>
      <c r="W70" s="164"/>
      <c r="X70" s="197"/>
    </row>
    <row r="71" spans="1:24">
      <c r="A71" s="29"/>
      <c r="B71" s="29"/>
      <c r="C71" s="61" t="s">
        <v>89</v>
      </c>
      <c r="D71" s="30" t="s">
        <v>34</v>
      </c>
      <c r="E71" s="30" t="s">
        <v>31</v>
      </c>
      <c r="F71" s="32"/>
      <c r="G71" s="32"/>
      <c r="H71" s="32"/>
      <c r="I71" s="32"/>
      <c r="J71" s="202"/>
      <c r="K71" s="202"/>
      <c r="L71" s="202"/>
      <c r="M71" s="202"/>
      <c r="N71" s="202"/>
      <c r="O71" s="202"/>
      <c r="P71" s="202"/>
      <c r="Q71" s="202"/>
      <c r="R71" s="202"/>
      <c r="S71" s="202"/>
      <c r="T71" s="202"/>
      <c r="U71" s="124"/>
      <c r="V71" s="142"/>
      <c r="W71" s="142"/>
      <c r="X71" s="29"/>
    </row>
    <row r="72" spans="1:24">
      <c r="A72" s="29"/>
      <c r="B72" s="29"/>
      <c r="C72" s="111"/>
      <c r="D72" s="30"/>
      <c r="E72" s="30"/>
      <c r="F72" s="30"/>
      <c r="G72" s="32"/>
      <c r="H72" s="32"/>
      <c r="I72" s="30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</row>
    <row r="73" spans="1:24" ht="12.75">
      <c r="A73" s="94"/>
      <c r="B73" s="95" t="s">
        <v>21</v>
      </c>
      <c r="C73" s="94"/>
      <c r="D73" s="94"/>
      <c r="E73" s="94"/>
      <c r="F73" s="96"/>
      <c r="G73" s="96"/>
      <c r="H73" s="96"/>
      <c r="I73" s="96"/>
      <c r="J73" s="97"/>
      <c r="K73" s="98"/>
      <c r="L73" s="97"/>
      <c r="M73" s="98"/>
      <c r="N73" s="97"/>
      <c r="O73" s="97"/>
      <c r="P73" s="97"/>
      <c r="Q73" s="97"/>
      <c r="R73" s="97"/>
      <c r="S73" s="97"/>
      <c r="T73" s="97"/>
      <c r="U73" s="97"/>
      <c r="V73" s="97"/>
      <c r="W73" s="98"/>
      <c r="X73" s="98"/>
    </row>
  </sheetData>
  <conditionalFormatting sqref="X37 X51:X55 X41:X45">
    <cfRule type="cellIs" dxfId="186" priority="62" operator="equal">
      <formula>"Check"</formula>
    </cfRule>
    <cfRule type="cellIs" dxfId="185" priority="63" operator="equal">
      <formula>"Ok"</formula>
    </cfRule>
  </conditionalFormatting>
  <conditionalFormatting sqref="X57">
    <cfRule type="cellIs" dxfId="184" priority="60" operator="equal">
      <formula>"Check"</formula>
    </cfRule>
    <cfRule type="cellIs" dxfId="183" priority="61" operator="equal">
      <formula>"Ok"</formula>
    </cfRule>
  </conditionalFormatting>
  <conditionalFormatting sqref="X15">
    <cfRule type="cellIs" dxfId="182" priority="58" operator="equal">
      <formula>"Check"</formula>
    </cfRule>
    <cfRule type="cellIs" dxfId="181" priority="59" operator="equal">
      <formula>"Ok"</formula>
    </cfRule>
  </conditionalFormatting>
  <conditionalFormatting sqref="W1">
    <cfRule type="cellIs" dxfId="180" priority="56" operator="equal">
      <formula>"Check"</formula>
    </cfRule>
    <cfRule type="cellIs" dxfId="179" priority="57" operator="equal">
      <formula>"Ok"</formula>
    </cfRule>
  </conditionalFormatting>
  <conditionalFormatting sqref="S1">
    <cfRule type="cellIs" dxfId="178" priority="54" operator="equal">
      <formula>"Check"</formula>
    </cfRule>
    <cfRule type="cellIs" dxfId="177" priority="55" operator="equal">
      <formula>"Ok"</formula>
    </cfRule>
  </conditionalFormatting>
  <conditionalFormatting sqref="J15:N15">
    <cfRule type="cellIs" dxfId="176" priority="53" operator="equal">
      <formula>0</formula>
    </cfRule>
  </conditionalFormatting>
  <conditionalFormatting sqref="J57:N57">
    <cfRule type="cellIs" dxfId="175" priority="52" operator="equal">
      <formula>0</formula>
    </cfRule>
  </conditionalFormatting>
  <conditionalFormatting sqref="X48:X50">
    <cfRule type="cellIs" dxfId="174" priority="50" operator="equal">
      <formula>"Check"</formula>
    </cfRule>
    <cfRule type="cellIs" dxfId="173" priority="51" operator="equal">
      <formula>"Ok"</formula>
    </cfRule>
  </conditionalFormatting>
  <conditionalFormatting sqref="J33:N33 N37 J51:N51 J52 J54:J55 J41:N45">
    <cfRule type="expression" dxfId="172" priority="48">
      <formula>J$34=J$4</formula>
    </cfRule>
  </conditionalFormatting>
  <conditionalFormatting sqref="J20:N27 J13:O13">
    <cfRule type="expression" dxfId="171" priority="47">
      <formula>J$10=J$4</formula>
    </cfRule>
  </conditionalFormatting>
  <conditionalFormatting sqref="J37:N37">
    <cfRule type="expression" dxfId="170" priority="44">
      <formula>J$10=J$4</formula>
    </cfRule>
  </conditionalFormatting>
  <conditionalFormatting sqref="X47">
    <cfRule type="cellIs" dxfId="169" priority="42" operator="equal">
      <formula>"Check"</formula>
    </cfRule>
    <cfRule type="cellIs" dxfId="168" priority="43" operator="equal">
      <formula>"Ok"</formula>
    </cfRule>
  </conditionalFormatting>
  <conditionalFormatting sqref="J47:N47">
    <cfRule type="cellIs" dxfId="167" priority="40" operator="equal">
      <formula>0</formula>
    </cfRule>
  </conditionalFormatting>
  <conditionalFormatting sqref="J63:N67 J69:T69 J71:T71">
    <cfRule type="expression" dxfId="166" priority="39">
      <formula>J$61=J$4</formula>
    </cfRule>
  </conditionalFormatting>
  <conditionalFormatting sqref="X29">
    <cfRule type="cellIs" dxfId="165" priority="35" operator="equal">
      <formula>"Check"</formula>
    </cfRule>
    <cfRule type="cellIs" dxfId="164" priority="36" operator="equal">
      <formula>"Ok"</formula>
    </cfRule>
  </conditionalFormatting>
  <conditionalFormatting sqref="J29:N29">
    <cfRule type="cellIs" dxfId="163" priority="34" operator="equal">
      <formula>0</formula>
    </cfRule>
  </conditionalFormatting>
  <conditionalFormatting sqref="T1">
    <cfRule type="cellIs" dxfId="162" priority="27" operator="equal">
      <formula>"Check"</formula>
    </cfRule>
    <cfRule type="cellIs" dxfId="161" priority="28" operator="equal">
      <formula>"Ok"</formula>
    </cfRule>
  </conditionalFormatting>
  <conditionalFormatting sqref="O57:T57">
    <cfRule type="cellIs" dxfId="160" priority="9" operator="equal">
      <formula>0</formula>
    </cfRule>
  </conditionalFormatting>
  <conditionalFormatting sqref="O37:T37">
    <cfRule type="expression" dxfId="159" priority="6">
      <formula>O$10=O$4</formula>
    </cfRule>
  </conditionalFormatting>
  <conditionalFormatting sqref="O47:T47">
    <cfRule type="cellIs" dxfId="158" priority="5" operator="equal">
      <formula>0</formula>
    </cfRule>
  </conditionalFormatting>
  <conditionalFormatting sqref="O63:T67">
    <cfRule type="expression" dxfId="157" priority="4">
      <formula>O$61=O$4</formula>
    </cfRule>
  </conditionalFormatting>
  <conditionalFormatting sqref="O29:T29">
    <cfRule type="cellIs" dxfId="156" priority="3" operator="equal">
      <formula>0</formula>
    </cfRule>
  </conditionalFormatting>
  <conditionalFormatting sqref="O15:T15">
    <cfRule type="cellIs" dxfId="155" priority="10" operator="equal">
      <formula>0</formula>
    </cfRule>
  </conditionalFormatting>
  <conditionalFormatting sqref="O41:T45 O33:T33 O37:T37 O51:T51 O54:T55 P52:T53">
    <cfRule type="expression" dxfId="154" priority="8">
      <formula>O$34=O$4</formula>
    </cfRule>
  </conditionalFormatting>
  <conditionalFormatting sqref="P13:T13 O20:T27 P19:T19">
    <cfRule type="expression" dxfId="153" priority="7">
      <formula>O$10=O$4</formula>
    </cfRule>
  </conditionalFormatting>
  <conditionalFormatting sqref="J19:O19">
    <cfRule type="expression" dxfId="152" priority="2">
      <formula>J$10=J$4</formula>
    </cfRule>
  </conditionalFormatting>
  <conditionalFormatting sqref="J53 O52:O53 K52:N55">
    <cfRule type="expression" dxfId="151" priority="1">
      <formula>J$34=J$4</formula>
    </cfRule>
  </conditionalFormatting>
  <dataValidations count="1">
    <dataValidation type="list" allowBlank="1" showInputMessage="1" showErrorMessage="1" sqref="J33:T33">
      <formula1>"Actual,Estimate"</formula1>
    </dataValidation>
  </dataValidations>
  <hyperlinks>
    <hyperlink ref="V1" location="'Check|List'!A1" display="Overall Check:"/>
    <hyperlink ref="J1" location="Index!A1" display="Back to Index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'Lookup|Tables'!$H$41:$H$60</xm:f>
          </x14:formula1>
          <xm:sqref>F15 F63:F70 F13 F29</xm:sqref>
        </x14:dataValidation>
        <x14:dataValidation type="list" allowBlank="1" showInputMessage="1" showErrorMessage="1">
          <x14:formula1>
            <xm:f>'Lookup|Tables'!$G$10:$G$12</xm:f>
          </x14:formula1>
          <xm:sqref>E13 E29</xm:sqref>
        </x14:dataValidation>
        <x14:dataValidation type="list" allowBlank="1" showInputMessage="1" showErrorMessage="1">
          <x14:formula1>
            <xm:f>'Lookup|Tables'!$H$41:$H$61</xm:f>
          </x14:formula1>
          <xm:sqref>F37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99"/>
  </sheetPr>
  <dimension ref="A1:AY186"/>
  <sheetViews>
    <sheetView showGridLines="0" zoomScale="113" zoomScaleNormal="80" workbookViewId="0"/>
  </sheetViews>
  <sheetFormatPr defaultColWidth="0" defaultRowHeight="11.25" zeroHeight="1" outlineLevelRow="1"/>
  <cols>
    <col min="1" max="2" width="1.5" style="29" customWidth="1"/>
    <col min="3" max="3" width="57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10" width="10.83203125" style="30" customWidth="1"/>
    <col min="11" max="24" width="10.83203125" style="29" customWidth="1"/>
    <col min="25" max="16384" width="10.5" style="29" hidden="1"/>
  </cols>
  <sheetData>
    <row r="1" spans="1:51" s="69" customFormat="1" ht="15.75">
      <c r="B1" s="70" t="str">
        <f>Index!$B$1</f>
        <v>AER opex model v1.8</v>
      </c>
      <c r="C1" s="70"/>
      <c r="D1" s="70"/>
      <c r="E1" s="70"/>
      <c r="F1" s="71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S1" s="72" t="s">
        <v>82</v>
      </c>
      <c r="T1" s="76" t="str">
        <f>IF(COUNTIF(X5:X109,"Check")=0,"Ok","Check")</f>
        <v>Ok</v>
      </c>
      <c r="U1" s="76"/>
      <c r="W1" s="187" t="s">
        <v>24</v>
      </c>
      <c r="X1" s="76" t="str">
        <f>'Check|List'!$S$1</f>
        <v>Ok</v>
      </c>
    </row>
    <row r="2" spans="1:51" s="77" customFormat="1" ht="13.5" thickBot="1">
      <c r="B2" s="78" t="str">
        <f>Index!$C$10</f>
        <v>Input | Rate of change</v>
      </c>
      <c r="C2" s="78"/>
      <c r="D2" s="78"/>
      <c r="E2" s="78"/>
      <c r="F2" s="79"/>
      <c r="G2" s="79"/>
      <c r="H2" s="79"/>
      <c r="I2" s="79"/>
      <c r="J2" s="79"/>
    </row>
    <row r="3" spans="1:51" s="80" customFormat="1">
      <c r="C3" s="81"/>
      <c r="D3" s="182"/>
      <c r="E3" s="182"/>
      <c r="F3" s="182"/>
      <c r="G3" s="182"/>
      <c r="H3" s="182"/>
      <c r="I3" s="182"/>
      <c r="J3" s="157" t="s">
        <v>124</v>
      </c>
      <c r="K3" s="228"/>
      <c r="L3" s="228"/>
      <c r="M3" s="228"/>
      <c r="N3" s="182"/>
      <c r="O3" s="228"/>
      <c r="P3" s="228"/>
      <c r="Q3" s="228"/>
      <c r="R3" s="228"/>
      <c r="S3" s="228"/>
      <c r="T3" s="228"/>
      <c r="U3" s="219"/>
      <c r="V3" s="82"/>
      <c r="W3" s="82"/>
      <c r="X3" s="82"/>
      <c r="Y3" s="82"/>
      <c r="Z3" s="82"/>
      <c r="AA3" s="82"/>
      <c r="AB3" s="82"/>
      <c r="AC3" s="82"/>
      <c r="AD3" s="82"/>
    </row>
    <row r="4" spans="1:51" s="93" customFormat="1" ht="10.5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5">
        <f>DATE(PPFirstYear-1,MONTH('Input|General'!$G$9),1)</f>
        <v>42795</v>
      </c>
      <c r="K4" s="155">
        <f>DATE(PPFirstYear,MONTH('Input|General'!$G$9),1)</f>
        <v>43160</v>
      </c>
      <c r="L4" s="155">
        <f>DATE(PPFirstYear+1,MONTH('Input|General'!$G$9),1)</f>
        <v>43525</v>
      </c>
      <c r="M4" s="155">
        <f>DATE(PPFirstYear+2,MONTH('Input|General'!$G$9),1)</f>
        <v>43891</v>
      </c>
      <c r="N4" s="155">
        <f>DATE(PPFirstYear+3,MONTH('Input|General'!$G$9),1)</f>
        <v>44256</v>
      </c>
      <c r="O4" s="155">
        <f>DATE(PPFirstYear+4,MONTH('Input|General'!$G$9),1)</f>
        <v>44621</v>
      </c>
      <c r="P4" s="155">
        <f>DATE(PPFirstYear+5,MONTH('Input|General'!$G$9),1)</f>
        <v>44986</v>
      </c>
      <c r="Q4" s="155">
        <f>DATE(PPFirstYear+6,MONTH('Input|General'!$G$9),1)</f>
        <v>45352</v>
      </c>
      <c r="R4" s="155">
        <f>DATE(PPFirstYear+7,MONTH('Input|General'!$G$9),1)</f>
        <v>45717</v>
      </c>
      <c r="S4" s="155">
        <f>DATE(PPFirstYear+8,MONTH('Input|General'!$G$9),1)</f>
        <v>46082</v>
      </c>
      <c r="T4" s="155">
        <f>DATE(PPFirstYear+9,MONTH('Input|General'!$G$9),1)</f>
        <v>46447</v>
      </c>
      <c r="U4" s="155">
        <f>DATE(PPFirstYear+10,MONTH('Input|General'!$G$9),1)</f>
        <v>46813</v>
      </c>
      <c r="V4" s="87"/>
      <c r="W4" s="87"/>
      <c r="X4" s="88"/>
      <c r="Y4" s="89"/>
      <c r="Z4" s="89"/>
      <c r="AA4" s="89"/>
      <c r="AB4" s="89"/>
      <c r="AC4" s="89"/>
      <c r="AD4" s="89"/>
      <c r="AE4" s="89"/>
      <c r="AF4" s="90"/>
      <c r="AG4" s="91"/>
      <c r="AH4" s="91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</row>
    <row r="5" spans="1:51" s="27" customFormat="1" ht="3" customHeight="1">
      <c r="D5" s="28"/>
      <c r="E5" s="28"/>
      <c r="F5" s="28"/>
      <c r="G5" s="28"/>
      <c r="H5" s="28"/>
      <c r="I5" s="28"/>
      <c r="J5" s="28"/>
    </row>
    <row r="6" spans="1:51" s="27" customFormat="1" ht="9" customHeight="1">
      <c r="D6" s="28"/>
      <c r="E6" s="28"/>
      <c r="F6" s="28"/>
      <c r="G6" s="28"/>
      <c r="H6" s="28"/>
      <c r="I6" s="28"/>
      <c r="J6" s="28"/>
    </row>
    <row r="7" spans="1:51" s="27" customFormat="1" ht="3" customHeight="1">
      <c r="D7" s="28"/>
      <c r="E7" s="28"/>
      <c r="F7" s="28"/>
      <c r="G7" s="28"/>
      <c r="H7" s="28"/>
      <c r="I7" s="28"/>
      <c r="J7" s="28"/>
    </row>
    <row r="8" spans="1:51" s="103" customFormat="1" ht="12.75">
      <c r="A8" s="94"/>
      <c r="B8" s="95" t="s">
        <v>35</v>
      </c>
      <c r="C8" s="94"/>
      <c r="D8" s="94"/>
      <c r="E8" s="94"/>
      <c r="F8" s="96"/>
      <c r="G8" s="96"/>
      <c r="H8" s="96"/>
      <c r="I8" s="96"/>
      <c r="J8" s="96"/>
      <c r="K8" s="97"/>
      <c r="L8" s="98"/>
      <c r="M8" s="97"/>
      <c r="N8" s="98"/>
      <c r="O8" s="97"/>
      <c r="P8" s="97"/>
      <c r="Q8" s="97"/>
      <c r="R8" s="97"/>
      <c r="S8" s="97"/>
      <c r="T8" s="97"/>
      <c r="U8" s="97"/>
      <c r="V8" s="97"/>
      <c r="W8" s="97"/>
      <c r="X8" s="98"/>
      <c r="Y8" s="99"/>
      <c r="Z8" s="99"/>
      <c r="AA8" s="99"/>
      <c r="AB8" s="99"/>
      <c r="AC8" s="99"/>
      <c r="AD8" s="99"/>
      <c r="AE8" s="99"/>
      <c r="AF8" s="100"/>
      <c r="AG8" s="101"/>
      <c r="AH8" s="101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</row>
    <row r="9" spans="1:51" ht="11.25" customHeight="1" outlineLevel="1"/>
    <row r="10" spans="1:51" ht="11.25" customHeight="1" outlineLevel="1">
      <c r="C10" s="67" t="s">
        <v>33</v>
      </c>
      <c r="J10" s="158">
        <f t="shared" ref="J10:T10" si="0">IF(YEAR(J$4)&lt;=PPLastYear,J$4,"")</f>
        <v>42795</v>
      </c>
      <c r="K10" s="158">
        <f t="shared" si="0"/>
        <v>43160</v>
      </c>
      <c r="L10" s="158">
        <f t="shared" si="0"/>
        <v>43525</v>
      </c>
      <c r="M10" s="158">
        <f t="shared" si="0"/>
        <v>43891</v>
      </c>
      <c r="N10" s="158">
        <f t="shared" si="0"/>
        <v>44256</v>
      </c>
      <c r="O10" s="158">
        <f t="shared" si="0"/>
        <v>44621</v>
      </c>
      <c r="P10" s="158" t="str">
        <f t="shared" si="0"/>
        <v/>
      </c>
      <c r="Q10" s="158" t="str">
        <f t="shared" si="0"/>
        <v/>
      </c>
      <c r="R10" s="158" t="str">
        <f t="shared" si="0"/>
        <v/>
      </c>
      <c r="S10" s="158" t="str">
        <f t="shared" si="0"/>
        <v/>
      </c>
      <c r="T10" s="158" t="str">
        <f t="shared" si="0"/>
        <v/>
      </c>
      <c r="U10" s="162"/>
    </row>
    <row r="11" spans="1:51" ht="11.25" customHeight="1" outlineLevel="1">
      <c r="C11" s="67"/>
      <c r="J11" s="29"/>
      <c r="P11" s="143"/>
      <c r="Q11" s="143"/>
      <c r="R11" s="143"/>
      <c r="S11" s="143"/>
      <c r="T11" s="143"/>
      <c r="U11" s="143"/>
      <c r="V11" s="120"/>
      <c r="W11" s="120"/>
      <c r="X11" s="120"/>
    </row>
    <row r="12" spans="1:51" ht="11.25" customHeight="1" outlineLevel="1">
      <c r="C12" s="111" t="s">
        <v>33</v>
      </c>
      <c r="D12" s="144" t="s">
        <v>99</v>
      </c>
      <c r="E12" s="30" t="str">
        <f>percent</f>
        <v>Per cent</v>
      </c>
      <c r="J12" s="143">
        <f>IF(J10=J4,LOOKUP(EOMONTH(J4,0),'Input|Inflation'!$C$9:$C$84,'Input|Inflation'!$G$9:$G$84),"")</f>
        <v>2.1256931608133023E-2</v>
      </c>
      <c r="K12" s="143">
        <f>IF(K10=K4,LOOKUP(EOMONTH(K4,0),'Input|Inflation'!$C$9:$C$84,'Input|Inflation'!$G$9:$G$84),"")</f>
        <v>1.9004524886877761E-2</v>
      </c>
      <c r="L12" s="143">
        <f>IF(L10=L4,LOOKUP(EOMONTH(L4,0),'Input|Inflation'!$C$9:$C$84,'Input|Inflation'!$G$9:$G$84),"")</f>
        <v>1.3321492007104752E-2</v>
      </c>
      <c r="M12" s="143">
        <f>IF(M10=M4,LOOKUP(EOMONTH(M4,0),'Input|Inflation'!$C$9:$C$84,'Input|Inflation'!$G$9:$G$84),"")</f>
        <v>2.1910604732690686E-2</v>
      </c>
      <c r="N12" s="143">
        <f>IF(N10=N4,LOOKUP(EOMONTH(N4,0),'Input|Inflation'!$C$9:$C$84,'Input|Inflation'!$G$9:$G$84),"")</f>
        <v>1.1149228130360234E-2</v>
      </c>
      <c r="O12" s="143">
        <f>IF(O10=O4,LOOKUP(EOMONTH(O4,0),'Input|Inflation'!$C$9:$C$84,'Input|Inflation'!$G$9:$G$84),"")</f>
        <v>1.2915500424088178E-2</v>
      </c>
      <c r="P12" s="143" t="str">
        <f>IF(P10=P4,LOOKUP(EOMONTH(P4,0),'Input|Inflation'!$C$9:$C$84,'Input|Inflation'!$G$9:$G$84),"")</f>
        <v/>
      </c>
      <c r="Q12" s="143" t="str">
        <f>IF(Q10=Q4,LOOKUP(EOMONTH(Q4,0),'Input|Inflation'!$C$9:$C$84,'Input|Inflation'!$G$9:$G$84),"")</f>
        <v/>
      </c>
      <c r="R12" s="143" t="str">
        <f>IF(R10=R4,LOOKUP(EOMONTH(R4,0),'Input|Inflation'!$C$9:$C$84,'Input|Inflation'!$G$9:$G$84),"")</f>
        <v/>
      </c>
      <c r="S12" s="143" t="str">
        <f>IF(S10=S4,LOOKUP(EOMONTH(S4,0),'Input|Inflation'!$C$9:$C$84,'Input|Inflation'!$G$9:$G$84),"")</f>
        <v/>
      </c>
      <c r="T12" s="143" t="str">
        <f>IF(T10=T4,LOOKUP(EOMONTH(T4,0),'Input|Inflation'!$C$9:$C$84,'Input|Inflation'!$G$9:$G$84),"")</f>
        <v/>
      </c>
      <c r="U12" s="143"/>
      <c r="V12" s="145"/>
    </row>
    <row r="13" spans="1:51" ht="11.25" customHeight="1" outlineLevel="1">
      <c r="D13" s="29"/>
      <c r="E13" s="29"/>
      <c r="F13" s="29"/>
      <c r="G13" s="29"/>
      <c r="H13" s="29"/>
      <c r="I13" s="29"/>
      <c r="J13" s="29"/>
    </row>
    <row r="14" spans="1:51" ht="11.25" customHeight="1" outlineLevel="1">
      <c r="C14" s="67" t="s">
        <v>100</v>
      </c>
      <c r="I14" s="29"/>
      <c r="J14" s="158">
        <f t="shared" ref="J14:T14" si="1">IF(YEAR(J$4)&lt;=PPLastYear,J$4,"")</f>
        <v>42795</v>
      </c>
      <c r="K14" s="158">
        <f t="shared" si="1"/>
        <v>43160</v>
      </c>
      <c r="L14" s="158">
        <f t="shared" si="1"/>
        <v>43525</v>
      </c>
      <c r="M14" s="158">
        <f t="shared" si="1"/>
        <v>43891</v>
      </c>
      <c r="N14" s="158">
        <f t="shared" si="1"/>
        <v>44256</v>
      </c>
      <c r="O14" s="158">
        <f t="shared" si="1"/>
        <v>44621</v>
      </c>
      <c r="P14" s="158" t="str">
        <f t="shared" si="1"/>
        <v/>
      </c>
      <c r="Q14" s="158" t="str">
        <f t="shared" si="1"/>
        <v/>
      </c>
      <c r="R14" s="158" t="str">
        <f t="shared" si="1"/>
        <v/>
      </c>
      <c r="S14" s="158" t="str">
        <f t="shared" si="1"/>
        <v/>
      </c>
      <c r="T14" s="158" t="str">
        <f t="shared" si="1"/>
        <v/>
      </c>
      <c r="U14" s="162"/>
    </row>
    <row r="15" spans="1:51" ht="11.25" customHeight="1" outlineLevel="1">
      <c r="C15" s="67"/>
      <c r="I15" s="29"/>
      <c r="J15" s="120"/>
      <c r="K15" s="120"/>
      <c r="L15" s="120"/>
      <c r="M15" s="120"/>
      <c r="N15" s="120"/>
      <c r="O15" s="120"/>
      <c r="P15" s="26"/>
      <c r="Q15" s="26"/>
      <c r="R15" s="26"/>
      <c r="S15" s="26"/>
      <c r="T15" s="26"/>
      <c r="U15" s="26"/>
    </row>
    <row r="16" spans="1:51" ht="11.25" customHeight="1" outlineLevel="1">
      <c r="C16" s="165">
        <f t="array" ref="C16:C22">TRANSPOSE(J10:P10)</f>
        <v>42795</v>
      </c>
      <c r="D16" s="144" t="str">
        <f t="shared" ref="D16:D20" si="2">IF(ISNONTEXT($C16),"calculated","")</f>
        <v>calculated</v>
      </c>
      <c r="E16" s="30" t="str">
        <f>IF(ISNONTEXT($C16),"index","")</f>
        <v>index</v>
      </c>
      <c r="J16" s="22">
        <f t="shared" ref="J16:N16" si="3">IF(AND($C16&gt;J$14,ISNONTEXT($C16)),K16/(1+K$12),IF(AND($C16=J$14,J$14=J$4),1,IF(AND($C16&lt;J$14,J$14=J$4),I16*(1+J$12),0)))</f>
        <v>1</v>
      </c>
      <c r="K16" s="22">
        <f t="shared" si="3"/>
        <v>1.0190045248868778</v>
      </c>
      <c r="L16" s="22">
        <f t="shared" si="3"/>
        <v>1.0325791855203619</v>
      </c>
      <c r="M16" s="22">
        <f t="shared" si="3"/>
        <v>1.0552036199095023</v>
      </c>
      <c r="N16" s="22">
        <f t="shared" si="3"/>
        <v>1.0669683257918552</v>
      </c>
      <c r="O16" s="22">
        <f t="shared" ref="O16:P16" si="4">IF(AND($C16&gt;O$14,ISNONTEXT($C16)),P16/(1+O$12),IF(AND($C16=O$14,O$14=O$4),1,IF(AND($C16&lt;O$14,O$14=O$4),N16*(1+O$12),0)))</f>
        <v>1.0807487556561086</v>
      </c>
      <c r="P16" s="22">
        <f t="shared" si="4"/>
        <v>0</v>
      </c>
      <c r="Q16" s="208"/>
      <c r="R16" s="208"/>
      <c r="S16" s="208"/>
      <c r="T16" s="208"/>
      <c r="U16" s="208"/>
    </row>
    <row r="17" spans="3:23" ht="11.25" customHeight="1" outlineLevel="1">
      <c r="C17" s="165">
        <v>43160</v>
      </c>
      <c r="D17" s="144" t="str">
        <f t="shared" si="2"/>
        <v>calculated</v>
      </c>
      <c r="E17" s="30" t="str">
        <f t="shared" ref="E17:E22" si="5">IF(ISNONTEXT($C17),"index","")</f>
        <v>index</v>
      </c>
      <c r="I17" s="22"/>
      <c r="J17" s="22">
        <f t="shared" ref="J17:N17" si="6">IF(AND($C17&gt;J$14,ISNONTEXT($C17)),K17/(1+K$12),IF(AND($C17=J$14,J$14=J$4),1,IF(AND($C17&lt;J$14,J$14=J$4),I17*(1+J$12),0)))</f>
        <v>0.98134991119005333</v>
      </c>
      <c r="K17" s="22">
        <f t="shared" si="6"/>
        <v>1</v>
      </c>
      <c r="L17" s="22">
        <f t="shared" si="6"/>
        <v>1.0133214920071048</v>
      </c>
      <c r="M17" s="22">
        <f t="shared" si="6"/>
        <v>1.0355239786856127</v>
      </c>
      <c r="N17" s="22">
        <f t="shared" si="6"/>
        <v>1.0470692717584369</v>
      </c>
      <c r="O17" s="22">
        <f t="shared" ref="O17:P17" si="7">IF(AND($C17&gt;O$14,ISNONTEXT($C17)),P17/(1+O$12),IF(AND($C17=O$14,O$14=O$4),1,IF(AND($C17&lt;O$14,O$14=O$4),N17*(1+O$12),0)))</f>
        <v>1.0605926953818827</v>
      </c>
      <c r="P17" s="22">
        <f t="shared" si="7"/>
        <v>0</v>
      </c>
      <c r="Q17" s="208"/>
      <c r="R17" s="208"/>
      <c r="S17" s="208"/>
      <c r="T17" s="208"/>
      <c r="U17" s="208"/>
    </row>
    <row r="18" spans="3:23" ht="11.25" customHeight="1" outlineLevel="1">
      <c r="C18" s="165">
        <v>43525</v>
      </c>
      <c r="D18" s="144" t="str">
        <f t="shared" si="2"/>
        <v>calculated</v>
      </c>
      <c r="E18" s="30" t="str">
        <f t="shared" si="5"/>
        <v>index</v>
      </c>
      <c r="I18" s="22"/>
      <c r="J18" s="22">
        <f t="shared" ref="J18:N18" si="8">IF(AND($C18&gt;J$14,ISNONTEXT($C18)),K18/(1+K$12),IF(AND($C18=J$14,J$14=J$4),1,IF(AND($C18&lt;J$14,J$14=J$4),I18*(1+J$12),0)))</f>
        <v>0.96844872918492564</v>
      </c>
      <c r="K18" s="22">
        <f t="shared" si="8"/>
        <v>0.98685363716038565</v>
      </c>
      <c r="L18" s="22">
        <f t="shared" si="8"/>
        <v>1</v>
      </c>
      <c r="M18" s="22">
        <f t="shared" si="8"/>
        <v>1.0219106047326907</v>
      </c>
      <c r="N18" s="22">
        <f t="shared" si="8"/>
        <v>1.0333041191936898</v>
      </c>
      <c r="O18" s="22">
        <f t="shared" ref="O18:P18" si="9">IF(AND($C18&gt;O$14,ISNONTEXT($C18)),P18/(1+O$12),IF(AND($C18=O$14,O$14=O$4),1,IF(AND($C18&lt;O$14,O$14=O$4),N18*(1+O$12),0)))</f>
        <v>1.0466497589833479</v>
      </c>
      <c r="P18" s="22">
        <f t="shared" si="9"/>
        <v>0</v>
      </c>
      <c r="Q18" s="208"/>
      <c r="R18" s="208"/>
      <c r="S18" s="208"/>
      <c r="T18" s="208"/>
      <c r="U18" s="208"/>
    </row>
    <row r="19" spans="3:23" ht="11.25" customHeight="1" outlineLevel="1">
      <c r="C19" s="165">
        <v>43891</v>
      </c>
      <c r="D19" s="144" t="str">
        <f t="shared" si="2"/>
        <v>calculated</v>
      </c>
      <c r="E19" s="30" t="str">
        <f t="shared" si="5"/>
        <v>index</v>
      </c>
      <c r="I19" s="22"/>
      <c r="J19" s="22">
        <f t="shared" ref="J19:N19" si="10">IF(AND($C19&gt;J$14,ISNONTEXT($C19)),K19/(1+K$12),IF(AND($C19=J$14,J$14=J$4),1,IF(AND($C19&lt;J$14,J$14=J$4),I19*(1+J$12),0)))</f>
        <v>0.94768439108061753</v>
      </c>
      <c r="K19" s="22">
        <f t="shared" si="10"/>
        <v>0.96569468267581471</v>
      </c>
      <c r="L19" s="22">
        <f t="shared" si="10"/>
        <v>0.97855917667238412</v>
      </c>
      <c r="M19" s="22">
        <f t="shared" si="10"/>
        <v>1</v>
      </c>
      <c r="N19" s="22">
        <f t="shared" si="10"/>
        <v>1.0111492281303602</v>
      </c>
      <c r="O19" s="22">
        <f t="shared" ref="O19:P19" si="11">IF(AND($C19&gt;O$14,ISNONTEXT($C19)),P19/(1+O$12),IF(AND($C19=O$14,O$14=O$4),1,IF(AND($C19&lt;O$14,O$14=O$4),N19*(1+O$12),0)))</f>
        <v>1.0242087264150943</v>
      </c>
      <c r="P19" s="22">
        <f t="shared" si="11"/>
        <v>0</v>
      </c>
      <c r="Q19" s="208"/>
      <c r="R19" s="208"/>
      <c r="S19" s="208"/>
      <c r="T19" s="208"/>
      <c r="U19" s="208"/>
    </row>
    <row r="20" spans="3:23" ht="11.25" customHeight="1" outlineLevel="1">
      <c r="C20" s="165">
        <v>44256</v>
      </c>
      <c r="D20" s="144" t="str">
        <f t="shared" si="2"/>
        <v>calculated</v>
      </c>
      <c r="E20" s="30" t="str">
        <f t="shared" si="5"/>
        <v>index</v>
      </c>
      <c r="I20" s="22"/>
      <c r="J20" s="22">
        <f>IF(AND($C20&gt;J$14,ISNONTEXT($C20)),K20/(1+K$12),IF(AND($C20=J$14,J$14=J$4),1,IF(AND($C20&lt;J$14,J$14=J$4),I20*(1+J$12),0)))</f>
        <v>0.93723494486853265</v>
      </c>
      <c r="K20" s="22">
        <f t="shared" ref="K20:N20" si="12">IF(AND($C20&gt;K$14,ISNONTEXT($C20)),L20/(1+L$12),IF(AND($C20=K$14,K$14=K$4),1,IF(AND($C20&lt;K$14,K$14=K$4),J20*(1+K$12),0)))</f>
        <v>0.95504664970313824</v>
      </c>
      <c r="L20" s="22">
        <f t="shared" si="12"/>
        <v>0.96776929601357076</v>
      </c>
      <c r="M20" s="22">
        <f t="shared" si="12"/>
        <v>0.9889737065309584</v>
      </c>
      <c r="N20" s="22">
        <f t="shared" si="12"/>
        <v>1</v>
      </c>
      <c r="O20" s="22">
        <f t="shared" ref="O20:P20" si="13">IF(AND($C20&gt;O$14,ISNONTEXT($C20)),P20/(1+O$12),IF(AND($C20=O$14,O$14=O$4),1,IF(AND($C20&lt;O$14,O$14=O$4),N20*(1+O$12),0)))</f>
        <v>1.0129155004240882</v>
      </c>
      <c r="P20" s="22">
        <f t="shared" si="13"/>
        <v>0</v>
      </c>
      <c r="Q20" s="208"/>
      <c r="R20" s="208"/>
      <c r="S20" s="208"/>
      <c r="T20" s="208"/>
      <c r="U20" s="208"/>
    </row>
    <row r="21" spans="3:23" ht="11.25" customHeight="1" outlineLevel="1">
      <c r="C21" s="165">
        <v>44621</v>
      </c>
      <c r="D21" s="144" t="str">
        <f>IF(ISNONTEXT($C21),"calculated","")</f>
        <v>calculated</v>
      </c>
      <c r="E21" s="30" t="str">
        <f t="shared" si="5"/>
        <v>index</v>
      </c>
      <c r="I21" s="22"/>
      <c r="J21" s="22">
        <f>IF(AND($C21&gt;J$14,ISNONTEXT($C21)),K21/(1+K$12),IF(AND($C21=J$14,J$14=J$4),1,IF(AND($C21&lt;J$14,J$14=J$4),I21*(1+J$12),0)))</f>
        <v>0.92528443337685173</v>
      </c>
      <c r="K21" s="22">
        <f t="shared" ref="K21:K22" si="14">IF(AND($C21&gt;K$14,ISNONTEXT($C21)),L21/(1+L$12),IF(AND($C21=K$14,K$14=K$4),1,IF(AND($C21&lt;K$14,K$14=K$4),J21*(1+K$12),0)))</f>
        <v>0.9428690244184027</v>
      </c>
      <c r="L21" s="22">
        <f t="shared" ref="L21:L22" si="15">IF(AND($C21&gt;L$14,ISNONTEXT($C21)),M21/(1+M$12),IF(AND($C21=L$14,L$14=L$4),1,IF(AND($C21&lt;L$14,L$14=L$4),K21*(1+L$12),0)))</f>
        <v>0.95542944659093909</v>
      </c>
      <c r="M21" s="22">
        <f t="shared" ref="M21:M22" si="16">IF(AND($C21&gt;M$14,ISNONTEXT($C21)),N21/(1+N$12),IF(AND($C21=M$14,M$14=M$4),1,IF(AND($C21&lt;M$14,M$14=M$4),L21*(1+M$12),0)))</f>
        <v>0.97636348354516656</v>
      </c>
      <c r="N21" s="22">
        <f t="shared" ref="N21:N22" si="17">IF(AND($C21&gt;N$14,ISNONTEXT($C21)),O21/(1+O$12),IF(AND($C21=N$14,N$14=N$4),1,IF(AND($C21&lt;N$14,N$14=N$4),M21*(1+N$12),0)))</f>
        <v>0.98724918276136486</v>
      </c>
      <c r="O21" s="22">
        <f t="shared" ref="O21:P21" si="18">IF(AND($C21&gt;O$14,ISNONTEXT($C21)),P21/(1+O$12),IF(AND($C21=O$14,O$14=O$4),1,IF(AND($C21&lt;O$14,O$14=O$4),N21*(1+O$12),0)))</f>
        <v>1</v>
      </c>
      <c r="P21" s="22">
        <f t="shared" si="18"/>
        <v>0</v>
      </c>
      <c r="Q21" s="208"/>
      <c r="R21" s="208"/>
      <c r="S21" s="208"/>
      <c r="T21" s="208"/>
      <c r="U21" s="208"/>
    </row>
    <row r="22" spans="3:23" ht="11.25" customHeight="1" outlineLevel="1">
      <c r="C22" s="165" t="str">
        <v/>
      </c>
      <c r="D22" s="144" t="str">
        <f>IF(ISNONTEXT($C22),"calculated","")</f>
        <v/>
      </c>
      <c r="E22" s="30" t="str">
        <f t="shared" si="5"/>
        <v/>
      </c>
      <c r="I22" s="22"/>
      <c r="J22" s="22">
        <f>IF(AND($C22&gt;J$14,ISNONTEXT($C22)),K22/(1+K$12),IF(AND($C22=J$14,J$14=J$4),1,IF(AND($C22&lt;J$14,J$14=J$4),I22*(1+J$12),0)))</f>
        <v>0</v>
      </c>
      <c r="K22" s="22">
        <f t="shared" si="14"/>
        <v>0</v>
      </c>
      <c r="L22" s="22">
        <f t="shared" si="15"/>
        <v>0</v>
      </c>
      <c r="M22" s="22">
        <f t="shared" si="16"/>
        <v>0</v>
      </c>
      <c r="N22" s="22">
        <f t="shared" si="17"/>
        <v>0</v>
      </c>
      <c r="O22" s="22">
        <f t="shared" ref="O22:P22" si="19">IF(AND($C22&gt;O$14,ISNONTEXT($C22)),P22/(1+P$12),IF(AND($C22=O$14,O$14=O$4),1,IF(AND($C22&lt;O$14,O$14=O$4),N22*(1+O$12),0)))</f>
        <v>0</v>
      </c>
      <c r="P22" s="22">
        <f t="shared" si="19"/>
        <v>0</v>
      </c>
      <c r="Q22" s="208"/>
      <c r="R22" s="208"/>
      <c r="S22" s="208"/>
      <c r="T22" s="208"/>
      <c r="U22" s="208"/>
    </row>
    <row r="23" spans="3:23" ht="11.25" customHeight="1" outlineLevel="1">
      <c r="C23" s="111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</row>
    <row r="24" spans="3:23" ht="11.25" customHeight="1" outlineLevel="1">
      <c r="C24" s="67" t="s">
        <v>47</v>
      </c>
      <c r="J24" s="158">
        <f t="shared" ref="J24:T24" si="20">IF(YEAR(J$4)&lt;=PPLastYear,J$4,"")</f>
        <v>42795</v>
      </c>
      <c r="K24" s="158">
        <f t="shared" si="20"/>
        <v>43160</v>
      </c>
      <c r="L24" s="158">
        <f t="shared" si="20"/>
        <v>43525</v>
      </c>
      <c r="M24" s="158">
        <f t="shared" si="20"/>
        <v>43891</v>
      </c>
      <c r="N24" s="158">
        <f t="shared" si="20"/>
        <v>44256</v>
      </c>
      <c r="O24" s="158">
        <f t="shared" si="20"/>
        <v>44621</v>
      </c>
      <c r="P24" s="158" t="str">
        <f t="shared" si="20"/>
        <v/>
      </c>
      <c r="Q24" s="158" t="str">
        <f t="shared" si="20"/>
        <v/>
      </c>
      <c r="R24" s="158" t="str">
        <f t="shared" si="20"/>
        <v/>
      </c>
      <c r="S24" s="158" t="str">
        <f t="shared" si="20"/>
        <v/>
      </c>
      <c r="T24" s="158" t="str">
        <f t="shared" si="20"/>
        <v/>
      </c>
      <c r="U24" s="162"/>
    </row>
    <row r="25" spans="3:23" ht="11.25" customHeight="1" outlineLevel="1">
      <c r="C25" s="111"/>
      <c r="J25" s="29"/>
      <c r="P25" s="142"/>
      <c r="Q25" s="22"/>
      <c r="R25" s="22"/>
      <c r="S25" s="22"/>
      <c r="T25" s="22"/>
      <c r="U25" s="22"/>
    </row>
    <row r="26" spans="3:23" ht="11.25" customHeight="1" outlineLevel="1">
      <c r="C26" s="165">
        <f t="array" ref="C26:C32">TRANSPOSE(J10:P10)</f>
        <v>42795</v>
      </c>
      <c r="D26" s="144" t="str">
        <f t="shared" ref="D26:D32" si="21">IF(ISNONTEXT($C26),"calculated","")</f>
        <v>calculated</v>
      </c>
      <c r="E26" s="30" t="str">
        <f>IF(ISNONTEXT($C26),"index","")</f>
        <v>index</v>
      </c>
      <c r="I26" s="22"/>
      <c r="J26" s="22">
        <f>IF(AND(J$24=J$4,ISNONTEXT($C26)),1/J16*(1+J$12)^0.5,0)</f>
        <v>1.0105725761211477</v>
      </c>
      <c r="K26" s="22">
        <f t="shared" ref="K26:T26" si="22">IF(AND(K$24=K$4,ISNONTEXT($C26)),1/K16*(1+K$12)^0.5,0)</f>
        <v>0.99063106714359261</v>
      </c>
      <c r="L26" s="22">
        <f t="shared" si="22"/>
        <v>0.97487797922496267</v>
      </c>
      <c r="M26" s="22">
        <f t="shared" si="22"/>
        <v>0.95801030485606675</v>
      </c>
      <c r="N26" s="22">
        <f t="shared" si="22"/>
        <v>0.94244518568838342</v>
      </c>
      <c r="O26" s="22">
        <f t="shared" si="22"/>
        <v>0.9312405193631047</v>
      </c>
      <c r="P26" s="22">
        <f t="shared" si="22"/>
        <v>0</v>
      </c>
      <c r="Q26" s="22">
        <f t="shared" si="22"/>
        <v>0</v>
      </c>
      <c r="R26" s="22">
        <f t="shared" si="22"/>
        <v>0</v>
      </c>
      <c r="S26" s="22">
        <f t="shared" si="22"/>
        <v>0</v>
      </c>
      <c r="T26" s="22">
        <f t="shared" si="22"/>
        <v>0</v>
      </c>
      <c r="U26" s="22"/>
      <c r="V26" s="146"/>
      <c r="W26" s="146"/>
    </row>
    <row r="27" spans="3:23" ht="11.25" customHeight="1" outlineLevel="1">
      <c r="C27" s="165">
        <v>43160</v>
      </c>
      <c r="D27" s="144" t="str">
        <f t="shared" si="21"/>
        <v>calculated</v>
      </c>
      <c r="E27" s="30" t="str">
        <f t="shared" ref="E27:E32" si="23">IF(ISNONTEXT($C27),"index","")</f>
        <v>index</v>
      </c>
      <c r="I27" s="22"/>
      <c r="J27" s="22">
        <f t="shared" ref="J27:T27" si="24">IF(AND(J$24=J$4,ISNONTEXT($C27)),1/J17*(1+J$12)^0.5,0)</f>
        <v>1.0297780277940383</v>
      </c>
      <c r="K27" s="22">
        <f t="shared" si="24"/>
        <v>1.0094575399128374</v>
      </c>
      <c r="L27" s="22">
        <f t="shared" si="24"/>
        <v>0.99340507204281248</v>
      </c>
      <c r="M27" s="22">
        <f t="shared" si="24"/>
        <v>0.97621683553658933</v>
      </c>
      <c r="N27" s="22">
        <f t="shared" si="24"/>
        <v>0.96035590867431664</v>
      </c>
      <c r="O27" s="22">
        <f t="shared" si="24"/>
        <v>0.94893830298900994</v>
      </c>
      <c r="P27" s="22">
        <f t="shared" si="24"/>
        <v>0</v>
      </c>
      <c r="Q27" s="22">
        <f t="shared" si="24"/>
        <v>0</v>
      </c>
      <c r="R27" s="22">
        <f t="shared" si="24"/>
        <v>0</v>
      </c>
      <c r="S27" s="22">
        <f t="shared" si="24"/>
        <v>0</v>
      </c>
      <c r="T27" s="22">
        <f t="shared" si="24"/>
        <v>0</v>
      </c>
      <c r="U27" s="22"/>
      <c r="V27" s="146"/>
      <c r="W27" s="146"/>
    </row>
    <row r="28" spans="3:23" ht="11.25" customHeight="1" outlineLevel="1">
      <c r="C28" s="165">
        <v>43525</v>
      </c>
      <c r="D28" s="144" t="str">
        <f t="shared" si="21"/>
        <v>calculated</v>
      </c>
      <c r="E28" s="30" t="str">
        <f t="shared" si="23"/>
        <v>index</v>
      </c>
      <c r="I28" s="22"/>
      <c r="J28" s="22">
        <f t="shared" ref="J28:T28" si="25">IF(AND(J$24=J$4,ISNONTEXT($C28)),1/J18*(1+J$12)^0.5,0)</f>
        <v>1.0434962075603886</v>
      </c>
      <c r="K28" s="22">
        <f t="shared" si="25"/>
        <v>1.0229050204622978</v>
      </c>
      <c r="L28" s="22">
        <f t="shared" si="25"/>
        <v>1.0066387097698482</v>
      </c>
      <c r="M28" s="22">
        <f t="shared" si="25"/>
        <v>0.98922150030839096</v>
      </c>
      <c r="N28" s="22">
        <f t="shared" si="25"/>
        <v>0.97314928223569719</v>
      </c>
      <c r="O28" s="22">
        <f t="shared" si="25"/>
        <v>0.96157957700751351</v>
      </c>
      <c r="P28" s="22">
        <f t="shared" si="25"/>
        <v>0</v>
      </c>
      <c r="Q28" s="22">
        <f t="shared" si="25"/>
        <v>0</v>
      </c>
      <c r="R28" s="22">
        <f t="shared" si="25"/>
        <v>0</v>
      </c>
      <c r="S28" s="22">
        <f t="shared" si="25"/>
        <v>0</v>
      </c>
      <c r="T28" s="22">
        <f t="shared" si="25"/>
        <v>0</v>
      </c>
      <c r="U28" s="22"/>
      <c r="V28" s="146"/>
      <c r="W28" s="146"/>
    </row>
    <row r="29" spans="3:23" ht="11.25" customHeight="1" outlineLevel="1">
      <c r="C29" s="165">
        <v>43891</v>
      </c>
      <c r="D29" s="144" t="str">
        <f t="shared" si="21"/>
        <v>calculated</v>
      </c>
      <c r="E29" s="30" t="str">
        <f t="shared" si="23"/>
        <v>index</v>
      </c>
      <c r="I29" s="22"/>
      <c r="J29" s="22">
        <f t="shared" ref="J29:T29" si="26">IF(AND(J$24=J$4,ISNONTEXT($C29)),1/J19*(1+J$12)^0.5,0)</f>
        <v>1.0663598405043062</v>
      </c>
      <c r="K29" s="22">
        <f t="shared" si="26"/>
        <v>1.045317488044732</v>
      </c>
      <c r="L29" s="22">
        <f t="shared" si="26"/>
        <v>1.0286947726482409</v>
      </c>
      <c r="M29" s="22">
        <f t="shared" si="26"/>
        <v>1.0108959415947274</v>
      </c>
      <c r="N29" s="22">
        <f t="shared" si="26"/>
        <v>0.99447157150466514</v>
      </c>
      <c r="O29" s="22">
        <f t="shared" si="26"/>
        <v>0.98264836703835312</v>
      </c>
      <c r="P29" s="22">
        <f t="shared" si="26"/>
        <v>0</v>
      </c>
      <c r="Q29" s="22">
        <f t="shared" si="26"/>
        <v>0</v>
      </c>
      <c r="R29" s="22">
        <f t="shared" si="26"/>
        <v>0</v>
      </c>
      <c r="S29" s="22">
        <f t="shared" si="26"/>
        <v>0</v>
      </c>
      <c r="T29" s="22">
        <f t="shared" si="26"/>
        <v>0</v>
      </c>
      <c r="U29" s="22"/>
      <c r="V29" s="146"/>
      <c r="W29" s="146"/>
    </row>
    <row r="30" spans="3:23" ht="11.25" customHeight="1" outlineLevel="1">
      <c r="C30" s="165">
        <v>44256</v>
      </c>
      <c r="D30" s="144" t="str">
        <f t="shared" si="21"/>
        <v>calculated</v>
      </c>
      <c r="E30" s="30" t="str">
        <f t="shared" si="23"/>
        <v>index</v>
      </c>
      <c r="I30" s="22"/>
      <c r="J30" s="22">
        <f t="shared" ref="J30:T30" si="27">IF(AND(J$24=J$4,ISNONTEXT($C30)),1/J20*(1+J$12)^0.5,0)</f>
        <v>1.0782489296351432</v>
      </c>
      <c r="K30" s="22">
        <f t="shared" si="27"/>
        <v>1.0569719711875978</v>
      </c>
      <c r="L30" s="22">
        <f t="shared" si="27"/>
        <v>1.0401639253450052</v>
      </c>
      <c r="M30" s="22">
        <f t="shared" si="27"/>
        <v>1.0221666510636223</v>
      </c>
      <c r="N30" s="22">
        <f t="shared" si="27"/>
        <v>1.0055591619245285</v>
      </c>
      <c r="O30" s="22">
        <f t="shared" si="27"/>
        <v>0.9936041378543895</v>
      </c>
      <c r="P30" s="22">
        <f t="shared" si="27"/>
        <v>0</v>
      </c>
      <c r="Q30" s="22">
        <f t="shared" si="27"/>
        <v>0</v>
      </c>
      <c r="R30" s="22">
        <f t="shared" si="27"/>
        <v>0</v>
      </c>
      <c r="S30" s="22">
        <f t="shared" si="27"/>
        <v>0</v>
      </c>
      <c r="T30" s="22">
        <f t="shared" si="27"/>
        <v>0</v>
      </c>
      <c r="U30" s="22"/>
      <c r="V30" s="146"/>
      <c r="W30" s="146"/>
    </row>
    <row r="31" spans="3:23" ht="11.25" customHeight="1" outlineLevel="1">
      <c r="C31" s="165">
        <v>44621</v>
      </c>
      <c r="D31" s="144" t="str">
        <f t="shared" si="21"/>
        <v>calculated</v>
      </c>
      <c r="E31" s="30" t="str">
        <f t="shared" si="23"/>
        <v>index</v>
      </c>
      <c r="I31" s="22"/>
      <c r="J31" s="22">
        <f t="shared" ref="J31:T32" si="28">IF(AND(J$24=J$4,ISNONTEXT($C31)),1/J21*(1+J$12)^0.5,0)</f>
        <v>1.0921750541431186</v>
      </c>
      <c r="K31" s="22">
        <f t="shared" si="28"/>
        <v>1.0706232931297206</v>
      </c>
      <c r="L31" s="22">
        <f t="shared" si="28"/>
        <v>1.0535981629639202</v>
      </c>
      <c r="M31" s="22">
        <f t="shared" si="28"/>
        <v>1.0353684448789233</v>
      </c>
      <c r="N31" s="22">
        <f t="shared" si="28"/>
        <v>1.0185464617068105</v>
      </c>
      <c r="O31" s="22">
        <f t="shared" si="28"/>
        <v>1.0064370325182237</v>
      </c>
      <c r="P31" s="22">
        <f t="shared" si="28"/>
        <v>0</v>
      </c>
      <c r="Q31" s="22">
        <f t="shared" si="28"/>
        <v>0</v>
      </c>
      <c r="R31" s="22">
        <f t="shared" si="28"/>
        <v>0</v>
      </c>
      <c r="S31" s="22">
        <f t="shared" si="28"/>
        <v>0</v>
      </c>
      <c r="T31" s="22">
        <f t="shared" si="28"/>
        <v>0</v>
      </c>
      <c r="U31" s="22"/>
      <c r="V31" s="146"/>
      <c r="W31" s="146"/>
    </row>
    <row r="32" spans="3:23" ht="11.25" customHeight="1" outlineLevel="1">
      <c r="C32" s="165" t="str">
        <v/>
      </c>
      <c r="D32" s="144" t="str">
        <f t="shared" si="21"/>
        <v/>
      </c>
      <c r="E32" s="30" t="str">
        <f t="shared" si="23"/>
        <v/>
      </c>
      <c r="I32" s="22"/>
      <c r="J32" s="22">
        <f t="shared" si="28"/>
        <v>0</v>
      </c>
      <c r="K32" s="22">
        <f t="shared" si="28"/>
        <v>0</v>
      </c>
      <c r="L32" s="22">
        <f t="shared" si="28"/>
        <v>0</v>
      </c>
      <c r="M32" s="22">
        <f t="shared" si="28"/>
        <v>0</v>
      </c>
      <c r="N32" s="22">
        <f t="shared" si="28"/>
        <v>0</v>
      </c>
      <c r="O32" s="22">
        <f t="shared" si="28"/>
        <v>0</v>
      </c>
      <c r="P32" s="22">
        <f t="shared" si="28"/>
        <v>0</v>
      </c>
      <c r="Q32" s="22">
        <f t="shared" si="28"/>
        <v>0</v>
      </c>
      <c r="R32" s="22">
        <f t="shared" si="28"/>
        <v>0</v>
      </c>
      <c r="S32" s="22">
        <f t="shared" si="28"/>
        <v>0</v>
      </c>
      <c r="T32" s="22">
        <f t="shared" si="28"/>
        <v>0</v>
      </c>
      <c r="U32" s="22"/>
      <c r="V32" s="146"/>
      <c r="W32" s="146"/>
    </row>
    <row r="33" spans="1:51">
      <c r="C33" s="111"/>
      <c r="K33" s="22"/>
      <c r="L33" s="22"/>
      <c r="M33" s="22"/>
      <c r="N33" s="22"/>
      <c r="O33" s="22"/>
      <c r="P33" s="26"/>
      <c r="Q33" s="22"/>
      <c r="R33" s="22"/>
      <c r="S33" s="22"/>
      <c r="T33" s="22"/>
      <c r="U33" s="22"/>
    </row>
    <row r="34" spans="1:51" s="103" customFormat="1" ht="12.75">
      <c r="A34" s="94"/>
      <c r="B34" s="95" t="s">
        <v>77</v>
      </c>
      <c r="C34" s="94"/>
      <c r="D34" s="94"/>
      <c r="E34" s="94"/>
      <c r="F34" s="96"/>
      <c r="G34" s="96"/>
      <c r="H34" s="96"/>
      <c r="I34" s="96"/>
      <c r="J34" s="96"/>
      <c r="K34" s="97"/>
      <c r="L34" s="98"/>
      <c r="M34" s="97"/>
      <c r="N34" s="98"/>
      <c r="O34" s="97"/>
      <c r="P34" s="97"/>
      <c r="Q34" s="97"/>
      <c r="R34" s="97"/>
      <c r="S34" s="97"/>
      <c r="T34" s="97"/>
      <c r="U34" s="97"/>
      <c r="V34" s="97"/>
      <c r="W34" s="97"/>
      <c r="X34" s="98"/>
      <c r="Y34" s="99"/>
      <c r="Z34" s="99"/>
      <c r="AA34" s="99"/>
      <c r="AB34" s="99"/>
      <c r="AC34" s="99"/>
      <c r="AD34" s="99"/>
      <c r="AE34" s="99"/>
      <c r="AF34" s="100"/>
      <c r="AG34" s="101"/>
      <c r="AH34" s="101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</row>
    <row r="35" spans="1:51" ht="11.25" customHeight="1" outlineLevel="1"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</row>
    <row r="36" spans="1:51" ht="11.25" customHeight="1" outlineLevel="1">
      <c r="C36" s="67" t="s">
        <v>80</v>
      </c>
      <c r="D36" s="32" t="s">
        <v>7</v>
      </c>
      <c r="E36" s="32" t="s">
        <v>8</v>
      </c>
      <c r="J36" s="162" t="str">
        <f t="shared" ref="J36:U36" si="29">IF(YEAR(J$4)&gt;=FPFirstYear,IF(YEAR(J$4)&lt;=FPLastYear,J$4,""),"")</f>
        <v/>
      </c>
      <c r="K36" s="162" t="str">
        <f t="shared" si="29"/>
        <v/>
      </c>
      <c r="L36" s="162" t="str">
        <f t="shared" si="29"/>
        <v/>
      </c>
      <c r="M36" s="162" t="str">
        <f t="shared" si="29"/>
        <v/>
      </c>
      <c r="N36" s="162" t="str">
        <f t="shared" si="29"/>
        <v/>
      </c>
      <c r="O36" s="162" t="str">
        <f t="shared" si="29"/>
        <v/>
      </c>
      <c r="P36" s="162">
        <f t="shared" si="29"/>
        <v>44986</v>
      </c>
      <c r="Q36" s="162">
        <f t="shared" si="29"/>
        <v>45352</v>
      </c>
      <c r="R36" s="162">
        <f t="shared" si="29"/>
        <v>45717</v>
      </c>
      <c r="S36" s="162">
        <f t="shared" si="29"/>
        <v>46082</v>
      </c>
      <c r="T36" s="162">
        <f t="shared" si="29"/>
        <v>46447</v>
      </c>
      <c r="U36" s="162" t="str">
        <f t="shared" si="29"/>
        <v/>
      </c>
    </row>
    <row r="37" spans="1:51" ht="11.25" customHeight="1" outlineLevel="1">
      <c r="J37" s="110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</row>
    <row r="38" spans="1:51" ht="11.25" customHeight="1" outlineLevel="1">
      <c r="C38" s="61" t="s">
        <v>211</v>
      </c>
      <c r="D38" s="30" t="s">
        <v>102</v>
      </c>
      <c r="E38" s="30" t="str">
        <f t="shared" ref="E38:E45" si="30">percent</f>
        <v>Per cent</v>
      </c>
      <c r="J38" s="204"/>
      <c r="K38" s="152"/>
      <c r="L38" s="152"/>
      <c r="M38" s="152"/>
      <c r="N38" s="152"/>
      <c r="O38" s="152"/>
      <c r="P38" s="167">
        <v>2.67762449494668E-3</v>
      </c>
      <c r="Q38" s="167">
        <v>-1.0910287300420806E-3</v>
      </c>
      <c r="R38" s="167">
        <v>-2.1659602014118028E-3</v>
      </c>
      <c r="S38" s="167">
        <v>1.6356183342917064E-3</v>
      </c>
      <c r="T38" s="167">
        <v>3.3454337053064886E-3</v>
      </c>
      <c r="U38" s="211"/>
    </row>
    <row r="39" spans="1:51" ht="11.25" customHeight="1" outlineLevel="1">
      <c r="C39" s="223" t="s">
        <v>224</v>
      </c>
      <c r="D39" s="30" t="s">
        <v>102</v>
      </c>
      <c r="E39" s="30" t="str">
        <f t="shared" si="30"/>
        <v>Per cent</v>
      </c>
      <c r="J39" s="204"/>
      <c r="K39" s="152"/>
      <c r="L39" s="152"/>
      <c r="M39" s="152"/>
      <c r="N39" s="152"/>
      <c r="O39" s="152"/>
      <c r="P39" s="167">
        <v>1.1668455488896314E-2</v>
      </c>
      <c r="Q39" s="167">
        <v>1.1185620424801342E-2</v>
      </c>
      <c r="R39" s="167">
        <v>1.3021705466645116E-2</v>
      </c>
      <c r="S39" s="167">
        <v>1.3624259084823186E-2</v>
      </c>
      <c r="T39" s="167">
        <v>1.1652604394782582E-2</v>
      </c>
      <c r="U39" s="211"/>
    </row>
    <row r="40" spans="1:51" ht="11.25" customHeight="1" outlineLevel="1">
      <c r="C40" s="61" t="s">
        <v>123</v>
      </c>
      <c r="D40" s="30" t="s">
        <v>102</v>
      </c>
      <c r="E40" s="30" t="str">
        <f t="shared" si="30"/>
        <v>Per cent</v>
      </c>
      <c r="J40" s="204"/>
      <c r="K40" s="152"/>
      <c r="L40" s="152"/>
      <c r="M40" s="152"/>
      <c r="N40" s="152"/>
      <c r="O40" s="152"/>
      <c r="P40" s="167">
        <v>7.1730399919214972E-3</v>
      </c>
      <c r="Q40" s="167">
        <v>5.0472958473796303E-3</v>
      </c>
      <c r="R40" s="167">
        <v>5.4278726326166572E-3</v>
      </c>
      <c r="S40" s="167">
        <v>7.6299387095574468E-3</v>
      </c>
      <c r="T40" s="167">
        <v>7.4990190500445354E-3</v>
      </c>
      <c r="U40" s="211"/>
    </row>
    <row r="41" spans="1:51" ht="11.25" customHeight="1" outlineLevel="1">
      <c r="C41" s="61"/>
      <c r="D41" s="30" t="s">
        <v>102</v>
      </c>
      <c r="E41" s="30" t="str">
        <f t="shared" si="30"/>
        <v>Per cent</v>
      </c>
      <c r="J41" s="204"/>
      <c r="K41" s="152"/>
      <c r="L41" s="152"/>
      <c r="M41" s="152"/>
      <c r="N41" s="152"/>
      <c r="O41" s="152"/>
      <c r="P41" s="152"/>
      <c r="Q41" s="60"/>
      <c r="R41" s="60"/>
      <c r="S41" s="60"/>
      <c r="T41" s="211"/>
      <c r="U41" s="211"/>
      <c r="V41" s="147"/>
    </row>
    <row r="42" spans="1:51" ht="11.25" customHeight="1" outlineLevel="1">
      <c r="C42" s="61"/>
      <c r="D42" s="30" t="s">
        <v>102</v>
      </c>
      <c r="E42" s="30" t="str">
        <f t="shared" si="30"/>
        <v>Per cent</v>
      </c>
      <c r="J42" s="204"/>
      <c r="K42" s="152"/>
      <c r="L42" s="152"/>
      <c r="M42" s="152"/>
      <c r="N42" s="152"/>
      <c r="O42" s="152"/>
      <c r="P42" s="152"/>
      <c r="Q42" s="60"/>
      <c r="R42" s="60"/>
      <c r="S42" s="60"/>
      <c r="T42" s="211"/>
      <c r="U42" s="211"/>
    </row>
    <row r="43" spans="1:51" ht="11.25" customHeight="1" outlineLevel="1">
      <c r="C43" s="61"/>
      <c r="D43" s="30" t="s">
        <v>102</v>
      </c>
      <c r="E43" s="30" t="str">
        <f t="shared" si="30"/>
        <v>Per cent</v>
      </c>
      <c r="J43" s="204"/>
      <c r="K43" s="152"/>
      <c r="L43" s="152"/>
      <c r="M43" s="152"/>
      <c r="N43" s="152"/>
      <c r="O43" s="152"/>
      <c r="P43" s="152"/>
      <c r="Q43" s="60"/>
      <c r="R43" s="60"/>
      <c r="S43" s="60"/>
      <c r="T43" s="211"/>
      <c r="U43" s="211"/>
    </row>
    <row r="44" spans="1:51" ht="11.25" customHeight="1" outlineLevel="1">
      <c r="C44" s="61"/>
      <c r="D44" s="30" t="s">
        <v>102</v>
      </c>
      <c r="E44" s="30" t="str">
        <f t="shared" si="30"/>
        <v>Per cent</v>
      </c>
      <c r="J44" s="204"/>
      <c r="K44" s="152"/>
      <c r="L44" s="152"/>
      <c r="M44" s="152"/>
      <c r="N44" s="152"/>
      <c r="O44" s="152"/>
      <c r="P44" s="152"/>
      <c r="Q44" s="60"/>
      <c r="R44" s="60"/>
      <c r="S44" s="60"/>
      <c r="T44" s="211"/>
      <c r="U44" s="211"/>
    </row>
    <row r="45" spans="1:51" ht="11.25" customHeight="1" outlineLevel="1">
      <c r="C45" s="61" t="s">
        <v>81</v>
      </c>
      <c r="D45" s="30" t="s">
        <v>102</v>
      </c>
      <c r="E45" s="30" t="str">
        <f t="shared" si="30"/>
        <v>Per cent</v>
      </c>
      <c r="J45" s="204"/>
      <c r="K45" s="152"/>
      <c r="L45" s="152"/>
      <c r="M45" s="152"/>
      <c r="N45" s="152"/>
      <c r="O45" s="152"/>
      <c r="P45" s="60">
        <v>0</v>
      </c>
      <c r="Q45" s="60">
        <v>0</v>
      </c>
      <c r="R45" s="60">
        <v>0</v>
      </c>
      <c r="S45" s="60">
        <v>0</v>
      </c>
      <c r="T45" s="211">
        <v>0</v>
      </c>
      <c r="U45" s="211"/>
    </row>
    <row r="46" spans="1:51" ht="11.25" customHeight="1" outlineLevel="1"/>
    <row r="47" spans="1:51" ht="11.25" customHeight="1" outlineLevel="1">
      <c r="C47" s="29" t="s">
        <v>40</v>
      </c>
      <c r="D47" s="30" t="s">
        <v>99</v>
      </c>
      <c r="E47" s="30" t="s">
        <v>28</v>
      </c>
      <c r="F47" s="30" t="s">
        <v>36</v>
      </c>
      <c r="J47" s="132" t="str">
        <f t="shared" ref="J47:S47" si="31">IF(J36=J4,IF(COUNTA($C38:$C45)=COUNT(J38:J45),"Ok","Check"),"")</f>
        <v/>
      </c>
      <c r="K47" s="132" t="str">
        <f t="shared" si="31"/>
        <v/>
      </c>
      <c r="L47" s="132" t="str">
        <f t="shared" si="31"/>
        <v/>
      </c>
      <c r="M47" s="132" t="str">
        <f t="shared" si="31"/>
        <v/>
      </c>
      <c r="N47" s="132" t="str">
        <f t="shared" si="31"/>
        <v/>
      </c>
      <c r="O47" s="132" t="str">
        <f t="shared" si="31"/>
        <v/>
      </c>
      <c r="P47" s="132" t="str">
        <f t="shared" si="31"/>
        <v>Ok</v>
      </c>
      <c r="Q47" s="132" t="str">
        <f t="shared" si="31"/>
        <v>Ok</v>
      </c>
      <c r="R47" s="132" t="str">
        <f t="shared" si="31"/>
        <v>Ok</v>
      </c>
      <c r="S47" s="132" t="str">
        <f t="shared" si="31"/>
        <v>Ok</v>
      </c>
      <c r="T47" s="132" t="str">
        <f>IF(T36=T4,IF(COUNTA($C38:$C45)=COUNT(T38:T45),"Ok","Check"),"")</f>
        <v>Ok</v>
      </c>
      <c r="U47" s="132" t="str">
        <f>IF(U36=U4,IF(COUNTA($C38:$C45)=COUNT(U38:U45),"Ok","Check"),"")</f>
        <v/>
      </c>
      <c r="V47" s="24"/>
      <c r="X47" s="131" t="str">
        <f>IF(COUNTIF(J47:U47,"Check")=0,"Ok","Check")</f>
        <v>Ok</v>
      </c>
    </row>
    <row r="48" spans="1:51" ht="11.25" customHeight="1" outlineLevel="1"/>
    <row r="49" spans="1:51" ht="11.25" customHeight="1" outlineLevel="1">
      <c r="C49" s="67" t="s">
        <v>43</v>
      </c>
      <c r="D49" s="32" t="s">
        <v>7</v>
      </c>
      <c r="E49" s="32" t="s">
        <v>8</v>
      </c>
      <c r="J49" s="162" t="str">
        <f t="shared" ref="J49:U49" si="32">IF(YEAR(J$4)&gt;=FPFirstYear,IF(YEAR(J$4)&lt;=FPLastYear,J$4,""),"")</f>
        <v/>
      </c>
      <c r="K49" s="162" t="str">
        <f t="shared" si="32"/>
        <v/>
      </c>
      <c r="L49" s="162" t="str">
        <f t="shared" si="32"/>
        <v/>
      </c>
      <c r="M49" s="162" t="str">
        <f t="shared" si="32"/>
        <v/>
      </c>
      <c r="N49" s="162" t="str">
        <f t="shared" si="32"/>
        <v/>
      </c>
      <c r="O49" s="162" t="str">
        <f t="shared" si="32"/>
        <v/>
      </c>
      <c r="P49" s="162">
        <f t="shared" si="32"/>
        <v>44986</v>
      </c>
      <c r="Q49" s="162">
        <f t="shared" si="32"/>
        <v>45352</v>
      </c>
      <c r="R49" s="162">
        <f t="shared" si="32"/>
        <v>45717</v>
      </c>
      <c r="S49" s="162">
        <f t="shared" si="32"/>
        <v>46082</v>
      </c>
      <c r="T49" s="162">
        <f t="shared" si="32"/>
        <v>46447</v>
      </c>
      <c r="U49" s="162" t="str">
        <f t="shared" si="32"/>
        <v/>
      </c>
    </row>
    <row r="50" spans="1:51" ht="11.25" customHeight="1" outlineLevel="1"/>
    <row r="51" spans="1:51" ht="11.25" customHeight="1" outlineLevel="1">
      <c r="C51" s="148" t="str">
        <f t="shared" ref="C51:C58" si="33">C38</f>
        <v>WPI - DAE + 0.5% super guarantee</v>
      </c>
      <c r="D51" s="30" t="s">
        <v>102</v>
      </c>
      <c r="E51" s="30" t="str">
        <f t="shared" ref="E51:E58" si="34">percent</f>
        <v>Per cent</v>
      </c>
      <c r="J51" s="204"/>
      <c r="K51" s="152"/>
      <c r="L51" s="152"/>
      <c r="M51" s="152"/>
      <c r="N51" s="152"/>
      <c r="O51" s="152"/>
      <c r="P51" s="60"/>
      <c r="Q51" s="60"/>
      <c r="R51" s="60"/>
      <c r="S51" s="60"/>
      <c r="T51" s="60"/>
    </row>
    <row r="52" spans="1:51" ht="11.25" customHeight="1" outlineLevel="1">
      <c r="C52" s="148" t="str">
        <f t="shared" si="33"/>
        <v>WPI - BIS Oxford</v>
      </c>
      <c r="D52" s="30" t="s">
        <v>102</v>
      </c>
      <c r="E52" s="30" t="str">
        <f t="shared" si="34"/>
        <v>Per cent</v>
      </c>
      <c r="J52" s="204"/>
      <c r="K52" s="152"/>
      <c r="L52" s="152"/>
      <c r="M52" s="152"/>
      <c r="N52" s="152"/>
      <c r="O52" s="152"/>
      <c r="P52" s="152"/>
      <c r="Q52" s="60"/>
      <c r="R52" s="60"/>
      <c r="S52" s="60"/>
      <c r="T52" s="60"/>
    </row>
    <row r="53" spans="1:51" ht="11.25" customHeight="1" outlineLevel="1">
      <c r="C53" s="148" t="str">
        <f t="shared" si="33"/>
        <v>WPI - average of DAE and CIE</v>
      </c>
      <c r="D53" s="30" t="s">
        <v>102</v>
      </c>
      <c r="E53" s="30" t="str">
        <f t="shared" si="34"/>
        <v>Per cent</v>
      </c>
      <c r="J53" s="204"/>
      <c r="K53" s="152"/>
      <c r="L53" s="152"/>
      <c r="M53" s="152"/>
      <c r="N53" s="152"/>
      <c r="O53" s="152"/>
      <c r="P53" s="60">
        <v>0.70399999999999996</v>
      </c>
      <c r="Q53" s="60">
        <v>0.70399999999999996</v>
      </c>
      <c r="R53" s="60">
        <v>0.70399999999999996</v>
      </c>
      <c r="S53" s="60">
        <v>0.70399999999999996</v>
      </c>
      <c r="T53" s="60">
        <v>0.70399999999999996</v>
      </c>
    </row>
    <row r="54" spans="1:51" ht="11.25" customHeight="1" outlineLevel="1">
      <c r="C54" s="148">
        <f t="shared" si="33"/>
        <v>0</v>
      </c>
      <c r="D54" s="30" t="s">
        <v>102</v>
      </c>
      <c r="E54" s="30" t="str">
        <f t="shared" si="34"/>
        <v>Per cent</v>
      </c>
      <c r="J54" s="204"/>
      <c r="K54" s="152"/>
      <c r="L54" s="152"/>
      <c r="M54" s="152"/>
      <c r="N54" s="152"/>
      <c r="O54" s="152"/>
      <c r="P54" s="152"/>
      <c r="Q54" s="152"/>
      <c r="R54" s="152"/>
      <c r="S54" s="152"/>
      <c r="T54" s="152"/>
      <c r="V54" s="147"/>
    </row>
    <row r="55" spans="1:51" ht="11.25" customHeight="1" outlineLevel="1">
      <c r="C55" s="148">
        <f t="shared" si="33"/>
        <v>0</v>
      </c>
      <c r="D55" s="30" t="s">
        <v>102</v>
      </c>
      <c r="E55" s="30" t="str">
        <f t="shared" si="34"/>
        <v>Per cent</v>
      </c>
      <c r="J55" s="204"/>
      <c r="K55" s="152"/>
      <c r="L55" s="152"/>
      <c r="M55" s="152"/>
      <c r="N55" s="152"/>
      <c r="O55" s="152"/>
      <c r="P55" s="152"/>
      <c r="Q55" s="152"/>
      <c r="R55" s="152"/>
      <c r="S55" s="152"/>
      <c r="T55" s="152"/>
    </row>
    <row r="56" spans="1:51" ht="11.25" customHeight="1" outlineLevel="1">
      <c r="C56" s="148">
        <f t="shared" si="33"/>
        <v>0</v>
      </c>
      <c r="D56" s="30" t="s">
        <v>102</v>
      </c>
      <c r="E56" s="30" t="str">
        <f t="shared" si="34"/>
        <v>Per cent</v>
      </c>
      <c r="J56" s="204"/>
      <c r="K56" s="152"/>
      <c r="L56" s="152"/>
      <c r="M56" s="152"/>
      <c r="N56" s="152"/>
      <c r="O56" s="152"/>
      <c r="P56" s="152"/>
      <c r="Q56" s="152"/>
      <c r="R56" s="152"/>
      <c r="S56" s="152"/>
      <c r="T56" s="152"/>
    </row>
    <row r="57" spans="1:51" ht="11.25" customHeight="1" outlineLevel="1">
      <c r="C57" s="148">
        <f t="shared" si="33"/>
        <v>0</v>
      </c>
      <c r="D57" s="30" t="s">
        <v>102</v>
      </c>
      <c r="E57" s="30" t="str">
        <f t="shared" si="34"/>
        <v>Per cent</v>
      </c>
      <c r="J57" s="204"/>
      <c r="K57" s="152"/>
      <c r="L57" s="152"/>
      <c r="M57" s="152"/>
      <c r="N57" s="152"/>
      <c r="O57" s="152"/>
      <c r="P57" s="152"/>
      <c r="Q57" s="152"/>
      <c r="R57" s="152"/>
      <c r="S57" s="152"/>
      <c r="T57" s="152"/>
    </row>
    <row r="58" spans="1:51" ht="11.25" customHeight="1" outlineLevel="1">
      <c r="C58" s="148" t="str">
        <f t="shared" si="33"/>
        <v>CPI</v>
      </c>
      <c r="D58" s="30" t="s">
        <v>102</v>
      </c>
      <c r="E58" s="30" t="str">
        <f t="shared" si="34"/>
        <v>Per cent</v>
      </c>
      <c r="J58" s="204"/>
      <c r="K58" s="152"/>
      <c r="L58" s="152"/>
      <c r="M58" s="152"/>
      <c r="N58" s="152"/>
      <c r="O58" s="152"/>
      <c r="P58" s="60">
        <v>0.29600000000000004</v>
      </c>
      <c r="Q58" s="60">
        <v>0.29600000000000004</v>
      </c>
      <c r="R58" s="60">
        <v>0.29600000000000004</v>
      </c>
      <c r="S58" s="60">
        <v>0.29600000000000004</v>
      </c>
      <c r="T58" s="60">
        <v>0.29600000000000004</v>
      </c>
    </row>
    <row r="59" spans="1:51" ht="11.25" customHeight="1" outlineLevel="1"/>
    <row r="60" spans="1:51" outlineLevel="1">
      <c r="C60" s="29" t="s">
        <v>40</v>
      </c>
      <c r="D60" s="30" t="s">
        <v>99</v>
      </c>
      <c r="E60" s="30" t="s">
        <v>28</v>
      </c>
      <c r="F60" s="30" t="s">
        <v>36</v>
      </c>
      <c r="J60" s="132" t="str">
        <f t="shared" ref="J60:S60" si="35">IF(J49=J$4,IF(SUM(J51:J58)=1,"Ok","Check"),"")</f>
        <v/>
      </c>
      <c r="K60" s="132" t="str">
        <f t="shared" si="35"/>
        <v/>
      </c>
      <c r="L60" s="132" t="str">
        <f t="shared" si="35"/>
        <v/>
      </c>
      <c r="M60" s="132" t="str">
        <f t="shared" si="35"/>
        <v/>
      </c>
      <c r="N60" s="132" t="str">
        <f t="shared" si="35"/>
        <v/>
      </c>
      <c r="O60" s="132" t="str">
        <f t="shared" si="35"/>
        <v/>
      </c>
      <c r="P60" s="132" t="str">
        <f t="shared" si="35"/>
        <v>Ok</v>
      </c>
      <c r="Q60" s="132" t="str">
        <f t="shared" si="35"/>
        <v>Ok</v>
      </c>
      <c r="R60" s="132" t="str">
        <f t="shared" si="35"/>
        <v>Ok</v>
      </c>
      <c r="S60" s="132" t="str">
        <f t="shared" si="35"/>
        <v>Ok</v>
      </c>
      <c r="T60" s="132" t="str">
        <f>IF(T49=T$4,IF(SUM(T51:T58)=1,"Ok","Check"),"")</f>
        <v>Ok</v>
      </c>
      <c r="V60" s="24"/>
      <c r="X60" s="131" t="str">
        <f>IF(COUNTIF(J60:U60,"Check")=0,"Ok","Check")</f>
        <v>Ok</v>
      </c>
    </row>
    <row r="61" spans="1:51"/>
    <row r="62" spans="1:51" s="103" customFormat="1" ht="12.75">
      <c r="A62" s="94"/>
      <c r="B62" s="95" t="s">
        <v>84</v>
      </c>
      <c r="C62" s="94"/>
      <c r="D62" s="94"/>
      <c r="E62" s="94"/>
      <c r="F62" s="96"/>
      <c r="G62" s="96"/>
      <c r="H62" s="96"/>
      <c r="I62" s="96"/>
      <c r="J62" s="96"/>
      <c r="K62" s="97"/>
      <c r="L62" s="98"/>
      <c r="M62" s="97"/>
      <c r="N62" s="98"/>
      <c r="O62" s="97"/>
      <c r="P62" s="97"/>
      <c r="Q62" s="97"/>
      <c r="R62" s="97"/>
      <c r="S62" s="97"/>
      <c r="T62" s="97"/>
      <c r="U62" s="97"/>
      <c r="V62" s="97"/>
      <c r="W62" s="97"/>
      <c r="X62" s="98"/>
      <c r="Y62" s="99"/>
      <c r="Z62" s="99"/>
      <c r="AA62" s="99"/>
      <c r="AB62" s="99"/>
      <c r="AC62" s="99"/>
      <c r="AD62" s="99"/>
      <c r="AE62" s="99"/>
      <c r="AF62" s="100"/>
      <c r="AG62" s="101"/>
      <c r="AH62" s="101"/>
      <c r="AI62" s="102"/>
      <c r="AJ62" s="102"/>
      <c r="AK62" s="102"/>
      <c r="AL62" s="102"/>
      <c r="AM62" s="102"/>
      <c r="AN62" s="102"/>
      <c r="AO62" s="102"/>
      <c r="AP62" s="102"/>
      <c r="AQ62" s="102"/>
      <c r="AR62" s="102"/>
      <c r="AS62" s="102"/>
      <c r="AT62" s="102"/>
      <c r="AU62" s="102"/>
      <c r="AV62" s="102"/>
      <c r="AW62" s="102"/>
      <c r="AX62" s="102"/>
      <c r="AY62" s="102"/>
    </row>
    <row r="63" spans="1:51" outlineLevel="1">
      <c r="G63" s="32"/>
      <c r="H63" s="32"/>
    </row>
    <row r="64" spans="1:51" outlineLevel="1">
      <c r="C64" s="67" t="s">
        <v>85</v>
      </c>
      <c r="D64" s="32" t="s">
        <v>7</v>
      </c>
      <c r="E64" s="32" t="s">
        <v>8</v>
      </c>
      <c r="F64" s="32" t="s">
        <v>22</v>
      </c>
      <c r="G64" s="32"/>
      <c r="H64" s="32"/>
      <c r="J64" s="162" t="str">
        <f t="shared" ref="J64:U64" si="36">IF(YEAR(J$4)&gt;=PPLastYear,IF(YEAR(J$4)&lt;=FPLastYear,J$4,""),"")</f>
        <v/>
      </c>
      <c r="K64" s="162" t="str">
        <f t="shared" si="36"/>
        <v/>
      </c>
      <c r="L64" s="162" t="str">
        <f t="shared" si="36"/>
        <v/>
      </c>
      <c r="M64" s="162" t="str">
        <f t="shared" si="36"/>
        <v/>
      </c>
      <c r="N64" s="162" t="str">
        <f t="shared" si="36"/>
        <v/>
      </c>
      <c r="O64" s="162">
        <f t="shared" si="36"/>
        <v>44621</v>
      </c>
      <c r="P64" s="162">
        <f t="shared" si="36"/>
        <v>44986</v>
      </c>
      <c r="Q64" s="162">
        <f t="shared" si="36"/>
        <v>45352</v>
      </c>
      <c r="R64" s="162">
        <f t="shared" si="36"/>
        <v>45717</v>
      </c>
      <c r="S64" s="162">
        <f t="shared" si="36"/>
        <v>46082</v>
      </c>
      <c r="T64" s="162">
        <f t="shared" si="36"/>
        <v>46447</v>
      </c>
      <c r="U64" s="162" t="str">
        <f t="shared" si="36"/>
        <v/>
      </c>
    </row>
    <row r="65" spans="3:24" outlineLevel="1">
      <c r="C65" s="111"/>
      <c r="G65" s="32"/>
      <c r="H65" s="32"/>
      <c r="K65" s="23"/>
      <c r="L65" s="23"/>
      <c r="M65" s="23"/>
      <c r="N65" s="23"/>
      <c r="O65" s="23"/>
    </row>
    <row r="66" spans="3:24" outlineLevel="1">
      <c r="C66" s="61"/>
      <c r="D66" s="30" t="s">
        <v>102</v>
      </c>
      <c r="E66" s="30" t="s">
        <v>18</v>
      </c>
      <c r="F66" s="30" t="s">
        <v>36</v>
      </c>
      <c r="G66" s="32"/>
      <c r="H66" s="32"/>
      <c r="J66" s="204"/>
      <c r="K66" s="195"/>
      <c r="L66" s="195"/>
      <c r="M66" s="195"/>
      <c r="N66" s="195"/>
      <c r="O66" s="196"/>
      <c r="P66" s="196"/>
      <c r="Q66" s="196"/>
      <c r="R66" s="196"/>
      <c r="S66" s="196"/>
      <c r="T66" s="196"/>
    </row>
    <row r="67" spans="3:24" outlineLevel="1">
      <c r="C67" s="61"/>
      <c r="D67" s="30" t="s">
        <v>102</v>
      </c>
      <c r="E67" s="30" t="s">
        <v>18</v>
      </c>
      <c r="F67" s="30" t="s">
        <v>36</v>
      </c>
      <c r="G67" s="32"/>
      <c r="H67" s="32"/>
      <c r="J67" s="204"/>
      <c r="K67" s="195"/>
      <c r="L67" s="195"/>
      <c r="M67" s="195"/>
      <c r="N67" s="195"/>
      <c r="O67" s="196"/>
      <c r="P67" s="196"/>
      <c r="Q67" s="196"/>
      <c r="R67" s="196"/>
      <c r="S67" s="196"/>
      <c r="T67" s="196"/>
    </row>
    <row r="68" spans="3:24" outlineLevel="1">
      <c r="C68" s="61"/>
      <c r="D68" s="30" t="s">
        <v>102</v>
      </c>
      <c r="E68" s="30" t="s">
        <v>18</v>
      </c>
      <c r="F68" s="30" t="s">
        <v>36</v>
      </c>
      <c r="G68" s="32"/>
      <c r="H68" s="32"/>
      <c r="J68" s="204"/>
      <c r="K68" s="195"/>
      <c r="L68" s="195"/>
      <c r="M68" s="195"/>
      <c r="N68" s="195"/>
      <c r="O68" s="196"/>
      <c r="P68" s="196"/>
      <c r="Q68" s="196"/>
      <c r="R68" s="196"/>
      <c r="S68" s="196"/>
      <c r="T68" s="196"/>
    </row>
    <row r="69" spans="3:24" outlineLevel="1">
      <c r="C69" s="61"/>
      <c r="D69" s="30" t="s">
        <v>102</v>
      </c>
      <c r="E69" s="30" t="s">
        <v>18</v>
      </c>
      <c r="F69" s="30" t="s">
        <v>36</v>
      </c>
      <c r="G69" s="32"/>
      <c r="H69" s="32"/>
      <c r="J69" s="204"/>
      <c r="K69" s="195"/>
      <c r="L69" s="195"/>
      <c r="M69" s="195"/>
      <c r="N69" s="195"/>
      <c r="O69" s="196"/>
      <c r="P69" s="196"/>
      <c r="Q69" s="196"/>
      <c r="R69" s="196"/>
      <c r="S69" s="196"/>
      <c r="T69" s="196"/>
      <c r="U69" s="196"/>
    </row>
    <row r="70" spans="3:24" outlineLevel="1">
      <c r="C70" s="61"/>
      <c r="D70" s="30" t="s">
        <v>102</v>
      </c>
      <c r="E70" s="30" t="s">
        <v>18</v>
      </c>
      <c r="F70" s="30" t="s">
        <v>36</v>
      </c>
      <c r="G70" s="32"/>
      <c r="H70" s="32"/>
      <c r="J70" s="204"/>
      <c r="K70" s="195"/>
      <c r="L70" s="195"/>
      <c r="M70" s="195"/>
      <c r="N70" s="195"/>
      <c r="O70" s="196"/>
      <c r="P70" s="196"/>
      <c r="Q70" s="196"/>
      <c r="R70" s="196"/>
      <c r="S70" s="196"/>
      <c r="T70" s="196"/>
      <c r="U70" s="196"/>
    </row>
    <row r="71" spans="3:24" outlineLevel="1">
      <c r="C71" s="61"/>
      <c r="D71" s="30" t="s">
        <v>102</v>
      </c>
      <c r="E71" s="30" t="s">
        <v>18</v>
      </c>
      <c r="F71" s="30" t="s">
        <v>36</v>
      </c>
      <c r="G71" s="32"/>
      <c r="H71" s="32"/>
      <c r="J71" s="204"/>
      <c r="K71" s="195"/>
      <c r="L71" s="195"/>
      <c r="M71" s="195"/>
      <c r="N71" s="195"/>
      <c r="O71" s="196"/>
      <c r="P71" s="196"/>
      <c r="Q71" s="196"/>
      <c r="R71" s="196"/>
      <c r="S71" s="196"/>
      <c r="T71" s="196"/>
      <c r="U71" s="196"/>
    </row>
    <row r="72" spans="3:24" outlineLevel="1">
      <c r="C72" s="111"/>
      <c r="G72" s="32"/>
      <c r="H72" s="32"/>
      <c r="K72" s="23"/>
      <c r="L72" s="23"/>
      <c r="M72" s="23"/>
      <c r="N72" s="23"/>
      <c r="O72" s="23"/>
    </row>
    <row r="73" spans="3:24" outlineLevel="1">
      <c r="C73" s="29" t="s">
        <v>40</v>
      </c>
      <c r="D73" s="30" t="s">
        <v>99</v>
      </c>
      <c r="E73" s="30" t="s">
        <v>28</v>
      </c>
      <c r="F73" s="30" t="s">
        <v>36</v>
      </c>
      <c r="J73" s="132" t="str">
        <f t="shared" ref="J73:S73" si="37">IF(J64=J$4,IF(COUNTA($C66:$C71)=COUNT(J66:J71),"Ok","Check"),"")</f>
        <v/>
      </c>
      <c r="K73" s="132" t="str">
        <f t="shared" si="37"/>
        <v/>
      </c>
      <c r="L73" s="132" t="str">
        <f t="shared" si="37"/>
        <v/>
      </c>
      <c r="M73" s="132" t="str">
        <f t="shared" si="37"/>
        <v/>
      </c>
      <c r="N73" s="132" t="str">
        <f t="shared" si="37"/>
        <v/>
      </c>
      <c r="O73" s="132" t="str">
        <f t="shared" si="37"/>
        <v>Ok</v>
      </c>
      <c r="P73" s="132" t="str">
        <f t="shared" si="37"/>
        <v>Ok</v>
      </c>
      <c r="Q73" s="132" t="str">
        <f t="shared" si="37"/>
        <v>Ok</v>
      </c>
      <c r="R73" s="132" t="str">
        <f t="shared" si="37"/>
        <v>Ok</v>
      </c>
      <c r="S73" s="132" t="str">
        <f t="shared" si="37"/>
        <v>Ok</v>
      </c>
      <c r="T73" s="132" t="str">
        <f>IF(T64=T$4,IF(COUNTA($C66:$C71)=COUNT(T66:T71),"Ok","Check"),"")</f>
        <v>Ok</v>
      </c>
      <c r="U73" s="132" t="str">
        <f>IF(U64=U$4,IF(COUNTA($C66:$C71)=COUNT(U66:U71),"Ok","Check"),"")</f>
        <v/>
      </c>
      <c r="V73" s="24"/>
      <c r="X73" s="131" t="str">
        <f>IF(COUNTIF(J73:U73,"Check")=0,"Ok","Check")</f>
        <v>Ok</v>
      </c>
    </row>
    <row r="74" spans="3:24" outlineLevel="1">
      <c r="C74" s="111"/>
      <c r="G74" s="32"/>
      <c r="H74" s="32"/>
      <c r="K74" s="23"/>
      <c r="L74" s="23"/>
      <c r="M74" s="23"/>
      <c r="N74" s="23"/>
      <c r="O74" s="23"/>
    </row>
    <row r="75" spans="3:24" outlineLevel="1">
      <c r="C75" s="67" t="s">
        <v>88</v>
      </c>
      <c r="D75" s="32" t="s">
        <v>7</v>
      </c>
      <c r="E75" s="32" t="s">
        <v>8</v>
      </c>
      <c r="F75" s="32" t="s">
        <v>22</v>
      </c>
      <c r="G75" s="32"/>
      <c r="H75" s="32"/>
      <c r="J75" s="162" t="str">
        <f t="shared" ref="J75:U75" si="38">IF(YEAR(J$4)&gt;=FPFirstYear,IF(YEAR(J$4)&lt;=FPLastYear,J$4,""),"")</f>
        <v/>
      </c>
      <c r="K75" s="162" t="str">
        <f t="shared" si="38"/>
        <v/>
      </c>
      <c r="L75" s="162" t="str">
        <f t="shared" si="38"/>
        <v/>
      </c>
      <c r="M75" s="162" t="str">
        <f t="shared" si="38"/>
        <v/>
      </c>
      <c r="N75" s="162" t="str">
        <f t="shared" si="38"/>
        <v/>
      </c>
      <c r="O75" s="162" t="str">
        <f t="shared" si="38"/>
        <v/>
      </c>
      <c r="P75" s="162">
        <f t="shared" si="38"/>
        <v>44986</v>
      </c>
      <c r="Q75" s="162">
        <f t="shared" si="38"/>
        <v>45352</v>
      </c>
      <c r="R75" s="162">
        <f t="shared" si="38"/>
        <v>45717</v>
      </c>
      <c r="S75" s="162">
        <f t="shared" si="38"/>
        <v>46082</v>
      </c>
      <c r="T75" s="162">
        <f t="shared" si="38"/>
        <v>46447</v>
      </c>
      <c r="U75" s="162" t="str">
        <f t="shared" si="38"/>
        <v/>
      </c>
      <c r="V75" s="29" t="str">
        <f>IF(RIGHT(V$4,2)&gt;=RIGHT('Input|General'!$G$13,2),IF(RIGHT(V$4,2)&lt;='Input|General'!$G$14,'Input|Reported opex'!U$4,""),"")</f>
        <v/>
      </c>
    </row>
    <row r="76" spans="3:24" outlineLevel="1">
      <c r="C76" s="111"/>
      <c r="G76" s="32"/>
      <c r="H76" s="32"/>
      <c r="K76" s="23"/>
      <c r="L76" s="23"/>
      <c r="M76" s="23"/>
      <c r="N76" s="23"/>
      <c r="O76" s="23"/>
    </row>
    <row r="77" spans="3:24" outlineLevel="1">
      <c r="C77" s="148">
        <f>C66</f>
        <v>0</v>
      </c>
      <c r="D77" s="30" t="s">
        <v>99</v>
      </c>
      <c r="E77" s="30" t="s">
        <v>18</v>
      </c>
      <c r="F77" s="30" t="s">
        <v>36</v>
      </c>
      <c r="G77" s="32"/>
      <c r="H77" s="32"/>
      <c r="J77" s="117" t="str">
        <f t="shared" ref="J77:M77" si="39">IF(ISBLANK(I66),"",IF(ISBLANK(J66),"",LN(J66)-LN(I66)))</f>
        <v/>
      </c>
      <c r="K77" s="117" t="str">
        <f t="shared" si="39"/>
        <v/>
      </c>
      <c r="L77" s="117" t="str">
        <f t="shared" si="39"/>
        <v/>
      </c>
      <c r="M77" s="117" t="str">
        <f t="shared" si="39"/>
        <v/>
      </c>
      <c r="N77" s="117" t="str">
        <f>IF(ISBLANK(M66),"",IF(ISBLANK(N66),"",LN(N66)-LN(M66)))</f>
        <v/>
      </c>
      <c r="O77" s="117" t="str">
        <f t="shared" ref="O77:U77" si="40">IF(ISBLANK(N66),"",IF(ISBLANK(O66),"",LN(O66)-LN(N66)))</f>
        <v/>
      </c>
      <c r="P77" s="117" t="str">
        <f t="shared" si="40"/>
        <v/>
      </c>
      <c r="Q77" s="117" t="str">
        <f t="shared" si="40"/>
        <v/>
      </c>
      <c r="R77" s="117" t="str">
        <f t="shared" si="40"/>
        <v/>
      </c>
      <c r="S77" s="117" t="str">
        <f t="shared" si="40"/>
        <v/>
      </c>
      <c r="T77" s="117" t="str">
        <f t="shared" si="40"/>
        <v/>
      </c>
      <c r="U77" s="117" t="str">
        <f t="shared" si="40"/>
        <v/>
      </c>
    </row>
    <row r="78" spans="3:24" outlineLevel="1">
      <c r="C78" s="148">
        <f t="shared" ref="C78:C82" si="41">C67</f>
        <v>0</v>
      </c>
      <c r="D78" s="30" t="s">
        <v>99</v>
      </c>
      <c r="E78" s="30" t="s">
        <v>18</v>
      </c>
      <c r="F78" s="30" t="s">
        <v>36</v>
      </c>
      <c r="G78" s="32"/>
      <c r="H78" s="32"/>
      <c r="J78" s="117" t="str">
        <f t="shared" ref="J78:U78" si="42">IF(ISBLANK(I67),"",IF(ISBLANK(J67),"",LN(J67)-LN(I67)))</f>
        <v/>
      </c>
      <c r="K78" s="117" t="str">
        <f t="shared" si="42"/>
        <v/>
      </c>
      <c r="L78" s="117" t="str">
        <f t="shared" si="42"/>
        <v/>
      </c>
      <c r="M78" s="117" t="str">
        <f t="shared" si="42"/>
        <v/>
      </c>
      <c r="N78" s="117" t="str">
        <f t="shared" si="42"/>
        <v/>
      </c>
      <c r="O78" s="117" t="str">
        <f t="shared" si="42"/>
        <v/>
      </c>
      <c r="P78" s="117" t="str">
        <f t="shared" si="42"/>
        <v/>
      </c>
      <c r="Q78" s="117" t="str">
        <f t="shared" si="42"/>
        <v/>
      </c>
      <c r="R78" s="117" t="str">
        <f t="shared" si="42"/>
        <v/>
      </c>
      <c r="S78" s="117" t="str">
        <f t="shared" si="42"/>
        <v/>
      </c>
      <c r="T78" s="117" t="str">
        <f t="shared" si="42"/>
        <v/>
      </c>
      <c r="U78" s="117" t="str">
        <f t="shared" si="42"/>
        <v/>
      </c>
    </row>
    <row r="79" spans="3:24" outlineLevel="1">
      <c r="C79" s="148">
        <f t="shared" si="41"/>
        <v>0</v>
      </c>
      <c r="D79" s="30" t="s">
        <v>99</v>
      </c>
      <c r="E79" s="30" t="s">
        <v>18</v>
      </c>
      <c r="F79" s="30" t="s">
        <v>36</v>
      </c>
      <c r="G79" s="32"/>
      <c r="H79" s="32"/>
      <c r="J79" s="117" t="str">
        <f t="shared" ref="J79:U79" si="43">IF(ISBLANK(I68),"",IF(ISBLANK(J68),"",LN(J68)-LN(I68)))</f>
        <v/>
      </c>
      <c r="K79" s="117" t="str">
        <f t="shared" si="43"/>
        <v/>
      </c>
      <c r="L79" s="117" t="str">
        <f t="shared" si="43"/>
        <v/>
      </c>
      <c r="M79" s="117" t="str">
        <f t="shared" si="43"/>
        <v/>
      </c>
      <c r="N79" s="117" t="str">
        <f t="shared" si="43"/>
        <v/>
      </c>
      <c r="O79" s="117" t="str">
        <f t="shared" si="43"/>
        <v/>
      </c>
      <c r="P79" s="117" t="str">
        <f t="shared" si="43"/>
        <v/>
      </c>
      <c r="Q79" s="117" t="str">
        <f t="shared" si="43"/>
        <v/>
      </c>
      <c r="R79" s="117" t="str">
        <f t="shared" si="43"/>
        <v/>
      </c>
      <c r="S79" s="117" t="str">
        <f t="shared" si="43"/>
        <v/>
      </c>
      <c r="T79" s="117" t="str">
        <f t="shared" si="43"/>
        <v/>
      </c>
      <c r="U79" s="117" t="str">
        <f t="shared" si="43"/>
        <v/>
      </c>
    </row>
    <row r="80" spans="3:24" outlineLevel="1">
      <c r="C80" s="148">
        <f t="shared" si="41"/>
        <v>0</v>
      </c>
      <c r="D80" s="30" t="s">
        <v>99</v>
      </c>
      <c r="E80" s="30" t="s">
        <v>18</v>
      </c>
      <c r="F80" s="30" t="s">
        <v>36</v>
      </c>
      <c r="G80" s="32"/>
      <c r="H80" s="32"/>
      <c r="J80" s="117" t="str">
        <f t="shared" ref="J80:U80" si="44">IF(ISBLANK(I69),"",IF(ISBLANK(J69),"",LN(J69)-LN(I69)))</f>
        <v/>
      </c>
      <c r="K80" s="117" t="str">
        <f t="shared" si="44"/>
        <v/>
      </c>
      <c r="L80" s="117" t="str">
        <f t="shared" si="44"/>
        <v/>
      </c>
      <c r="M80" s="117" t="str">
        <f t="shared" si="44"/>
        <v/>
      </c>
      <c r="N80" s="117" t="str">
        <f t="shared" si="44"/>
        <v/>
      </c>
      <c r="O80" s="117" t="str">
        <f t="shared" si="44"/>
        <v/>
      </c>
      <c r="P80" s="117" t="str">
        <f t="shared" si="44"/>
        <v/>
      </c>
      <c r="Q80" s="117" t="str">
        <f t="shared" si="44"/>
        <v/>
      </c>
      <c r="R80" s="117" t="str">
        <f t="shared" si="44"/>
        <v/>
      </c>
      <c r="S80" s="117" t="str">
        <f t="shared" si="44"/>
        <v/>
      </c>
      <c r="T80" s="117" t="str">
        <f t="shared" si="44"/>
        <v/>
      </c>
      <c r="U80" s="117" t="str">
        <f t="shared" si="44"/>
        <v/>
      </c>
    </row>
    <row r="81" spans="3:24" outlineLevel="1">
      <c r="C81" s="148">
        <f t="shared" si="41"/>
        <v>0</v>
      </c>
      <c r="D81" s="30" t="s">
        <v>99</v>
      </c>
      <c r="E81" s="30" t="s">
        <v>18</v>
      </c>
      <c r="F81" s="30" t="s">
        <v>36</v>
      </c>
      <c r="G81" s="32"/>
      <c r="H81" s="32"/>
      <c r="J81" s="117" t="str">
        <f t="shared" ref="J81:T81" si="45">IF(ISBLANK(I70),"",IF(ISBLANK(J70),"",LN(J70)-LN(I70)))</f>
        <v/>
      </c>
      <c r="K81" s="117" t="str">
        <f t="shared" si="45"/>
        <v/>
      </c>
      <c r="L81" s="117" t="str">
        <f t="shared" si="45"/>
        <v/>
      </c>
      <c r="M81" s="117" t="str">
        <f t="shared" si="45"/>
        <v/>
      </c>
      <c r="N81" s="117" t="str">
        <f t="shared" si="45"/>
        <v/>
      </c>
      <c r="O81" s="117" t="str">
        <f t="shared" si="45"/>
        <v/>
      </c>
      <c r="P81" s="117" t="str">
        <f t="shared" si="45"/>
        <v/>
      </c>
      <c r="Q81" s="117" t="str">
        <f t="shared" si="45"/>
        <v/>
      </c>
      <c r="R81" s="117" t="str">
        <f t="shared" si="45"/>
        <v/>
      </c>
      <c r="S81" s="117" t="str">
        <f t="shared" si="45"/>
        <v/>
      </c>
      <c r="T81" s="117" t="str">
        <f t="shared" si="45"/>
        <v/>
      </c>
      <c r="U81" s="117"/>
    </row>
    <row r="82" spans="3:24" outlineLevel="1">
      <c r="C82" s="148">
        <f t="shared" si="41"/>
        <v>0</v>
      </c>
      <c r="D82" s="30" t="s">
        <v>99</v>
      </c>
      <c r="E82" s="30" t="s">
        <v>18</v>
      </c>
      <c r="F82" s="30" t="s">
        <v>36</v>
      </c>
      <c r="G82" s="32"/>
      <c r="H82" s="32"/>
      <c r="J82" s="117" t="str">
        <f t="shared" ref="J82:T82" si="46">IF(ISBLANK(I71),"",IF(ISBLANK(J71),"",LN(J71)-LN(I71)))</f>
        <v/>
      </c>
      <c r="K82" s="117" t="str">
        <f t="shared" si="46"/>
        <v/>
      </c>
      <c r="L82" s="117" t="str">
        <f t="shared" si="46"/>
        <v/>
      </c>
      <c r="M82" s="117" t="str">
        <f t="shared" si="46"/>
        <v/>
      </c>
      <c r="N82" s="117" t="str">
        <f t="shared" si="46"/>
        <v/>
      </c>
      <c r="O82" s="117" t="str">
        <f t="shared" si="46"/>
        <v/>
      </c>
      <c r="P82" s="117" t="str">
        <f t="shared" si="46"/>
        <v/>
      </c>
      <c r="Q82" s="117" t="str">
        <f t="shared" si="46"/>
        <v/>
      </c>
      <c r="R82" s="117" t="str">
        <f t="shared" si="46"/>
        <v/>
      </c>
      <c r="S82" s="117" t="str">
        <f t="shared" si="46"/>
        <v/>
      </c>
      <c r="T82" s="117" t="str">
        <f t="shared" si="46"/>
        <v/>
      </c>
      <c r="U82" s="117"/>
    </row>
    <row r="83" spans="3:24" outlineLevel="1">
      <c r="C83" s="111"/>
      <c r="G83" s="32"/>
      <c r="H83" s="32"/>
      <c r="K83" s="23"/>
      <c r="L83" s="23"/>
      <c r="M83" s="23"/>
      <c r="N83" s="23"/>
      <c r="O83" s="23"/>
    </row>
    <row r="84" spans="3:24" outlineLevel="1">
      <c r="C84" s="67" t="s">
        <v>187</v>
      </c>
      <c r="D84" s="32" t="s">
        <v>7</v>
      </c>
      <c r="E84" s="32" t="s">
        <v>8</v>
      </c>
      <c r="F84" s="32" t="s">
        <v>22</v>
      </c>
      <c r="G84" s="32"/>
      <c r="H84" s="126"/>
      <c r="I84" s="110"/>
      <c r="J84" s="224"/>
      <c r="K84" s="224"/>
      <c r="L84" s="224"/>
      <c r="M84" s="224"/>
      <c r="N84" s="162"/>
      <c r="O84" s="162"/>
      <c r="P84" s="162"/>
      <c r="Q84" s="162"/>
      <c r="R84" s="162"/>
      <c r="S84" s="162"/>
      <c r="T84" s="162"/>
      <c r="U84" s="162"/>
    </row>
    <row r="85" spans="3:24" outlineLevel="1">
      <c r="C85" s="111"/>
      <c r="G85" s="32"/>
      <c r="H85" s="32"/>
      <c r="K85" s="23"/>
      <c r="L85" s="23"/>
      <c r="M85" s="23"/>
      <c r="N85" s="23"/>
      <c r="O85" s="107"/>
      <c r="P85" s="107"/>
      <c r="Q85" s="107"/>
      <c r="R85" s="107"/>
      <c r="S85" s="107"/>
      <c r="T85" s="107"/>
      <c r="U85" s="107"/>
    </row>
    <row r="86" spans="3:24" outlineLevel="1">
      <c r="C86" s="148">
        <f>C66</f>
        <v>0</v>
      </c>
      <c r="D86" s="30" t="s">
        <v>102</v>
      </c>
      <c r="E86" s="30" t="s">
        <v>18</v>
      </c>
      <c r="F86" s="30" t="s">
        <v>36</v>
      </c>
      <c r="G86" s="32"/>
      <c r="H86" s="32"/>
      <c r="J86" s="60"/>
      <c r="K86" s="60"/>
      <c r="L86" s="60"/>
      <c r="M86" s="60"/>
      <c r="N86" s="193"/>
      <c r="O86" s="193"/>
      <c r="P86" s="193"/>
      <c r="Q86" s="193"/>
      <c r="R86" s="193"/>
      <c r="S86" s="193"/>
      <c r="T86" s="193"/>
      <c r="U86" s="193"/>
    </row>
    <row r="87" spans="3:24" outlineLevel="1">
      <c r="C87" s="148">
        <f t="shared" ref="C87:C91" si="47">C67</f>
        <v>0</v>
      </c>
      <c r="D87" s="30" t="s">
        <v>102</v>
      </c>
      <c r="E87" s="30" t="s">
        <v>18</v>
      </c>
      <c r="F87" s="30" t="s">
        <v>36</v>
      </c>
      <c r="G87" s="32"/>
      <c r="H87" s="32"/>
      <c r="J87" s="60"/>
      <c r="K87" s="60"/>
      <c r="L87" s="60"/>
      <c r="M87" s="60"/>
      <c r="N87" s="193"/>
      <c r="O87" s="193"/>
      <c r="P87" s="193"/>
      <c r="Q87" s="193"/>
      <c r="R87" s="193"/>
      <c r="S87" s="193"/>
      <c r="T87" s="193"/>
      <c r="U87" s="193"/>
    </row>
    <row r="88" spans="3:24" outlineLevel="1">
      <c r="C88" s="148">
        <f t="shared" si="47"/>
        <v>0</v>
      </c>
      <c r="D88" s="30" t="s">
        <v>102</v>
      </c>
      <c r="E88" s="30" t="s">
        <v>18</v>
      </c>
      <c r="F88" s="30" t="s">
        <v>36</v>
      </c>
      <c r="G88" s="32"/>
      <c r="H88" s="32"/>
      <c r="J88" s="60"/>
      <c r="K88" s="60"/>
      <c r="L88" s="60"/>
      <c r="M88" s="60"/>
      <c r="N88" s="193"/>
      <c r="O88" s="193"/>
      <c r="P88" s="193"/>
      <c r="Q88" s="193"/>
      <c r="R88" s="193"/>
      <c r="S88" s="193"/>
      <c r="T88" s="193"/>
      <c r="U88" s="193"/>
    </row>
    <row r="89" spans="3:24" outlineLevel="1">
      <c r="C89" s="148">
        <f t="shared" si="47"/>
        <v>0</v>
      </c>
      <c r="D89" s="30" t="s">
        <v>102</v>
      </c>
      <c r="E89" s="30" t="s">
        <v>18</v>
      </c>
      <c r="F89" s="30" t="s">
        <v>36</v>
      </c>
      <c r="G89" s="32"/>
      <c r="H89" s="32"/>
      <c r="J89" s="60"/>
      <c r="K89" s="61"/>
      <c r="L89" s="61"/>
      <c r="M89" s="60"/>
      <c r="N89" s="193"/>
      <c r="O89" s="193"/>
      <c r="P89" s="193"/>
      <c r="Q89" s="193"/>
      <c r="R89" s="193"/>
      <c r="S89" s="193"/>
      <c r="T89" s="193"/>
      <c r="U89" s="193"/>
    </row>
    <row r="90" spans="3:24" outlineLevel="1">
      <c r="C90" s="148">
        <f t="shared" si="47"/>
        <v>0</v>
      </c>
      <c r="D90" s="30" t="s">
        <v>102</v>
      </c>
      <c r="E90" s="30" t="s">
        <v>18</v>
      </c>
      <c r="F90" s="30" t="s">
        <v>36</v>
      </c>
      <c r="G90" s="32"/>
      <c r="H90" s="32"/>
      <c r="J90" s="61"/>
      <c r="K90" s="61"/>
      <c r="L90" s="61"/>
      <c r="M90" s="61"/>
      <c r="N90" s="193"/>
      <c r="O90" s="193"/>
      <c r="P90" s="193"/>
      <c r="Q90" s="193"/>
      <c r="R90" s="193"/>
      <c r="S90" s="193"/>
      <c r="T90" s="193"/>
      <c r="U90" s="193"/>
    </row>
    <row r="91" spans="3:24" outlineLevel="1">
      <c r="C91" s="148">
        <f t="shared" si="47"/>
        <v>0</v>
      </c>
      <c r="D91" s="30" t="s">
        <v>102</v>
      </c>
      <c r="E91" s="30" t="s">
        <v>18</v>
      </c>
      <c r="F91" s="30" t="s">
        <v>36</v>
      </c>
      <c r="G91" s="32"/>
      <c r="H91" s="32"/>
      <c r="J91" s="61"/>
      <c r="K91" s="61"/>
      <c r="L91" s="61"/>
      <c r="M91" s="61"/>
      <c r="N91" s="193"/>
      <c r="O91" s="193"/>
      <c r="P91" s="193"/>
      <c r="Q91" s="193"/>
      <c r="R91" s="193"/>
      <c r="S91" s="193"/>
      <c r="T91" s="193"/>
      <c r="U91" s="193"/>
    </row>
    <row r="92" spans="3:24" outlineLevel="1">
      <c r="G92" s="32"/>
      <c r="H92" s="32"/>
    </row>
    <row r="93" spans="3:24" outlineLevel="1">
      <c r="C93" s="29" t="s">
        <v>40</v>
      </c>
      <c r="D93" s="30" t="s">
        <v>99</v>
      </c>
      <c r="E93" s="30" t="s">
        <v>28</v>
      </c>
      <c r="F93" s="30" t="s">
        <v>36</v>
      </c>
      <c r="J93" s="132" t="str">
        <f t="array" ref="J93">IF(ISBLANK(J84),IF(ISBLANK(J86:J91),"Ok","Check"),IF(SUM(J86:J91)=1,"Ok","Check"))</f>
        <v>Ok</v>
      </c>
      <c r="K93" s="132" t="str">
        <f t="array" ref="K93">IF(ISBLANK(K84),IF(ISBLANK(K86:K91),"Ok","Check"),IF(SUM(K86:K91)=1,"Ok","Check"))</f>
        <v>Ok</v>
      </c>
      <c r="L93" s="132" t="str">
        <f t="array" ref="L93">IF(ISBLANK(L84),IF(ISBLANK(L86:L91),"Ok","Check"),IF(SUM(L86:L91)=1,"Ok","Check"))</f>
        <v>Ok</v>
      </c>
      <c r="M93" s="132" t="str">
        <f t="array" ref="M93">IF(ISBLANK(M84),IF(ISBLANK(M86:M91),"Ok","Check"),IF(SUM(M86:M91)=1,"Ok","Check"))</f>
        <v>Ok</v>
      </c>
      <c r="N93" s="132" t="str">
        <f t="array" ref="N93">IF(ISBLANK(N86:N91),"",IF(SUM(N86:N91)=1,"Ok","Check"))</f>
        <v/>
      </c>
      <c r="O93" s="132" t="str">
        <f t="array" ref="O93">IF(ISBLANK(O86:O91),"",IF(SUM(O86:O91)=1,"Ok","Check"))</f>
        <v/>
      </c>
      <c r="P93" s="132" t="str">
        <f t="array" ref="P93">IF(ISBLANK(P86:P91),"",IF(SUM(P86:P91)=1,"Ok","Check"))</f>
        <v/>
      </c>
      <c r="Q93" s="132" t="str">
        <f t="array" ref="Q93">IF(ISBLANK(Q86:Q91),"",IF(SUM(Q86:Q91)=1,"Ok","Check"))</f>
        <v/>
      </c>
      <c r="R93" s="132" t="str">
        <f t="array" ref="R93">IF(ISBLANK(R86:R91),"",IF(SUM(R86:R91)=1,"Ok","Check"))</f>
        <v/>
      </c>
      <c r="S93" s="132" t="str">
        <f t="array" ref="S93">IF(ISBLANK(S86:S91),"",IF(SUM(S86:S91)=1,"Ok","Check"))</f>
        <v/>
      </c>
      <c r="T93" s="132" t="str">
        <f t="array" ref="T93">IF(ISBLANK(T86:T91),"",IF(SUM(T86:T91)=1,"Ok","Check"))</f>
        <v/>
      </c>
      <c r="U93" s="132"/>
      <c r="V93" s="24"/>
      <c r="X93" s="131" t="str">
        <f>IF(COUNTIF(K93:T93,"Check")=0,"Ok","Check")</f>
        <v>Ok</v>
      </c>
    </row>
    <row r="94" spans="3:24" outlineLevel="1">
      <c r="J94" s="132"/>
      <c r="K94" s="132"/>
      <c r="L94" s="132"/>
      <c r="M94" s="132"/>
      <c r="N94" s="132"/>
      <c r="O94" s="132"/>
      <c r="P94" s="132"/>
      <c r="Q94" s="132"/>
      <c r="R94" s="132"/>
      <c r="S94" s="132"/>
      <c r="T94" s="132"/>
      <c r="U94" s="132"/>
      <c r="V94" s="24"/>
      <c r="X94" s="132"/>
    </row>
    <row r="95" spans="3:24" outlineLevel="1">
      <c r="C95" s="67" t="s">
        <v>188</v>
      </c>
      <c r="D95" s="32" t="s">
        <v>7</v>
      </c>
      <c r="E95" s="32" t="s">
        <v>8</v>
      </c>
      <c r="F95" s="32" t="s">
        <v>22</v>
      </c>
      <c r="J95" s="162" t="str">
        <f t="shared" ref="J95:U95" si="48">IF(YEAR(J$4)&gt;=FPFirstYear,IF(YEAR(J$4)&lt;=FPLastYear,J$4,""),"")</f>
        <v/>
      </c>
      <c r="K95" s="162" t="str">
        <f t="shared" si="48"/>
        <v/>
      </c>
      <c r="L95" s="162" t="str">
        <f t="shared" si="48"/>
        <v/>
      </c>
      <c r="M95" s="162" t="str">
        <f t="shared" si="48"/>
        <v/>
      </c>
      <c r="N95" s="162" t="str">
        <f t="shared" si="48"/>
        <v/>
      </c>
      <c r="O95" s="162" t="str">
        <f t="shared" si="48"/>
        <v/>
      </c>
      <c r="P95" s="162">
        <f t="shared" si="48"/>
        <v>44986</v>
      </c>
      <c r="Q95" s="162">
        <f t="shared" si="48"/>
        <v>45352</v>
      </c>
      <c r="R95" s="162">
        <f t="shared" si="48"/>
        <v>45717</v>
      </c>
      <c r="S95" s="162">
        <f t="shared" si="48"/>
        <v>46082</v>
      </c>
      <c r="T95" s="162">
        <f t="shared" si="48"/>
        <v>46447</v>
      </c>
      <c r="U95" s="162" t="str">
        <f t="shared" si="48"/>
        <v/>
      </c>
      <c r="V95" s="24"/>
      <c r="X95" s="132"/>
    </row>
    <row r="96" spans="3:24" outlineLevel="1">
      <c r="J96" s="132"/>
      <c r="K96" s="132"/>
      <c r="L96" s="132"/>
      <c r="M96" s="132"/>
      <c r="N96" s="132"/>
      <c r="O96" s="132"/>
      <c r="P96" s="132"/>
      <c r="Q96" s="132"/>
      <c r="R96" s="132"/>
      <c r="S96" s="132"/>
      <c r="T96" s="132"/>
      <c r="U96" s="132"/>
      <c r="V96" s="24"/>
      <c r="X96" s="132"/>
    </row>
    <row r="97" spans="1:51" outlineLevel="1">
      <c r="C97" s="148">
        <f t="array" ref="C97:C100">TRANSPOSE(J84:M84)</f>
        <v>0</v>
      </c>
      <c r="D97" s="30" t="s">
        <v>99</v>
      </c>
      <c r="E97" s="30" t="s">
        <v>18</v>
      </c>
      <c r="F97" s="30" t="s">
        <v>36</v>
      </c>
      <c r="J97" s="117" t="str">
        <f t="shared" ref="J97:S97" si="49">IF(J$95=J$4,SUMPRODUCT(J$77:J$82,$J$86:$J$91),"")</f>
        <v/>
      </c>
      <c r="K97" s="117" t="str">
        <f t="shared" si="49"/>
        <v/>
      </c>
      <c r="L97" s="117" t="str">
        <f t="shared" si="49"/>
        <v/>
      </c>
      <c r="M97" s="117" t="str">
        <f t="shared" si="49"/>
        <v/>
      </c>
      <c r="N97" s="117" t="str">
        <f t="shared" si="49"/>
        <v/>
      </c>
      <c r="O97" s="117" t="str">
        <f t="shared" si="49"/>
        <v/>
      </c>
      <c r="P97" s="117">
        <f t="shared" si="49"/>
        <v>0</v>
      </c>
      <c r="Q97" s="117">
        <f t="shared" si="49"/>
        <v>0</v>
      </c>
      <c r="R97" s="117">
        <f t="shared" si="49"/>
        <v>0</v>
      </c>
      <c r="S97" s="117">
        <f t="shared" si="49"/>
        <v>0</v>
      </c>
      <c r="T97" s="117">
        <f>IF(T$95=T$4,SUMPRODUCT(T$77:T$82,$J$86:$J$91),"")</f>
        <v>0</v>
      </c>
      <c r="U97" s="117" t="str">
        <f>IF(U$95=U$4,SUMPRODUCT(U$77:U$82,$J$86:$J$91),"")</f>
        <v/>
      </c>
      <c r="V97" s="24"/>
      <c r="X97" s="132"/>
    </row>
    <row r="98" spans="1:51" outlineLevel="1">
      <c r="C98" s="148">
        <v>0</v>
      </c>
      <c r="D98" s="30" t="s">
        <v>99</v>
      </c>
      <c r="E98" s="30" t="s">
        <v>18</v>
      </c>
      <c r="F98" s="30" t="s">
        <v>36</v>
      </c>
      <c r="J98" s="117" t="str">
        <f t="shared" ref="J98:S98" si="50">IF(J$95=J$4,SUMPRODUCT(J$77:J$82,$K$86:$K$91),"")</f>
        <v/>
      </c>
      <c r="K98" s="117" t="str">
        <f t="shared" si="50"/>
        <v/>
      </c>
      <c r="L98" s="117" t="str">
        <f t="shared" si="50"/>
        <v/>
      </c>
      <c r="M98" s="117" t="str">
        <f t="shared" si="50"/>
        <v/>
      </c>
      <c r="N98" s="117" t="str">
        <f t="shared" si="50"/>
        <v/>
      </c>
      <c r="O98" s="117" t="str">
        <f t="shared" si="50"/>
        <v/>
      </c>
      <c r="P98" s="117">
        <f t="shared" si="50"/>
        <v>0</v>
      </c>
      <c r="Q98" s="117">
        <f t="shared" si="50"/>
        <v>0</v>
      </c>
      <c r="R98" s="117">
        <f t="shared" si="50"/>
        <v>0</v>
      </c>
      <c r="S98" s="117">
        <f t="shared" si="50"/>
        <v>0</v>
      </c>
      <c r="T98" s="117">
        <f>IF(T$95=T$4,SUMPRODUCT(T$77:T$82,$K$86:$K$91),"")</f>
        <v>0</v>
      </c>
      <c r="U98" s="117" t="str">
        <f>IF(U$95=U$4,SUMPRODUCT(U$77:U$82,$K$86:$K$91),"")</f>
        <v/>
      </c>
      <c r="V98" s="24"/>
      <c r="X98" s="132"/>
    </row>
    <row r="99" spans="1:51" outlineLevel="1">
      <c r="C99" s="148">
        <v>0</v>
      </c>
      <c r="D99" s="30" t="s">
        <v>99</v>
      </c>
      <c r="E99" s="30" t="s">
        <v>18</v>
      </c>
      <c r="F99" s="30" t="s">
        <v>36</v>
      </c>
      <c r="J99" s="117" t="str">
        <f t="shared" ref="J99:S99" si="51">IF(J$95=J$4,SUMPRODUCT(J$77:J$82,$L$86:$L$91),"")</f>
        <v/>
      </c>
      <c r="K99" s="117" t="str">
        <f t="shared" si="51"/>
        <v/>
      </c>
      <c r="L99" s="117" t="str">
        <f t="shared" si="51"/>
        <v/>
      </c>
      <c r="M99" s="117" t="str">
        <f t="shared" si="51"/>
        <v/>
      </c>
      <c r="N99" s="117" t="str">
        <f t="shared" si="51"/>
        <v/>
      </c>
      <c r="O99" s="117" t="str">
        <f t="shared" si="51"/>
        <v/>
      </c>
      <c r="P99" s="117">
        <f t="shared" si="51"/>
        <v>0</v>
      </c>
      <c r="Q99" s="117">
        <f t="shared" si="51"/>
        <v>0</v>
      </c>
      <c r="R99" s="117">
        <f t="shared" si="51"/>
        <v>0</v>
      </c>
      <c r="S99" s="117">
        <f t="shared" si="51"/>
        <v>0</v>
      </c>
      <c r="T99" s="117">
        <f>IF(T$95=T$4,SUMPRODUCT(T$77:T$82,$L$86:$L$91),"")</f>
        <v>0</v>
      </c>
      <c r="U99" s="117" t="str">
        <f>IF(U$95=U$4,SUMPRODUCT(U$77:U$82,$L$86:$L$91),"")</f>
        <v/>
      </c>
      <c r="V99" s="24"/>
      <c r="X99" s="132"/>
    </row>
    <row r="100" spans="1:51" outlineLevel="1">
      <c r="C100" s="148">
        <v>0</v>
      </c>
      <c r="D100" s="30" t="s">
        <v>99</v>
      </c>
      <c r="E100" s="30" t="s">
        <v>18</v>
      </c>
      <c r="F100" s="30" t="s">
        <v>36</v>
      </c>
      <c r="J100" s="117" t="str">
        <f t="shared" ref="J100:S100" si="52">IF(J$95=J$4,SUMPRODUCT(J$77:J$82,$M$86:$M$91),"")</f>
        <v/>
      </c>
      <c r="K100" s="117" t="str">
        <f t="shared" si="52"/>
        <v/>
      </c>
      <c r="L100" s="117" t="str">
        <f t="shared" si="52"/>
        <v/>
      </c>
      <c r="M100" s="117" t="str">
        <f t="shared" si="52"/>
        <v/>
      </c>
      <c r="N100" s="117" t="str">
        <f t="shared" si="52"/>
        <v/>
      </c>
      <c r="O100" s="117" t="str">
        <f t="shared" si="52"/>
        <v/>
      </c>
      <c r="P100" s="117">
        <f t="shared" si="52"/>
        <v>0</v>
      </c>
      <c r="Q100" s="117">
        <f t="shared" si="52"/>
        <v>0</v>
      </c>
      <c r="R100" s="117">
        <f t="shared" si="52"/>
        <v>0</v>
      </c>
      <c r="S100" s="117">
        <f t="shared" si="52"/>
        <v>0</v>
      </c>
      <c r="T100" s="117">
        <f>IF(T$95=T$4,SUMPRODUCT(T$77:T$82,$M$86:$M$91),"")</f>
        <v>0</v>
      </c>
      <c r="U100" s="117" t="str">
        <f>IF(U$95=U$4,SUMPRODUCT(U$77:U$82,$M$86:$M$91),"")</f>
        <v/>
      </c>
      <c r="V100" s="24"/>
      <c r="X100" s="132"/>
    </row>
    <row r="101" spans="1:51" outlineLevel="1">
      <c r="C101" s="111"/>
      <c r="G101" s="32"/>
      <c r="H101" s="32"/>
      <c r="K101" s="23"/>
      <c r="L101" s="23"/>
      <c r="M101" s="23"/>
      <c r="N101" s="23"/>
      <c r="O101" s="23"/>
    </row>
    <row r="102" spans="1:51" s="103" customFormat="1" ht="12.75">
      <c r="A102" s="94"/>
      <c r="B102" s="95" t="s">
        <v>78</v>
      </c>
      <c r="C102" s="94"/>
      <c r="D102" s="94"/>
      <c r="E102" s="94"/>
      <c r="F102" s="96"/>
      <c r="G102" s="96"/>
      <c r="H102" s="96"/>
      <c r="I102" s="96"/>
      <c r="J102" s="96"/>
      <c r="K102" s="97"/>
      <c r="L102" s="98"/>
      <c r="M102" s="97"/>
      <c r="N102" s="98"/>
      <c r="O102" s="97"/>
      <c r="P102" s="97"/>
      <c r="Q102" s="97"/>
      <c r="R102" s="97"/>
      <c r="S102" s="97"/>
      <c r="T102" s="97"/>
      <c r="U102" s="97"/>
      <c r="V102" s="97"/>
      <c r="W102" s="97"/>
      <c r="X102" s="98"/>
      <c r="Y102" s="99"/>
      <c r="Z102" s="99"/>
      <c r="AA102" s="99"/>
      <c r="AB102" s="99"/>
      <c r="AC102" s="99"/>
      <c r="AD102" s="99"/>
      <c r="AE102" s="99"/>
      <c r="AF102" s="100"/>
      <c r="AG102" s="101"/>
      <c r="AH102" s="101"/>
      <c r="AI102" s="102"/>
      <c r="AJ102" s="102"/>
      <c r="AK102" s="102"/>
      <c r="AL102" s="102"/>
      <c r="AM102" s="102"/>
      <c r="AN102" s="102"/>
      <c r="AO102" s="102"/>
      <c r="AP102" s="102"/>
      <c r="AQ102" s="102"/>
      <c r="AR102" s="102"/>
      <c r="AS102" s="102"/>
      <c r="AT102" s="102"/>
      <c r="AU102" s="102"/>
      <c r="AV102" s="102"/>
      <c r="AW102" s="102"/>
      <c r="AX102" s="102"/>
      <c r="AY102" s="102"/>
    </row>
    <row r="103" spans="1:51" outlineLevel="1">
      <c r="G103" s="32"/>
      <c r="H103" s="32"/>
    </row>
    <row r="104" spans="1:51" outlineLevel="1">
      <c r="C104" s="67" t="s">
        <v>48</v>
      </c>
      <c r="D104" s="32" t="s">
        <v>7</v>
      </c>
      <c r="E104" s="32" t="s">
        <v>8</v>
      </c>
      <c r="F104" s="32" t="s">
        <v>22</v>
      </c>
      <c r="G104" s="32"/>
      <c r="H104" s="32"/>
      <c r="J104" s="162" t="str">
        <f t="shared" ref="J104:U104" si="53">IF(YEAR(J$4)&gt;=FPFirstYear,IF(YEAR(J$4)&lt;=FPLastYear,J$4,""),"")</f>
        <v/>
      </c>
      <c r="K104" s="162" t="str">
        <f t="shared" si="53"/>
        <v/>
      </c>
      <c r="L104" s="162" t="str">
        <f t="shared" si="53"/>
        <v/>
      </c>
      <c r="M104" s="162" t="str">
        <f t="shared" si="53"/>
        <v/>
      </c>
      <c r="N104" s="162" t="str">
        <f t="shared" si="53"/>
        <v/>
      </c>
      <c r="O104" s="162" t="str">
        <f t="shared" si="53"/>
        <v/>
      </c>
      <c r="P104" s="162">
        <f t="shared" si="53"/>
        <v>44986</v>
      </c>
      <c r="Q104" s="162">
        <f t="shared" si="53"/>
        <v>45352</v>
      </c>
      <c r="R104" s="162">
        <f t="shared" si="53"/>
        <v>45717</v>
      </c>
      <c r="S104" s="162">
        <f t="shared" si="53"/>
        <v>46082</v>
      </c>
      <c r="T104" s="162">
        <f t="shared" si="53"/>
        <v>46447</v>
      </c>
      <c r="U104" s="162" t="str">
        <f t="shared" si="53"/>
        <v/>
      </c>
    </row>
    <row r="105" spans="1:51" outlineLevel="1">
      <c r="C105" s="111"/>
      <c r="G105" s="32"/>
      <c r="H105" s="32"/>
      <c r="K105" s="23"/>
      <c r="L105" s="23"/>
      <c r="M105" s="23"/>
      <c r="N105" s="23"/>
      <c r="O105" s="23"/>
    </row>
    <row r="106" spans="1:51" outlineLevel="1">
      <c r="C106" s="111" t="s">
        <v>48</v>
      </c>
      <c r="D106" s="30" t="s">
        <v>102</v>
      </c>
      <c r="E106" s="30" t="str">
        <f>percent</f>
        <v>Per cent</v>
      </c>
      <c r="F106" s="30" t="s">
        <v>36</v>
      </c>
      <c r="G106" s="32"/>
      <c r="H106" s="32"/>
      <c r="J106" s="205"/>
      <c r="K106" s="194"/>
      <c r="L106" s="194"/>
      <c r="M106" s="194"/>
      <c r="N106" s="194"/>
      <c r="O106" s="169"/>
      <c r="P106" s="169">
        <v>3.0999999999999999E-3</v>
      </c>
      <c r="Q106" s="169">
        <v>3.0999999999999999E-3</v>
      </c>
      <c r="R106" s="169">
        <v>3.0999999999999999E-3</v>
      </c>
      <c r="S106" s="169">
        <v>3.0999999999999999E-3</v>
      </c>
      <c r="T106" s="169">
        <v>3.0999999999999999E-3</v>
      </c>
      <c r="U106" s="169"/>
    </row>
    <row r="107" spans="1:51" outlineLevel="1">
      <c r="C107" s="111"/>
      <c r="G107" s="32"/>
      <c r="H107" s="32"/>
      <c r="J107" s="168"/>
      <c r="K107" s="23"/>
      <c r="L107" s="23"/>
      <c r="M107" s="23"/>
      <c r="N107" s="23"/>
      <c r="O107" s="23"/>
      <c r="P107" s="192"/>
      <c r="Q107" s="192"/>
      <c r="R107" s="192"/>
      <c r="S107" s="192"/>
      <c r="T107" s="192"/>
      <c r="U107" s="192"/>
    </row>
    <row r="108" spans="1:51" outlineLevel="1">
      <c r="C108" s="29" t="s">
        <v>40</v>
      </c>
      <c r="D108" s="30" t="s">
        <v>99</v>
      </c>
      <c r="E108" s="30" t="s">
        <v>28</v>
      </c>
      <c r="F108" s="30" t="s">
        <v>36</v>
      </c>
      <c r="J108" s="132" t="str">
        <f t="shared" ref="J108:S108" si="54">IF(J104=J$4,IF(ISBLANK(J106),"Check","Ok"),"")</f>
        <v/>
      </c>
      <c r="K108" s="132" t="str">
        <f t="shared" si="54"/>
        <v/>
      </c>
      <c r="L108" s="132" t="str">
        <f t="shared" si="54"/>
        <v/>
      </c>
      <c r="M108" s="132" t="str">
        <f t="shared" si="54"/>
        <v/>
      </c>
      <c r="N108" s="132" t="str">
        <f t="shared" si="54"/>
        <v/>
      </c>
      <c r="O108" s="132" t="str">
        <f t="shared" si="54"/>
        <v/>
      </c>
      <c r="P108" s="132" t="str">
        <f t="shared" si="54"/>
        <v>Ok</v>
      </c>
      <c r="Q108" s="132" t="str">
        <f t="shared" si="54"/>
        <v>Ok</v>
      </c>
      <c r="R108" s="132" t="str">
        <f t="shared" si="54"/>
        <v>Ok</v>
      </c>
      <c r="S108" s="132" t="str">
        <f t="shared" si="54"/>
        <v>Ok</v>
      </c>
      <c r="T108" s="132" t="str">
        <f>IF(T104=T$4,IF(ISBLANK(T106),"Check","Ok"),"")</f>
        <v>Ok</v>
      </c>
      <c r="U108" s="132" t="str">
        <f>IF(U104=U$4,IF(ISBLANK(U106),"Check","Ok"),"")</f>
        <v/>
      </c>
      <c r="V108" s="24"/>
      <c r="X108" s="131" t="str">
        <f>IF(COUNTIF(J108:T108,"Check")=0,"Ok","Check")</f>
        <v>Ok</v>
      </c>
    </row>
    <row r="109" spans="1:51" outlineLevel="1">
      <c r="C109" s="111"/>
      <c r="G109" s="32"/>
      <c r="H109" s="32"/>
      <c r="K109" s="23"/>
      <c r="L109" s="23"/>
      <c r="M109" s="23"/>
      <c r="N109" s="23"/>
      <c r="O109" s="23"/>
    </row>
    <row r="110" spans="1:51" s="103" customFormat="1" ht="12.75">
      <c r="A110" s="94"/>
      <c r="B110" s="95" t="s">
        <v>21</v>
      </c>
      <c r="C110" s="94"/>
      <c r="D110" s="94"/>
      <c r="E110" s="94"/>
      <c r="F110" s="96"/>
      <c r="G110" s="96"/>
      <c r="H110" s="96"/>
      <c r="I110" s="96"/>
      <c r="J110" s="96"/>
      <c r="K110" s="97"/>
      <c r="L110" s="98"/>
      <c r="M110" s="97"/>
      <c r="N110" s="98"/>
      <c r="O110" s="97"/>
      <c r="P110" s="97"/>
      <c r="Q110" s="97"/>
      <c r="R110" s="97"/>
      <c r="S110" s="97"/>
      <c r="T110" s="97"/>
      <c r="U110" s="97"/>
      <c r="V110" s="97"/>
      <c r="W110" s="97"/>
      <c r="X110" s="98"/>
      <c r="Y110" s="99"/>
      <c r="Z110" s="99"/>
      <c r="AA110" s="99"/>
      <c r="AB110" s="99"/>
      <c r="AC110" s="99"/>
      <c r="AD110" s="99"/>
      <c r="AE110" s="99"/>
      <c r="AF110" s="100"/>
      <c r="AG110" s="101"/>
      <c r="AH110" s="101"/>
      <c r="AI110" s="102"/>
      <c r="AJ110" s="102"/>
      <c r="AK110" s="102"/>
      <c r="AL110" s="102"/>
      <c r="AM110" s="102"/>
      <c r="AN110" s="102"/>
      <c r="AO110" s="102"/>
      <c r="AP110" s="102"/>
      <c r="AQ110" s="102"/>
      <c r="AR110" s="102"/>
      <c r="AS110" s="102"/>
      <c r="AT110" s="102"/>
      <c r="AU110" s="102"/>
      <c r="AV110" s="102"/>
      <c r="AW110" s="102"/>
      <c r="AX110" s="102"/>
      <c r="AY110" s="102"/>
    </row>
    <row r="111" spans="1:51" hidden="1"/>
    <row r="112" spans="1:51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</sheetData>
  <mergeCells count="2">
    <mergeCell ref="K3:M3"/>
    <mergeCell ref="O3:T3"/>
  </mergeCells>
  <conditionalFormatting sqref="X1">
    <cfRule type="cellIs" dxfId="150" priority="110" operator="equal">
      <formula>"Check"</formula>
    </cfRule>
    <cfRule type="cellIs" dxfId="149" priority="111" operator="equal">
      <formula>"Ok"</formula>
    </cfRule>
  </conditionalFormatting>
  <conditionalFormatting sqref="T1:U1">
    <cfRule type="cellIs" dxfId="148" priority="74" operator="equal">
      <formula>"Check"</formula>
    </cfRule>
    <cfRule type="cellIs" dxfId="147" priority="75" operator="equal">
      <formula>"Ok"</formula>
    </cfRule>
  </conditionalFormatting>
  <conditionalFormatting sqref="X60">
    <cfRule type="cellIs" dxfId="146" priority="62" operator="equal">
      <formula>"Check"</formula>
    </cfRule>
    <cfRule type="cellIs" dxfId="145" priority="63" operator="equal">
      <formula>"Ok"</formula>
    </cfRule>
  </conditionalFormatting>
  <conditionalFormatting sqref="J60:U60">
    <cfRule type="cellIs" dxfId="144" priority="54" operator="equal">
      <formula>"Check"</formula>
    </cfRule>
    <cfRule type="cellIs" dxfId="143" priority="55" operator="equal">
      <formula>"Ok"</formula>
    </cfRule>
  </conditionalFormatting>
  <conditionalFormatting sqref="J36:U36">
    <cfRule type="expression" dxfId="142" priority="45">
      <formula>J$36=J$4</formula>
    </cfRule>
  </conditionalFormatting>
  <conditionalFormatting sqref="J38:U45">
    <cfRule type="expression" dxfId="141" priority="43">
      <formula>J$36=J$4</formula>
    </cfRule>
  </conditionalFormatting>
  <conditionalFormatting sqref="J51:U58">
    <cfRule type="expression" dxfId="140" priority="42">
      <formula>J$49=J$4</formula>
    </cfRule>
  </conditionalFormatting>
  <conditionalFormatting sqref="X108">
    <cfRule type="cellIs" dxfId="139" priority="36" operator="equal">
      <formula>"Check"</formula>
    </cfRule>
    <cfRule type="cellIs" dxfId="138" priority="37" operator="equal">
      <formula>"Ok"</formula>
    </cfRule>
  </conditionalFormatting>
  <conditionalFormatting sqref="J108:U108">
    <cfRule type="cellIs" dxfId="137" priority="34" operator="equal">
      <formula>"Check"</formula>
    </cfRule>
    <cfRule type="cellIs" dxfId="136" priority="35" operator="equal">
      <formula>"Ok"</formula>
    </cfRule>
  </conditionalFormatting>
  <conditionalFormatting sqref="X47">
    <cfRule type="cellIs" dxfId="135" priority="32" operator="equal">
      <formula>"Check"</formula>
    </cfRule>
    <cfRule type="cellIs" dxfId="134" priority="33" operator="equal">
      <formula>"Ok"</formula>
    </cfRule>
  </conditionalFormatting>
  <conditionalFormatting sqref="J47:U47">
    <cfRule type="cellIs" dxfId="133" priority="30" operator="equal">
      <formula>"Check"</formula>
    </cfRule>
    <cfRule type="cellIs" dxfId="132" priority="31" operator="equal">
      <formula>"Ok"</formula>
    </cfRule>
  </conditionalFormatting>
  <conditionalFormatting sqref="X73">
    <cfRule type="cellIs" dxfId="131" priority="28" operator="equal">
      <formula>"Check"</formula>
    </cfRule>
    <cfRule type="cellIs" dxfId="130" priority="29" operator="equal">
      <formula>"Ok"</formula>
    </cfRule>
  </conditionalFormatting>
  <conditionalFormatting sqref="J73:U73">
    <cfRule type="cellIs" dxfId="129" priority="26" operator="equal">
      <formula>"Check"</formula>
    </cfRule>
    <cfRule type="cellIs" dxfId="128" priority="27" operator="equal">
      <formula>"Ok"</formula>
    </cfRule>
  </conditionalFormatting>
  <conditionalFormatting sqref="J64:U64">
    <cfRule type="expression" dxfId="127" priority="20">
      <formula>J$64=J$4</formula>
    </cfRule>
  </conditionalFormatting>
  <conditionalFormatting sqref="J66:U71">
    <cfRule type="expression" dxfId="126" priority="18">
      <formula>J$64=J$4</formula>
    </cfRule>
  </conditionalFormatting>
  <conditionalFormatting sqref="J49:U49">
    <cfRule type="expression" dxfId="125" priority="15">
      <formula>J$36=J$4</formula>
    </cfRule>
  </conditionalFormatting>
  <conditionalFormatting sqref="J75:U75">
    <cfRule type="expression" dxfId="124" priority="14">
      <formula>J$36=J$4</formula>
    </cfRule>
  </conditionalFormatting>
  <conditionalFormatting sqref="J104:U104">
    <cfRule type="expression" dxfId="123" priority="13">
      <formula>J$36=J$4</formula>
    </cfRule>
  </conditionalFormatting>
  <conditionalFormatting sqref="J26:U32">
    <cfRule type="cellIs" dxfId="122" priority="11" operator="equal">
      <formula>0</formula>
    </cfRule>
  </conditionalFormatting>
  <conditionalFormatting sqref="J16:U22">
    <cfRule type="cellIs" dxfId="121" priority="10" operator="equal">
      <formula>0</formula>
    </cfRule>
  </conditionalFormatting>
  <conditionalFormatting sqref="X93:X100">
    <cfRule type="cellIs" dxfId="120" priority="6" operator="equal">
      <formula>"Check"</formula>
    </cfRule>
    <cfRule type="cellIs" dxfId="119" priority="7" operator="equal">
      <formula>"Ok"</formula>
    </cfRule>
  </conditionalFormatting>
  <conditionalFormatting sqref="K90:M91">
    <cfRule type="expression" dxfId="118" priority="5">
      <formula>K$84=K$4</formula>
    </cfRule>
  </conditionalFormatting>
  <conditionalFormatting sqref="J96:U96 J93:U94">
    <cfRule type="cellIs" dxfId="117" priority="3" operator="equal">
      <formula>"Check"</formula>
    </cfRule>
    <cfRule type="cellIs" dxfId="116" priority="4" operator="equal">
      <formula>"Ok"</formula>
    </cfRule>
  </conditionalFormatting>
  <conditionalFormatting sqref="J95:U95">
    <cfRule type="expression" dxfId="115" priority="2">
      <formula>J$95=J$4</formula>
    </cfRule>
  </conditionalFormatting>
  <conditionalFormatting sqref="J106:U106">
    <cfRule type="expression" dxfId="114" priority="115">
      <formula>J$104=J$4</formula>
    </cfRule>
  </conditionalFormatting>
  <conditionalFormatting sqref="K88:M89 L86:M87">
    <cfRule type="expression" dxfId="113" priority="1">
      <formula>K$84=K$4</formula>
    </cfRule>
  </conditionalFormatting>
  <dataValidations disablePrompts="1" count="2">
    <dataValidation type="list" allowBlank="1" showInputMessage="1" showErrorMessage="1" sqref="F109 F74 F101">
      <formula1>#REF!</formula1>
    </dataValidation>
    <dataValidation type="list" allowBlank="1" showInputMessage="1" showErrorMessage="1" sqref="F85 F83">
      <formula1>#REF!</formula1>
    </dataValidation>
  </dataValidations>
  <hyperlinks>
    <hyperlink ref="K1" location="Index!A1" display="Back to Index"/>
    <hyperlink ref="W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99"/>
  </sheetPr>
  <dimension ref="A1:AU54"/>
  <sheetViews>
    <sheetView showGridLines="0" zoomScale="115" zoomScaleNormal="115" workbookViewId="0"/>
  </sheetViews>
  <sheetFormatPr defaultColWidth="0" defaultRowHeight="11.25" zeroHeight="1" outlineLevelRow="1"/>
  <cols>
    <col min="1" max="2" width="1.5" style="29" customWidth="1"/>
    <col min="3" max="3" width="48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3" width="10.83203125" style="29" customWidth="1"/>
    <col min="24" max="47" width="10.5" style="29" hidden="1" customWidth="1"/>
    <col min="48" max="16384" width="0" style="29" hidden="1"/>
  </cols>
  <sheetData>
    <row r="1" spans="1:47" s="69" customFormat="1" ht="15.75">
      <c r="B1" s="70" t="str">
        <f>Index!$B$1</f>
        <v>AER opex model v1.8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82</v>
      </c>
      <c r="S1" s="76" t="str">
        <f>IF(COUNTA($W$8:$W$237)=COUNTIF($W$8:$W$237,"OK"),"OK","Check")</f>
        <v>OK</v>
      </c>
      <c r="U1" s="187" t="s">
        <v>24</v>
      </c>
      <c r="V1" s="76" t="str">
        <f>'Check|List'!$S$1</f>
        <v>Ok</v>
      </c>
    </row>
    <row r="2" spans="1:47" s="77" customFormat="1" ht="13.5" thickBot="1">
      <c r="B2" s="78" t="str">
        <f>Index!$C$11</f>
        <v>Input | Step changes</v>
      </c>
      <c r="C2" s="78"/>
      <c r="D2" s="78"/>
      <c r="E2" s="78"/>
      <c r="F2" s="79"/>
      <c r="G2" s="79"/>
      <c r="H2" s="79"/>
      <c r="I2" s="79"/>
    </row>
    <row r="3" spans="1:47" s="80" customFormat="1">
      <c r="C3" s="81"/>
      <c r="D3" s="182"/>
      <c r="E3" s="182"/>
      <c r="F3" s="182"/>
      <c r="G3" s="182"/>
      <c r="H3" s="182"/>
      <c r="I3" s="182"/>
      <c r="J3" s="157" t="s">
        <v>124</v>
      </c>
      <c r="K3" s="172"/>
      <c r="L3" s="172"/>
      <c r="M3" s="182"/>
      <c r="N3" s="228"/>
      <c r="O3" s="228"/>
      <c r="P3" s="228"/>
      <c r="Q3" s="228"/>
      <c r="R3" s="228"/>
      <c r="S3" s="228"/>
      <c r="T3" s="82"/>
      <c r="U3" s="82"/>
      <c r="V3" s="82"/>
      <c r="W3" s="82"/>
      <c r="X3" s="82"/>
      <c r="Y3" s="82"/>
      <c r="Z3" s="82"/>
    </row>
    <row r="4" spans="1:47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5">
        <f>DATE(PPFirstYear,MONTH('Input|General'!$G$9),1)</f>
        <v>43160</v>
      </c>
      <c r="K4" s="155">
        <f>DATE(PPFirstYear+1,MONTH('Input|General'!$G$9),1)</f>
        <v>43525</v>
      </c>
      <c r="L4" s="155">
        <f>DATE(PPFirstYear+2,MONTH('Input|General'!$G$9),1)</f>
        <v>43891</v>
      </c>
      <c r="M4" s="155">
        <f>DATE(PPFirstYear+3,MONTH('Input|General'!$G$9),1)</f>
        <v>44256</v>
      </c>
      <c r="N4" s="155">
        <f>DATE(PPFirstYear+4,MONTH('Input|General'!$G$9),1)</f>
        <v>44621</v>
      </c>
      <c r="O4" s="155">
        <f>DATE(PPFirstYear+5,MONTH('Input|General'!$G$9),1)</f>
        <v>44986</v>
      </c>
      <c r="P4" s="155">
        <f>DATE(PPFirstYear+6,MONTH('Input|General'!$G$9),1)</f>
        <v>45352</v>
      </c>
      <c r="Q4" s="155">
        <f>DATE(PPFirstYear+7,MONTH('Input|General'!$G$9),1)</f>
        <v>45717</v>
      </c>
      <c r="R4" s="155">
        <f>DATE(PPFirstYear+8,MONTH('Input|General'!$G$9),1)</f>
        <v>46082</v>
      </c>
      <c r="S4" s="155">
        <f>DATE(PPFirstYear+9,MONTH('Input|General'!$G$9),1)</f>
        <v>46447</v>
      </c>
      <c r="T4" s="155">
        <f>DATE(PPFirstYear+10,MONTH('Input|General'!$G$9),1)</f>
        <v>46813</v>
      </c>
      <c r="U4" s="87"/>
      <c r="V4" s="88"/>
      <c r="W4" s="88"/>
    </row>
    <row r="5" spans="1:47" s="27" customFormat="1" ht="3" customHeight="1">
      <c r="D5" s="28"/>
      <c r="E5" s="28"/>
      <c r="F5" s="28"/>
      <c r="G5" s="28"/>
      <c r="H5" s="28"/>
      <c r="I5" s="28"/>
    </row>
    <row r="6" spans="1:47" s="27" customFormat="1" ht="9" customHeight="1">
      <c r="D6" s="28"/>
      <c r="E6" s="28"/>
      <c r="F6" s="28"/>
      <c r="G6" s="28"/>
      <c r="H6" s="28"/>
      <c r="I6" s="28"/>
    </row>
    <row r="7" spans="1:47" s="27" customFormat="1" ht="3" customHeight="1">
      <c r="D7" s="28"/>
      <c r="E7" s="28"/>
      <c r="F7" s="28"/>
      <c r="G7" s="28"/>
      <c r="H7" s="28"/>
      <c r="I7" s="28"/>
    </row>
    <row r="8" spans="1:47" s="103" customFormat="1" ht="12.75">
      <c r="A8" s="94"/>
      <c r="B8" s="95" t="s">
        <v>50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8"/>
      <c r="W8" s="98"/>
      <c r="X8" s="99"/>
      <c r="Y8" s="99"/>
      <c r="Z8" s="99"/>
      <c r="AA8" s="99"/>
      <c r="AB8" s="100"/>
      <c r="AC8" s="101"/>
      <c r="AD8" s="101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</row>
    <row r="9" spans="1:47" outlineLevel="1">
      <c r="G9" s="32"/>
      <c r="H9" s="32"/>
    </row>
    <row r="10" spans="1:47" outlineLevel="1">
      <c r="C10" s="67" t="s">
        <v>79</v>
      </c>
      <c r="D10" s="32" t="s">
        <v>7</v>
      </c>
      <c r="E10" s="32" t="s">
        <v>8</v>
      </c>
      <c r="F10" s="32" t="s">
        <v>22</v>
      </c>
      <c r="G10" s="32"/>
      <c r="H10" s="32"/>
      <c r="I10" s="162"/>
      <c r="J10" s="162" t="str">
        <f t="shared" ref="J10:T10" si="0">IF(YEAR(J$4)&gt;=FPFirstYear,IF(YEAR(J$4)&lt;=FPLastYear,J$4,""),"")</f>
        <v/>
      </c>
      <c r="K10" s="162" t="str">
        <f t="shared" si="0"/>
        <v/>
      </c>
      <c r="L10" s="162" t="str">
        <f t="shared" si="0"/>
        <v/>
      </c>
      <c r="M10" s="162" t="str">
        <f t="shared" si="0"/>
        <v/>
      </c>
      <c r="N10" s="162" t="str">
        <f t="shared" si="0"/>
        <v/>
      </c>
      <c r="O10" s="162">
        <f t="shared" si="0"/>
        <v>44986</v>
      </c>
      <c r="P10" s="162">
        <f t="shared" si="0"/>
        <v>45352</v>
      </c>
      <c r="Q10" s="162">
        <f t="shared" si="0"/>
        <v>45717</v>
      </c>
      <c r="R10" s="162">
        <f t="shared" si="0"/>
        <v>46082</v>
      </c>
      <c r="S10" s="162">
        <f t="shared" si="0"/>
        <v>46447</v>
      </c>
      <c r="T10" s="162" t="str">
        <f t="shared" si="0"/>
        <v/>
      </c>
    </row>
    <row r="11" spans="1:47" outlineLevel="1">
      <c r="G11" s="32"/>
      <c r="H11" s="32"/>
    </row>
    <row r="12" spans="1:47" outlineLevel="1">
      <c r="C12" s="61" t="s">
        <v>217</v>
      </c>
      <c r="D12" s="30" t="s">
        <v>69</v>
      </c>
      <c r="E12" s="150" t="s">
        <v>15</v>
      </c>
      <c r="F12" s="171">
        <v>43525</v>
      </c>
      <c r="G12" s="32"/>
      <c r="H12" s="32"/>
      <c r="J12" s="152"/>
      <c r="K12" s="152"/>
      <c r="L12" s="152"/>
      <c r="M12" s="152"/>
      <c r="N12" s="152"/>
      <c r="O12" s="170">
        <v>0</v>
      </c>
      <c r="P12" s="170">
        <v>0</v>
      </c>
      <c r="Q12" s="170">
        <v>0</v>
      </c>
      <c r="R12" s="170">
        <v>0</v>
      </c>
      <c r="S12" s="170">
        <v>0</v>
      </c>
      <c r="T12" s="170"/>
    </row>
    <row r="13" spans="1:47" outlineLevel="1">
      <c r="C13" s="61" t="s">
        <v>218</v>
      </c>
      <c r="D13" s="30" t="s">
        <v>69</v>
      </c>
      <c r="E13" s="150" t="s">
        <v>15</v>
      </c>
      <c r="F13" s="171">
        <v>43891</v>
      </c>
      <c r="G13" s="32"/>
      <c r="H13" s="32"/>
      <c r="J13" s="152"/>
      <c r="K13" s="152"/>
      <c r="L13" s="152"/>
      <c r="M13" s="152"/>
      <c r="N13" s="152"/>
      <c r="O13" s="170">
        <v>0.17027600000000001</v>
      </c>
      <c r="P13" s="170">
        <v>0.17027600000000001</v>
      </c>
      <c r="Q13" s="170">
        <v>0.17027600000000001</v>
      </c>
      <c r="R13" s="170">
        <v>0.17027600000000001</v>
      </c>
      <c r="S13" s="170">
        <v>0.17027600000000001</v>
      </c>
      <c r="T13" s="170"/>
    </row>
    <row r="14" spans="1:47" outlineLevel="1">
      <c r="C14" s="61" t="s">
        <v>219</v>
      </c>
      <c r="D14" s="30" t="s">
        <v>69</v>
      </c>
      <c r="E14" s="150" t="s">
        <v>15</v>
      </c>
      <c r="F14" s="171">
        <v>43891</v>
      </c>
      <c r="G14" s="32"/>
      <c r="H14" s="32"/>
      <c r="J14" s="152"/>
      <c r="K14" s="152"/>
      <c r="L14" s="152"/>
      <c r="M14" s="152"/>
      <c r="N14" s="152"/>
      <c r="O14" s="170">
        <v>0</v>
      </c>
      <c r="P14" s="170">
        <v>0</v>
      </c>
      <c r="Q14" s="170">
        <v>0</v>
      </c>
      <c r="R14" s="170">
        <v>0</v>
      </c>
      <c r="S14" s="170">
        <v>0</v>
      </c>
      <c r="T14" s="170"/>
    </row>
    <row r="15" spans="1:47" outlineLevel="1">
      <c r="C15" s="61" t="s">
        <v>220</v>
      </c>
      <c r="D15" s="30" t="s">
        <v>69</v>
      </c>
      <c r="E15" s="150" t="s">
        <v>15</v>
      </c>
      <c r="F15" s="171">
        <v>43891</v>
      </c>
      <c r="G15" s="32"/>
      <c r="H15" s="32"/>
      <c r="J15" s="152"/>
      <c r="K15" s="152"/>
      <c r="L15" s="152"/>
      <c r="M15" s="152"/>
      <c r="N15" s="152"/>
      <c r="O15" s="170">
        <v>0.44369999999999998</v>
      </c>
      <c r="P15" s="170">
        <v>0.44369999999999998</v>
      </c>
      <c r="Q15" s="170">
        <v>0.44369999999999998</v>
      </c>
      <c r="R15" s="170">
        <v>0.44369999999999998</v>
      </c>
      <c r="S15" s="170">
        <v>0.44369999999999998</v>
      </c>
      <c r="T15" s="170"/>
    </row>
    <row r="16" spans="1:47" outlineLevel="1">
      <c r="C16" s="61" t="s">
        <v>221</v>
      </c>
      <c r="D16" s="30" t="s">
        <v>69</v>
      </c>
      <c r="E16" s="150" t="s">
        <v>15</v>
      </c>
      <c r="F16" s="171">
        <v>43891</v>
      </c>
      <c r="G16" s="32"/>
      <c r="H16" s="32"/>
      <c r="J16" s="152"/>
      <c r="K16" s="152"/>
      <c r="L16" s="152"/>
      <c r="M16" s="152"/>
      <c r="N16" s="152"/>
      <c r="O16" s="170">
        <v>0</v>
      </c>
      <c r="P16" s="170">
        <v>0</v>
      </c>
      <c r="Q16" s="170">
        <v>0</v>
      </c>
      <c r="R16" s="170">
        <v>0</v>
      </c>
      <c r="S16" s="170">
        <v>0</v>
      </c>
      <c r="T16" s="170"/>
    </row>
    <row r="17" spans="1:47" outlineLevel="1">
      <c r="C17" s="61"/>
      <c r="D17" s="30" t="s">
        <v>69</v>
      </c>
      <c r="E17" s="150" t="s">
        <v>15</v>
      </c>
      <c r="F17" s="171">
        <v>44621</v>
      </c>
      <c r="G17" s="32"/>
      <c r="H17" s="32"/>
      <c r="J17" s="152"/>
      <c r="K17" s="152"/>
      <c r="L17" s="152"/>
      <c r="M17" s="152"/>
      <c r="N17" s="152"/>
      <c r="O17" s="170"/>
      <c r="P17" s="170"/>
      <c r="Q17" s="170"/>
      <c r="R17" s="170"/>
      <c r="S17" s="170"/>
      <c r="T17" s="170"/>
    </row>
    <row r="18" spans="1:47" outlineLevel="1">
      <c r="C18" s="61"/>
      <c r="D18" s="30" t="s">
        <v>69</v>
      </c>
      <c r="E18" s="150" t="s">
        <v>15</v>
      </c>
      <c r="F18" s="171">
        <v>44621</v>
      </c>
      <c r="G18" s="32"/>
      <c r="H18" s="32"/>
      <c r="J18" s="152"/>
      <c r="K18" s="152"/>
      <c r="L18" s="152"/>
      <c r="M18" s="152"/>
      <c r="N18" s="152"/>
      <c r="O18" s="170"/>
      <c r="P18" s="170"/>
      <c r="Q18" s="170"/>
      <c r="R18" s="170"/>
      <c r="S18" s="170"/>
      <c r="T18" s="170"/>
    </row>
    <row r="19" spans="1:47" outlineLevel="1">
      <c r="C19" s="61"/>
      <c r="D19" s="30" t="s">
        <v>69</v>
      </c>
      <c r="E19" s="150" t="s">
        <v>15</v>
      </c>
      <c r="F19" s="171">
        <v>44621</v>
      </c>
      <c r="G19" s="32"/>
      <c r="H19" s="32"/>
      <c r="J19" s="152"/>
      <c r="K19" s="152"/>
      <c r="L19" s="152"/>
      <c r="M19" s="152"/>
      <c r="N19" s="152"/>
      <c r="O19" s="170"/>
      <c r="P19" s="170"/>
      <c r="Q19" s="170"/>
      <c r="R19" s="170"/>
      <c r="S19" s="170"/>
      <c r="T19" s="170"/>
    </row>
    <row r="20" spans="1:47" outlineLevel="1">
      <c r="C20" s="61"/>
      <c r="D20" s="30" t="s">
        <v>69</v>
      </c>
      <c r="E20" s="150" t="s">
        <v>15</v>
      </c>
      <c r="F20" s="171">
        <v>44621</v>
      </c>
      <c r="G20" s="32"/>
      <c r="H20" s="32"/>
      <c r="J20" s="152"/>
      <c r="K20" s="152"/>
      <c r="L20" s="152"/>
      <c r="M20" s="152"/>
      <c r="N20" s="152"/>
      <c r="O20" s="170"/>
      <c r="P20" s="170"/>
      <c r="Q20" s="170"/>
      <c r="R20" s="170"/>
      <c r="S20" s="170"/>
      <c r="T20" s="170"/>
    </row>
    <row r="21" spans="1:47" outlineLevel="1">
      <c r="G21" s="32"/>
      <c r="H21" s="32"/>
    </row>
    <row r="22" spans="1:47" outlineLevel="1">
      <c r="C22" s="29" t="s">
        <v>40</v>
      </c>
      <c r="D22" s="30" t="s">
        <v>99</v>
      </c>
      <c r="E22" s="30" t="s">
        <v>28</v>
      </c>
      <c r="F22" s="30" t="s">
        <v>36</v>
      </c>
      <c r="J22" s="132" t="str">
        <f t="shared" ref="J22:S22" si="1">IF(J10=J4,IF(COUNTA($C12:$C20)=COUNT(J12:J20),"Ok","Check"),"")</f>
        <v/>
      </c>
      <c r="K22" s="132" t="str">
        <f t="shared" si="1"/>
        <v/>
      </c>
      <c r="L22" s="132" t="str">
        <f t="shared" si="1"/>
        <v/>
      </c>
      <c r="M22" s="132" t="str">
        <f t="shared" si="1"/>
        <v/>
      </c>
      <c r="N22" s="132" t="str">
        <f t="shared" si="1"/>
        <v/>
      </c>
      <c r="O22" s="132" t="str">
        <f t="shared" si="1"/>
        <v>Ok</v>
      </c>
      <c r="P22" s="132" t="str">
        <f t="shared" si="1"/>
        <v>Ok</v>
      </c>
      <c r="Q22" s="132" t="str">
        <f t="shared" si="1"/>
        <v>Ok</v>
      </c>
      <c r="R22" s="132" t="str">
        <f t="shared" si="1"/>
        <v>Ok</v>
      </c>
      <c r="S22" s="132" t="str">
        <f t="shared" si="1"/>
        <v>Ok</v>
      </c>
      <c r="T22" s="132" t="str">
        <f t="shared" ref="T22" si="2">IF(T10=T4,IF(COUNTA($C12:$C20)=COUNT(T12:T20),"Ok","Check"),"")</f>
        <v/>
      </c>
      <c r="U22" s="24"/>
      <c r="W22" s="131" t="str">
        <f>IF(COUNTIF(J22:T22,"Check")=0,"Ok","Check")</f>
        <v>Ok</v>
      </c>
    </row>
    <row r="23" spans="1:47">
      <c r="G23" s="32"/>
      <c r="H23" s="32"/>
    </row>
    <row r="24" spans="1:47" s="103" customFormat="1" ht="12.75">
      <c r="A24" s="94"/>
      <c r="B24" s="95" t="s">
        <v>120</v>
      </c>
      <c r="C24" s="94"/>
      <c r="D24" s="94"/>
      <c r="E24" s="94"/>
      <c r="F24" s="96"/>
      <c r="G24" s="96"/>
      <c r="H24" s="96"/>
      <c r="I24" s="96"/>
      <c r="J24" s="97"/>
      <c r="K24" s="98"/>
      <c r="L24" s="97"/>
      <c r="M24" s="98"/>
      <c r="N24" s="97"/>
      <c r="O24" s="97"/>
      <c r="P24" s="97"/>
      <c r="Q24" s="97"/>
      <c r="R24" s="97"/>
      <c r="S24" s="97"/>
      <c r="T24" s="97"/>
      <c r="U24" s="97"/>
      <c r="V24" s="98"/>
      <c r="W24" s="98"/>
      <c r="X24" s="99"/>
      <c r="Y24" s="99"/>
      <c r="Z24" s="99"/>
      <c r="AA24" s="99"/>
      <c r="AB24" s="100"/>
      <c r="AC24" s="101"/>
      <c r="AD24" s="101"/>
      <c r="AE24" s="102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</row>
    <row r="25" spans="1:47" outlineLevel="1">
      <c r="G25" s="32"/>
      <c r="H25" s="32"/>
    </row>
    <row r="26" spans="1:47" outlineLevel="1">
      <c r="C26" s="67" t="s">
        <v>111</v>
      </c>
      <c r="D26" s="32" t="s">
        <v>7</v>
      </c>
      <c r="E26" s="32" t="s">
        <v>8</v>
      </c>
      <c r="F26" s="32" t="s">
        <v>22</v>
      </c>
      <c r="G26" s="32"/>
      <c r="H26" s="32"/>
      <c r="J26" s="162" t="str">
        <f t="shared" ref="J26:T26" si="3">IF(YEAR(J$4)&gt;=FPFirstYear,IF(YEAR(J$4)&lt;=FPLastYear,J$4,""),"")</f>
        <v/>
      </c>
      <c r="K26" s="162" t="str">
        <f t="shared" si="3"/>
        <v/>
      </c>
      <c r="L26" s="162" t="str">
        <f t="shared" si="3"/>
        <v/>
      </c>
      <c r="M26" s="162" t="str">
        <f t="shared" si="3"/>
        <v/>
      </c>
      <c r="N26" s="162" t="str">
        <f t="shared" si="3"/>
        <v/>
      </c>
      <c r="O26" s="162">
        <f t="shared" si="3"/>
        <v>44986</v>
      </c>
      <c r="P26" s="162">
        <f t="shared" si="3"/>
        <v>45352</v>
      </c>
      <c r="Q26" s="162">
        <f t="shared" si="3"/>
        <v>45717</v>
      </c>
      <c r="R26" s="162">
        <f t="shared" si="3"/>
        <v>46082</v>
      </c>
      <c r="S26" s="162">
        <f t="shared" si="3"/>
        <v>46447</v>
      </c>
      <c r="T26" s="162" t="str">
        <f t="shared" si="3"/>
        <v/>
      </c>
    </row>
    <row r="27" spans="1:47" outlineLevel="1">
      <c r="G27" s="32"/>
      <c r="H27" s="32"/>
    </row>
    <row r="28" spans="1:47" outlineLevel="1">
      <c r="C28" s="221" t="s">
        <v>213</v>
      </c>
      <c r="D28" s="30" t="s">
        <v>69</v>
      </c>
      <c r="E28" s="150" t="s">
        <v>15</v>
      </c>
      <c r="F28" s="171">
        <v>44621</v>
      </c>
      <c r="G28" s="32"/>
      <c r="H28" s="32"/>
      <c r="J28" s="152"/>
      <c r="K28" s="152"/>
      <c r="L28" s="152"/>
      <c r="M28" s="152"/>
      <c r="N28" s="170"/>
      <c r="O28" s="170">
        <v>173.61030500000001</v>
      </c>
      <c r="P28" s="170">
        <v>173.61030500000001</v>
      </c>
      <c r="Q28" s="170">
        <v>173.61030500000001</v>
      </c>
      <c r="R28" s="170">
        <v>173.61030500000001</v>
      </c>
      <c r="S28" s="170">
        <v>173.61030500000001</v>
      </c>
      <c r="T28" s="170"/>
    </row>
    <row r="29" spans="1:47" outlineLevel="1">
      <c r="C29" s="221" t="s">
        <v>214</v>
      </c>
      <c r="D29" s="30" t="str">
        <f>D28</f>
        <v>AER</v>
      </c>
      <c r="E29" s="150" t="s">
        <v>15</v>
      </c>
      <c r="F29" s="171">
        <v>43160</v>
      </c>
      <c r="G29" s="32"/>
      <c r="H29" s="32"/>
      <c r="J29" s="152"/>
      <c r="K29" s="152"/>
      <c r="L29" s="152"/>
      <c r="M29" s="152"/>
      <c r="N29" s="170"/>
      <c r="O29" s="170">
        <v>0</v>
      </c>
      <c r="P29" s="170">
        <v>0</v>
      </c>
      <c r="Q29" s="170">
        <v>0</v>
      </c>
      <c r="R29" s="170">
        <v>0</v>
      </c>
      <c r="S29" s="170">
        <v>0</v>
      </c>
      <c r="T29" s="170"/>
    </row>
    <row r="30" spans="1:47" outlineLevel="1">
      <c r="C30" s="221" t="s">
        <v>222</v>
      </c>
      <c r="D30" s="30" t="str">
        <f>D29</f>
        <v>AER</v>
      </c>
      <c r="E30" s="150" t="s">
        <v>15</v>
      </c>
      <c r="F30" s="171">
        <v>44621</v>
      </c>
      <c r="G30" s="32"/>
      <c r="H30" s="32"/>
      <c r="J30" s="152"/>
      <c r="K30" s="152"/>
      <c r="L30" s="152"/>
      <c r="M30" s="152"/>
      <c r="N30" s="170"/>
      <c r="O30" s="170">
        <v>5.2263371399674705</v>
      </c>
      <c r="P30" s="170">
        <v>5.2263371399674705</v>
      </c>
      <c r="Q30" s="170">
        <v>5.2263371399674705</v>
      </c>
      <c r="R30" s="170">
        <v>5.2263371399674705</v>
      </c>
      <c r="S30" s="170">
        <v>5.2263371399674705</v>
      </c>
      <c r="T30" s="170"/>
    </row>
    <row r="31" spans="1:47" outlineLevel="1">
      <c r="C31" s="222" t="s">
        <v>223</v>
      </c>
      <c r="D31" s="30" t="s">
        <v>69</v>
      </c>
      <c r="E31" s="150" t="s">
        <v>15</v>
      </c>
      <c r="F31" s="171">
        <v>43160</v>
      </c>
      <c r="G31" s="32"/>
      <c r="H31" s="32"/>
      <c r="J31" s="152"/>
      <c r="K31" s="152"/>
      <c r="L31" s="152"/>
      <c r="M31" s="152"/>
      <c r="N31" s="170"/>
      <c r="O31" s="170">
        <v>0</v>
      </c>
      <c r="P31" s="170">
        <v>0</v>
      </c>
      <c r="Q31" s="170">
        <v>0</v>
      </c>
      <c r="R31" s="170">
        <v>0</v>
      </c>
      <c r="S31" s="170">
        <v>0</v>
      </c>
      <c r="T31" s="170"/>
    </row>
    <row r="32" spans="1:47" outlineLevel="1">
      <c r="C32" s="61" t="s">
        <v>215</v>
      </c>
      <c r="D32" s="30" t="s">
        <v>69</v>
      </c>
      <c r="E32" s="150" t="s">
        <v>15</v>
      </c>
      <c r="F32" s="171">
        <v>43160</v>
      </c>
      <c r="G32" s="32"/>
      <c r="H32" s="32"/>
      <c r="J32" s="152"/>
      <c r="K32" s="152"/>
      <c r="L32" s="152"/>
      <c r="M32" s="152"/>
      <c r="N32" s="170"/>
      <c r="O32" s="170">
        <v>0</v>
      </c>
      <c r="P32" s="170">
        <v>0</v>
      </c>
      <c r="Q32" s="170">
        <v>0</v>
      </c>
      <c r="R32" s="170">
        <v>0</v>
      </c>
      <c r="S32" s="170">
        <v>0</v>
      </c>
      <c r="T32" s="170"/>
    </row>
    <row r="33" spans="1:47" outlineLevel="1">
      <c r="G33" s="32"/>
      <c r="H33" s="32"/>
    </row>
    <row r="34" spans="1:47" outlineLevel="1">
      <c r="C34" s="29" t="s">
        <v>40</v>
      </c>
      <c r="D34" s="30" t="s">
        <v>99</v>
      </c>
      <c r="E34" s="30" t="s">
        <v>28</v>
      </c>
      <c r="F34" s="30" t="s">
        <v>36</v>
      </c>
      <c r="J34" s="132" t="str">
        <f t="shared" ref="J34:R34" si="4">IF(J26=J4,IF(COUNTA($C28:$C32)=COUNT(J28:J32),"Ok","Check"),"")</f>
        <v/>
      </c>
      <c r="K34" s="132" t="str">
        <f t="shared" si="4"/>
        <v/>
      </c>
      <c r="L34" s="132" t="str">
        <f t="shared" si="4"/>
        <v/>
      </c>
      <c r="M34" s="132" t="str">
        <f t="shared" si="4"/>
        <v/>
      </c>
      <c r="N34" s="132" t="str">
        <f t="shared" si="4"/>
        <v/>
      </c>
      <c r="O34" s="132" t="str">
        <f t="shared" si="4"/>
        <v>Ok</v>
      </c>
      <c r="P34" s="132" t="str">
        <f t="shared" si="4"/>
        <v>Ok</v>
      </c>
      <c r="Q34" s="132" t="str">
        <f t="shared" si="4"/>
        <v>Ok</v>
      </c>
      <c r="R34" s="132" t="str">
        <f t="shared" si="4"/>
        <v>Ok</v>
      </c>
      <c r="S34" s="132" t="str">
        <f>IF(S26=S4,IF(COUNTA($C28:$C32)=COUNT(S28:S32),"Ok","Check"),"")</f>
        <v>Ok</v>
      </c>
      <c r="T34" s="132" t="str">
        <f>IF(T26=T4,IF(COUNTA($C28:$C32)=COUNT(T28:T32),"Ok","Check"),"")</f>
        <v/>
      </c>
      <c r="U34" s="24"/>
      <c r="W34" s="131" t="str">
        <f>IF(COUNTIF(J34:T34,"Check")=0,"Ok","Check")</f>
        <v>Ok</v>
      </c>
    </row>
    <row r="35" spans="1:47">
      <c r="G35" s="32"/>
      <c r="H35" s="32"/>
    </row>
    <row r="36" spans="1:47" s="103" customFormat="1" ht="12.75">
      <c r="A36" s="94"/>
      <c r="B36" s="95" t="s">
        <v>44</v>
      </c>
      <c r="C36" s="94"/>
      <c r="D36" s="94"/>
      <c r="E36" s="94"/>
      <c r="F36" s="96"/>
      <c r="G36" s="96"/>
      <c r="H36" s="96"/>
      <c r="I36" s="96"/>
      <c r="J36" s="97"/>
      <c r="K36" s="98"/>
      <c r="L36" s="97"/>
      <c r="M36" s="98"/>
      <c r="N36" s="97"/>
      <c r="O36" s="97"/>
      <c r="P36" s="97"/>
      <c r="Q36" s="97"/>
      <c r="R36" s="97"/>
      <c r="S36" s="97"/>
      <c r="T36" s="97"/>
      <c r="U36" s="97"/>
      <c r="V36" s="98"/>
      <c r="W36" s="98"/>
      <c r="X36" s="99"/>
      <c r="Y36" s="99"/>
      <c r="Z36" s="99"/>
      <c r="AA36" s="99"/>
      <c r="AB36" s="100"/>
      <c r="AC36" s="101"/>
      <c r="AD36" s="101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</row>
    <row r="37" spans="1:47" outlineLevel="1">
      <c r="G37" s="32"/>
      <c r="H37" s="32"/>
    </row>
    <row r="38" spans="1:47" outlineLevel="1">
      <c r="C38" s="67" t="s">
        <v>32</v>
      </c>
      <c r="D38" s="32" t="s">
        <v>7</v>
      </c>
      <c r="E38" s="32" t="s">
        <v>8</v>
      </c>
      <c r="F38" s="32" t="s">
        <v>22</v>
      </c>
      <c r="G38" s="32"/>
      <c r="H38" s="32"/>
      <c r="J38" s="162" t="str">
        <f t="shared" ref="J38:T38" si="5">IF(YEAR(J$4)&gt;=FPFirstYear,IF(YEAR(J$4)&lt;=FPLastYear,J$4,""),"")</f>
        <v/>
      </c>
      <c r="K38" s="162" t="str">
        <f t="shared" si="5"/>
        <v/>
      </c>
      <c r="L38" s="162" t="str">
        <f t="shared" si="5"/>
        <v/>
      </c>
      <c r="M38" s="162" t="str">
        <f t="shared" si="5"/>
        <v/>
      </c>
      <c r="N38" s="162" t="str">
        <f t="shared" si="5"/>
        <v/>
      </c>
      <c r="O38" s="162">
        <f t="shared" si="5"/>
        <v>44986</v>
      </c>
      <c r="P38" s="162">
        <f t="shared" si="5"/>
        <v>45352</v>
      </c>
      <c r="Q38" s="162">
        <f t="shared" si="5"/>
        <v>45717</v>
      </c>
      <c r="R38" s="162">
        <f t="shared" si="5"/>
        <v>46082</v>
      </c>
      <c r="S38" s="162">
        <f t="shared" si="5"/>
        <v>46447</v>
      </c>
      <c r="T38" s="162" t="str">
        <f t="shared" si="5"/>
        <v/>
      </c>
    </row>
    <row r="39" spans="1:47" outlineLevel="1">
      <c r="G39" s="32"/>
      <c r="H39" s="32"/>
    </row>
    <row r="40" spans="1:47" outlineLevel="1">
      <c r="C40" s="111" t="s">
        <v>39</v>
      </c>
      <c r="D40" s="30" t="s">
        <v>72</v>
      </c>
      <c r="E40" s="30" t="s">
        <v>15</v>
      </c>
      <c r="F40" s="212">
        <f>DATE(PPLastYear,MONTH('Input|General'!$G$9),1)</f>
        <v>44621</v>
      </c>
      <c r="G40" s="32"/>
      <c r="H40" s="32"/>
      <c r="J40" s="170"/>
      <c r="K40" s="170"/>
      <c r="L40" s="170"/>
      <c r="M40" s="170"/>
      <c r="N40" s="170"/>
      <c r="O40" s="170">
        <v>1.7033945637636729</v>
      </c>
      <c r="P40" s="170">
        <v>1.6941789604760971</v>
      </c>
      <c r="Q40" s="170">
        <v>1.6986769777589621</v>
      </c>
      <c r="R40" s="170">
        <v>1.7006194535738979</v>
      </c>
      <c r="S40" s="170">
        <v>1.6834230439388531</v>
      </c>
      <c r="T40" s="170"/>
    </row>
    <row r="41" spans="1:47" outlineLevel="1">
      <c r="G41" s="32"/>
      <c r="H41" s="32"/>
    </row>
    <row r="42" spans="1:47" outlineLevel="1">
      <c r="C42" s="29" t="s">
        <v>40</v>
      </c>
      <c r="D42" s="30" t="s">
        <v>99</v>
      </c>
      <c r="E42" s="30" t="s">
        <v>28</v>
      </c>
      <c r="F42" s="30" t="s">
        <v>36</v>
      </c>
      <c r="J42" s="132" t="str">
        <f t="shared" ref="J42:R42" si="6">IF(J38=J4,IF(ISBLANK(J40),"Check","Ok"),"")</f>
        <v/>
      </c>
      <c r="K42" s="132" t="str">
        <f t="shared" si="6"/>
        <v/>
      </c>
      <c r="L42" s="132" t="str">
        <f t="shared" si="6"/>
        <v/>
      </c>
      <c r="M42" s="132" t="str">
        <f t="shared" si="6"/>
        <v/>
      </c>
      <c r="N42" s="132" t="str">
        <f t="shared" si="6"/>
        <v/>
      </c>
      <c r="O42" s="132" t="str">
        <f t="shared" si="6"/>
        <v>Ok</v>
      </c>
      <c r="P42" s="132" t="str">
        <f t="shared" si="6"/>
        <v>Ok</v>
      </c>
      <c r="Q42" s="132" t="str">
        <f t="shared" si="6"/>
        <v>Ok</v>
      </c>
      <c r="R42" s="132" t="str">
        <f t="shared" si="6"/>
        <v>Ok</v>
      </c>
      <c r="S42" s="132" t="str">
        <f>IF(S38=S4,IF(ISBLANK(S40),"Check","Ok"),"")</f>
        <v>Ok</v>
      </c>
      <c r="T42" s="132" t="str">
        <f>IF(T38=T4,IF(ISBLANK(T40),"Check","Ok"),"")</f>
        <v/>
      </c>
      <c r="U42" s="24"/>
      <c r="W42" s="131" t="str">
        <f>IF(COUNTIF(J42:T42,"Check")=0,"Ok","Check")</f>
        <v>Ok</v>
      </c>
    </row>
    <row r="43" spans="1:47">
      <c r="G43" s="32"/>
      <c r="H43" s="32"/>
    </row>
    <row r="44" spans="1:47" s="103" customFormat="1" ht="12.75">
      <c r="A44" s="94"/>
      <c r="B44" s="95" t="s">
        <v>21</v>
      </c>
      <c r="C44" s="94"/>
      <c r="D44" s="94"/>
      <c r="E44" s="94"/>
      <c r="F44" s="96"/>
      <c r="G44" s="96"/>
      <c r="H44" s="96"/>
      <c r="I44" s="96"/>
      <c r="J44" s="97"/>
      <c r="K44" s="98"/>
      <c r="L44" s="97"/>
      <c r="M44" s="98"/>
      <c r="N44" s="97"/>
      <c r="O44" s="97"/>
      <c r="P44" s="97"/>
      <c r="Q44" s="97"/>
      <c r="R44" s="97"/>
      <c r="S44" s="97"/>
      <c r="T44" s="97"/>
      <c r="U44" s="97"/>
      <c r="V44" s="98"/>
      <c r="W44" s="98"/>
      <c r="X44" s="99"/>
      <c r="Y44" s="99"/>
      <c r="Z44" s="99"/>
      <c r="AA44" s="99"/>
      <c r="AB44" s="100"/>
      <c r="AC44" s="101"/>
      <c r="AD44" s="101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</row>
    <row r="45" spans="1:47" hidden="1">
      <c r="G45" s="32"/>
      <c r="H45" s="32"/>
    </row>
    <row r="46" spans="1:47" hidden="1">
      <c r="G46" s="32"/>
      <c r="H46" s="32"/>
    </row>
    <row r="47" spans="1:47" hidden="1">
      <c r="G47" s="32"/>
      <c r="H47" s="32"/>
    </row>
    <row r="48" spans="1:47" hidden="1">
      <c r="G48" s="32"/>
      <c r="H48" s="32"/>
    </row>
    <row r="49" spans="7:8" hidden="1">
      <c r="G49" s="32"/>
      <c r="H49" s="32"/>
    </row>
    <row r="50" spans="7:8" hidden="1">
      <c r="G50" s="32"/>
      <c r="H50" s="32"/>
    </row>
    <row r="51" spans="7:8" hidden="1">
      <c r="G51" s="32"/>
      <c r="H51" s="32"/>
    </row>
    <row r="52" spans="7:8" hidden="1">
      <c r="G52" s="32"/>
      <c r="H52" s="32"/>
    </row>
    <row r="53" spans="7:8" hidden="1">
      <c r="G53" s="32"/>
      <c r="H53" s="32"/>
    </row>
    <row r="54" spans="7:8" hidden="1">
      <c r="G54" s="32"/>
      <c r="H54" s="32"/>
    </row>
  </sheetData>
  <mergeCells count="1">
    <mergeCell ref="N3:S3"/>
  </mergeCells>
  <conditionalFormatting sqref="S1">
    <cfRule type="cellIs" dxfId="112" priority="26" operator="equal">
      <formula>"Check"</formula>
    </cfRule>
    <cfRule type="cellIs" dxfId="111" priority="27" operator="equal">
      <formula>"Ok"</formula>
    </cfRule>
  </conditionalFormatting>
  <conditionalFormatting sqref="V1">
    <cfRule type="cellIs" dxfId="110" priority="28" operator="equal">
      <formula>"Check"</formula>
    </cfRule>
    <cfRule type="cellIs" dxfId="109" priority="29" operator="equal">
      <formula>"Ok"</formula>
    </cfRule>
  </conditionalFormatting>
  <conditionalFormatting sqref="J10:T10">
    <cfRule type="expression" dxfId="108" priority="24">
      <formula>J$10=J$4</formula>
    </cfRule>
  </conditionalFormatting>
  <conditionalFormatting sqref="J12:T20">
    <cfRule type="expression" dxfId="107" priority="23">
      <formula>J$10=J$4</formula>
    </cfRule>
  </conditionalFormatting>
  <conditionalFormatting sqref="W22">
    <cfRule type="cellIs" dxfId="106" priority="19" operator="equal">
      <formula>"Check"</formula>
    </cfRule>
    <cfRule type="cellIs" dxfId="105" priority="20" operator="equal">
      <formula>"Ok"</formula>
    </cfRule>
  </conditionalFormatting>
  <conditionalFormatting sqref="J22:T22">
    <cfRule type="cellIs" dxfId="104" priority="17" operator="equal">
      <formula>"Check"</formula>
    </cfRule>
    <cfRule type="cellIs" dxfId="103" priority="18" operator="equal">
      <formula>"Ok"</formula>
    </cfRule>
  </conditionalFormatting>
  <conditionalFormatting sqref="W34">
    <cfRule type="cellIs" dxfId="102" priority="15" operator="equal">
      <formula>"Check"</formula>
    </cfRule>
    <cfRule type="cellIs" dxfId="101" priority="16" operator="equal">
      <formula>"Ok"</formula>
    </cfRule>
  </conditionalFormatting>
  <conditionalFormatting sqref="J34:T34">
    <cfRule type="cellIs" dxfId="100" priority="13" operator="equal">
      <formula>"Check"</formula>
    </cfRule>
    <cfRule type="cellIs" dxfId="99" priority="14" operator="equal">
      <formula>"Ok"</formula>
    </cfRule>
  </conditionalFormatting>
  <conditionalFormatting sqref="J28:M32 O31:O32">
    <cfRule type="expression" dxfId="98" priority="12">
      <formula>J$26=J$4</formula>
    </cfRule>
  </conditionalFormatting>
  <conditionalFormatting sqref="W42">
    <cfRule type="cellIs" dxfId="97" priority="10" operator="equal">
      <formula>"Check"</formula>
    </cfRule>
    <cfRule type="cellIs" dxfId="96" priority="11" operator="equal">
      <formula>"Ok"</formula>
    </cfRule>
  </conditionalFormatting>
  <conditionalFormatting sqref="J42:T42">
    <cfRule type="cellIs" dxfId="95" priority="8" operator="equal">
      <formula>"Check"</formula>
    </cfRule>
    <cfRule type="cellIs" dxfId="94" priority="9" operator="equal">
      <formula>"Ok"</formula>
    </cfRule>
  </conditionalFormatting>
  <conditionalFormatting sqref="P31:T32 O28:T30 O28:S32">
    <cfRule type="expression" dxfId="93" priority="7">
      <formula>O$10=O$4</formula>
    </cfRule>
  </conditionalFormatting>
  <conditionalFormatting sqref="N28:N32">
    <cfRule type="expression" dxfId="92" priority="6">
      <formula>N$10=N$4</formula>
    </cfRule>
  </conditionalFormatting>
  <conditionalFormatting sqref="J40:T40">
    <cfRule type="expression" dxfId="91" priority="3">
      <formula>J$38=J$4</formula>
    </cfRule>
  </conditionalFormatting>
  <conditionalFormatting sqref="J26:T26">
    <cfRule type="expression" dxfId="90" priority="2">
      <formula>J$10=J$4</formula>
    </cfRule>
  </conditionalFormatting>
  <conditionalFormatting sqref="J38:T38">
    <cfRule type="expression" dxfId="89" priority="1">
      <formula>J$10=J$4</formula>
    </cfRule>
  </conditionalFormatting>
  <dataValidations count="2">
    <dataValidation type="list" allowBlank="1" showInputMessage="1" showErrorMessage="1" sqref="F23 F33 F35 F43">
      <formula1>"Real 2010,Real 2011,Real 2012,Real 2013,Real 2014,Real 2015,Nominal"</formula1>
    </dataValidation>
    <dataValidation type="list" allowBlank="1" showInputMessage="1" showErrorMessage="1" sqref="U28:U33 I40 U23 I23 U12:U21 I28:I33 U35 I35 U43 I43">
      <formula1>#REF!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'Lookup|Tables'!$G$10:$G$12</xm:f>
          </x14:formula1>
          <xm:sqref>E40 E12:E21 E28:E32</xm:sqref>
        </x14:dataValidation>
        <x14:dataValidation type="list" allowBlank="1" showInputMessage="1" showErrorMessage="1">
          <x14:formula1>
            <xm:f>'Lookup|Tables'!$C$67:$C$76</xm:f>
          </x14:formula1>
          <xm:sqref>F21</xm:sqref>
        </x14:dataValidation>
        <x14:dataValidation type="list" allowBlank="1" showInputMessage="1" showErrorMessage="1">
          <x14:formula1>
            <xm:f>'Lookup|Tables'!$H$41:$H$60</xm:f>
          </x14:formula1>
          <xm:sqref>F28:F32 F40 F12:F20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CFFCC"/>
  </sheetPr>
  <dimension ref="A1:AV193"/>
  <sheetViews>
    <sheetView showGridLines="0" zoomScale="104" zoomScaleNormal="80" workbookViewId="0"/>
  </sheetViews>
  <sheetFormatPr defaultColWidth="0" defaultRowHeight="11.25" zeroHeight="1" outlineLevelRow="1"/>
  <cols>
    <col min="1" max="2" width="1.5" style="29" customWidth="1"/>
    <col min="3" max="3" width="76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5" style="30" customWidth="1"/>
    <col min="10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 v1.8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82</v>
      </c>
      <c r="S1" s="76" t="s">
        <v>36</v>
      </c>
      <c r="T1" s="76"/>
      <c r="V1" s="187" t="s">
        <v>24</v>
      </c>
      <c r="W1" s="76" t="str">
        <f>'Check|List'!$S$1</f>
        <v>Ok</v>
      </c>
    </row>
    <row r="2" spans="1:48" s="77" customFormat="1" ht="13.5" thickBot="1">
      <c r="B2" s="78" t="str">
        <f>Index!$C$12</f>
        <v>Calc | Opex Forecast</v>
      </c>
      <c r="C2" s="78"/>
      <c r="D2" s="78"/>
      <c r="E2" s="78"/>
      <c r="F2" s="79"/>
      <c r="G2" s="79"/>
      <c r="H2" s="79"/>
      <c r="I2" s="79"/>
    </row>
    <row r="3" spans="1:48" s="80" customFormat="1">
      <c r="C3" s="81"/>
      <c r="D3" s="182"/>
      <c r="E3" s="182"/>
      <c r="F3" s="182"/>
      <c r="G3" s="182"/>
      <c r="H3" s="182"/>
      <c r="I3" s="182"/>
      <c r="J3" s="172" t="s">
        <v>124</v>
      </c>
      <c r="K3" s="172"/>
      <c r="L3" s="172"/>
      <c r="M3" s="182"/>
      <c r="N3" s="228"/>
      <c r="O3" s="228"/>
      <c r="P3" s="228"/>
      <c r="Q3" s="228"/>
      <c r="R3" s="228"/>
      <c r="S3" s="228"/>
      <c r="T3" s="219"/>
      <c r="U3" s="82"/>
      <c r="V3" s="82"/>
      <c r="W3" s="82"/>
      <c r="X3" s="82"/>
      <c r="Y3" s="82"/>
      <c r="Z3" s="82"/>
      <c r="AA3" s="82"/>
    </row>
    <row r="4" spans="1:48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5">
        <f>DATE(PPFirstYear,MONTH('Input|General'!$G$9),1)</f>
        <v>43160</v>
      </c>
      <c r="K4" s="155">
        <f>DATE(PPFirstYear+1,MONTH('Input|General'!$G$9),1)</f>
        <v>43525</v>
      </c>
      <c r="L4" s="155">
        <f>DATE(PPFirstYear+2,MONTH('Input|General'!$G$9),1)</f>
        <v>43891</v>
      </c>
      <c r="M4" s="155">
        <f>DATE(PPFirstYear+3,MONTH('Input|General'!$G$9),1)</f>
        <v>44256</v>
      </c>
      <c r="N4" s="155">
        <f>DATE(PPFirstYear+4,MONTH('Input|General'!$G$9),1)</f>
        <v>44621</v>
      </c>
      <c r="O4" s="155">
        <f>DATE(PPFirstYear+5,MONTH('Input|General'!$G$9),1)</f>
        <v>44986</v>
      </c>
      <c r="P4" s="155">
        <f>DATE(PPFirstYear+6,MONTH('Input|General'!$G$9),1)</f>
        <v>45352</v>
      </c>
      <c r="Q4" s="155">
        <f>DATE(PPFirstYear+7,MONTH('Input|General'!$G$9),1)</f>
        <v>45717</v>
      </c>
      <c r="R4" s="155">
        <f>DATE(PPFirstYear+8,MONTH('Input|General'!$G$9),1)</f>
        <v>46082</v>
      </c>
      <c r="S4" s="155">
        <f>DATE(PPFirstYear+9,MONTH('Input|General'!$G$9),1)</f>
        <v>46447</v>
      </c>
      <c r="T4" s="155">
        <f>DATE(PPFirstYear+10,MONTH('Input|General'!$G$9),1)</f>
        <v>46813</v>
      </c>
      <c r="U4" s="87"/>
      <c r="V4" s="87"/>
      <c r="W4" s="88"/>
      <c r="X4" s="88"/>
    </row>
    <row r="5" spans="1:48" s="27" customFormat="1" ht="3" customHeight="1">
      <c r="D5" s="28"/>
      <c r="E5" s="28"/>
      <c r="F5" s="28"/>
      <c r="G5" s="28"/>
      <c r="H5" s="28"/>
      <c r="I5" s="28"/>
    </row>
    <row r="6" spans="1:48" s="27" customFormat="1" ht="9" customHeight="1">
      <c r="D6" s="28"/>
      <c r="E6" s="28"/>
      <c r="F6" s="28"/>
      <c r="G6" s="28"/>
      <c r="H6" s="28"/>
      <c r="I6" s="28"/>
    </row>
    <row r="7" spans="1:48" s="27" customFormat="1" ht="3" customHeight="1">
      <c r="D7" s="28"/>
      <c r="E7" s="28"/>
      <c r="F7" s="28"/>
      <c r="G7" s="28"/>
      <c r="H7" s="28"/>
      <c r="I7" s="28"/>
    </row>
    <row r="8" spans="1:48" s="103" customFormat="1" ht="12.75">
      <c r="A8" s="94"/>
      <c r="B8" s="95" t="s">
        <v>86</v>
      </c>
      <c r="C8" s="94"/>
      <c r="D8" s="94"/>
      <c r="E8" s="68" t="s">
        <v>15</v>
      </c>
      <c r="F8" s="206">
        <f>DATE(PPLastYear,MONTH('Input|General'!$G$9),1)</f>
        <v>44621</v>
      </c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  <c r="Y8" s="99"/>
      <c r="Z8" s="99"/>
      <c r="AA8" s="99"/>
      <c r="AB8" s="99"/>
      <c r="AC8" s="100"/>
      <c r="AD8" s="101"/>
      <c r="AE8" s="101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</row>
    <row r="9" spans="1:48" outlineLevel="1"/>
    <row r="10" spans="1:48" outlineLevel="1">
      <c r="C10" s="104"/>
      <c r="D10" s="32" t="s">
        <v>7</v>
      </c>
      <c r="E10" s="32" t="s">
        <v>8</v>
      </c>
      <c r="F10" s="32" t="s">
        <v>22</v>
      </c>
      <c r="G10" s="105"/>
      <c r="H10" s="105"/>
      <c r="I10" s="105"/>
      <c r="J10" s="162">
        <f t="shared" ref="J10:S10" si="0">IF(YEAR(J$4)&lt;=PPLastYear,J$4,"")</f>
        <v>43160</v>
      </c>
      <c r="K10" s="162">
        <f t="shared" si="0"/>
        <v>43525</v>
      </c>
      <c r="L10" s="162">
        <f t="shared" si="0"/>
        <v>43891</v>
      </c>
      <c r="M10" s="162">
        <f t="shared" si="0"/>
        <v>44256</v>
      </c>
      <c r="N10" s="162">
        <f t="shared" si="0"/>
        <v>44621</v>
      </c>
      <c r="O10" s="162" t="str">
        <f t="shared" si="0"/>
        <v/>
      </c>
      <c r="P10" s="162" t="str">
        <f t="shared" si="0"/>
        <v/>
      </c>
      <c r="Q10" s="162" t="str">
        <f t="shared" si="0"/>
        <v/>
      </c>
      <c r="R10" s="162" t="str">
        <f t="shared" si="0"/>
        <v/>
      </c>
      <c r="S10" s="162" t="str">
        <f t="shared" si="0"/>
        <v/>
      </c>
      <c r="T10" s="162"/>
    </row>
    <row r="11" spans="1:48" outlineLevel="1">
      <c r="C11" s="106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</row>
    <row r="12" spans="1:48" outlineLevel="1">
      <c r="C12" s="106" t="s">
        <v>166</v>
      </c>
      <c r="D12" s="108" t="s">
        <v>92</v>
      </c>
      <c r="E12" s="30" t="str">
        <f>'Input|Reported opex'!E57</f>
        <v>$millions</v>
      </c>
      <c r="F12" s="160" t="str">
        <f>'Input|Reported opex'!F57</f>
        <v>nominal</v>
      </c>
      <c r="J12" s="109">
        <f>IF(YEAR(J$4)=BaseYear,'Input|Reported opex'!J47,0)</f>
        <v>0</v>
      </c>
      <c r="K12" s="109">
        <f>IF(YEAR(K$4)=BaseYear,'Input|Reported opex'!K47,0)</f>
        <v>0</v>
      </c>
      <c r="L12" s="109">
        <f>IF(YEAR(L$4)=BaseYear,'Input|Reported opex'!L47,0)</f>
        <v>0</v>
      </c>
      <c r="M12" s="109">
        <f>IF(YEAR(M$4)=BaseYear,'Input|Reported opex'!M47,0)</f>
        <v>80.200000000000017</v>
      </c>
      <c r="N12" s="109">
        <f>IF(YEAR(N$4)=BaseYear,'Input|Reported opex'!N47,0)</f>
        <v>0</v>
      </c>
      <c r="O12" s="109">
        <f>IF(YEAR(O$4)=BaseYear,'Input|Reported opex'!O47,0)</f>
        <v>0</v>
      </c>
      <c r="P12" s="109">
        <f>IF(YEAR(P$4)=BaseYear,'Input|Reported opex'!P47,0)</f>
        <v>0</v>
      </c>
      <c r="Q12" s="109">
        <f>IF(YEAR(Q$4)=BaseYear,'Input|Reported opex'!Q47,0)</f>
        <v>0</v>
      </c>
      <c r="R12" s="109">
        <f>IF(YEAR(R$4)=BaseYear,'Input|Reported opex'!R47,0)</f>
        <v>0</v>
      </c>
      <c r="S12" s="109">
        <f>IF(YEAR(S$4)=BaseYear,'Input|Reported opex'!S47,0)</f>
        <v>0</v>
      </c>
      <c r="T12" s="109">
        <f>IF(YEAR(T$4)=BaseYear,'Input|Reported opex'!T47,0)</f>
        <v>0</v>
      </c>
    </row>
    <row r="13" spans="1:48" outlineLevel="1">
      <c r="C13" s="106" t="s">
        <v>166</v>
      </c>
      <c r="D13" s="110" t="s">
        <v>30</v>
      </c>
      <c r="E13" s="30" t="str">
        <f>$E$8</f>
        <v>$millions</v>
      </c>
      <c r="F13" s="160">
        <f>$F$8</f>
        <v>44621</v>
      </c>
      <c r="J13" s="109">
        <f ca="1">J12*IF($F12="nominal",LOOKUP($F13,Nominal_to_Real,'Input|Rate of change'!K$26:K$31),INDEX('Input|Rate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K13" s="109">
        <f ca="1">K12*IF($F12="nominal",LOOKUP($F13,Nominal_to_Real,'Input|Rate of change'!L$26:L$31),INDEX('Input|Rate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L13" s="109">
        <f ca="1">L12*IF($F12="nominal",LOOKUP($F13,Nominal_to_Real,'Input|Rate of change'!M$26:M$31),INDEX('Input|Rate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M13" s="109">
        <f ca="1">M12*IF($F12="nominal",LOOKUP($F13,Nominal_to_Real,'Input|Rate of change'!N$26:N$31),INDEX('Input|Rate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81.68742622888621</v>
      </c>
      <c r="N13" s="109">
        <f ca="1">N12*IF($F12="nominal",LOOKUP($F13,Nominal_to_Real,'Input|Rate of change'!O$26:O$31),INDEX('Input|Rate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O13" s="109">
        <f ca="1">O12*IF($F12="nominal",LOOKUP($F13,Nominal_to_Real,'Input|Rate of change'!P$26:P$31),INDEX('Input|Rate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P13" s="109">
        <f ca="1">P12*IF($F12="nominal",LOOKUP($F13,Nominal_to_Real,'Input|Rate of change'!Q$26:Q$31),INDEX('Input|Rate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Q13" s="109">
        <f ca="1">Q12*IF($F12="nominal",LOOKUP($F13,Nominal_to_Real,'Input|Rate of change'!R$26:R$31),INDEX('Input|Rate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R13" s="109">
        <f ca="1">R12*IF($F12="nominal",LOOKUP($F13,Nominal_to_Real,'Input|Rate of change'!S$26:S$31),INDEX('Input|Rate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S13" s="109">
        <f ca="1">S12*IF($F12="nominal",LOOKUP($F13,Nominal_to_Real,'Input|Rate of change'!T$26:T$31),INDEX('Input|Rate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T13" s="109">
        <f ca="1">T12*IF($F12="nominal",LOOKUP($F13,Nominal_to_Real,'Input|Rate of change'!U$26:U$31),INDEX('Input|Rate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</row>
    <row r="14" spans="1:48" outlineLevel="1">
      <c r="C14" s="111" t="s">
        <v>167</v>
      </c>
      <c r="D14" s="108" t="s">
        <v>92</v>
      </c>
      <c r="E14" s="30" t="str">
        <f>'Input|Reported opex'!E15</f>
        <v>$millions</v>
      </c>
      <c r="F14" s="160">
        <f>'Input|Reported opex'!F15</f>
        <v>42795</v>
      </c>
      <c r="J14" s="109">
        <f>IF(YEAR(J$4)=BaseYear,'Input|Reported opex'!J15,0)</f>
        <v>0</v>
      </c>
      <c r="K14" s="109">
        <f>IF(YEAR(K$4)=BaseYear,'Input|Reported opex'!K15,0)</f>
        <v>0</v>
      </c>
      <c r="L14" s="109">
        <f>IF(YEAR(L$4)=BaseYear,'Input|Reported opex'!L15,0)</f>
        <v>0</v>
      </c>
      <c r="M14" s="109">
        <f>IF(YEAR(M$4)=BaseYear,'Input|Reported opex'!M15,0)</f>
        <v>228.53516874760538</v>
      </c>
      <c r="N14" s="109">
        <f>IF(YEAR(N$4)=BaseYear,'Input|Reported opex'!N15,0)</f>
        <v>0</v>
      </c>
      <c r="O14" s="109">
        <f>IF(YEAR(O$4)=BaseYear,'Input|Reported opex'!O15,0)</f>
        <v>0</v>
      </c>
      <c r="P14" s="109">
        <f>IF(YEAR(P$4)=BaseYear,'Input|Reported opex'!P15,0)</f>
        <v>0</v>
      </c>
      <c r="Q14" s="109">
        <f>IF(YEAR(Q$4)=BaseYear,'Input|Reported opex'!Q15,0)</f>
        <v>0</v>
      </c>
      <c r="R14" s="109">
        <f>IF(YEAR(R$4)=BaseYear,'Input|Reported opex'!R15,0)</f>
        <v>0</v>
      </c>
      <c r="S14" s="109">
        <f>IF(YEAR(S$4)=BaseYear,'Input|Reported opex'!S15,0)</f>
        <v>0</v>
      </c>
      <c r="T14" s="109"/>
    </row>
    <row r="15" spans="1:48" outlineLevel="1">
      <c r="C15" s="111" t="s">
        <v>167</v>
      </c>
      <c r="D15" s="110" t="s">
        <v>30</v>
      </c>
      <c r="E15" s="30" t="str">
        <f>$E$8</f>
        <v>$millions</v>
      </c>
      <c r="F15" s="160">
        <f>$F$8</f>
        <v>44621</v>
      </c>
      <c r="J15" s="109">
        <f>J14*IF($F14="nominal",LOOKUP($F15,Nominal_to_Real,'Input|Rate of change'!K$26:K$32),INDEX('Input|Rate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K15" s="109">
        <f>K14*IF($F14="nominal",LOOKUP($F15,Nominal_to_Real,'Input|Rate of change'!L$26:L$32),INDEX('Input|Rate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L15" s="109">
        <f>L14*IF($F14="nominal",LOOKUP($F15,Nominal_to_Real,'Input|Rate of change'!M$26:M$32),INDEX('Input|Rate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M15" s="109">
        <f>M14*IF($F14="nominal",LOOKUP($F15,Nominal_to_Real,'Input|Rate of change'!N$26:N$32),INDEX('Input|Rate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246.98909924763333</v>
      </c>
      <c r="N15" s="109">
        <f>N14*IF($F14="nominal",LOOKUP($F15,Nominal_to_Real,'Input|Rate of change'!O$26:O$32),INDEX('Input|Rate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O15" s="109">
        <f>O14*IF($F14="nominal",LOOKUP($F15,Nominal_to_Real,'Input|Rate of change'!P$26:P$32),INDEX('Input|Rate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P15" s="109">
        <f>P14*IF($F14="nominal",LOOKUP($F15,Nominal_to_Real,'Input|Rate of change'!Q$26:Q$32),INDEX('Input|Rate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Q15" s="109">
        <f>Q14*IF($F14="nominal",LOOKUP($F15,Nominal_to_Real,'Input|Rate of change'!R$26:R$32),INDEX('Input|Rate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R15" s="109">
        <f>R14*IF($F14="nominal",LOOKUP($F15,Nominal_to_Real,'Input|Rate of change'!S$26:S$32),INDEX('Input|Rate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S15" s="109">
        <f>S14*IF($F14="nominal",LOOKUP($F15,Nominal_to_Real,'Input|Rate of change'!T$26:T$32),INDEX('Input|Rate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  <c r="T15" s="109">
        <f>T14*IF($F14="nominal",LOOKUP($F15,Nominal_to_Real,'Input|Rate of change'!U$26:U$32),INDEX('Input|Rate of change'!$C$14:$P$22,MATCH('Calc|Opex forecast'!$F14,'Input|Rate of change'!$C$14:$C$22,0),MATCH('Calc|Opex forecast'!$F15,'Input|Rate of change'!$C$14:$P$14,0)))*IF($E14="$millions",1000000,IF($E14="$000",1000,1))/IF($E15="$millions",1000000,IF($E15="$000",1000,1))</f>
        <v>0</v>
      </c>
    </row>
    <row r="16" spans="1:48" outlineLevel="1">
      <c r="C16" s="111" t="s">
        <v>168</v>
      </c>
      <c r="D16" s="108" t="s">
        <v>92</v>
      </c>
      <c r="E16" s="30" t="str">
        <f>'Input|Reported opex'!E15</f>
        <v>$millions</v>
      </c>
      <c r="F16" s="160">
        <f>'Input|Reported opex'!F15</f>
        <v>42795</v>
      </c>
      <c r="J16" s="109">
        <f>IF(YEAR(J$4)=PPLastYear,'Input|Reported opex'!J15,0)</f>
        <v>0</v>
      </c>
      <c r="K16" s="109">
        <f>IF(YEAR(K$4)=PPLastYear,'Input|Reported opex'!K15,0)</f>
        <v>0</v>
      </c>
      <c r="L16" s="109">
        <f>IF(YEAR(L$4)=PPLastYear,'Input|Reported opex'!L15,0)</f>
        <v>0</v>
      </c>
      <c r="M16" s="109">
        <f>IF(YEAR(M$4)=PPLastYear,'Input|Reported opex'!M15,0)</f>
        <v>0</v>
      </c>
      <c r="N16" s="109">
        <f>IF(YEAR(N$4)=PPLastYear,'Input|Reported opex'!N15,0)</f>
        <v>229.00109683926635</v>
      </c>
      <c r="O16" s="109">
        <f>IF(YEAR(O$4)=PPLastYear,'Input|Reported opex'!O15,0)</f>
        <v>0</v>
      </c>
      <c r="P16" s="109">
        <f>IF(YEAR(P$4)=PPLastYear,'Input|Reported opex'!P15,0)</f>
        <v>0</v>
      </c>
      <c r="Q16" s="109">
        <f>IF(YEAR(Q$4)=PPLastYear,'Input|Reported opex'!Q15,0)</f>
        <v>0</v>
      </c>
      <c r="R16" s="109">
        <f>IF(YEAR(R$4)=PPLastYear,'Input|Reported opex'!R15,0)</f>
        <v>0</v>
      </c>
      <c r="S16" s="109">
        <f>IF(YEAR(S$4)=PPLastYear,'Input|Reported opex'!S15,0)</f>
        <v>0</v>
      </c>
      <c r="T16" s="109"/>
    </row>
    <row r="17" spans="3:20" outlineLevel="1">
      <c r="C17" s="111" t="s">
        <v>168</v>
      </c>
      <c r="D17" s="110" t="s">
        <v>30</v>
      </c>
      <c r="E17" s="30" t="str">
        <f>$E$8</f>
        <v>$millions</v>
      </c>
      <c r="F17" s="160">
        <f>$F$8</f>
        <v>44621</v>
      </c>
      <c r="J17" s="109">
        <f>J16*IF($F16="nominal",LOOKUP($F17,Nominal_to_Real,'Input|Rate of change'!K$26:K$32),INDEX('Input|Rate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K17" s="109">
        <f>K16*IF($F16="nominal",LOOKUP($F17,Nominal_to_Real,'Input|Rate of change'!L$26:L$32),INDEX('Input|Rate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L17" s="109">
        <f>L16*IF($F16="nominal",LOOKUP($F17,Nominal_to_Real,'Input|Rate of change'!M$26:M$32),INDEX('Input|Rate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M17" s="109">
        <f>M16*IF($F16="nominal",LOOKUP($F17,Nominal_to_Real,'Input|Rate of change'!N$26:N$32),INDEX('Input|Rate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N17" s="109">
        <f>N16*IF($F16="nominal",LOOKUP($F17,Nominal_to_Real,'Input|Rate of change'!O$26:O$32),INDEX('Input|Rate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247.49265045292114</v>
      </c>
      <c r="O17" s="109">
        <f>O16*IF($F16="nominal",LOOKUP($F17,Nominal_to_Real,'Input|Rate of change'!P$26:P$32),INDEX('Input|Rate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P17" s="109">
        <f>P16*IF($F16="nominal",LOOKUP($F17,Nominal_to_Real,'Input|Rate of change'!Q$26:Q$32),INDEX('Input|Rate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Q17" s="109">
        <f>Q16*IF($F16="nominal",LOOKUP($F17,Nominal_to_Real,'Input|Rate of change'!R$26:R$32),INDEX('Input|Rate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R17" s="109">
        <f>R16*IF($F16="nominal",LOOKUP($F17,Nominal_to_Real,'Input|Rate of change'!S$26:S$32),INDEX('Input|Rate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S17" s="109">
        <f>S16*IF($F16="nominal",LOOKUP($F17,Nominal_to_Real,'Input|Rate of change'!T$26:T$32),INDEX('Input|Rate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  <c r="T17" s="109">
        <f>T16*IF($F16="nominal",LOOKUP($F17,Nominal_to_Real,'Input|Rate of change'!U$26:U$32),INDEX('Input|Rate of change'!$C$14:$P$22,MATCH('Calc|Opex forecast'!$F16,'Input|Rate of change'!$C$14:$C$22,0),MATCH('Calc|Opex forecast'!$F17,'Input|Rate of change'!$C$14:$P$14,0)))*IF($E16="$millions",1000000,IF($E16="$000",1000,1))/IF($E17="$millions",1000000,IF($E17="$000",1000,1))</f>
        <v>0</v>
      </c>
    </row>
    <row r="18" spans="3:20" outlineLevel="1">
      <c r="C18" s="111"/>
      <c r="D18" s="110"/>
      <c r="F18" s="160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</row>
    <row r="19" spans="3:20" outlineLevel="1">
      <c r="C19" s="106" t="s">
        <v>169</v>
      </c>
      <c r="D19" s="108" t="s">
        <v>92</v>
      </c>
      <c r="E19" s="30" t="str">
        <f>'Input|Reported opex'!E64</f>
        <v>$millions</v>
      </c>
      <c r="F19" s="160" t="str">
        <f>'Input|Reported opex'!F57</f>
        <v>nominal</v>
      </c>
      <c r="J19" s="109">
        <f>IF(YEAR(J$4)=BaseYear,'Input|Reported opex'!J57,0)</f>
        <v>0</v>
      </c>
      <c r="K19" s="109">
        <f>IF(YEAR(K$4)=BaseYear,'Input|Reported opex'!K57,0)</f>
        <v>0</v>
      </c>
      <c r="L19" s="109">
        <f>IF(YEAR(L$4)=BaseYear,'Input|Reported opex'!L57,0)</f>
        <v>0</v>
      </c>
      <c r="M19" s="109">
        <f>IF(YEAR(M$4)=BaseYear,'Input|Reported opex'!M57,0)</f>
        <v>0</v>
      </c>
      <c r="N19" s="109">
        <f>IF(YEAR(N$4)=BaseYear,'Input|Reported opex'!N57,0)</f>
        <v>0</v>
      </c>
      <c r="O19" s="109">
        <f>IF(YEAR(O$4)=BaseYear,'Input|Reported opex'!O57,0)</f>
        <v>0</v>
      </c>
      <c r="P19" s="109">
        <f>IF(YEAR(P$4)=BaseYear,'Input|Reported opex'!P57,0)</f>
        <v>0</v>
      </c>
      <c r="Q19" s="109">
        <f>IF(YEAR(Q$4)=BaseYear,'Input|Reported opex'!Q57,0)</f>
        <v>0</v>
      </c>
      <c r="R19" s="109">
        <f>IF(YEAR(R$4)=BaseYear,'Input|Reported opex'!R57,0)</f>
        <v>0</v>
      </c>
      <c r="S19" s="109">
        <f>IF(YEAR(S$4)=BaseYear,'Input|Reported opex'!S57,0)</f>
        <v>0</v>
      </c>
      <c r="T19" s="109"/>
    </row>
    <row r="20" spans="3:20" outlineLevel="1">
      <c r="C20" s="106" t="s">
        <v>169</v>
      </c>
      <c r="D20" s="110" t="s">
        <v>30</v>
      </c>
      <c r="E20" s="30" t="str">
        <f>$E$8</f>
        <v>$millions</v>
      </c>
      <c r="F20" s="160">
        <f>$F$8</f>
        <v>44621</v>
      </c>
      <c r="J20" s="109">
        <f>J19*IF($F19="nominal",LOOKUP($F20,Nominal_to_Real,'Input|Rate of change'!K$26:K$32),INDEX('Input|Rate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K20" s="109">
        <f>K19*IF($F19="nominal",LOOKUP($F20,Nominal_to_Real,'Input|Rate of change'!L$26:L$32),INDEX('Input|Rate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L20" s="109">
        <f>L19*IF($F19="nominal",LOOKUP($F20,Nominal_to_Real,'Input|Rate of change'!M$26:M$32),INDEX('Input|Rate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M20" s="109">
        <f>M19*IF($F19="nominal",LOOKUP($F20,Nominal_to_Real,'Input|Rate of change'!N$26:N$32),INDEX('Input|Rate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N20" s="109">
        <f>N19*IF($F19="nominal",LOOKUP($F20,Nominal_to_Real,'Input|Rate of change'!O$26:O$32),INDEX('Input|Rate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O20" s="109">
        <f>O19*IF($F19="nominal",LOOKUP($F20,Nominal_to_Real,'Input|Rate of change'!P$26:P$32),INDEX('Input|Rate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P20" s="109">
        <f>P19*IF($F19="nominal",LOOKUP($F20,Nominal_to_Real,'Input|Rate of change'!Q$26:Q$32),INDEX('Input|Rate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Q20" s="109">
        <f>Q19*IF($F19="nominal",LOOKUP($F20,Nominal_to_Real,'Input|Rate of change'!R$26:R$32),INDEX('Input|Rate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R20" s="109">
        <f>R19*IF($F19="nominal",LOOKUP($F20,Nominal_to_Real,'Input|Rate of change'!S$26:S$32),INDEX('Input|Rate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S20" s="109">
        <f>S19*IF($F19="nominal",LOOKUP($F20,Nominal_to_Real,'Input|Rate of change'!T$26:T$32),INDEX('Input|Rate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  <c r="T20" s="109">
        <f>T19*IF($F19="nominal",LOOKUP($F20,Nominal_to_Real,'Input|Rate of change'!U$26:U$32),INDEX('Input|Rate of change'!$C$14:$P$22,MATCH('Calc|Opex forecast'!$F19,'Input|Rate of change'!$C$14:$C$22,0),MATCH('Calc|Opex forecast'!$F20,'Input|Rate of change'!$C$14:$P$14,0)))*IF($E19="$millions",1000000,IF($E19="$000",1000,1))/IF($E20="$millions",1000000,IF($E20="$000",1000,1))</f>
        <v>0</v>
      </c>
    </row>
    <row r="21" spans="3:20" outlineLevel="1">
      <c r="C21" s="111" t="s">
        <v>170</v>
      </c>
      <c r="D21" s="108" t="s">
        <v>92</v>
      </c>
      <c r="E21" s="30" t="str">
        <f>'Input|Reported opex'!E22</f>
        <v>$millions</v>
      </c>
      <c r="F21" s="160">
        <f>'Input|Reported opex'!F29</f>
        <v>42795</v>
      </c>
      <c r="J21" s="109">
        <f>IF(YEAR(J$4)=BaseYear,'Input|Reported opex'!J29,0)</f>
        <v>0</v>
      </c>
      <c r="K21" s="109">
        <f>IF(YEAR(K$4)=BaseYear,'Input|Reported opex'!K29,0)</f>
        <v>0</v>
      </c>
      <c r="L21" s="109">
        <f>IF(YEAR(L$4)=BaseYear,'Input|Reported opex'!L29,0)</f>
        <v>0</v>
      </c>
      <c r="M21" s="109">
        <f>IF(YEAR(M$4)=BaseYear,'Input|Reported opex'!M29,0)</f>
        <v>136.58342997881118</v>
      </c>
      <c r="N21" s="109">
        <f>IF(YEAR(N$4)=BaseYear,'Input|Reported opex'!N29,0)</f>
        <v>0</v>
      </c>
      <c r="O21" s="109">
        <f>IF(YEAR(O$4)=BaseYear,'Input|Reported opex'!O29,0)</f>
        <v>0</v>
      </c>
      <c r="P21" s="109">
        <f>IF(YEAR(P$4)=BaseYear,'Input|Reported opex'!P29,0)</f>
        <v>0</v>
      </c>
      <c r="Q21" s="109">
        <f>IF(YEAR(Q$4)=BaseYear,'Input|Reported opex'!Q29,0)</f>
        <v>0</v>
      </c>
      <c r="R21" s="109">
        <f>IF(YEAR(R$4)=BaseYear,'Input|Reported opex'!R29,0)</f>
        <v>0</v>
      </c>
      <c r="S21" s="109">
        <f>IF(YEAR(S$4)=BaseYear,'Input|Reported opex'!S29,0)</f>
        <v>0</v>
      </c>
      <c r="T21" s="109"/>
    </row>
    <row r="22" spans="3:20" outlineLevel="1">
      <c r="C22" s="111" t="s">
        <v>170</v>
      </c>
      <c r="D22" s="110" t="s">
        <v>30</v>
      </c>
      <c r="E22" s="30" t="str">
        <f>$E$8</f>
        <v>$millions</v>
      </c>
      <c r="F22" s="160">
        <f>$F$8</f>
        <v>44621</v>
      </c>
      <c r="J22" s="109">
        <f>J21*IF($F21="nominal",LOOKUP($F22,Nominal_to_Real,'Input|Rate of change'!K$26:K$32),INDEX('Input|Rate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K22" s="109">
        <f>K21*IF($F21="nominal",LOOKUP($F22,Nominal_to_Real,'Input|Rate of change'!L$26:L$32),INDEX('Input|Rate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L22" s="109">
        <f>L21*IF($F21="nominal",LOOKUP($F22,Nominal_to_Real,'Input|Rate of change'!M$26:M$32),INDEX('Input|Rate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M22" s="109">
        <f>M21*IF($F21="nominal",LOOKUP($F22,Nominal_to_Real,'Input|Rate of change'!N$26:N$32),INDEX('Input|Rate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147.61237199284344</v>
      </c>
      <c r="N22" s="109">
        <f>N21*IF($F21="nominal",LOOKUP($F22,Nominal_to_Real,'Input|Rate of change'!O$26:O$32),INDEX('Input|Rate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O22" s="109">
        <f>O21*IF($F21="nominal",LOOKUP($F22,Nominal_to_Real,'Input|Rate of change'!P$26:P$32),INDEX('Input|Rate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P22" s="109">
        <f>P21*IF($F21="nominal",LOOKUP($F22,Nominal_to_Real,'Input|Rate of change'!Q$26:Q$32),INDEX('Input|Rate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Q22" s="109">
        <f>Q21*IF($F21="nominal",LOOKUP($F22,Nominal_to_Real,'Input|Rate of change'!R$26:R$32),INDEX('Input|Rate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R22" s="109">
        <f>R21*IF($F21="nominal",LOOKUP($F22,Nominal_to_Real,'Input|Rate of change'!S$26:S$32),INDEX('Input|Rate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S22" s="109">
        <f>S21*IF($F21="nominal",LOOKUP($F22,Nominal_to_Real,'Input|Rate of change'!T$26:T$32),INDEX('Input|Rate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  <c r="T22" s="109">
        <f>T21*IF($F21="nominal",LOOKUP($F22,Nominal_to_Real,'Input|Rate of change'!U$26:U$32),INDEX('Input|Rate of change'!$C$14:$P$22,MATCH('Calc|Opex forecast'!$F21,'Input|Rate of change'!$C$14:$C$22,0),MATCH('Calc|Opex forecast'!$F22,'Input|Rate of change'!$C$14:$P$14,0)))*IF($E21="$millions",1000000,IF($E21="$000",1000,1))/IF($E22="$millions",1000000,IF($E22="$000",1000,1))</f>
        <v>0</v>
      </c>
    </row>
    <row r="23" spans="3:20" outlineLevel="1">
      <c r="C23" s="111" t="s">
        <v>171</v>
      </c>
      <c r="D23" s="108" t="s">
        <v>92</v>
      </c>
      <c r="E23" s="30" t="str">
        <f>'Input|Reported opex'!E22</f>
        <v>$millions</v>
      </c>
      <c r="F23" s="160">
        <f>'Input|Reported opex'!F29</f>
        <v>42795</v>
      </c>
      <c r="J23" s="109">
        <f>IF(YEAR(J$4)=PPLastYear,'Input|Reported opex'!J29,0)</f>
        <v>0</v>
      </c>
      <c r="K23" s="109">
        <f>IF(YEAR(K$4)=PPLastYear,'Input|Reported opex'!K29,0)</f>
        <v>0</v>
      </c>
      <c r="L23" s="109">
        <f>IF(YEAR(L$4)=PPLastYear,'Input|Reported opex'!L29,0)</f>
        <v>0</v>
      </c>
      <c r="M23" s="109">
        <f>IF(YEAR(M$4)=PPLastYear,'Input|Reported opex'!M29,0)</f>
        <v>0</v>
      </c>
      <c r="N23" s="109">
        <f>IF(YEAR(N$4)=PPLastYear,'Input|Reported opex'!N29,0)</f>
        <v>136.56097614523327</v>
      </c>
      <c r="O23" s="109">
        <f>IF(YEAR(O$4)=PPLastYear,'Input|Reported opex'!O29,0)</f>
        <v>0</v>
      </c>
      <c r="P23" s="109">
        <f>IF(YEAR(P$4)=PPLastYear,'Input|Reported opex'!P29,0)</f>
        <v>0</v>
      </c>
      <c r="Q23" s="109">
        <f>IF(YEAR(Q$4)=PPLastYear,'Input|Reported opex'!Q29,0)</f>
        <v>0</v>
      </c>
      <c r="R23" s="109">
        <f>IF(YEAR(R$4)=PPLastYear,'Input|Reported opex'!R29,0)</f>
        <v>0</v>
      </c>
      <c r="S23" s="109">
        <f>IF(YEAR(S$4)=PPLastYear,'Input|Reported opex'!S29,0)</f>
        <v>0</v>
      </c>
      <c r="T23" s="109"/>
    </row>
    <row r="24" spans="3:20" outlineLevel="1">
      <c r="C24" s="111" t="s">
        <v>171</v>
      </c>
      <c r="D24" s="110" t="s">
        <v>30</v>
      </c>
      <c r="E24" s="30" t="str">
        <f>$E$8</f>
        <v>$millions</v>
      </c>
      <c r="F24" s="160">
        <f>$F$8</f>
        <v>44621</v>
      </c>
      <c r="J24" s="109">
        <f>J23*IF($F23="nominal",LOOKUP($F24,Nominal_to_Real,'Input|Rate of change'!K$26:K$32),INDEX('Input|Rate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K24" s="109">
        <f>K23*IF($F23="nominal",LOOKUP($F24,Nominal_to_Real,'Input|Rate of change'!L$26:L$32),INDEX('Input|Rate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L24" s="109">
        <f>L23*IF($F23="nominal",LOOKUP($F24,Nominal_to_Real,'Input|Rate of change'!M$26:M$32),INDEX('Input|Rate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M24" s="109">
        <f>M23*IF($F23="nominal",LOOKUP($F24,Nominal_to_Real,'Input|Rate of change'!N$26:N$32),INDEX('Input|Rate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N24" s="109">
        <f>N23*IF($F23="nominal",LOOKUP($F24,Nominal_to_Real,'Input|Rate of change'!O$26:O$32),INDEX('Input|Rate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147.58810504014437</v>
      </c>
      <c r="O24" s="109">
        <f>O23*IF($F23="nominal",LOOKUP($F24,Nominal_to_Real,'Input|Rate of change'!P$26:P$32),INDEX('Input|Rate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P24" s="109">
        <f>P23*IF($F23="nominal",LOOKUP($F24,Nominal_to_Real,'Input|Rate of change'!Q$26:Q$32),INDEX('Input|Rate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Q24" s="109">
        <f>Q23*IF($F23="nominal",LOOKUP($F24,Nominal_to_Real,'Input|Rate of change'!R$26:R$32),INDEX('Input|Rate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R24" s="109">
        <f>R23*IF($F23="nominal",LOOKUP($F24,Nominal_to_Real,'Input|Rate of change'!S$26:S$32),INDEX('Input|Rate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S24" s="109">
        <f>S23*IF($F23="nominal",LOOKUP($F24,Nominal_to_Real,'Input|Rate of change'!T$26:T$32),INDEX('Input|Rate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  <c r="T24" s="109">
        <f>T23*IF($F23="nominal",LOOKUP($F24,Nominal_to_Real,'Input|Rate of change'!U$26:U$32),INDEX('Input|Rate of change'!$C$14:$P$22,MATCH('Calc|Opex forecast'!$F23,'Input|Rate of change'!$C$14:$C$22,0),MATCH('Calc|Opex forecast'!$F24,'Input|Rate of change'!$C$14:$P$14,0)))*IF($E23="$millions",1000000,IF($E23="$000",1000,1))/IF($E24="$millions",1000000,IF($E24="$000",1000,1))</f>
        <v>0</v>
      </c>
    </row>
    <row r="25" spans="3:20" outlineLevel="1">
      <c r="C25" s="111"/>
      <c r="F25" s="112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</row>
    <row r="26" spans="3:20" outlineLevel="1">
      <c r="C26" s="113" t="s">
        <v>142</v>
      </c>
      <c r="D26" s="114" t="s">
        <v>30</v>
      </c>
      <c r="E26" s="114" t="str">
        <f>$E$8</f>
        <v>$millions</v>
      </c>
      <c r="F26" s="160">
        <f>$F$8</f>
        <v>44621</v>
      </c>
      <c r="J26" s="115">
        <f ca="1">J13</f>
        <v>0</v>
      </c>
      <c r="K26" s="115">
        <f t="shared" ref="K26:S26" ca="1" si="1">K13</f>
        <v>0</v>
      </c>
      <c r="L26" s="115">
        <f t="shared" ca="1" si="1"/>
        <v>0</v>
      </c>
      <c r="M26" s="115">
        <f t="shared" ca="1" si="1"/>
        <v>81.68742622888621</v>
      </c>
      <c r="N26" s="115">
        <f t="shared" ca="1" si="1"/>
        <v>0</v>
      </c>
      <c r="O26" s="115">
        <f t="shared" ca="1" si="1"/>
        <v>0</v>
      </c>
      <c r="P26" s="115">
        <f t="shared" ca="1" si="1"/>
        <v>0</v>
      </c>
      <c r="Q26" s="115">
        <f t="shared" ca="1" si="1"/>
        <v>0</v>
      </c>
      <c r="R26" s="115">
        <f t="shared" ca="1" si="1"/>
        <v>0</v>
      </c>
      <c r="S26" s="115">
        <f t="shared" ca="1" si="1"/>
        <v>0</v>
      </c>
      <c r="T26" s="115"/>
    </row>
    <row r="27" spans="3:20" outlineLevel="1">
      <c r="C27" s="123"/>
      <c r="D27" s="110"/>
      <c r="E27" s="110"/>
      <c r="F27" s="160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</row>
    <row r="28" spans="3:20" outlineLevel="1">
      <c r="C28" s="123" t="s">
        <v>164</v>
      </c>
      <c r="D28" s="108" t="s">
        <v>92</v>
      </c>
      <c r="E28" s="110" t="str">
        <f>'Input|Reported opex'!E69</f>
        <v>$millions</v>
      </c>
      <c r="F28" s="160">
        <f>'Input|Reported opex'!F69</f>
        <v>42795</v>
      </c>
      <c r="J28" s="115">
        <f>IF('Input|Reported opex'!J$61='Input|Reported opex'!J$10,'Input|Reported opex'!J69,0)</f>
        <v>0</v>
      </c>
      <c r="K28" s="115">
        <f>IF('Input|Reported opex'!K$61='Input|Reported opex'!K$10,'Input|Reported opex'!K69,0)</f>
        <v>0</v>
      </c>
      <c r="L28" s="115">
        <f>IF('Input|Reported opex'!L$61='Input|Reported opex'!L$10,'Input|Reported opex'!L69,0)</f>
        <v>0</v>
      </c>
      <c r="M28" s="115">
        <f>IF('Input|Reported opex'!M$61='Input|Reported opex'!M$10,'Input|Reported opex'!M69,0)</f>
        <v>0</v>
      </c>
      <c r="N28" s="115">
        <f>IF('Input|Reported opex'!N$61='Input|Reported opex'!N$10,'Input|Reported opex'!N69,0)</f>
        <v>0</v>
      </c>
      <c r="O28" s="115">
        <f>IF('Input|Reported opex'!O$61='Input|Reported opex'!O$10,'Input|Reported opex'!O69,0)</f>
        <v>0</v>
      </c>
      <c r="P28" s="115">
        <f>IF('Input|Reported opex'!P$61='Input|Reported opex'!P$10,'Input|Reported opex'!P69,0)</f>
        <v>0</v>
      </c>
      <c r="Q28" s="115">
        <f>IF('Input|Reported opex'!Q$61='Input|Reported opex'!Q$10,'Input|Reported opex'!Q69,0)</f>
        <v>0</v>
      </c>
      <c r="R28" s="115">
        <f>IF('Input|Reported opex'!R$61='Input|Reported opex'!R$10,'Input|Reported opex'!R69,0)</f>
        <v>0</v>
      </c>
      <c r="S28" s="115">
        <f>IF('Input|Reported opex'!S$61='Input|Reported opex'!S$10,'Input|Reported opex'!S69,0)</f>
        <v>0</v>
      </c>
      <c r="T28" s="115"/>
    </row>
    <row r="29" spans="3:20" outlineLevel="1">
      <c r="C29" s="123" t="str">
        <f>C28</f>
        <v>Add back non-recurrent efficiency gains in the base year</v>
      </c>
      <c r="D29" s="110" t="s">
        <v>30</v>
      </c>
      <c r="E29" s="110" t="str">
        <f>$E$8</f>
        <v>$millions</v>
      </c>
      <c r="F29" s="160">
        <f>$F$8</f>
        <v>44621</v>
      </c>
      <c r="J29" s="115">
        <f>J28*IF($F28="nominal",LOOKUP($F29,Nominal_to_Real,'Input|Rate of change'!K$26:K$32),INDEX('Input|Rate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K29" s="115">
        <f>K28*IF($F28="nominal",LOOKUP($F29,Nominal_to_Real,'Input|Rate of change'!L$26:L$32),INDEX('Input|Rate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L29" s="115">
        <f>L28*IF($F28="nominal",LOOKUP($F29,Nominal_to_Real,'Input|Rate of change'!M$26:M$32),INDEX('Input|Rate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M29" s="115">
        <f>M28*IF($F28="nominal",LOOKUP($F29,Nominal_to_Real,'Input|Rate of change'!N$26:N$32),INDEX('Input|Rate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N29" s="115">
        <f>N28*IF($F28="nominal",LOOKUP($F29,Nominal_to_Real,'Input|Rate of change'!O$26:O$32),INDEX('Input|Rate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O29" s="115">
        <f>O28*IF($F28="nominal",LOOKUP($F29,Nominal_to_Real,'Input|Rate of change'!P$26:P$32),INDEX('Input|Rate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P29" s="115">
        <f>P28*IF($F28="nominal",LOOKUP($F29,Nominal_to_Real,'Input|Rate of change'!Q$26:Q$32),INDEX('Input|Rate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Q29" s="115">
        <f>Q28*IF($F28="nominal",LOOKUP($F29,Nominal_to_Real,'Input|Rate of change'!R$26:R$32),INDEX('Input|Rate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R29" s="115">
        <f>R28*IF($F28="nominal",LOOKUP($F29,Nominal_to_Real,'Input|Rate of change'!S$26:S$32),INDEX('Input|Rate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S29" s="115">
        <f>S28*IF($F28="nominal",LOOKUP($F29,Nominal_to_Real,'Input|Rate of change'!T$26:T$32),INDEX('Input|Rate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  <c r="T29" s="115">
        <f>T28*IF($F28="nominal",LOOKUP($F29,Nominal_to_Real,'Input|Rate of change'!U$26:U$32),INDEX('Input|Rate of change'!$C$14:$P$22,MATCH('Calc|Opex forecast'!$F28,'Input|Rate of change'!$C$14:$C$22,0),MATCH('Calc|Opex forecast'!$F29,'Input|Rate of change'!$C$14:$P$14,0)))*IF($E28="$millions",1000000,IF($E28="$000",1000,1))/IF($E29="$millions",1000000,IF($E29="$000",1000,1))</f>
        <v>0</v>
      </c>
    </row>
    <row r="30" spans="3:20" outlineLevel="1">
      <c r="C30" s="123"/>
      <c r="D30" s="110"/>
      <c r="E30" s="110"/>
      <c r="F30" s="160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</row>
    <row r="31" spans="3:20" outlineLevel="1">
      <c r="C31" s="123" t="s">
        <v>162</v>
      </c>
      <c r="D31" s="110" t="s">
        <v>30</v>
      </c>
      <c r="E31" s="110" t="str">
        <f>$E$8</f>
        <v>$millions</v>
      </c>
      <c r="F31" s="160">
        <f>$F$8</f>
        <v>44621</v>
      </c>
      <c r="G31" s="110"/>
      <c r="H31" s="110"/>
      <c r="I31" s="110"/>
      <c r="J31" s="177">
        <f t="shared" ref="J31:S31" si="2">IF(YEAR(J$4)=PPLastYear,-SUM($J15:$S15)+SUM($J17:$S17),0)</f>
        <v>0</v>
      </c>
      <c r="K31" s="177">
        <f t="shared" si="2"/>
        <v>0</v>
      </c>
      <c r="L31" s="177">
        <f t="shared" si="2"/>
        <v>0</v>
      </c>
      <c r="M31" s="177">
        <f t="shared" si="2"/>
        <v>0</v>
      </c>
      <c r="N31" s="177">
        <f t="shared" si="2"/>
        <v>0.50355120528780617</v>
      </c>
      <c r="O31" s="177">
        <f t="shared" si="2"/>
        <v>0</v>
      </c>
      <c r="P31" s="177">
        <f t="shared" si="2"/>
        <v>0</v>
      </c>
      <c r="Q31" s="177">
        <f t="shared" si="2"/>
        <v>0</v>
      </c>
      <c r="R31" s="177">
        <f t="shared" si="2"/>
        <v>0</v>
      </c>
      <c r="S31" s="177">
        <f t="shared" si="2"/>
        <v>0</v>
      </c>
      <c r="T31" s="177"/>
    </row>
    <row r="32" spans="3:20" outlineLevel="1">
      <c r="C32" s="123"/>
      <c r="D32" s="110"/>
      <c r="E32" s="110"/>
      <c r="F32" s="160"/>
      <c r="G32" s="110"/>
      <c r="H32" s="110"/>
      <c r="I32" s="110"/>
      <c r="J32" s="177"/>
      <c r="K32" s="177"/>
      <c r="L32" s="177"/>
      <c r="M32" s="177"/>
      <c r="N32" s="177"/>
      <c r="O32" s="177"/>
      <c r="P32" s="177"/>
      <c r="Q32" s="177"/>
      <c r="R32" s="177"/>
      <c r="S32" s="177"/>
      <c r="T32" s="177"/>
    </row>
    <row r="33" spans="3:20" outlineLevel="1">
      <c r="C33" s="123" t="s">
        <v>106</v>
      </c>
      <c r="D33" s="110" t="s">
        <v>30</v>
      </c>
      <c r="E33" s="110" t="str">
        <f>$E$8</f>
        <v>$millions</v>
      </c>
      <c r="F33" s="160">
        <f>$F$8</f>
        <v>44621</v>
      </c>
      <c r="J33" s="177">
        <f t="shared" ref="J33:S33" si="3">IF(YEAR(J$4)=PPLastYear,SUM($J26:$S26,$J29:$S29,$J31:$S31),0)</f>
        <v>0</v>
      </c>
      <c r="K33" s="177">
        <f t="shared" si="3"/>
        <v>0</v>
      </c>
      <c r="L33" s="177">
        <f t="shared" si="3"/>
        <v>0</v>
      </c>
      <c r="M33" s="177">
        <f t="shared" si="3"/>
        <v>0</v>
      </c>
      <c r="N33" s="177">
        <f t="shared" ca="1" si="3"/>
        <v>82.190977434174016</v>
      </c>
      <c r="O33" s="177">
        <f t="shared" si="3"/>
        <v>0</v>
      </c>
      <c r="P33" s="177">
        <f t="shared" si="3"/>
        <v>0</v>
      </c>
      <c r="Q33" s="177">
        <f t="shared" si="3"/>
        <v>0</v>
      </c>
      <c r="R33" s="177">
        <f t="shared" si="3"/>
        <v>0</v>
      </c>
      <c r="S33" s="177">
        <f t="shared" si="3"/>
        <v>0</v>
      </c>
      <c r="T33" s="177"/>
    </row>
    <row r="34" spans="3:20" outlineLevel="1">
      <c r="C34" s="123"/>
      <c r="D34" s="110"/>
      <c r="E34" s="110"/>
      <c r="F34" s="160"/>
      <c r="J34" s="177"/>
      <c r="K34" s="177"/>
      <c r="L34" s="177"/>
      <c r="M34" s="177"/>
      <c r="N34" s="177"/>
      <c r="O34" s="177"/>
      <c r="P34" s="177"/>
      <c r="Q34" s="177"/>
      <c r="R34" s="177"/>
      <c r="S34" s="177"/>
      <c r="T34" s="177"/>
    </row>
    <row r="35" spans="3:20" outlineLevel="1">
      <c r="C35" s="123" t="s">
        <v>172</v>
      </c>
      <c r="D35" s="110" t="s">
        <v>30</v>
      </c>
      <c r="E35" s="110" t="str">
        <f>$E$8</f>
        <v>$millions</v>
      </c>
      <c r="F35" s="160">
        <f>$F$8</f>
        <v>44621</v>
      </c>
      <c r="J35" s="115">
        <f t="shared" ref="J35:S35" si="4">IF(YEAR(J$4)=PPLastYear,-(SUM($J20:$S20)-SUM($J22:$S22)+SUM($J24:$S24)),0)</f>
        <v>0</v>
      </c>
      <c r="K35" s="115">
        <f t="shared" si="4"/>
        <v>0</v>
      </c>
      <c r="L35" s="115">
        <f t="shared" si="4"/>
        <v>0</v>
      </c>
      <c r="M35" s="115">
        <f t="shared" si="4"/>
        <v>0</v>
      </c>
      <c r="N35" s="115">
        <f t="shared" si="4"/>
        <v>2.4266952699065314E-2</v>
      </c>
      <c r="O35" s="115">
        <f t="shared" si="4"/>
        <v>0</v>
      </c>
      <c r="P35" s="115">
        <f t="shared" si="4"/>
        <v>0</v>
      </c>
      <c r="Q35" s="115">
        <f t="shared" si="4"/>
        <v>0</v>
      </c>
      <c r="R35" s="115">
        <f t="shared" si="4"/>
        <v>0</v>
      </c>
      <c r="S35" s="115">
        <f t="shared" si="4"/>
        <v>0</v>
      </c>
      <c r="T35" s="115"/>
    </row>
    <row r="36" spans="3:20" outlineLevel="1">
      <c r="C36" s="123"/>
      <c r="D36" s="110"/>
      <c r="E36" s="110"/>
      <c r="F36" s="160"/>
      <c r="J36" s="115"/>
      <c r="K36" s="115"/>
      <c r="L36" s="115"/>
      <c r="M36" s="115"/>
      <c r="N36" s="115"/>
      <c r="O36" s="115"/>
      <c r="P36" s="115"/>
      <c r="Q36" s="115"/>
      <c r="R36" s="115"/>
      <c r="S36" s="115"/>
      <c r="T36" s="115"/>
    </row>
    <row r="37" spans="3:20" outlineLevel="1">
      <c r="C37" s="123" t="str">
        <f>'Input|Reported opex'!$C$63</f>
        <v>Adjustment 1</v>
      </c>
      <c r="D37" s="108" t="s">
        <v>92</v>
      </c>
      <c r="E37" s="110" t="str">
        <f>'Input|Reported opex'!E63</f>
        <v>$millions</v>
      </c>
      <c r="F37" s="160">
        <f>'Input|Reported opex'!F63</f>
        <v>42795</v>
      </c>
      <c r="J37" s="109">
        <f>IF(YEAR(J$4)=PPLastYear,'Input|Reported opex'!J63,0)</f>
        <v>0</v>
      </c>
      <c r="K37" s="109">
        <f>IF(YEAR(K$4)=PPLastYear,'Input|Reported opex'!K63,0)</f>
        <v>0</v>
      </c>
      <c r="L37" s="109">
        <f>IF(YEAR(L$4)=PPLastYear,'Input|Reported opex'!L63,0)</f>
        <v>0</v>
      </c>
      <c r="M37" s="109">
        <f>IF(YEAR(M$4)=PPLastYear,'Input|Reported opex'!M63,0)</f>
        <v>0</v>
      </c>
      <c r="N37" s="109">
        <f>IF(YEAR(N$4)=PPLastYear,'Input|Reported opex'!N63,0)</f>
        <v>0</v>
      </c>
      <c r="O37" s="109">
        <f>IF(YEAR(O$4)=PPLastYear,'Input|Reported opex'!O63,0)</f>
        <v>0</v>
      </c>
      <c r="P37" s="109">
        <f>IF(YEAR(P$4)=PPLastYear,'Input|Reported opex'!P63,0)</f>
        <v>0</v>
      </c>
      <c r="Q37" s="109">
        <f>IF(YEAR(Q$4)=PPLastYear,'Input|Reported opex'!Q63,0)</f>
        <v>0</v>
      </c>
      <c r="R37" s="109">
        <f>IF(YEAR(R$4)=PPLastYear,'Input|Reported opex'!R63,0)</f>
        <v>0</v>
      </c>
      <c r="S37" s="109">
        <f>IF(YEAR(S$4)=PPLastYear,'Input|Reported opex'!S63,0)</f>
        <v>0</v>
      </c>
      <c r="T37" s="109"/>
    </row>
    <row r="38" spans="3:20" outlineLevel="1">
      <c r="C38" s="123" t="str">
        <f>C37</f>
        <v>Adjustment 1</v>
      </c>
      <c r="D38" s="110" t="s">
        <v>30</v>
      </c>
      <c r="E38" s="30" t="str">
        <f>$E$8</f>
        <v>$millions</v>
      </c>
      <c r="F38" s="160">
        <f>$F$8</f>
        <v>44621</v>
      </c>
      <c r="J38" s="115">
        <f>J37*IF($F37="nominal",LOOKUP($F38,Nominal_to_Real,'Input|Rate of change'!K$26:K$32),INDEX('Input|Rate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K38" s="115">
        <f>K37*IF($F37="nominal",LOOKUP($F38,Nominal_to_Real,'Input|Rate of change'!L$26:L$32),INDEX('Input|Rate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L38" s="115">
        <f>L37*IF($F37="nominal",LOOKUP($F38,Nominal_to_Real,'Input|Rate of change'!M$26:M$32),INDEX('Input|Rate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M38" s="115">
        <f>M37*IF($F37="nominal",LOOKUP($F38,Nominal_to_Real,'Input|Rate of change'!N$26:N$32),INDEX('Input|Rate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N38" s="115">
        <f>N37*IF($F37="nominal",LOOKUP($F38,Nominal_to_Real,'Input|Rate of change'!O$26:O$32),INDEX('Input|Rate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O38" s="115">
        <f>O37*IF($F37="nominal",LOOKUP($F38,Nominal_to_Real,'Input|Rate of change'!P$26:P$32),INDEX('Input|Rate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P38" s="115">
        <f>P37*IF($F37="nominal",LOOKUP($F38,Nominal_to_Real,'Input|Rate of change'!Q$26:Q$32),INDEX('Input|Rate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Q38" s="115">
        <f>Q37*IF($F37="nominal",LOOKUP($F38,Nominal_to_Real,'Input|Rate of change'!R$26:R$32),INDEX('Input|Rate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R38" s="115">
        <f>R37*IF($F37="nominal",LOOKUP($F38,Nominal_to_Real,'Input|Rate of change'!S$26:S$32),INDEX('Input|Rate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S38" s="115">
        <f>S37*IF($F37="nominal",LOOKUP($F38,Nominal_to_Real,'Input|Rate of change'!T$26:T$32),INDEX('Input|Rate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  <c r="T38" s="115">
        <f>T37*IF($F37="nominal",LOOKUP($F38,Nominal_to_Real,'Input|Rate of change'!U$26:U$32),INDEX('Input|Rate of change'!$C$14:$P$22,MATCH('Calc|Opex forecast'!$F37,'Input|Rate of change'!$C$14:$C$22,0),MATCH('Calc|Opex forecast'!$F38,'Input|Rate of change'!$C$14:$P$14,0)))*IF($E37="$millions",1000000,IF($E37="$000",1000,1))/IF($E38="$millions",1000000,IF($E38="$000",1000,1))</f>
        <v>0</v>
      </c>
    </row>
    <row r="39" spans="3:20" outlineLevel="1">
      <c r="C39" s="123"/>
      <c r="D39" s="110"/>
      <c r="F39" s="160"/>
      <c r="J39" s="115"/>
      <c r="K39" s="115"/>
      <c r="L39" s="115"/>
      <c r="M39" s="115"/>
      <c r="N39" s="115"/>
      <c r="O39" s="115"/>
      <c r="P39" s="115"/>
      <c r="Q39" s="115"/>
      <c r="R39" s="109"/>
      <c r="S39" s="109"/>
      <c r="T39" s="109"/>
    </row>
    <row r="40" spans="3:20" outlineLevel="1">
      <c r="C40" s="123" t="str">
        <f>'Input|Reported opex'!$C$64</f>
        <v>Adjustment 2</v>
      </c>
      <c r="D40" s="108" t="s">
        <v>92</v>
      </c>
      <c r="E40" s="30" t="str">
        <f>'Input|Reported opex'!$E$64</f>
        <v>$millions</v>
      </c>
      <c r="F40" s="160">
        <f>'Input|Reported opex'!$F$64</f>
        <v>42795</v>
      </c>
      <c r="J40" s="109">
        <f>IF(YEAR(J$4)=PPLastYear,'Input|Reported opex'!J64,0)</f>
        <v>0</v>
      </c>
      <c r="K40" s="109">
        <f>IF(YEAR(K$4)=PPLastYear,'Input|Reported opex'!K64,0)</f>
        <v>0</v>
      </c>
      <c r="L40" s="109">
        <f>IF(YEAR(L$4)=PPLastYear,'Input|Reported opex'!L64,0)</f>
        <v>0</v>
      </c>
      <c r="M40" s="109">
        <f>IF(YEAR(M$4)=PPLastYear,'Input|Reported opex'!M64,0)</f>
        <v>0</v>
      </c>
      <c r="N40" s="109">
        <f>IF(YEAR(N$4)=PPLastYear,'Input|Reported opex'!N64,0)</f>
        <v>0</v>
      </c>
      <c r="O40" s="109">
        <f>IF(YEAR(O$4)=PPLastYear,'Input|Reported opex'!O64,0)</f>
        <v>0</v>
      </c>
      <c r="P40" s="109">
        <f>IF(YEAR(P$4)=PPLastYear,'Input|Reported opex'!P64,0)</f>
        <v>0</v>
      </c>
      <c r="Q40" s="109">
        <f>IF(YEAR(Q$4)=PPLastYear,'Input|Reported opex'!Q64,0)</f>
        <v>0</v>
      </c>
      <c r="R40" s="109">
        <f>IF(YEAR(R$4)=PPLastYear,'Input|Reported opex'!R64,0)</f>
        <v>0</v>
      </c>
      <c r="S40" s="109">
        <f>IF(YEAR(S$4)=PPLastYear,'Input|Reported opex'!S64,0)</f>
        <v>0</v>
      </c>
      <c r="T40" s="109"/>
    </row>
    <row r="41" spans="3:20" outlineLevel="1">
      <c r="C41" s="123" t="str">
        <f>C40</f>
        <v>Adjustment 2</v>
      </c>
      <c r="D41" s="110" t="s">
        <v>30</v>
      </c>
      <c r="E41" s="30" t="str">
        <f>$E$8</f>
        <v>$millions</v>
      </c>
      <c r="F41" s="160">
        <f>$F$8</f>
        <v>44621</v>
      </c>
      <c r="J41" s="115">
        <f>J40*IF($F40="nominal",LOOKUP($F41,Nominal_to_Real,'Input|Rate of change'!K$26:K$32),INDEX('Input|Rate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K41" s="115">
        <f>K40*IF($F40="nominal",LOOKUP($F41,Nominal_to_Real,'Input|Rate of change'!L$26:L$32),INDEX('Input|Rate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L41" s="115">
        <f>L40*IF($F40="nominal",LOOKUP($F41,Nominal_to_Real,'Input|Rate of change'!M$26:M$32),INDEX('Input|Rate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M41" s="115">
        <f>M40*IF($F40="nominal",LOOKUP($F41,Nominal_to_Real,'Input|Rate of change'!N$26:N$32),INDEX('Input|Rate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N41" s="115">
        <f>N40*IF($F40="nominal",LOOKUP($F41,Nominal_to_Real,'Input|Rate of change'!O$26:O$32),INDEX('Input|Rate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O41" s="115">
        <f>O40*IF($F40="nominal",LOOKUP($F41,Nominal_to_Real,'Input|Rate of change'!P$26:P$32),INDEX('Input|Rate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P41" s="115">
        <f>P40*IF($F40="nominal",LOOKUP($F41,Nominal_to_Real,'Input|Rate of change'!Q$26:Q$32),INDEX('Input|Rate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Q41" s="115">
        <f>Q40*IF($F40="nominal",LOOKUP($F41,Nominal_to_Real,'Input|Rate of change'!R$26:R$32),INDEX('Input|Rate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R41" s="115">
        <f>R40*IF($F40="nominal",LOOKUP($F41,Nominal_to_Real,'Input|Rate of change'!S$26:S$32),INDEX('Input|Rate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S41" s="115">
        <f>S40*IF($F40="nominal",LOOKUP($F41,Nominal_to_Real,'Input|Rate of change'!T$26:T$32),INDEX('Input|Rate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  <c r="T41" s="115">
        <f>T40*IF($F40="nominal",LOOKUP($F41,Nominal_to_Real,'Input|Rate of change'!U$26:U$32),INDEX('Input|Rate of change'!$C$14:$P$22,MATCH('Calc|Opex forecast'!$F40,'Input|Rate of change'!$C$14:$C$22,0),MATCH('Calc|Opex forecast'!$F41,'Input|Rate of change'!$C$14:$P$14,0)))*IF($E40="$millions",1000000,IF($E40="$000",1000,1))/IF($E41="$millions",1000000,IF($E41="$000",1000,1))</f>
        <v>0</v>
      </c>
    </row>
    <row r="42" spans="3:20" outlineLevel="1">
      <c r="C42" s="123"/>
      <c r="D42" s="110"/>
      <c r="F42" s="160"/>
      <c r="J42" s="115"/>
      <c r="K42" s="115"/>
      <c r="L42" s="115"/>
      <c r="M42" s="115"/>
      <c r="N42" s="115"/>
      <c r="O42" s="115"/>
      <c r="P42" s="115"/>
      <c r="Q42" s="115"/>
      <c r="R42" s="109"/>
      <c r="S42" s="109"/>
      <c r="T42" s="109"/>
    </row>
    <row r="43" spans="3:20" outlineLevel="1">
      <c r="C43" s="123" t="str">
        <f>'Input|Reported opex'!$C$65</f>
        <v>Adjustment 3</v>
      </c>
      <c r="D43" s="108" t="s">
        <v>92</v>
      </c>
      <c r="E43" s="30" t="str">
        <f>'Input|Reported opex'!$E$65</f>
        <v>$millions</v>
      </c>
      <c r="F43" s="160">
        <f>'Input|Reported opex'!$F$65</f>
        <v>42795</v>
      </c>
      <c r="J43" s="109">
        <f>IF(YEAR(J$4)=PPLastYear,'Input|Reported opex'!J65,0)</f>
        <v>0</v>
      </c>
      <c r="K43" s="109">
        <f>IF(YEAR(K$4)=PPLastYear,'Input|Reported opex'!K65,0)</f>
        <v>0</v>
      </c>
      <c r="L43" s="109">
        <f>IF(YEAR(L$4)=PPLastYear,'Input|Reported opex'!L65,0)</f>
        <v>0</v>
      </c>
      <c r="M43" s="109">
        <f>IF(YEAR(M$4)=PPLastYear,'Input|Reported opex'!M65,0)</f>
        <v>0</v>
      </c>
      <c r="N43" s="109">
        <f>IF(YEAR(N$4)=PPLastYear,'Input|Reported opex'!N65,0)</f>
        <v>0</v>
      </c>
      <c r="O43" s="109">
        <f>IF(YEAR(O$4)=PPLastYear,'Input|Reported opex'!O65,0)</f>
        <v>0</v>
      </c>
      <c r="P43" s="109">
        <f>IF(YEAR(P$4)=PPLastYear,'Input|Reported opex'!P65,0)</f>
        <v>0</v>
      </c>
      <c r="Q43" s="109">
        <f>IF(YEAR(Q$4)=PPLastYear,'Input|Reported opex'!Q65,0)</f>
        <v>0</v>
      </c>
      <c r="R43" s="109">
        <f>IF(YEAR(R$4)=PPLastYear,'Input|Reported opex'!R65,0)</f>
        <v>0</v>
      </c>
      <c r="S43" s="109">
        <f>IF(YEAR(S$4)=PPLastYear,'Input|Reported opex'!S65,0)</f>
        <v>0</v>
      </c>
      <c r="T43" s="109"/>
    </row>
    <row r="44" spans="3:20" outlineLevel="1">
      <c r="C44" s="123" t="str">
        <f>C43</f>
        <v>Adjustment 3</v>
      </c>
      <c r="D44" s="110" t="s">
        <v>30</v>
      </c>
      <c r="E44" s="30" t="str">
        <f>$E$8</f>
        <v>$millions</v>
      </c>
      <c r="F44" s="160">
        <f>$F$8</f>
        <v>44621</v>
      </c>
      <c r="J44" s="115">
        <f>J43*IF($F43="nominal",LOOKUP($F44,Nominal_to_Real,'Input|Rate of change'!K$26:K$32),INDEX('Input|Rate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K44" s="115">
        <f>K43*IF($F43="nominal",LOOKUP($F44,Nominal_to_Real,'Input|Rate of change'!L$26:L$32),INDEX('Input|Rate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L44" s="115">
        <f>L43*IF($F43="nominal",LOOKUP($F44,Nominal_to_Real,'Input|Rate of change'!M$26:M$32),INDEX('Input|Rate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M44" s="115">
        <f>M43*IF($F43="nominal",LOOKUP($F44,Nominal_to_Real,'Input|Rate of change'!N$26:N$32),INDEX('Input|Rate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N44" s="115">
        <f>N43*IF($F43="nominal",LOOKUP($F44,Nominal_to_Real,'Input|Rate of change'!O$26:O$32),INDEX('Input|Rate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O44" s="115">
        <f>O43*IF($F43="nominal",LOOKUP($F44,Nominal_to_Real,'Input|Rate of change'!P$26:P$32),INDEX('Input|Rate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P44" s="115">
        <f>P43*IF($F43="nominal",LOOKUP($F44,Nominal_to_Real,'Input|Rate of change'!Q$26:Q$32),INDEX('Input|Rate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Q44" s="115">
        <f>Q43*IF($F43="nominal",LOOKUP($F44,Nominal_to_Real,'Input|Rate of change'!R$26:R$32),INDEX('Input|Rate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R44" s="115">
        <f>R43*IF($F43="nominal",LOOKUP($F44,Nominal_to_Real,'Input|Rate of change'!S$26:S$32),INDEX('Input|Rate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S44" s="115">
        <f>S43*IF($F43="nominal",LOOKUP($F44,Nominal_to_Real,'Input|Rate of change'!T$26:T$32),INDEX('Input|Rate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  <c r="T44" s="115">
        <f>T43*IF($F43="nominal",LOOKUP($F44,Nominal_to_Real,'Input|Rate of change'!U$26:U$32),INDEX('Input|Rate of change'!$C$14:$P$22,MATCH('Calc|Opex forecast'!$F43,'Input|Rate of change'!$C$14:$C$22,0),MATCH('Calc|Opex forecast'!$F44,'Input|Rate of change'!$C$14:$P$14,0)))*IF($E43="$millions",1000000,IF($E43="$000",1000,1))/IF($E44="$millions",1000000,IF($E44="$000",1000,1))</f>
        <v>0</v>
      </c>
    </row>
    <row r="45" spans="3:20" outlineLevel="1">
      <c r="C45" s="123"/>
      <c r="D45" s="110"/>
      <c r="F45" s="160"/>
      <c r="J45" s="115"/>
      <c r="K45" s="115"/>
      <c r="L45" s="115"/>
      <c r="M45" s="115"/>
      <c r="N45" s="115"/>
      <c r="O45" s="115"/>
      <c r="P45" s="115"/>
      <c r="Q45" s="115"/>
      <c r="R45" s="109"/>
      <c r="S45" s="109"/>
      <c r="T45" s="109"/>
    </row>
    <row r="46" spans="3:20" outlineLevel="1">
      <c r="C46" s="123" t="str">
        <f>'Input|Reported opex'!$C$66</f>
        <v>Adjustment 4</v>
      </c>
      <c r="D46" s="108" t="s">
        <v>92</v>
      </c>
      <c r="E46" s="30" t="str">
        <f>'Input|Reported opex'!$E$66</f>
        <v>$millions</v>
      </c>
      <c r="F46" s="160">
        <f>'Input|Reported opex'!$F$66</f>
        <v>42795</v>
      </c>
      <c r="J46" s="109">
        <f>IF(YEAR(J$4)=PPLastYear,'Input|Reported opex'!J66,0)</f>
        <v>0</v>
      </c>
      <c r="K46" s="109">
        <f>IF(YEAR(K$4)=PPLastYear,'Input|Reported opex'!K66,0)</f>
        <v>0</v>
      </c>
      <c r="L46" s="109">
        <f>IF(YEAR(L$4)=PPLastYear,'Input|Reported opex'!L66,0)</f>
        <v>0</v>
      </c>
      <c r="M46" s="109">
        <f>IF(YEAR(M$4)=PPLastYear,'Input|Reported opex'!M66,0)</f>
        <v>0</v>
      </c>
      <c r="N46" s="109">
        <f>IF(YEAR(N$4)=PPLastYear,'Input|Reported opex'!N66,0)</f>
        <v>0</v>
      </c>
      <c r="O46" s="109">
        <f>IF(YEAR(O$4)=PPLastYear,'Input|Reported opex'!O66,0)</f>
        <v>0</v>
      </c>
      <c r="P46" s="109">
        <f>IF(YEAR(P$4)=PPLastYear,'Input|Reported opex'!P66,0)</f>
        <v>0</v>
      </c>
      <c r="Q46" s="109">
        <f>IF(YEAR(Q$4)=PPLastYear,'Input|Reported opex'!Q66,0)</f>
        <v>0</v>
      </c>
      <c r="R46" s="109">
        <f>IF(YEAR(R$4)=PPLastYear,'Input|Reported opex'!R66,0)</f>
        <v>0</v>
      </c>
      <c r="S46" s="109">
        <f>IF(YEAR(S$4)=PPLastYear,'Input|Reported opex'!S66,0)</f>
        <v>0</v>
      </c>
      <c r="T46" s="109"/>
    </row>
    <row r="47" spans="3:20" outlineLevel="1">
      <c r="C47" s="123" t="str">
        <f>C46</f>
        <v>Adjustment 4</v>
      </c>
      <c r="D47" s="110" t="s">
        <v>30</v>
      </c>
      <c r="E47" s="30" t="str">
        <f>$E$8</f>
        <v>$millions</v>
      </c>
      <c r="F47" s="160">
        <f>$F$8</f>
        <v>44621</v>
      </c>
      <c r="J47" s="115">
        <f>J46*IF($F46="nominal",LOOKUP($F47,Nominal_to_Real,'Input|Rate of change'!K$26:K$32),INDEX('Input|Rate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K47" s="115">
        <f>K46*IF($F46="nominal",LOOKUP($F47,Nominal_to_Real,'Input|Rate of change'!L$26:L$32),INDEX('Input|Rate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L47" s="115">
        <f>L46*IF($F46="nominal",LOOKUP($F47,Nominal_to_Real,'Input|Rate of change'!M$26:M$32),INDEX('Input|Rate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M47" s="115">
        <f>M46*IF($F46="nominal",LOOKUP($F47,Nominal_to_Real,'Input|Rate of change'!N$26:N$32),INDEX('Input|Rate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N47" s="115">
        <f>N46*IF($F46="nominal",LOOKUP($F47,Nominal_to_Real,'Input|Rate of change'!O$26:O$32),INDEX('Input|Rate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O47" s="115">
        <f>O46*IF($F46="nominal",LOOKUP($F47,Nominal_to_Real,'Input|Rate of change'!P$26:P$32),INDEX('Input|Rate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P47" s="115">
        <f>P46*IF($F46="nominal",LOOKUP($F47,Nominal_to_Real,'Input|Rate of change'!Q$26:Q$32),INDEX('Input|Rate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Q47" s="115">
        <f>Q46*IF($F46="nominal",LOOKUP($F47,Nominal_to_Real,'Input|Rate of change'!R$26:R$32),INDEX('Input|Rate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R47" s="115">
        <f>R46*IF($F46="nominal",LOOKUP($F47,Nominal_to_Real,'Input|Rate of change'!S$26:S$32),INDEX('Input|Rate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S47" s="115">
        <f>S46*IF($F46="nominal",LOOKUP($F47,Nominal_to_Real,'Input|Rate of change'!T$26:T$32),INDEX('Input|Rate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  <c r="T47" s="115">
        <f>T46*IF($F46="nominal",LOOKUP($F47,Nominal_to_Real,'Input|Rate of change'!U$26:U$32),INDEX('Input|Rate of change'!$C$14:$P$22,MATCH('Calc|Opex forecast'!$F46,'Input|Rate of change'!$C$14:$C$22,0),MATCH('Calc|Opex forecast'!$F47,'Input|Rate of change'!$C$14:$P$14,0)))*IF($E46="$millions",1000000,IF($E46="$000",1000,1))/IF($E47="$millions",1000000,IF($E47="$000",1000,1))</f>
        <v>0</v>
      </c>
    </row>
    <row r="48" spans="3:20" outlineLevel="1">
      <c r="C48" s="123"/>
      <c r="D48" s="110"/>
      <c r="F48" s="160"/>
      <c r="J48" s="115"/>
      <c r="K48" s="115"/>
      <c r="L48" s="115"/>
      <c r="M48" s="115"/>
      <c r="N48" s="115"/>
      <c r="O48" s="115"/>
      <c r="P48" s="115"/>
      <c r="Q48" s="115"/>
      <c r="R48" s="109"/>
      <c r="S48" s="109"/>
      <c r="T48" s="109"/>
    </row>
    <row r="49" spans="1:48" outlineLevel="1">
      <c r="C49" s="123" t="str">
        <f>'Input|Reported opex'!$C$67</f>
        <v>Adjustment 5</v>
      </c>
      <c r="D49" s="108" t="s">
        <v>92</v>
      </c>
      <c r="E49" s="30" t="str">
        <f>'Input|Reported opex'!$E$67</f>
        <v>$millions</v>
      </c>
      <c r="F49" s="160">
        <f>'Input|Reported opex'!$F$67</f>
        <v>42795</v>
      </c>
      <c r="J49" s="109">
        <f>IF(YEAR(J$4)=PPLastYear,'Input|Reported opex'!J67,0)</f>
        <v>0</v>
      </c>
      <c r="K49" s="109">
        <f>IF(YEAR(K$4)=PPLastYear,'Input|Reported opex'!K67,0)</f>
        <v>0</v>
      </c>
      <c r="L49" s="109">
        <f>IF(YEAR(L$4)=PPLastYear,'Input|Reported opex'!L67,0)</f>
        <v>0</v>
      </c>
      <c r="M49" s="109">
        <f>IF(YEAR(M$4)=PPLastYear,'Input|Reported opex'!M67,0)</f>
        <v>0</v>
      </c>
      <c r="N49" s="109">
        <f>IF(YEAR(N$4)=PPLastYear,'Input|Reported opex'!N67,0)</f>
        <v>0</v>
      </c>
      <c r="O49" s="109">
        <f>IF(YEAR(O$4)=PPLastYear,'Input|Reported opex'!O67,0)</f>
        <v>0</v>
      </c>
      <c r="P49" s="109">
        <f>IF(YEAR(P$4)=PPLastYear,'Input|Reported opex'!P67,0)</f>
        <v>0</v>
      </c>
      <c r="Q49" s="109">
        <f>IF(YEAR(Q$4)=PPLastYear,'Input|Reported opex'!Q67,0)</f>
        <v>0</v>
      </c>
      <c r="R49" s="109">
        <f>IF(YEAR(R$4)=PPLastYear,'Input|Reported opex'!R67,0)</f>
        <v>0</v>
      </c>
      <c r="S49" s="109">
        <f>IF(YEAR(S$4)=PPLastYear,'Input|Reported opex'!S67,0)</f>
        <v>0</v>
      </c>
      <c r="T49" s="109"/>
    </row>
    <row r="50" spans="1:48" outlineLevel="1">
      <c r="C50" s="123" t="str">
        <f>C49</f>
        <v>Adjustment 5</v>
      </c>
      <c r="D50" s="110" t="s">
        <v>30</v>
      </c>
      <c r="E50" s="30" t="str">
        <f>$E$8</f>
        <v>$millions</v>
      </c>
      <c r="F50" s="160">
        <f>$F$8</f>
        <v>44621</v>
      </c>
      <c r="J50" s="115">
        <f>J49*IF($F49="nominal",LOOKUP($F50,Nominal_to_Real,'Input|Rate of change'!K$26:K$32),INDEX('Input|Rate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K50" s="115">
        <f>K49*IF($F49="nominal",LOOKUP($F50,Nominal_to_Real,'Input|Rate of change'!L$26:L$32),INDEX('Input|Rate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L50" s="115">
        <f>L49*IF($F49="nominal",LOOKUP($F50,Nominal_to_Real,'Input|Rate of change'!M$26:M$32),INDEX('Input|Rate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M50" s="115">
        <f>M49*IF($F49="nominal",LOOKUP($F50,Nominal_to_Real,'Input|Rate of change'!N$26:N$32),INDEX('Input|Rate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N50" s="115">
        <f>N49*IF($F49="nominal",LOOKUP($F50,Nominal_to_Real,'Input|Rate of change'!O$26:O$32),INDEX('Input|Rate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O50" s="115">
        <f>O49*IF($F49="nominal",LOOKUP($F50,Nominal_to_Real,'Input|Rate of change'!P$26:P$32),INDEX('Input|Rate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P50" s="115">
        <f>P49*IF($F49="nominal",LOOKUP($F50,Nominal_to_Real,'Input|Rate of change'!Q$26:Q$32),INDEX('Input|Rate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Q50" s="115">
        <f>Q49*IF($F49="nominal",LOOKUP($F50,Nominal_to_Real,'Input|Rate of change'!R$26:R$32),INDEX('Input|Rate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R50" s="115">
        <f>R49*IF($F49="nominal",LOOKUP($F50,Nominal_to_Real,'Input|Rate of change'!S$26:S$32),INDEX('Input|Rate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S50" s="115">
        <f>S49*IF($F49="nominal",LOOKUP($F50,Nominal_to_Real,'Input|Rate of change'!T$26:T$32),INDEX('Input|Rate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  <c r="T50" s="115">
        <f>T49*IF($F49="nominal",LOOKUP($F50,Nominal_to_Real,'Input|Rate of change'!U$26:U$32),INDEX('Input|Rate of change'!$C$14:$P$22,MATCH('Calc|Opex forecast'!$F49,'Input|Rate of change'!$C$14:$C$22,0),MATCH('Calc|Opex forecast'!$F50,'Input|Rate of change'!$C$14:$P$14,0)))*IF($E49="$millions",1000000,IF($E49="$000",1000,1))/IF($E50="$millions",1000000,IF($E50="$000",1000,1))</f>
        <v>0</v>
      </c>
    </row>
    <row r="51" spans="1:48" outlineLevel="1">
      <c r="C51" s="123"/>
      <c r="D51" s="110"/>
      <c r="E51" s="110"/>
      <c r="F51" s="160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</row>
    <row r="52" spans="1:48" outlineLevel="1">
      <c r="C52" s="123" t="s">
        <v>89</v>
      </c>
      <c r="D52" s="110" t="s">
        <v>99</v>
      </c>
      <c r="E52" s="110" t="str">
        <f>$E$8</f>
        <v>$millions</v>
      </c>
      <c r="F52" s="160">
        <f>$F$8</f>
        <v>44621</v>
      </c>
      <c r="J52" s="115">
        <f>SUM(J33,J38,J41,J44,J47,J50)*'Input|Reported opex'!J71</f>
        <v>0</v>
      </c>
      <c r="K52" s="115">
        <f>SUM(K33,K38,K41,K44,K47,K50)*'Input|Reported opex'!K71</f>
        <v>0</v>
      </c>
      <c r="L52" s="115">
        <f>SUM(L33,L38,L41,L44,L47,L50)*'Input|Reported opex'!L71</f>
        <v>0</v>
      </c>
      <c r="M52" s="115">
        <f>SUM(M33,M38,M41,M44,M47,M50)*'Input|Reported opex'!M71</f>
        <v>0</v>
      </c>
      <c r="N52" s="115">
        <f ca="1">SUM(N33,N38,N41,N44,N47,N50)*'Input|Reported opex'!N71</f>
        <v>0</v>
      </c>
      <c r="O52" s="115">
        <f>SUM(O33,O38,O41,O44,O47,O50)*'Input|Reported opex'!O71</f>
        <v>0</v>
      </c>
      <c r="P52" s="115">
        <f>SUM(P33,P38,P41,P44,P47,P50)*'Input|Reported opex'!P71</f>
        <v>0</v>
      </c>
      <c r="Q52" s="115">
        <f>SUM(Q33,Q38,Q41,Q44,Q47,Q50)*'Input|Reported opex'!Q71</f>
        <v>0</v>
      </c>
      <c r="R52" s="115">
        <f>SUM(R33,R38,R41,R44,R47,R50)*'Input|Reported opex'!R71</f>
        <v>0</v>
      </c>
      <c r="S52" s="115">
        <f>SUM(S33,S38,S41,S44,S47,S50)*'Input|Reported opex'!S71</f>
        <v>0</v>
      </c>
      <c r="T52" s="115"/>
    </row>
    <row r="53" spans="1:48" outlineLevel="1">
      <c r="C53" s="123"/>
      <c r="D53" s="110"/>
      <c r="E53" s="110"/>
      <c r="F53" s="160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</row>
    <row r="54" spans="1:48" outlineLevel="1">
      <c r="C54" s="178" t="s">
        <v>173</v>
      </c>
      <c r="D54" s="112" t="s">
        <v>99</v>
      </c>
      <c r="E54" s="112" t="str">
        <f>$E$8</f>
        <v>$millions</v>
      </c>
      <c r="F54" s="179">
        <f>$F$8</f>
        <v>44621</v>
      </c>
      <c r="J54" s="177">
        <f>SUM(J33,J35,J38,J41,J44,J47,J50,J52)</f>
        <v>0</v>
      </c>
      <c r="K54" s="177">
        <f t="shared" ref="K54:S54" si="5">SUM(K33,K35,K38,K41,K44,K47,K50,K52)</f>
        <v>0</v>
      </c>
      <c r="L54" s="177">
        <f t="shared" si="5"/>
        <v>0</v>
      </c>
      <c r="M54" s="177">
        <f t="shared" si="5"/>
        <v>0</v>
      </c>
      <c r="N54" s="177">
        <f t="shared" ca="1" si="5"/>
        <v>82.215244386873081</v>
      </c>
      <c r="O54" s="177">
        <f t="shared" si="5"/>
        <v>0</v>
      </c>
      <c r="P54" s="177">
        <f t="shared" si="5"/>
        <v>0</v>
      </c>
      <c r="Q54" s="177">
        <f t="shared" si="5"/>
        <v>0</v>
      </c>
      <c r="R54" s="177">
        <f t="shared" si="5"/>
        <v>0</v>
      </c>
      <c r="S54" s="177">
        <f t="shared" si="5"/>
        <v>0</v>
      </c>
      <c r="T54" s="177"/>
    </row>
    <row r="55" spans="1:48">
      <c r="J55" s="107"/>
      <c r="K55" s="107"/>
      <c r="L55" s="107"/>
    </row>
    <row r="56" spans="1:48" s="103" customFormat="1" ht="12.75">
      <c r="A56" s="94"/>
      <c r="B56" s="95" t="s">
        <v>87</v>
      </c>
      <c r="C56" s="94"/>
      <c r="D56" s="94"/>
      <c r="E56" s="94"/>
      <c r="F56" s="96"/>
      <c r="G56" s="96"/>
      <c r="H56" s="96"/>
      <c r="I56" s="96"/>
      <c r="J56" s="97"/>
      <c r="K56" s="98"/>
      <c r="L56" s="97"/>
      <c r="M56" s="98"/>
      <c r="N56" s="97"/>
      <c r="O56" s="97"/>
      <c r="P56" s="97"/>
      <c r="Q56" s="97"/>
      <c r="R56" s="97"/>
      <c r="S56" s="97"/>
      <c r="T56" s="97"/>
      <c r="U56" s="97"/>
      <c r="V56" s="97"/>
      <c r="W56" s="98"/>
      <c r="X56" s="98"/>
      <c r="Y56" s="99"/>
      <c r="Z56" s="99"/>
      <c r="AA56" s="99"/>
      <c r="AB56" s="99"/>
      <c r="AC56" s="100"/>
      <c r="AD56" s="101"/>
      <c r="AE56" s="101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  <c r="AV56" s="102"/>
    </row>
    <row r="57" spans="1:48" outlineLevel="1">
      <c r="J57" s="107"/>
      <c r="K57" s="107"/>
      <c r="L57" s="107"/>
      <c r="M57" s="107"/>
      <c r="N57" s="107"/>
      <c r="O57" s="107"/>
      <c r="P57" s="107"/>
      <c r="Q57" s="107"/>
      <c r="R57" s="107"/>
      <c r="S57" s="107"/>
      <c r="T57" s="107"/>
    </row>
    <row r="58" spans="1:48" outlineLevel="1">
      <c r="C58" s="67" t="s">
        <v>42</v>
      </c>
      <c r="D58" s="32" t="s">
        <v>7</v>
      </c>
      <c r="E58" s="32" t="s">
        <v>8</v>
      </c>
      <c r="F58" s="32" t="s">
        <v>22</v>
      </c>
      <c r="J58" s="162" t="str">
        <f>IF(YEAR(J$4)&gt;='Input|General'!$G$13,IF(YEAR(J$4)&lt;='Input|General'!$G$14,J$4,""),"")</f>
        <v/>
      </c>
      <c r="K58" s="162" t="str">
        <f>IF(YEAR(K$4)&gt;='Input|General'!$G$13,IF(YEAR(K$4)&lt;='Input|General'!$G$14,K$4,""),"")</f>
        <v/>
      </c>
      <c r="L58" s="162" t="str">
        <f>IF(YEAR(L$4)&gt;='Input|General'!$G$13,IF(YEAR(L$4)&lt;='Input|General'!$G$14,L$4,""),"")</f>
        <v/>
      </c>
      <c r="M58" s="162" t="str">
        <f>IF(YEAR(M$4)&gt;='Input|General'!$G$13,IF(YEAR(M$4)&lt;='Input|General'!$G$14,M$4,""),"")</f>
        <v/>
      </c>
      <c r="N58" s="162" t="str">
        <f>IF(YEAR(N$4)&gt;='Input|General'!$G$13,IF(YEAR(N$4)&lt;='Input|General'!$G$14,N$4,""),"")</f>
        <v/>
      </c>
      <c r="O58" s="162">
        <f>IF(YEAR(O$4)&gt;='Input|General'!$G$13,IF(YEAR(O$4)&lt;='Input|General'!$G$14,O$4,""),"")</f>
        <v>44986</v>
      </c>
      <c r="P58" s="162">
        <f>IF(YEAR(P$4)&gt;='Input|General'!$G$13,IF(YEAR(P$4)&lt;='Input|General'!$G$14,P$4,""),"")</f>
        <v>45352</v>
      </c>
      <c r="Q58" s="162">
        <f>IF(YEAR(Q$4)&gt;='Input|General'!$G$13,IF(YEAR(Q$4)&lt;='Input|General'!$G$14,Q$4,""),"")</f>
        <v>45717</v>
      </c>
      <c r="R58" s="162">
        <f>IF(YEAR(R$4)&gt;='Input|General'!$G$13,IF(YEAR(R$4)&lt;='Input|General'!$G$14,R$4,""),"")</f>
        <v>46082</v>
      </c>
      <c r="S58" s="162">
        <f>IF(YEAR(S$4)&gt;='Input|General'!$G$13,IF(YEAR(S$4)&lt;='Input|General'!$G$14,S$4,""),"")</f>
        <v>46447</v>
      </c>
      <c r="T58" s="162" t="str">
        <f>IF(YEAR(T$4)&gt;='Input|General'!$G$13,IF(YEAR(T$4)&lt;='Input|General'!$G$14,T$4,""),"")</f>
        <v/>
      </c>
    </row>
    <row r="59" spans="1:48" outlineLevel="1">
      <c r="C59" s="67"/>
      <c r="J59" s="107"/>
      <c r="K59" s="107"/>
      <c r="L59" s="107"/>
      <c r="M59" s="107"/>
      <c r="N59" s="107"/>
      <c r="O59" s="107"/>
      <c r="P59" s="107"/>
      <c r="Q59" s="107"/>
      <c r="R59" s="107"/>
      <c r="S59" s="107"/>
      <c r="T59" s="107"/>
    </row>
    <row r="60" spans="1:48" outlineLevel="1">
      <c r="B60" s="67"/>
      <c r="C60" s="116"/>
      <c r="J60" s="107"/>
      <c r="K60" s="107"/>
      <c r="L60" s="107"/>
      <c r="M60" s="107"/>
      <c r="N60" s="107"/>
      <c r="O60" s="107"/>
      <c r="P60" s="107"/>
      <c r="Q60" s="107"/>
      <c r="R60" s="107"/>
      <c r="S60" s="107"/>
      <c r="T60" s="107"/>
    </row>
    <row r="61" spans="1:48" outlineLevel="1">
      <c r="C61" s="111" t="s">
        <v>107</v>
      </c>
      <c r="D61" s="110" t="s">
        <v>30</v>
      </c>
      <c r="E61" s="30" t="s">
        <v>31</v>
      </c>
      <c r="F61" s="30" t="s">
        <v>36</v>
      </c>
      <c r="J61" s="117">
        <f ca="1">IF(J58=J4,AVERAGE(OFFSET('Input|Rate of change'!K97,0,0,COUNTA('Input|Rate of change'!$J$84:$M$84),1)),0)</f>
        <v>0</v>
      </c>
      <c r="K61" s="117">
        <f ca="1">IF(K58=K4,AVERAGE(OFFSET('Input|Rate of change'!L97,0,0,COUNTA('Input|Rate of change'!$J$84:$M$84),1)),0)</f>
        <v>0</v>
      </c>
      <c r="L61" s="117">
        <f ca="1">IF(L58=L4,AVERAGE(OFFSET('Input|Rate of change'!M97,0,0,COUNTA('Input|Rate of change'!$J$84:$M$84),1)),0)</f>
        <v>0</v>
      </c>
      <c r="M61" s="117">
        <f ca="1">IF(M58=M4,AVERAGE(OFFSET('Input|Rate of change'!N97,0,0,COUNTA('Input|Rate of change'!$J$84:$M$84),1)),0)</f>
        <v>0</v>
      </c>
      <c r="N61" s="117">
        <f ca="1">IF(N58=N4,AVERAGE(OFFSET('Input|Rate of change'!O97,0,0,COUNTA('Input|Rate of change'!$J$84:$M$84),1)),0)</f>
        <v>0</v>
      </c>
      <c r="O61" s="117"/>
      <c r="P61" s="117"/>
      <c r="Q61" s="117"/>
      <c r="R61" s="117"/>
      <c r="S61" s="117"/>
      <c r="T61" s="117"/>
    </row>
    <row r="62" spans="1:48" outlineLevel="1"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</row>
    <row r="63" spans="1:48" outlineLevel="1">
      <c r="C63" s="111" t="s">
        <v>80</v>
      </c>
      <c r="D63" s="110" t="s">
        <v>30</v>
      </c>
      <c r="E63" s="30" t="s">
        <v>31</v>
      </c>
      <c r="F63" s="30" t="s">
        <v>36</v>
      </c>
      <c r="J63" s="117">
        <f>SUMPRODUCT('Input|Rate of change'!K38:K45,'Input|Rate of change'!K51:K58)</f>
        <v>0</v>
      </c>
      <c r="K63" s="117">
        <f>SUMPRODUCT('Input|Rate of change'!L38:L45,'Input|Rate of change'!L51:L58)</f>
        <v>0</v>
      </c>
      <c r="L63" s="117">
        <f>SUMPRODUCT('Input|Rate of change'!M38:M45,'Input|Rate of change'!M51:M58)</f>
        <v>0</v>
      </c>
      <c r="M63" s="117">
        <f>SUMPRODUCT('Input|Rate of change'!N38:N45,'Input|Rate of change'!N51:N58)</f>
        <v>0</v>
      </c>
      <c r="N63" s="117">
        <f>SUMPRODUCT('Input|Rate of change'!O38:O45,'Input|Rate of change'!O51:O58)</f>
        <v>0</v>
      </c>
      <c r="O63" s="117">
        <f>SUMPRODUCT('Input|Rate of change'!P38:P45,'Input|Rate of change'!P51:P58)</f>
        <v>5.0498201543127336E-3</v>
      </c>
      <c r="P63" s="117">
        <f>SUMPRODUCT('Input|Rate of change'!Q38:Q45,'Input|Rate of change'!Q51:Q58)</f>
        <v>3.5532962765552597E-3</v>
      </c>
      <c r="Q63" s="117">
        <f>SUMPRODUCT('Input|Rate of change'!R38:R45,'Input|Rate of change'!R51:R58)</f>
        <v>3.8212223333621265E-3</v>
      </c>
      <c r="R63" s="117">
        <f>SUMPRODUCT('Input|Rate of change'!S38:S45,'Input|Rate of change'!S51:S58)</f>
        <v>5.3714768515284424E-3</v>
      </c>
      <c r="S63" s="117">
        <f>SUMPRODUCT('Input|Rate of change'!T38:T45,'Input|Rate of change'!T51:T58)</f>
        <v>5.2793094112313522E-3</v>
      </c>
      <c r="T63" s="117">
        <f>SUMPRODUCT('Input|Rate of change'!U38:U45,'Input|Rate of change'!U51:U58)</f>
        <v>0</v>
      </c>
    </row>
    <row r="64" spans="1:48" outlineLevel="1">
      <c r="C64" s="111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</row>
    <row r="65" spans="1:48" outlineLevel="1">
      <c r="C65" s="111" t="s">
        <v>103</v>
      </c>
      <c r="D65" s="110" t="s">
        <v>30</v>
      </c>
      <c r="E65" s="30" t="s">
        <v>31</v>
      </c>
      <c r="F65" s="30" t="s">
        <v>36</v>
      </c>
      <c r="J65" s="117">
        <f>'Input|Rate of change'!K106</f>
        <v>0</v>
      </c>
      <c r="K65" s="117">
        <f>'Input|Rate of change'!L106</f>
        <v>0</v>
      </c>
      <c r="L65" s="117">
        <f>'Input|Rate of change'!M106</f>
        <v>0</v>
      </c>
      <c r="M65" s="117">
        <f>'Input|Rate of change'!N106</f>
        <v>0</v>
      </c>
      <c r="N65" s="117">
        <f>'Input|Rate of change'!O106</f>
        <v>0</v>
      </c>
      <c r="O65" s="117">
        <f>'Input|Rate of change'!P106</f>
        <v>3.0999999999999999E-3</v>
      </c>
      <c r="P65" s="117">
        <f>'Input|Rate of change'!Q106</f>
        <v>3.0999999999999999E-3</v>
      </c>
      <c r="Q65" s="117">
        <f>'Input|Rate of change'!R106</f>
        <v>3.0999999999999999E-3</v>
      </c>
      <c r="R65" s="117">
        <f>'Input|Rate of change'!S106</f>
        <v>3.0999999999999999E-3</v>
      </c>
      <c r="S65" s="117">
        <f>'Input|Rate of change'!T106</f>
        <v>3.0999999999999999E-3</v>
      </c>
      <c r="T65" s="117">
        <f>'Input|Rate of change'!U106</f>
        <v>0</v>
      </c>
    </row>
    <row r="66" spans="1:48" outlineLevel="1">
      <c r="C66" s="111"/>
      <c r="J66" s="173"/>
      <c r="K66" s="173"/>
      <c r="L66" s="173"/>
      <c r="M66" s="173"/>
      <c r="N66" s="173"/>
      <c r="O66" s="173"/>
      <c r="P66" s="173"/>
      <c r="Q66" s="173"/>
      <c r="R66" s="173"/>
      <c r="S66" s="173"/>
      <c r="T66" s="173"/>
    </row>
    <row r="67" spans="1:48" outlineLevel="1">
      <c r="C67" s="118" t="s">
        <v>143</v>
      </c>
      <c r="D67" s="114" t="s">
        <v>30</v>
      </c>
      <c r="E67" s="114" t="s">
        <v>31</v>
      </c>
      <c r="F67" s="114" t="s">
        <v>36</v>
      </c>
      <c r="J67" s="143">
        <f ca="1">(1+J61)*(1+J63)*(1-J65)-1</f>
        <v>0</v>
      </c>
      <c r="K67" s="143">
        <f t="shared" ref="K67:S67" ca="1" si="6">(1+K61)*(1+K63)*(1-K65)-1</f>
        <v>0</v>
      </c>
      <c r="L67" s="143">
        <f t="shared" ca="1" si="6"/>
        <v>0</v>
      </c>
      <c r="M67" s="143">
        <f t="shared" ca="1" si="6"/>
        <v>0</v>
      </c>
      <c r="N67" s="143">
        <f t="shared" ca="1" si="6"/>
        <v>0</v>
      </c>
      <c r="O67" s="143">
        <f t="shared" si="6"/>
        <v>1.9341657118343569E-3</v>
      </c>
      <c r="P67" s="143">
        <f t="shared" si="6"/>
        <v>4.422810580979597E-4</v>
      </c>
      <c r="Q67" s="143">
        <f t="shared" si="6"/>
        <v>7.0937654412861484E-4</v>
      </c>
      <c r="R67" s="143">
        <f t="shared" si="6"/>
        <v>2.2548252732887963E-3</v>
      </c>
      <c r="S67" s="143">
        <f t="shared" si="6"/>
        <v>2.1629435520564844E-3</v>
      </c>
      <c r="T67" s="143">
        <f t="shared" ref="T67" si="7">(1+T61)*(1+T63)*(1-T65)-1</f>
        <v>0</v>
      </c>
    </row>
    <row r="68" spans="1:48" outlineLevel="1">
      <c r="C68" s="124" t="s">
        <v>144</v>
      </c>
      <c r="D68" s="110" t="s">
        <v>30</v>
      </c>
      <c r="E68" s="30" t="s">
        <v>31</v>
      </c>
      <c r="F68" s="30" t="s">
        <v>36</v>
      </c>
      <c r="J68" s="117" t="str">
        <f t="array" ref="J68">IF(J$58=J$4,PRODUCT(1+$J67:J67)-1,"")</f>
        <v/>
      </c>
      <c r="K68" s="117" t="str">
        <f t="array" ref="K68">IF(K$58=K$4,PRODUCT(1+$J67:K67)-1,"")</f>
        <v/>
      </c>
      <c r="L68" s="117" t="str">
        <f t="array" ref="L68">IF(L$58=L$4,PRODUCT(1+$J67:L67)-1,"")</f>
        <v/>
      </c>
      <c r="M68" s="117" t="str">
        <f t="array" ref="M68">IF(M$58=M$4,PRODUCT(1+$J67:M67)-1,"")</f>
        <v/>
      </c>
      <c r="N68" s="117" t="str">
        <f t="array" ref="N68">IF(N$58=N$4,PRODUCT(1+$J67:N67)-1,"")</f>
        <v/>
      </c>
      <c r="O68" s="117">
        <f t="array" aca="1" ref="O68" ca="1">IF(O$58=O$4,PRODUCT(1+$J67:O67)-1,"")</f>
        <v>1.9341657118343569E-3</v>
      </c>
      <c r="P68" s="117">
        <f t="array" aca="1" ref="P68" ca="1">IF(P$58=P$4,PRODUCT(1+$J67:P67)-1,"")</f>
        <v>2.3773022147899336E-3</v>
      </c>
      <c r="Q68" s="117">
        <f t="array" aca="1" ref="Q68" ca="1">IF(Q$58=Q$4,PRODUCT(1+$J67:Q67)-1,"")</f>
        <v>3.0883651613480279E-3</v>
      </c>
      <c r="R68" s="117">
        <f t="array" aca="1" ref="R68" ca="1">IF(R$58=R$4,PRODUCT(1+$J67:R67)-1,"")</f>
        <v>5.3501541584557444E-3</v>
      </c>
      <c r="S68" s="117">
        <f t="array" aca="1" ref="S68" ca="1">IF(S$58=S$4,PRODUCT(1+$J67:S67)-1,"")</f>
        <v>7.5246697919517658E-3</v>
      </c>
      <c r="T68" s="117" t="str">
        <f t="array" ref="T68">IF(T$58=T$4,PRODUCT(1+$J67:T67)-1,"")</f>
        <v/>
      </c>
    </row>
    <row r="69" spans="1:48">
      <c r="J69" s="107"/>
      <c r="K69" s="107"/>
      <c r="L69" s="107"/>
      <c r="M69" s="107"/>
      <c r="N69" s="107"/>
      <c r="O69" s="119"/>
      <c r="P69" s="119"/>
      <c r="Q69" s="119"/>
      <c r="R69" s="119"/>
      <c r="S69" s="119"/>
      <c r="T69" s="119"/>
    </row>
    <row r="70" spans="1:48" s="103" customFormat="1" ht="12.75">
      <c r="A70" s="94"/>
      <c r="B70" s="95" t="s">
        <v>90</v>
      </c>
      <c r="C70" s="94"/>
      <c r="D70" s="94"/>
      <c r="E70" s="94"/>
      <c r="F70" s="96"/>
      <c r="G70" s="96"/>
      <c r="H70" s="96"/>
      <c r="I70" s="96"/>
      <c r="J70" s="97"/>
      <c r="K70" s="98"/>
      <c r="L70" s="97"/>
      <c r="M70" s="98"/>
      <c r="N70" s="97"/>
      <c r="O70" s="97"/>
      <c r="P70" s="97"/>
      <c r="Q70" s="97"/>
      <c r="R70" s="97"/>
      <c r="S70" s="97"/>
      <c r="T70" s="97"/>
      <c r="U70" s="97"/>
      <c r="V70" s="97"/>
      <c r="W70" s="98"/>
      <c r="X70" s="98"/>
      <c r="Y70" s="99"/>
      <c r="Z70" s="99"/>
      <c r="AA70" s="99"/>
      <c r="AB70" s="99"/>
      <c r="AC70" s="100"/>
      <c r="AD70" s="101"/>
      <c r="AE70" s="101"/>
      <c r="AF70" s="102"/>
      <c r="AG70" s="102"/>
      <c r="AH70" s="102"/>
      <c r="AI70" s="102"/>
      <c r="AJ70" s="102"/>
      <c r="AK70" s="102"/>
      <c r="AL70" s="102"/>
      <c r="AM70" s="102"/>
      <c r="AN70" s="102"/>
      <c r="AO70" s="102"/>
      <c r="AP70" s="102"/>
      <c r="AQ70" s="102"/>
      <c r="AR70" s="102"/>
      <c r="AS70" s="102"/>
      <c r="AT70" s="102"/>
      <c r="AU70" s="102"/>
      <c r="AV70" s="102"/>
    </row>
    <row r="71" spans="1:48" outlineLevel="1">
      <c r="C71" s="106"/>
      <c r="J71" s="107"/>
      <c r="K71" s="107"/>
      <c r="L71" s="107"/>
    </row>
    <row r="72" spans="1:48" outlineLevel="1">
      <c r="C72" s="67" t="s">
        <v>104</v>
      </c>
      <c r="D72" s="32" t="s">
        <v>7</v>
      </c>
      <c r="E72" s="32" t="s">
        <v>8</v>
      </c>
      <c r="F72" s="32" t="s">
        <v>22</v>
      </c>
      <c r="J72" s="162" t="str">
        <f>IF(YEAR(J$4)&gt;='Input|General'!$G$13,IF(YEAR(J$4)&lt;='Input|General'!$G$14,J$4,""),"")</f>
        <v/>
      </c>
      <c r="K72" s="162" t="str">
        <f>IF(YEAR(K$4)&gt;='Input|General'!$G$13,IF(YEAR(K$4)&lt;='Input|General'!$G$14,K$4,""),"")</f>
        <v/>
      </c>
      <c r="L72" s="162" t="str">
        <f>IF(YEAR(L$4)&gt;='Input|General'!$G$13,IF(YEAR(L$4)&lt;='Input|General'!$G$14,L$4,""),"")</f>
        <v/>
      </c>
      <c r="M72" s="162" t="str">
        <f>IF(YEAR(M$4)&gt;='Input|General'!$G$13,IF(YEAR(M$4)&lt;='Input|General'!$G$14,M$4,""),"")</f>
        <v/>
      </c>
      <c r="N72" s="162" t="str">
        <f>IF(YEAR(N$4)&gt;='Input|General'!$G$13,IF(YEAR(N$4)&lt;='Input|General'!$G$14,N$4,""),"")</f>
        <v/>
      </c>
      <c r="O72" s="162">
        <f>IF(YEAR(O$4)&gt;='Input|General'!$G$13,IF(YEAR(O$4)&lt;='Input|General'!$G$14,O$4,""),"")</f>
        <v>44986</v>
      </c>
      <c r="P72" s="162">
        <f>IF(YEAR(P$4)&gt;='Input|General'!$G$13,IF(YEAR(P$4)&lt;='Input|General'!$G$14,P$4,""),"")</f>
        <v>45352</v>
      </c>
      <c r="Q72" s="162">
        <f>IF(YEAR(Q$4)&gt;='Input|General'!$G$13,IF(YEAR(Q$4)&lt;='Input|General'!$G$14,Q$4,""),"")</f>
        <v>45717</v>
      </c>
      <c r="R72" s="162">
        <f>IF(YEAR(R$4)&gt;='Input|General'!$G$13,IF(YEAR(R$4)&lt;='Input|General'!$G$14,R$4,""),"")</f>
        <v>46082</v>
      </c>
      <c r="S72" s="162">
        <f>IF(YEAR(S$4)&gt;='Input|General'!$G$13,IF(YEAR(S$4)&lt;='Input|General'!$G$14,S$4,""),"")</f>
        <v>46447</v>
      </c>
      <c r="T72" s="162" t="str">
        <f>IF(YEAR(T$4)&gt;='Input|General'!$G$13,IF(YEAR(T$4)&lt;='Input|General'!$G$14,T$4,""),"")</f>
        <v/>
      </c>
    </row>
    <row r="73" spans="1:48" outlineLevel="1">
      <c r="C73" s="67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</row>
    <row r="74" spans="1:48" outlineLevel="1">
      <c r="C74" s="121" t="str">
        <f>'Input|Step changes'!C12</f>
        <v>Cyber Security</v>
      </c>
      <c r="D74" s="110" t="s">
        <v>30</v>
      </c>
      <c r="E74" s="30" t="str">
        <f t="shared" ref="E74:E94" si="8">$E$8</f>
        <v>$millions</v>
      </c>
      <c r="F74" s="160">
        <f t="shared" ref="F74:F84" si="9">$F$8</f>
        <v>44621</v>
      </c>
      <c r="J74" s="127">
        <f>'Input|Step changes'!J12*INDEX('Input|Rate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K74" s="127">
        <f>'Input|Step changes'!K12*INDEX('Input|Rate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L74" s="127">
        <f>'Input|Step changes'!L12*INDEX('Input|Rate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M74" s="127">
        <f>'Input|Step changes'!M12*INDEX('Input|Rate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N74" s="127">
        <f>'Input|Step changes'!N12*INDEX('Input|Rate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O74" s="127">
        <f>'Input|Step changes'!O12*INDEX('Input|Rate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P74" s="127">
        <f>'Input|Step changes'!P12*INDEX('Input|Rate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Q74" s="127">
        <f>'Input|Step changes'!Q12*INDEX('Input|Rate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R74" s="127">
        <f>'Input|Step changes'!R12*INDEX('Input|Rate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S74" s="127">
        <f>'Input|Step changes'!S12*INDEX('Input|Rate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  <c r="T74" s="127">
        <f>'Input|Step changes'!T12*INDEX('Input|Rate of change'!$C$14:$P$22,MATCH('Input|Step changes'!$F12,'Input|Rate of change'!$C$14:$C$22,0),MATCH('Calc|Opex forecast'!$F74,'Input|Rate of change'!$C$14:$P$14,0))*IF('Input|Step changes'!$E12="$millions",1000000,IF('Input|Step changes'!$E12="$000",1000,1))/IF($E74="$millions",1000000,IF($E74="$000",1000,1))</f>
        <v>0</v>
      </c>
    </row>
    <row r="75" spans="1:48" outlineLevel="1">
      <c r="C75" s="121" t="str">
        <f>'Input|Step changes'!C13</f>
        <v>5 minute settlement</v>
      </c>
      <c r="D75" s="110" t="s">
        <v>30</v>
      </c>
      <c r="E75" s="30" t="str">
        <f t="shared" si="8"/>
        <v>$millions</v>
      </c>
      <c r="F75" s="160">
        <f t="shared" si="9"/>
        <v>44621</v>
      </c>
      <c r="J75" s="127">
        <f>'Input|Step changes'!J13*INDEX('Input|Rate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</v>
      </c>
      <c r="K75" s="127">
        <f>'Input|Step changes'!K13*INDEX('Input|Rate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</v>
      </c>
      <c r="L75" s="127">
        <f>'Input|Step changes'!L13*INDEX('Input|Rate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</v>
      </c>
      <c r="M75" s="127">
        <f>'Input|Step changes'!M13*INDEX('Input|Rate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</v>
      </c>
      <c r="N75" s="127">
        <f>'Input|Step changes'!N13*INDEX('Input|Rate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</v>
      </c>
      <c r="O75" s="127">
        <f>'Input|Step changes'!O13*INDEX('Input|Rate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0.17439816509905662</v>
      </c>
      <c r="P75" s="127">
        <f>'Input|Step changes'!P13*INDEX('Input|Rate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0.17439816509905662</v>
      </c>
      <c r="Q75" s="127">
        <f>'Input|Step changes'!Q13*INDEX('Input|Rate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0.17439816509905662</v>
      </c>
      <c r="R75" s="127">
        <f>'Input|Step changes'!R13*INDEX('Input|Rate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0.17439816509905662</v>
      </c>
      <c r="S75" s="127">
        <f>'Input|Step changes'!S13*INDEX('Input|Rate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0.17439816509905662</v>
      </c>
      <c r="T75" s="127">
        <f>'Input|Step changes'!T13*INDEX('Input|Rate of change'!$C$14:$P$22,MATCH('Input|Step changes'!$F13,'Input|Rate of change'!$C$14:$C$22,0),MATCH('Calc|Opex forecast'!$F75,'Input|Rate of change'!$C$14:$P$14,0))*IF('Input|Step changes'!$E13="$millions",1000000,IF('Input|Step changes'!$E13="$000",1000,1))/IF($E75="$millions",1000000,IF($E75="$000",1000,1))</f>
        <v>0</v>
      </c>
    </row>
    <row r="76" spans="1:48" outlineLevel="1">
      <c r="C76" s="121" t="str">
        <f>'Input|Step changes'!C14</f>
        <v>EPA</v>
      </c>
      <c r="D76" s="110" t="s">
        <v>30</v>
      </c>
      <c r="E76" s="30" t="str">
        <f t="shared" si="8"/>
        <v>$millions</v>
      </c>
      <c r="F76" s="160">
        <f t="shared" si="9"/>
        <v>44621</v>
      </c>
      <c r="J76" s="127">
        <f>'Input|Step changes'!J14*INDEX('Input|Rate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K76" s="127">
        <f>'Input|Step changes'!K14*INDEX('Input|Rate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L76" s="127">
        <f>'Input|Step changes'!L14*INDEX('Input|Rate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M76" s="127">
        <f>'Input|Step changes'!M14*INDEX('Input|Rate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N76" s="127">
        <f>'Input|Step changes'!N14*INDEX('Input|Rate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O76" s="127">
        <f>'Input|Step changes'!O14*INDEX('Input|Rate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P76" s="127">
        <f>'Input|Step changes'!P14*INDEX('Input|Rate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Q76" s="127">
        <f>'Input|Step changes'!Q14*INDEX('Input|Rate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R76" s="127">
        <f>'Input|Step changes'!R14*INDEX('Input|Rate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S76" s="127">
        <f>'Input|Step changes'!S14*INDEX('Input|Rate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  <c r="T76" s="127">
        <f>'Input|Step changes'!T14*INDEX('Input|Rate of change'!$C$14:$P$22,MATCH('Input|Step changes'!$F14,'Input|Rate of change'!$C$14:$C$22,0),MATCH('Calc|Opex forecast'!$F76,'Input|Rate of change'!$C$14:$P$14,0))*IF('Input|Step changes'!$E14="$millions",1000000,IF('Input|Step changes'!$E14="$000",1000,1))/IF($E76="$millions",1000000,IF($E76="$000",1000,1))</f>
        <v>0</v>
      </c>
    </row>
    <row r="77" spans="1:48" outlineLevel="1">
      <c r="C77" s="121" t="str">
        <f>'Input|Step changes'!C15</f>
        <v>Cloud</v>
      </c>
      <c r="D77" s="110" t="s">
        <v>30</v>
      </c>
      <c r="E77" s="30" t="str">
        <f t="shared" si="8"/>
        <v>$millions</v>
      </c>
      <c r="F77" s="160">
        <f t="shared" si="9"/>
        <v>44621</v>
      </c>
      <c r="J77" s="127">
        <f>'Input|Step changes'!J15*INDEX('Input|Rate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</v>
      </c>
      <c r="K77" s="127">
        <f>'Input|Step changes'!K15*INDEX('Input|Rate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</v>
      </c>
      <c r="L77" s="127">
        <f>'Input|Step changes'!L15*INDEX('Input|Rate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</v>
      </c>
      <c r="M77" s="127">
        <f>'Input|Step changes'!M15*INDEX('Input|Rate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</v>
      </c>
      <c r="N77" s="127">
        <f>'Input|Step changes'!N15*INDEX('Input|Rate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</v>
      </c>
      <c r="O77" s="127">
        <f>'Input|Step changes'!O15*INDEX('Input|Rate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0.45444141191037735</v>
      </c>
      <c r="P77" s="127">
        <f>'Input|Step changes'!P15*INDEX('Input|Rate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0.45444141191037735</v>
      </c>
      <c r="Q77" s="127">
        <f>'Input|Step changes'!Q15*INDEX('Input|Rate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0.45444141191037735</v>
      </c>
      <c r="R77" s="127">
        <f>'Input|Step changes'!R15*INDEX('Input|Rate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0.45444141191037735</v>
      </c>
      <c r="S77" s="127">
        <f>'Input|Step changes'!S15*INDEX('Input|Rate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0.45444141191037735</v>
      </c>
      <c r="T77" s="127">
        <f>'Input|Step changes'!T15*INDEX('Input|Rate of change'!$C$14:$P$22,MATCH('Input|Step changes'!$F15,'Input|Rate of change'!$C$14:$C$22,0),MATCH('Calc|Opex forecast'!$F77,'Input|Rate of change'!$C$14:$P$14,0))*IF('Input|Step changes'!$E15="$millions",1000000,IF('Input|Step changes'!$E15="$000",1000,1))/IF($E77="$millions",1000000,IF($E77="$000",1000,1))</f>
        <v>0</v>
      </c>
    </row>
    <row r="78" spans="1:48" outlineLevel="1">
      <c r="C78" s="121" t="str">
        <f>'Input|Step changes'!C16</f>
        <v>Council Rates</v>
      </c>
      <c r="D78" s="110" t="s">
        <v>30</v>
      </c>
      <c r="E78" s="30" t="str">
        <f t="shared" si="8"/>
        <v>$millions</v>
      </c>
      <c r="F78" s="160">
        <f t="shared" si="9"/>
        <v>44621</v>
      </c>
      <c r="J78" s="127">
        <f>'Input|Step changes'!J16*INDEX('Input|Rate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K78" s="127">
        <f>'Input|Step changes'!K16*INDEX('Input|Rate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L78" s="127">
        <f>'Input|Step changes'!L16*INDEX('Input|Rate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M78" s="127">
        <f>'Input|Step changes'!M16*INDEX('Input|Rate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N78" s="127">
        <f>'Input|Step changes'!N16*INDEX('Input|Rate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O78" s="127">
        <f>'Input|Step changes'!O16*INDEX('Input|Rate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P78" s="127">
        <f>'Input|Step changes'!P16*INDEX('Input|Rate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Q78" s="127">
        <f>'Input|Step changes'!Q16*INDEX('Input|Rate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R78" s="127">
        <f>'Input|Step changes'!R16*INDEX('Input|Rate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S78" s="127">
        <f>'Input|Step changes'!S16*INDEX('Input|Rate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  <c r="T78" s="127">
        <f>'Input|Step changes'!T16*INDEX('Input|Rate of change'!$C$14:$P$22,MATCH('Input|Step changes'!$F16,'Input|Rate of change'!$C$14:$C$22,0),MATCH('Calc|Opex forecast'!$F78,'Input|Rate of change'!$C$14:$P$14,0))*IF('Input|Step changes'!$E16="$millions",1000000,IF('Input|Step changes'!$E16="$000",1000,1))/IF($E78="$millions",1000000,IF($E78="$000",1000,1))</f>
        <v>0</v>
      </c>
    </row>
    <row r="79" spans="1:48" outlineLevel="1">
      <c r="C79" s="121">
        <f>'Input|Step changes'!C17</f>
        <v>0</v>
      </c>
      <c r="D79" s="110" t="s">
        <v>30</v>
      </c>
      <c r="E79" s="30" t="str">
        <f t="shared" si="8"/>
        <v>$millions</v>
      </c>
      <c r="F79" s="160">
        <f t="shared" si="9"/>
        <v>44621</v>
      </c>
      <c r="J79" s="127">
        <f>'Input|Step changes'!J17*INDEX('Input|Rate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K79" s="127">
        <f>'Input|Step changes'!K17*INDEX('Input|Rate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L79" s="127">
        <f>'Input|Step changes'!L17*INDEX('Input|Rate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M79" s="127">
        <f>'Input|Step changes'!M17*INDEX('Input|Rate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N79" s="127">
        <f>'Input|Step changes'!N17*INDEX('Input|Rate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O79" s="127">
        <f>'Input|Step changes'!O17*INDEX('Input|Rate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P79" s="127">
        <f>'Input|Step changes'!P17*INDEX('Input|Rate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Q79" s="127">
        <f>'Input|Step changes'!Q17*INDEX('Input|Rate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R79" s="127">
        <f>'Input|Step changes'!R17*INDEX('Input|Rate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S79" s="127">
        <f>'Input|Step changes'!S17*INDEX('Input|Rate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  <c r="T79" s="127">
        <f>'Input|Step changes'!T17*INDEX('Input|Rate of change'!$C$14:$P$22,MATCH('Input|Step changes'!$F17,'Input|Rate of change'!$C$14:$C$22,0),MATCH('Calc|Opex forecast'!$F79,'Input|Rate of change'!$C$14:$P$14,0))*IF('Input|Step changes'!$E17="$millions",1000000,IF('Input|Step changes'!$E17="$000",1000,1))/IF($E79="$millions",1000000,IF($E79="$000",1000,1))</f>
        <v>0</v>
      </c>
    </row>
    <row r="80" spans="1:48" outlineLevel="1">
      <c r="C80" s="121">
        <f>'Input|Step changes'!C18</f>
        <v>0</v>
      </c>
      <c r="D80" s="110" t="s">
        <v>30</v>
      </c>
      <c r="E80" s="30" t="str">
        <f t="shared" si="8"/>
        <v>$millions</v>
      </c>
      <c r="F80" s="160">
        <f t="shared" si="9"/>
        <v>44621</v>
      </c>
      <c r="J80" s="127">
        <f>'Input|Step changes'!J18*INDEX('Input|Rate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K80" s="127">
        <f>'Input|Step changes'!K18*INDEX('Input|Rate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L80" s="127">
        <f>'Input|Step changes'!L18*INDEX('Input|Rate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M80" s="127">
        <f>'Input|Step changes'!M18*INDEX('Input|Rate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N80" s="127">
        <f>'Input|Step changes'!N18*INDEX('Input|Rate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O80" s="127">
        <f>'Input|Step changes'!O18*INDEX('Input|Rate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P80" s="127">
        <f>'Input|Step changes'!P18*INDEX('Input|Rate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Q80" s="127">
        <f>'Input|Step changes'!Q18*INDEX('Input|Rate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R80" s="127">
        <f>'Input|Step changes'!R18*INDEX('Input|Rate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S80" s="127">
        <f>'Input|Step changes'!S18*INDEX('Input|Rate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  <c r="T80" s="127">
        <f>'Input|Step changes'!T18*INDEX('Input|Rate of change'!$C$14:$P$22,MATCH('Input|Step changes'!$F18,'Input|Rate of change'!$C$14:$C$22,0),MATCH('Calc|Opex forecast'!$F80,'Input|Rate of change'!$C$14:$P$14,0))*IF('Input|Step changes'!$E18="$millions",1000000,IF('Input|Step changes'!$E18="$000",1000,1))/IF($E80="$millions",1000000,IF($E80="$000",1000,1))</f>
        <v>0</v>
      </c>
    </row>
    <row r="81" spans="1:48" outlineLevel="1">
      <c r="C81" s="121">
        <f>'Input|Step changes'!C19</f>
        <v>0</v>
      </c>
      <c r="D81" s="110" t="s">
        <v>30</v>
      </c>
      <c r="E81" s="30" t="str">
        <f t="shared" si="8"/>
        <v>$millions</v>
      </c>
      <c r="F81" s="160">
        <f t="shared" si="9"/>
        <v>44621</v>
      </c>
      <c r="J81" s="127">
        <f>'Input|Step changes'!J19*INDEX('Input|Rate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K81" s="127">
        <f>'Input|Step changes'!K19*INDEX('Input|Rate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L81" s="127">
        <f>'Input|Step changes'!L19*INDEX('Input|Rate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M81" s="127">
        <f>'Input|Step changes'!M19*INDEX('Input|Rate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N81" s="127">
        <f>'Input|Step changes'!N19*INDEX('Input|Rate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O81" s="127">
        <f>'Input|Step changes'!O19*INDEX('Input|Rate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P81" s="127">
        <f>'Input|Step changes'!P19*INDEX('Input|Rate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Q81" s="127">
        <f>'Input|Step changes'!Q19*INDEX('Input|Rate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R81" s="127">
        <f>'Input|Step changes'!R19*INDEX('Input|Rate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S81" s="127">
        <f>'Input|Step changes'!S19*INDEX('Input|Rate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  <c r="T81" s="127">
        <f>'Input|Step changes'!T19*INDEX('Input|Rate of change'!$C$14:$P$22,MATCH('Input|Step changes'!$F19,'Input|Rate of change'!$C$14:$C$22,0),MATCH('Calc|Opex forecast'!$F81,'Input|Rate of change'!$C$14:$P$14,0))*IF('Input|Step changes'!$E19="$millions",1000000,IF('Input|Step changes'!$E19="$000",1000,1))/IF($E81="$millions",1000000,IF($E81="$000",1000,1))</f>
        <v>0</v>
      </c>
    </row>
    <row r="82" spans="1:48" outlineLevel="1">
      <c r="C82" s="121">
        <f>'Input|Step changes'!C20</f>
        <v>0</v>
      </c>
      <c r="D82" s="110" t="s">
        <v>30</v>
      </c>
      <c r="E82" s="30" t="str">
        <f t="shared" si="8"/>
        <v>$millions</v>
      </c>
      <c r="F82" s="160">
        <f t="shared" si="9"/>
        <v>44621</v>
      </c>
      <c r="J82" s="127">
        <f>'Input|Step changes'!J20*INDEX('Input|Rate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K82" s="127">
        <f>'Input|Step changes'!K20*INDEX('Input|Rate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L82" s="127">
        <f>'Input|Step changes'!L20*INDEX('Input|Rate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M82" s="127">
        <f>'Input|Step changes'!M20*INDEX('Input|Rate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N82" s="127">
        <f>'Input|Step changes'!N20*INDEX('Input|Rate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O82" s="127">
        <f>'Input|Step changes'!O20*INDEX('Input|Rate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P82" s="127">
        <f>'Input|Step changes'!P20*INDEX('Input|Rate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Q82" s="127">
        <f>'Input|Step changes'!Q20*INDEX('Input|Rate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R82" s="127">
        <f>'Input|Step changes'!R20*INDEX('Input|Rate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S82" s="127">
        <f>'Input|Step changes'!S20*INDEX('Input|Rate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  <c r="T82" s="127">
        <f>'Input|Step changes'!T20*INDEX('Input|Rate of change'!$C$14:$P$22,MATCH('Input|Step changes'!$F20,'Input|Rate of change'!$C$14:$C$22,0),MATCH('Calc|Opex forecast'!$F82,'Input|Rate of change'!$C$14:$P$14,0))*IF('Input|Step changes'!$E20="$millions",1000000,IF('Input|Step changes'!$E20="$000",1000,1))/IF($E82="$millions",1000000,IF($E82="$000",1000,1))</f>
        <v>0</v>
      </c>
    </row>
    <row r="83" spans="1:48" outlineLevel="1">
      <c r="C83" s="121"/>
      <c r="D83" s="110"/>
      <c r="F83" s="112"/>
      <c r="J83" s="175"/>
      <c r="K83" s="175"/>
      <c r="L83" s="175"/>
      <c r="M83" s="175"/>
      <c r="N83" s="175"/>
      <c r="O83" s="175"/>
      <c r="P83" s="175"/>
      <c r="Q83" s="175"/>
      <c r="R83" s="175"/>
      <c r="S83" s="175"/>
      <c r="T83" s="175"/>
    </row>
    <row r="84" spans="1:48" outlineLevel="1">
      <c r="C84" s="113" t="s">
        <v>49</v>
      </c>
      <c r="D84" s="122" t="s">
        <v>30</v>
      </c>
      <c r="E84" s="122" t="str">
        <f>$E$8</f>
        <v>$millions</v>
      </c>
      <c r="F84" s="174">
        <f t="shared" si="9"/>
        <v>44621</v>
      </c>
      <c r="G84" s="32"/>
      <c r="H84" s="32"/>
      <c r="I84" s="32"/>
      <c r="J84" s="176">
        <f>SUM(J73:J83)</f>
        <v>0</v>
      </c>
      <c r="K84" s="176">
        <f t="shared" ref="K84:S84" si="10">SUM(K73:K83)</f>
        <v>0</v>
      </c>
      <c r="L84" s="176">
        <f t="shared" si="10"/>
        <v>0</v>
      </c>
      <c r="M84" s="176">
        <f t="shared" si="10"/>
        <v>0</v>
      </c>
      <c r="N84" s="176">
        <f t="shared" si="10"/>
        <v>0</v>
      </c>
      <c r="O84" s="176">
        <f t="shared" si="10"/>
        <v>0.62883957700943394</v>
      </c>
      <c r="P84" s="176">
        <f t="shared" si="10"/>
        <v>0.62883957700943394</v>
      </c>
      <c r="Q84" s="176">
        <f t="shared" si="10"/>
        <v>0.62883957700943394</v>
      </c>
      <c r="R84" s="176">
        <f t="shared" si="10"/>
        <v>0.62883957700943394</v>
      </c>
      <c r="S84" s="176">
        <f t="shared" si="10"/>
        <v>0.62883957700943394</v>
      </c>
      <c r="T84" s="176">
        <f t="shared" ref="T84" si="11">SUM(T73:T83)</f>
        <v>0</v>
      </c>
    </row>
    <row r="85" spans="1:48">
      <c r="C85" s="123"/>
      <c r="D85" s="110"/>
      <c r="E85" s="110"/>
      <c r="F85" s="110"/>
      <c r="J85" s="107"/>
      <c r="K85" s="107"/>
      <c r="L85" s="107"/>
      <c r="M85" s="107"/>
      <c r="N85" s="23"/>
      <c r="O85" s="23"/>
      <c r="P85" s="23"/>
      <c r="Q85" s="23"/>
      <c r="R85" s="23"/>
      <c r="S85" s="23"/>
      <c r="T85" s="23"/>
    </row>
    <row r="86" spans="1:48" s="103" customFormat="1" ht="12.75">
      <c r="A86" s="94"/>
      <c r="B86" s="95" t="s">
        <v>121</v>
      </c>
      <c r="C86" s="94"/>
      <c r="D86" s="94"/>
      <c r="E86" s="94"/>
      <c r="F86" s="96"/>
      <c r="G86" s="96"/>
      <c r="H86" s="96"/>
      <c r="I86" s="96"/>
      <c r="J86" s="97"/>
      <c r="K86" s="98"/>
      <c r="L86" s="97"/>
      <c r="M86" s="98"/>
      <c r="N86" s="97"/>
      <c r="O86" s="97"/>
      <c r="P86" s="97"/>
      <c r="Q86" s="97"/>
      <c r="R86" s="97"/>
      <c r="S86" s="97"/>
      <c r="T86" s="97"/>
      <c r="U86" s="97"/>
      <c r="V86" s="97"/>
      <c r="W86" s="98"/>
      <c r="X86" s="98"/>
      <c r="Y86" s="99"/>
      <c r="Z86" s="99"/>
      <c r="AA86" s="99"/>
      <c r="AB86" s="99"/>
      <c r="AC86" s="100"/>
      <c r="AD86" s="101"/>
      <c r="AE86" s="101"/>
      <c r="AF86" s="102"/>
      <c r="AG86" s="102"/>
      <c r="AH86" s="102"/>
      <c r="AI86" s="102"/>
      <c r="AJ86" s="102"/>
      <c r="AK86" s="102"/>
      <c r="AL86" s="102"/>
      <c r="AM86" s="102"/>
      <c r="AN86" s="102"/>
      <c r="AO86" s="102"/>
      <c r="AP86" s="102"/>
      <c r="AQ86" s="102"/>
      <c r="AR86" s="102"/>
      <c r="AS86" s="102"/>
      <c r="AT86" s="102"/>
      <c r="AU86" s="102"/>
      <c r="AV86" s="102"/>
    </row>
    <row r="87" spans="1:48" outlineLevel="1">
      <c r="C87" s="106"/>
      <c r="J87" s="107"/>
      <c r="K87" s="107"/>
      <c r="L87" s="107"/>
    </row>
    <row r="88" spans="1:48" outlineLevel="1">
      <c r="C88" s="67" t="s">
        <v>111</v>
      </c>
      <c r="D88" s="32" t="s">
        <v>7</v>
      </c>
      <c r="E88" s="32" t="s">
        <v>8</v>
      </c>
      <c r="F88" s="32" t="s">
        <v>22</v>
      </c>
      <c r="J88" s="162" t="str">
        <f>IF(YEAR(J$4)&gt;='Input|General'!$G$13,IF(YEAR(J$4)&lt;='Input|General'!$G$14,J$4,""),"")</f>
        <v/>
      </c>
      <c r="K88" s="162" t="str">
        <f>IF(YEAR(K$4)&gt;='Input|General'!$G$13,IF(YEAR(K$4)&lt;='Input|General'!$G$14,K$4,""),"")</f>
        <v/>
      </c>
      <c r="L88" s="162" t="str">
        <f>IF(YEAR(L$4)&gt;='Input|General'!$G$13,IF(YEAR(L$4)&lt;='Input|General'!$G$14,L$4,""),"")</f>
        <v/>
      </c>
      <c r="M88" s="162" t="str">
        <f>IF(YEAR(M$4)&gt;='Input|General'!$G$13,IF(YEAR(M$4)&lt;='Input|General'!$G$14,M$4,""),"")</f>
        <v/>
      </c>
      <c r="N88" s="162" t="str">
        <f>IF(YEAR(N$4)&gt;='Input|General'!$G$13,IF(YEAR(N$4)&lt;='Input|General'!$G$14,N$4,""),"")</f>
        <v/>
      </c>
      <c r="O88" s="162">
        <f>IF(YEAR(O$4)&gt;='Input|General'!$G$13,IF(YEAR(O$4)&lt;='Input|General'!$G$14,O$4,""),"")</f>
        <v>44986</v>
      </c>
      <c r="P88" s="162">
        <f>IF(YEAR(P$4)&gt;='Input|General'!$G$13,IF(YEAR(P$4)&lt;='Input|General'!$G$14,P$4,""),"")</f>
        <v>45352</v>
      </c>
      <c r="Q88" s="162">
        <f>IF(YEAR(Q$4)&gt;='Input|General'!$G$13,IF(YEAR(Q$4)&lt;='Input|General'!$G$14,Q$4,""),"")</f>
        <v>45717</v>
      </c>
      <c r="R88" s="162">
        <f>IF(YEAR(R$4)&gt;='Input|General'!$G$13,IF(YEAR(R$4)&lt;='Input|General'!$G$14,R$4,""),"")</f>
        <v>46082</v>
      </c>
      <c r="S88" s="162">
        <f>IF(YEAR(S$4)&gt;='Input|General'!$G$13,IF(YEAR(S$4)&lt;='Input|General'!$G$14,S$4,""),"")</f>
        <v>46447</v>
      </c>
      <c r="T88" s="162" t="str">
        <f>IF(YEAR(T$4)&gt;='Input|General'!$G$13,IF(YEAR(T$4)&lt;='Input|General'!$G$14,T$4,""),"")</f>
        <v/>
      </c>
    </row>
    <row r="89" spans="1:48" outlineLevel="1">
      <c r="C89" s="67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</row>
    <row r="90" spans="1:48" outlineLevel="1">
      <c r="C90" s="121" t="str">
        <f>'Input|Step changes'!C28</f>
        <v>Easement land tax</v>
      </c>
      <c r="D90" s="110" t="s">
        <v>30</v>
      </c>
      <c r="E90" s="30" t="str">
        <f t="shared" si="8"/>
        <v>$millions</v>
      </c>
      <c r="F90" s="160">
        <f t="shared" ref="F90:F94" si="12">$F$8</f>
        <v>44621</v>
      </c>
      <c r="J90" s="127">
        <f>'Input|Step changes'!J28*INDEX('Input|Rate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0</v>
      </c>
      <c r="K90" s="127">
        <f>'Input|Step changes'!K28*INDEX('Input|Rate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0</v>
      </c>
      <c r="L90" s="127">
        <f>'Input|Step changes'!L28*INDEX('Input|Rate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0</v>
      </c>
      <c r="M90" s="127">
        <f>'Input|Step changes'!M28*INDEX('Input|Rate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0</v>
      </c>
      <c r="N90" s="127">
        <f>'Input|Step changes'!N28*INDEX('Input|Rate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0</v>
      </c>
      <c r="O90" s="127">
        <f>'Input|Step changes'!O28*INDEX('Input|Rate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173.61030500000001</v>
      </c>
      <c r="P90" s="127">
        <f>'Input|Step changes'!P28*INDEX('Input|Rate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173.61030500000001</v>
      </c>
      <c r="Q90" s="127">
        <f>'Input|Step changes'!Q28*INDEX('Input|Rate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173.61030500000001</v>
      </c>
      <c r="R90" s="127">
        <f>'Input|Step changes'!R28*INDEX('Input|Rate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173.61030500000001</v>
      </c>
      <c r="S90" s="127">
        <f>'Input|Step changes'!S28*INDEX('Input|Rate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173.61030500000001</v>
      </c>
      <c r="T90" s="127">
        <f>'Input|Step changes'!T28*INDEX('Input|Rate of change'!$C$14:$P$22,MATCH('Input|Step changes'!$F28,'Input|Rate of change'!$C$14:$C$22,0),MATCH('Calc|Opex forecast'!$F90,'Input|Rate of change'!$C$14:$P$14,0))*IF('Input|Step changes'!$E28="$millions",1000000,IF('Input|Step changes'!$E28="$000",1000,1))/IF($E90="$millions",1000000,IF($E90="$000",1000,1))</f>
        <v>0</v>
      </c>
    </row>
    <row r="91" spans="1:48" outlineLevel="1">
      <c r="C91" s="121" t="str">
        <f>'Input|Step changes'!C29</f>
        <v>Self insurance cost</v>
      </c>
      <c r="D91" s="110" t="s">
        <v>30</v>
      </c>
      <c r="E91" s="30" t="str">
        <f t="shared" si="8"/>
        <v>$millions</v>
      </c>
      <c r="F91" s="160">
        <f t="shared" si="12"/>
        <v>44621</v>
      </c>
      <c r="J91" s="127">
        <f>'Input|Step changes'!J29*INDEX('Input|Rate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K91" s="127">
        <f>'Input|Step changes'!K29*INDEX('Input|Rate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L91" s="127">
        <f>'Input|Step changes'!L29*INDEX('Input|Rate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M91" s="127">
        <f>'Input|Step changes'!M29*INDEX('Input|Rate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N91" s="127">
        <f>'Input|Step changes'!N29*INDEX('Input|Rate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O91" s="127">
        <f>'Input|Step changes'!O29*INDEX('Input|Rate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P91" s="127">
        <f>'Input|Step changes'!P29*INDEX('Input|Rate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Q91" s="127">
        <f>'Input|Step changes'!Q29*INDEX('Input|Rate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R91" s="127">
        <f>'Input|Step changes'!R29*INDEX('Input|Rate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S91" s="127">
        <f>'Input|Step changes'!S29*INDEX('Input|Rate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  <c r="T91" s="127">
        <f>'Input|Step changes'!T29*INDEX('Input|Rate of change'!$C$14:$P$22,MATCH('Input|Step changes'!$F29,'Input|Rate of change'!$C$14:$C$22,0),MATCH('Calc|Opex forecast'!$F91,'Input|Rate of change'!$C$14:$P$14,0))*IF('Input|Step changes'!$E29="$millions",1000000,IF('Input|Step changes'!$E29="$000",1000,1))/IF($E91="$millions",1000000,IF($E91="$000",1000,1))</f>
        <v>0</v>
      </c>
    </row>
    <row r="92" spans="1:48" outlineLevel="1">
      <c r="C92" s="121" t="str">
        <f>'Input|Step changes'!C30</f>
        <v>Group 3 roll in</v>
      </c>
      <c r="D92" s="110" t="s">
        <v>30</v>
      </c>
      <c r="E92" s="30" t="str">
        <f t="shared" si="8"/>
        <v>$millions</v>
      </c>
      <c r="F92" s="160">
        <f t="shared" si="12"/>
        <v>44621</v>
      </c>
      <c r="J92" s="127">
        <f>'Input|Step changes'!J30*INDEX('Input|Rate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0</v>
      </c>
      <c r="K92" s="127">
        <f>'Input|Step changes'!K30*INDEX('Input|Rate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0</v>
      </c>
      <c r="L92" s="127">
        <f>'Input|Step changes'!L30*INDEX('Input|Rate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0</v>
      </c>
      <c r="M92" s="127">
        <f>'Input|Step changes'!M30*INDEX('Input|Rate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0</v>
      </c>
      <c r="N92" s="127">
        <f>'Input|Step changes'!N30*INDEX('Input|Rate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0</v>
      </c>
      <c r="O92" s="127">
        <f>'Input|Step changes'!O30*INDEX('Input|Rate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5.2263371399674705</v>
      </c>
      <c r="P92" s="127">
        <f>'Input|Step changes'!P30*INDEX('Input|Rate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5.2263371399674705</v>
      </c>
      <c r="Q92" s="127">
        <f>'Input|Step changes'!Q30*INDEX('Input|Rate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5.2263371399674705</v>
      </c>
      <c r="R92" s="127">
        <f>'Input|Step changes'!R30*INDEX('Input|Rate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5.2263371399674705</v>
      </c>
      <c r="S92" s="127">
        <f>'Input|Step changes'!S30*INDEX('Input|Rate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5.2263371399674705</v>
      </c>
      <c r="T92" s="127">
        <f>'Input|Step changes'!T30*INDEX('Input|Rate of change'!$C$14:$P$22,MATCH('Input|Step changes'!$F30,'Input|Rate of change'!$C$14:$C$22,0),MATCH('Calc|Opex forecast'!$F92,'Input|Rate of change'!$C$14:$P$14,0))*IF('Input|Step changes'!$E30="$millions",1000000,IF('Input|Step changes'!$E30="$000",1000,1))/IF($E92="$millions",1000000,IF($E92="$000",1000,1))</f>
        <v>0</v>
      </c>
    </row>
    <row r="93" spans="1:48" outlineLevel="1">
      <c r="C93" s="121" t="str">
        <f>'Input|Step changes'!C31</f>
        <v>Innovation</v>
      </c>
      <c r="D93" s="110" t="s">
        <v>30</v>
      </c>
      <c r="E93" s="30" t="str">
        <f t="shared" si="8"/>
        <v>$millions</v>
      </c>
      <c r="F93" s="160">
        <f t="shared" si="12"/>
        <v>44621</v>
      </c>
      <c r="J93" s="127">
        <f>'Input|Step changes'!J31*INDEX('Input|Rate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K93" s="127">
        <f>'Input|Step changes'!K31*INDEX('Input|Rate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L93" s="127">
        <f>'Input|Step changes'!L31*INDEX('Input|Rate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M93" s="127">
        <f>'Input|Step changes'!M31*INDEX('Input|Rate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N93" s="127">
        <f>'Input|Step changes'!N31*INDEX('Input|Rate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O93" s="127">
        <f>'Input|Step changes'!O31*INDEX('Input|Rate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P93" s="127">
        <f>'Input|Step changes'!P31*INDEX('Input|Rate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Q93" s="127">
        <f>'Input|Step changes'!Q31*INDEX('Input|Rate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R93" s="127">
        <f>'Input|Step changes'!R31*INDEX('Input|Rate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S93" s="127">
        <f>'Input|Step changes'!S31*INDEX('Input|Rate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  <c r="T93" s="127">
        <f>'Input|Step changes'!T31*INDEX('Input|Rate of change'!$C$14:$P$22,MATCH('Input|Step changes'!$F31,'Input|Rate of change'!$C$14:$C$22,0),MATCH('Calc|Opex forecast'!$F93,'Input|Rate of change'!$C$14:$P$14,0))*IF('Input|Step changes'!$E31="$millions",1000000,IF('Input|Step changes'!$E31="$000",1000,1))/IF($E93="$millions",1000000,IF($E93="$000",1000,1))</f>
        <v>0</v>
      </c>
    </row>
    <row r="94" spans="1:48" outlineLevel="1">
      <c r="C94" s="121" t="str">
        <f>'Input|Step changes'!C32</f>
        <v>Availability rebate</v>
      </c>
      <c r="D94" s="110" t="s">
        <v>30</v>
      </c>
      <c r="E94" s="30" t="str">
        <f t="shared" si="8"/>
        <v>$millions</v>
      </c>
      <c r="F94" s="160">
        <f t="shared" si="12"/>
        <v>44621</v>
      </c>
      <c r="J94" s="127">
        <f>'Input|Step changes'!J32*INDEX('Input|Rate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K94" s="127">
        <f>'Input|Step changes'!K32*INDEX('Input|Rate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L94" s="127">
        <f>'Input|Step changes'!L32*INDEX('Input|Rate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M94" s="127">
        <f>'Input|Step changes'!M32*INDEX('Input|Rate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N94" s="127">
        <f>'Input|Step changes'!N32*INDEX('Input|Rate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O94" s="127">
        <f>'Input|Step changes'!O32*INDEX('Input|Rate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P94" s="127">
        <f>'Input|Step changes'!P32*INDEX('Input|Rate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Q94" s="127">
        <f>'Input|Step changes'!Q32*INDEX('Input|Rate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R94" s="127">
        <f>'Input|Step changes'!R32*INDEX('Input|Rate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S94" s="127">
        <f>'Input|Step changes'!S32*INDEX('Input|Rate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T94" s="127">
        <f>'Input|Step changes'!T32*INDEX('Input|Rate of change'!$C$14:$P$22,MATCH('Input|Step changes'!$F32,'Input|Rate of change'!$C$14:$C$22,0),MATCH('Calc|Opex forecast'!$F94,'Input|Rate of change'!$C$14:$P$14,0))*IF('Input|Step changes'!$E32="$millions",1000000,IF('Input|Step changes'!$E32="$000",1000,1))/IF($E94="$millions",1000000,IF($E94="$000",1000,1))</f>
        <v>0</v>
      </c>
      <c r="U94" s="107"/>
      <c r="V94" s="107"/>
      <c r="W94" s="107"/>
      <c r="X94" s="107"/>
      <c r="Y94" s="107"/>
      <c r="Z94" s="107"/>
      <c r="AA94" s="107"/>
      <c r="AB94" s="107"/>
      <c r="AC94" s="107"/>
      <c r="AD94" s="107"/>
      <c r="AE94" s="107"/>
      <c r="AF94" s="107"/>
      <c r="AG94" s="107"/>
      <c r="AH94" s="107"/>
      <c r="AI94" s="107"/>
      <c r="AJ94" s="107"/>
      <c r="AK94" s="107"/>
      <c r="AL94" s="107"/>
      <c r="AM94" s="107"/>
    </row>
    <row r="95" spans="1:48" outlineLevel="1">
      <c r="C95" s="121"/>
      <c r="D95" s="110"/>
      <c r="F95" s="112"/>
      <c r="J95" s="127"/>
      <c r="K95" s="127"/>
      <c r="L95" s="127"/>
      <c r="M95" s="127"/>
      <c r="N95" s="127"/>
      <c r="O95" s="127"/>
      <c r="P95" s="127"/>
      <c r="Q95" s="127"/>
      <c r="R95" s="127"/>
      <c r="S95" s="127"/>
      <c r="T95" s="127"/>
      <c r="U95" s="107"/>
      <c r="V95" s="107"/>
      <c r="W95" s="107"/>
      <c r="X95" s="107"/>
      <c r="Y95" s="107"/>
      <c r="Z95" s="107"/>
      <c r="AA95" s="107"/>
      <c r="AB95" s="107"/>
      <c r="AC95" s="107"/>
      <c r="AD95" s="107"/>
      <c r="AE95" s="107"/>
      <c r="AF95" s="107"/>
      <c r="AG95" s="107"/>
      <c r="AH95" s="107"/>
      <c r="AI95" s="107"/>
      <c r="AJ95" s="107"/>
      <c r="AK95" s="107"/>
      <c r="AL95" s="107"/>
      <c r="AM95" s="107"/>
    </row>
    <row r="96" spans="1:48" outlineLevel="1">
      <c r="C96" s="113" t="s">
        <v>122</v>
      </c>
      <c r="D96" s="122" t="s">
        <v>30</v>
      </c>
      <c r="E96" s="122" t="str">
        <f>$E$8</f>
        <v>$millions</v>
      </c>
      <c r="F96" s="174">
        <f t="shared" ref="F96" si="13">$F$8</f>
        <v>44621</v>
      </c>
      <c r="G96" s="32"/>
      <c r="H96" s="32"/>
      <c r="I96" s="32"/>
      <c r="J96" s="128">
        <f t="shared" ref="J96:T96" si="14">SUM(J89:J94)</f>
        <v>0</v>
      </c>
      <c r="K96" s="128">
        <f t="shared" si="14"/>
        <v>0</v>
      </c>
      <c r="L96" s="128">
        <f t="shared" si="14"/>
        <v>0</v>
      </c>
      <c r="M96" s="128">
        <f t="shared" si="14"/>
        <v>0</v>
      </c>
      <c r="N96" s="128">
        <f t="shared" si="14"/>
        <v>0</v>
      </c>
      <c r="O96" s="128">
        <f t="shared" si="14"/>
        <v>178.83664213996749</v>
      </c>
      <c r="P96" s="128">
        <f t="shared" si="14"/>
        <v>178.83664213996749</v>
      </c>
      <c r="Q96" s="128">
        <f t="shared" si="14"/>
        <v>178.83664213996749</v>
      </c>
      <c r="R96" s="128">
        <f t="shared" si="14"/>
        <v>178.83664213996749</v>
      </c>
      <c r="S96" s="128">
        <f t="shared" si="14"/>
        <v>178.83664213996749</v>
      </c>
      <c r="T96" s="128">
        <f t="shared" si="14"/>
        <v>0</v>
      </c>
    </row>
    <row r="97" spans="1:48">
      <c r="C97" s="123"/>
      <c r="D97" s="110"/>
      <c r="E97" s="110"/>
      <c r="F97" s="110"/>
      <c r="J97" s="107"/>
      <c r="K97" s="107"/>
      <c r="L97" s="107"/>
      <c r="M97" s="107"/>
      <c r="N97" s="23"/>
      <c r="O97" s="23"/>
      <c r="P97" s="23"/>
      <c r="Q97" s="23"/>
      <c r="R97" s="23"/>
      <c r="S97" s="23"/>
      <c r="T97" s="23"/>
    </row>
    <row r="98" spans="1:48" s="103" customFormat="1" ht="12.75">
      <c r="A98" s="94"/>
      <c r="B98" s="95" t="s">
        <v>91</v>
      </c>
      <c r="C98" s="94"/>
      <c r="D98" s="94"/>
      <c r="E98" s="94"/>
      <c r="F98" s="96"/>
      <c r="G98" s="96"/>
      <c r="H98" s="96"/>
      <c r="I98" s="96"/>
      <c r="J98" s="97"/>
      <c r="K98" s="98"/>
      <c r="L98" s="97"/>
      <c r="M98" s="98"/>
      <c r="N98" s="97"/>
      <c r="O98" s="97"/>
      <c r="P98" s="97"/>
      <c r="Q98" s="97"/>
      <c r="R98" s="97"/>
      <c r="S98" s="97"/>
      <c r="T98" s="97"/>
      <c r="U98" s="97"/>
      <c r="V98" s="97"/>
      <c r="W98" s="98"/>
      <c r="X98" s="98"/>
      <c r="Y98" s="99"/>
      <c r="Z98" s="99"/>
      <c r="AA98" s="99"/>
      <c r="AB98" s="99"/>
      <c r="AC98" s="100"/>
      <c r="AD98" s="101"/>
      <c r="AE98" s="101"/>
      <c r="AF98" s="102"/>
      <c r="AG98" s="102"/>
      <c r="AH98" s="102"/>
      <c r="AI98" s="102"/>
      <c r="AJ98" s="102"/>
      <c r="AK98" s="102"/>
      <c r="AL98" s="102"/>
      <c r="AM98" s="102"/>
      <c r="AN98" s="102"/>
      <c r="AO98" s="102"/>
      <c r="AP98" s="102"/>
      <c r="AQ98" s="102"/>
      <c r="AR98" s="102"/>
      <c r="AS98" s="102"/>
      <c r="AT98" s="102"/>
      <c r="AU98" s="102"/>
      <c r="AV98" s="102"/>
    </row>
    <row r="99" spans="1:48" outlineLevel="1">
      <c r="C99" s="106"/>
      <c r="J99" s="107"/>
      <c r="K99" s="107"/>
      <c r="L99" s="107"/>
    </row>
    <row r="100" spans="1:48" outlineLevel="1">
      <c r="C100" s="67"/>
      <c r="J100" s="162" t="str">
        <f>IF(YEAR(J$4)&gt;='Input|General'!$G$13,IF(YEAR(J$4)&lt;='Input|General'!$G$14,J$4,""),"")</f>
        <v/>
      </c>
      <c r="K100" s="162" t="str">
        <f>IF(YEAR(K$4)&gt;='Input|General'!$G$13,IF(YEAR(K$4)&lt;='Input|General'!$G$14,K$4,""),"")</f>
        <v/>
      </c>
      <c r="L100" s="162" t="str">
        <f>IF(YEAR(L$4)&gt;='Input|General'!$G$13,IF(YEAR(L$4)&lt;='Input|General'!$G$14,L$4,""),"")</f>
        <v/>
      </c>
      <c r="M100" s="162" t="str">
        <f>IF(YEAR(M$4)&gt;='Input|General'!$G$13,IF(YEAR(M$4)&lt;='Input|General'!$G$14,M$4,""),"")</f>
        <v/>
      </c>
      <c r="N100" s="162" t="str">
        <f>IF(YEAR(N$4)&gt;='Input|General'!$G$13,IF(YEAR(N$4)&lt;='Input|General'!$G$14,N$4,""),"")</f>
        <v/>
      </c>
      <c r="O100" s="162">
        <f>IF(YEAR(O$4)&gt;='Input|General'!$G$13,IF(YEAR(O$4)&lt;='Input|General'!$G$14,O$4,""),"")</f>
        <v>44986</v>
      </c>
      <c r="P100" s="162">
        <f>IF(YEAR(P$4)&gt;='Input|General'!$G$13,IF(YEAR(P$4)&lt;='Input|General'!$G$14,P$4,""),"")</f>
        <v>45352</v>
      </c>
      <c r="Q100" s="162">
        <f>IF(YEAR(Q$4)&gt;='Input|General'!$G$13,IF(YEAR(Q$4)&lt;='Input|General'!$G$14,Q$4,""),"")</f>
        <v>45717</v>
      </c>
      <c r="R100" s="162">
        <f>IF(YEAR(R$4)&gt;='Input|General'!$G$13,IF(YEAR(R$4)&lt;='Input|General'!$G$14,R$4,""),"")</f>
        <v>46082</v>
      </c>
      <c r="S100" s="162">
        <f>IF(YEAR(S$4)&gt;='Input|General'!$G$13,IF(YEAR(S$4)&lt;='Input|General'!$G$14,S$4,""),"")</f>
        <v>46447</v>
      </c>
      <c r="T100" s="162" t="str">
        <f>IF(YEAR(T$4)&gt;='Input|General'!$G$13,IF(YEAR(T$4)&lt;='Input|General'!$G$14,T$4,""),"")</f>
        <v/>
      </c>
    </row>
    <row r="101" spans="1:48" outlineLevel="1">
      <c r="C101" s="124"/>
      <c r="D101" s="110"/>
      <c r="E101" s="110"/>
      <c r="F101" s="110"/>
      <c r="J101" s="125"/>
      <c r="K101" s="125"/>
      <c r="L101" s="125"/>
      <c r="M101" s="125"/>
      <c r="N101" s="125"/>
      <c r="O101" s="125"/>
      <c r="P101" s="125"/>
      <c r="Q101" s="125"/>
      <c r="R101" s="125"/>
      <c r="S101" s="125"/>
      <c r="T101" s="125"/>
    </row>
    <row r="102" spans="1:48" outlineLevel="1">
      <c r="C102" s="123" t="s">
        <v>139</v>
      </c>
      <c r="D102" s="126" t="s">
        <v>30</v>
      </c>
      <c r="E102" s="126" t="str">
        <f>$E$8</f>
        <v>$millions</v>
      </c>
      <c r="F102" s="174">
        <f t="shared" ref="F102:F104" si="15">$F$8</f>
        <v>44621</v>
      </c>
      <c r="J102" s="151" t="str">
        <f t="shared" ref="J102:S102" si="16">IF(YEAR(J$4)&gt;=FPFirstYear,IF(YEAR(J$4)&lt;=FPLastYear,IF(ISBLANK(J100),"",(1+J68)*SUM($J54:$S54)+J84),""),"")</f>
        <v/>
      </c>
      <c r="K102" s="151" t="str">
        <f t="shared" si="16"/>
        <v/>
      </c>
      <c r="L102" s="151" t="str">
        <f t="shared" si="16"/>
        <v/>
      </c>
      <c r="M102" s="151" t="str">
        <f t="shared" si="16"/>
        <v/>
      </c>
      <c r="N102" s="151" t="str">
        <f t="shared" si="16"/>
        <v/>
      </c>
      <c r="O102" s="151">
        <f ca="1">IF(YEAR(O$4)&gt;=FPFirstYear,IF(YEAR(O$4)&lt;=FPLastYear,IF(ISBLANK(O100),"",(1+O68)*SUM($J54:$S54)+O84),""),"")</f>
        <v>83.003101870565686</v>
      </c>
      <c r="P102" s="151">
        <f t="shared" ca="1" si="16"/>
        <v>83.039534446452919</v>
      </c>
      <c r="Q102" s="151">
        <f t="shared" ca="1" si="16"/>
        <v>83.097994660378646</v>
      </c>
      <c r="R102" s="151">
        <f t="shared" ca="1" si="16"/>
        <v>83.283948195527401</v>
      </c>
      <c r="S102" s="151">
        <f t="shared" ca="1" si="16"/>
        <v>83.462726529758342</v>
      </c>
      <c r="T102" s="226"/>
    </row>
    <row r="103" spans="1:48" outlineLevel="1">
      <c r="C103" s="123" t="s">
        <v>109</v>
      </c>
      <c r="D103" s="126" t="s">
        <v>30</v>
      </c>
      <c r="E103" s="126" t="str">
        <f>$E$8</f>
        <v>$millions</v>
      </c>
      <c r="F103" s="174">
        <f t="shared" si="15"/>
        <v>44621</v>
      </c>
      <c r="J103" s="151" t="str">
        <f t="shared" ref="J103:S103" si="17">IF(YEAR(J$4)&gt;=FPFirstYear,IF(YEAR(J$4)&lt;=FPLastYear,IF(ISBLANK(J100),"",(1+J68)*SUM($J54:$S54)+J84+J96),""),"")</f>
        <v/>
      </c>
      <c r="K103" s="151" t="str">
        <f t="shared" si="17"/>
        <v/>
      </c>
      <c r="L103" s="151" t="str">
        <f t="shared" si="17"/>
        <v/>
      </c>
      <c r="M103" s="151" t="str">
        <f t="shared" si="17"/>
        <v/>
      </c>
      <c r="N103" s="151" t="str">
        <f t="shared" si="17"/>
        <v/>
      </c>
      <c r="O103" s="151">
        <f t="shared" ca="1" si="17"/>
        <v>261.8397440105332</v>
      </c>
      <c r="P103" s="151">
        <f t="shared" ca="1" si="17"/>
        <v>261.8761765864204</v>
      </c>
      <c r="Q103" s="151">
        <f t="shared" ca="1" si="17"/>
        <v>261.93463680034614</v>
      </c>
      <c r="R103" s="151">
        <f t="shared" ca="1" si="17"/>
        <v>262.12059033549491</v>
      </c>
      <c r="S103" s="151">
        <f t="shared" ca="1" si="17"/>
        <v>262.29936866972582</v>
      </c>
      <c r="T103" s="226"/>
    </row>
    <row r="104" spans="1:48" outlineLevel="1">
      <c r="C104" s="123" t="s">
        <v>110</v>
      </c>
      <c r="D104" s="126" t="s">
        <v>30</v>
      </c>
      <c r="E104" s="126" t="str">
        <f>$E$8</f>
        <v>$millions</v>
      </c>
      <c r="F104" s="174">
        <f t="shared" si="15"/>
        <v>44621</v>
      </c>
      <c r="J104" s="151" t="str">
        <f>IF(YEAR(J$4)&gt;=FPFirstYear,IF(YEAR(J$4)&lt;=FPLastYear,J103+'Input|Step changes'!J40,""),"")</f>
        <v/>
      </c>
      <c r="K104" s="151" t="str">
        <f>IF(YEAR(K$4)&gt;=FPFirstYear,IF(YEAR(K$4)&lt;=FPLastYear,K103+'Input|Step changes'!K40,""),"")</f>
        <v/>
      </c>
      <c r="L104" s="151" t="str">
        <f>IF(YEAR(L$4)&gt;=FPFirstYear,IF(YEAR(L$4)&lt;=FPLastYear,L103+'Input|Step changes'!L40,""),"")</f>
        <v/>
      </c>
      <c r="M104" s="151" t="str">
        <f>IF(YEAR(M$4)&gt;=FPFirstYear,IF(YEAR(M$4)&lt;=FPLastYear,M103+'Input|Step changes'!M40,""),"")</f>
        <v/>
      </c>
      <c r="N104" s="151" t="str">
        <f>IF(YEAR(N$4)&gt;=FPFirstYear,IF(YEAR(N$4)&lt;=FPLastYear,N103+'Input|Step changes'!N40,""),"")</f>
        <v/>
      </c>
      <c r="O104" s="151">
        <f ca="1">IF(YEAR(O$4)&gt;=FPFirstYear,IF(YEAR(O$4)&lt;=FPLastYear,O103+'Input|Step changes'!O40,""),"")</f>
        <v>263.54313857429685</v>
      </c>
      <c r="P104" s="151">
        <f ca="1">IF(YEAR(P$4)&gt;=FPFirstYear,IF(YEAR(P$4)&lt;=FPLastYear,P103+'Input|Step changes'!P40,""),"")</f>
        <v>263.57035554689651</v>
      </c>
      <c r="Q104" s="151">
        <f ca="1">IF(YEAR(Q$4)&gt;=FPFirstYear,IF(YEAR(Q$4)&lt;=FPLastYear,Q103+'Input|Step changes'!Q40,""),"")</f>
        <v>263.63331377810511</v>
      </c>
      <c r="R104" s="151">
        <f ca="1">IF(YEAR(R$4)&gt;=FPFirstYear,IF(YEAR(R$4)&lt;=FPLastYear,R103+'Input|Step changes'!R40,""),"")</f>
        <v>263.8212097890688</v>
      </c>
      <c r="S104" s="151">
        <f ca="1">IF(YEAR(S$4)&gt;=FPFirstYear,IF(YEAR(S$4)&lt;=FPLastYear,S103+'Input|Step changes'!S40,""),"")</f>
        <v>263.98279171366465</v>
      </c>
      <c r="T104" s="226"/>
    </row>
    <row r="105" spans="1:48">
      <c r="C105" s="123"/>
      <c r="D105" s="110"/>
      <c r="E105" s="110"/>
      <c r="F105" s="110"/>
      <c r="J105" s="107"/>
      <c r="K105" s="107"/>
      <c r="L105" s="107"/>
      <c r="M105" s="107"/>
      <c r="N105" s="23"/>
      <c r="O105" s="23"/>
      <c r="P105" s="23"/>
      <c r="Q105" s="23"/>
      <c r="R105" s="23"/>
      <c r="S105" s="23"/>
      <c r="T105" s="23"/>
    </row>
    <row r="106" spans="1:48" s="103" customFormat="1" ht="12.75">
      <c r="A106" s="94"/>
      <c r="B106" s="95" t="s">
        <v>21</v>
      </c>
      <c r="C106" s="94"/>
      <c r="D106" s="94"/>
      <c r="E106" s="94"/>
      <c r="F106" s="96"/>
      <c r="G106" s="96"/>
      <c r="H106" s="96"/>
      <c r="I106" s="96"/>
      <c r="J106" s="97"/>
      <c r="K106" s="98"/>
      <c r="L106" s="97"/>
      <c r="M106" s="98"/>
      <c r="N106" s="97"/>
      <c r="O106" s="97"/>
      <c r="P106" s="97"/>
      <c r="Q106" s="97"/>
      <c r="R106" s="97"/>
      <c r="S106" s="97"/>
      <c r="T106" s="97"/>
      <c r="U106" s="97"/>
      <c r="V106" s="97"/>
      <c r="W106" s="98"/>
      <c r="X106" s="98"/>
      <c r="Y106" s="99"/>
      <c r="Z106" s="99"/>
      <c r="AA106" s="99"/>
      <c r="AB106" s="99"/>
      <c r="AC106" s="100"/>
      <c r="AD106" s="101"/>
      <c r="AE106" s="101"/>
      <c r="AF106" s="102"/>
      <c r="AG106" s="102"/>
      <c r="AH106" s="102"/>
      <c r="AI106" s="102"/>
      <c r="AJ106" s="102"/>
      <c r="AK106" s="102"/>
      <c r="AL106" s="102"/>
      <c r="AM106" s="102"/>
      <c r="AN106" s="102"/>
      <c r="AO106" s="102"/>
      <c r="AP106" s="102"/>
      <c r="AQ106" s="102"/>
      <c r="AR106" s="102"/>
      <c r="AS106" s="102"/>
      <c r="AT106" s="102"/>
      <c r="AU106" s="102"/>
      <c r="AV106" s="102"/>
    </row>
    <row r="107" spans="1:48" hidden="1"/>
    <row r="108" spans="1:48" hidden="1"/>
    <row r="109" spans="1:48" hidden="1"/>
    <row r="110" spans="1:48" hidden="1"/>
    <row r="111" spans="1:48" hidden="1"/>
    <row r="112" spans="1:48" hidden="1"/>
    <row r="113" spans="4:9" hidden="1"/>
    <row r="114" spans="4:9" hidden="1"/>
    <row r="115" spans="4:9" hidden="1">
      <c r="D115" s="29"/>
      <c r="E115" s="29"/>
      <c r="F115" s="29"/>
      <c r="G115" s="29"/>
      <c r="H115" s="29"/>
      <c r="I115" s="29"/>
    </row>
    <row r="116" spans="4:9" hidden="1">
      <c r="D116" s="29"/>
      <c r="E116" s="29"/>
      <c r="F116" s="29"/>
      <c r="G116" s="29"/>
      <c r="H116" s="29"/>
      <c r="I116" s="29"/>
    </row>
    <row r="117" spans="4:9" hidden="1">
      <c r="D117" s="29"/>
      <c r="E117" s="29"/>
      <c r="F117" s="29"/>
      <c r="G117" s="29"/>
      <c r="H117" s="29"/>
      <c r="I117" s="29"/>
    </row>
    <row r="118" spans="4:9" hidden="1">
      <c r="D118" s="29"/>
      <c r="E118" s="29"/>
      <c r="F118" s="29"/>
      <c r="G118" s="29"/>
      <c r="H118" s="29"/>
      <c r="I118" s="29"/>
    </row>
    <row r="119" spans="4:9" hidden="1">
      <c r="D119" s="29"/>
      <c r="E119" s="29"/>
      <c r="F119" s="29"/>
      <c r="G119" s="29"/>
      <c r="H119" s="29"/>
      <c r="I119" s="29"/>
    </row>
    <row r="120" spans="4:9" hidden="1">
      <c r="D120" s="29"/>
      <c r="E120" s="29"/>
      <c r="F120" s="29"/>
      <c r="G120" s="29"/>
      <c r="H120" s="29"/>
      <c r="I120" s="29"/>
    </row>
    <row r="121" spans="4:9" hidden="1">
      <c r="D121" s="29"/>
      <c r="E121" s="29"/>
      <c r="F121" s="29"/>
      <c r="G121" s="29"/>
      <c r="H121" s="29"/>
      <c r="I121" s="29"/>
    </row>
    <row r="122" spans="4:9" hidden="1">
      <c r="D122" s="29"/>
      <c r="E122" s="29"/>
      <c r="F122" s="29"/>
      <c r="G122" s="29"/>
      <c r="H122" s="29"/>
      <c r="I122" s="29"/>
    </row>
    <row r="123" spans="4:9" hidden="1">
      <c r="D123" s="29"/>
      <c r="E123" s="29"/>
      <c r="F123" s="29"/>
      <c r="G123" s="29"/>
      <c r="H123" s="29"/>
      <c r="I123" s="29"/>
    </row>
    <row r="124" spans="4:9" hidden="1">
      <c r="D124" s="29"/>
      <c r="E124" s="29"/>
      <c r="F124" s="29"/>
      <c r="G124" s="29"/>
      <c r="H124" s="29"/>
      <c r="I124" s="29"/>
    </row>
    <row r="125" spans="4:9" hidden="1">
      <c r="D125" s="29"/>
      <c r="E125" s="29"/>
      <c r="F125" s="29"/>
      <c r="G125" s="29"/>
      <c r="H125" s="29"/>
      <c r="I125" s="29"/>
    </row>
    <row r="126" spans="4:9" hidden="1">
      <c r="D126" s="29"/>
      <c r="E126" s="29"/>
      <c r="F126" s="29"/>
      <c r="G126" s="29"/>
      <c r="H126" s="29"/>
      <c r="I126" s="29"/>
    </row>
    <row r="127" spans="4:9" hidden="1">
      <c r="D127" s="29"/>
      <c r="E127" s="29"/>
      <c r="F127" s="29"/>
      <c r="G127" s="29"/>
      <c r="H127" s="29"/>
      <c r="I127" s="29"/>
    </row>
    <row r="128" spans="4:9" hidden="1">
      <c r="D128" s="29"/>
      <c r="E128" s="29"/>
      <c r="F128" s="29"/>
      <c r="G128" s="29"/>
      <c r="H128" s="29"/>
      <c r="I128" s="29"/>
    </row>
    <row r="129" spans="4:9" hidden="1">
      <c r="D129" s="29"/>
      <c r="E129" s="29"/>
      <c r="F129" s="29"/>
      <c r="G129" s="29"/>
      <c r="H129" s="29"/>
      <c r="I129" s="29"/>
    </row>
    <row r="130" spans="4:9" hidden="1">
      <c r="D130" s="29"/>
      <c r="E130" s="29"/>
      <c r="F130" s="29"/>
      <c r="G130" s="29"/>
      <c r="H130" s="29"/>
      <c r="I130" s="29"/>
    </row>
    <row r="131" spans="4:9" hidden="1">
      <c r="D131" s="29"/>
      <c r="E131" s="29"/>
      <c r="F131" s="29"/>
      <c r="G131" s="29"/>
      <c r="H131" s="29"/>
      <c r="I131" s="29"/>
    </row>
    <row r="132" spans="4:9" hidden="1">
      <c r="D132" s="29"/>
      <c r="E132" s="29"/>
      <c r="F132" s="29"/>
      <c r="G132" s="29"/>
      <c r="H132" s="29"/>
      <c r="I132" s="29"/>
    </row>
    <row r="133" spans="4:9" hidden="1">
      <c r="D133" s="29"/>
      <c r="E133" s="29"/>
      <c r="F133" s="29"/>
      <c r="G133" s="29"/>
      <c r="H133" s="29"/>
      <c r="I133" s="29"/>
    </row>
    <row r="134" spans="4:9" hidden="1">
      <c r="D134" s="29"/>
      <c r="E134" s="29"/>
      <c r="F134" s="29"/>
      <c r="G134" s="29"/>
      <c r="H134" s="29"/>
      <c r="I134" s="29"/>
    </row>
    <row r="135" spans="4:9" hidden="1">
      <c r="D135" s="29"/>
      <c r="E135" s="29"/>
      <c r="F135" s="29"/>
      <c r="G135" s="29"/>
      <c r="H135" s="29"/>
      <c r="I135" s="29"/>
    </row>
    <row r="136" spans="4:9" hidden="1">
      <c r="D136" s="29"/>
      <c r="E136" s="29"/>
      <c r="F136" s="29"/>
      <c r="G136" s="29"/>
      <c r="H136" s="29"/>
      <c r="I136" s="29"/>
    </row>
    <row r="137" spans="4:9" hidden="1">
      <c r="D137" s="29"/>
      <c r="E137" s="29"/>
      <c r="F137" s="29"/>
      <c r="G137" s="29"/>
      <c r="H137" s="29"/>
      <c r="I137" s="29"/>
    </row>
    <row r="138" spans="4:9" hidden="1">
      <c r="D138" s="29"/>
      <c r="E138" s="29"/>
      <c r="F138" s="29"/>
      <c r="G138" s="29"/>
      <c r="H138" s="29"/>
      <c r="I138" s="29"/>
    </row>
    <row r="139" spans="4:9" hidden="1">
      <c r="D139" s="29"/>
      <c r="E139" s="29"/>
      <c r="F139" s="29"/>
      <c r="G139" s="29"/>
      <c r="H139" s="29"/>
      <c r="I139" s="29"/>
    </row>
    <row r="140" spans="4:9" hidden="1">
      <c r="D140" s="29"/>
      <c r="E140" s="29"/>
      <c r="F140" s="29"/>
      <c r="G140" s="29"/>
      <c r="H140" s="29"/>
      <c r="I140" s="29"/>
    </row>
    <row r="141" spans="4:9" hidden="1">
      <c r="D141" s="29"/>
      <c r="E141" s="29"/>
      <c r="F141" s="29"/>
      <c r="G141" s="29"/>
      <c r="H141" s="29"/>
      <c r="I141" s="29"/>
    </row>
    <row r="142" spans="4:9" hidden="1">
      <c r="D142" s="29"/>
      <c r="E142" s="29"/>
      <c r="F142" s="29"/>
      <c r="G142" s="29"/>
      <c r="H142" s="29"/>
      <c r="I142" s="29"/>
    </row>
    <row r="143" spans="4:9" hidden="1">
      <c r="D143" s="29"/>
      <c r="E143" s="29"/>
      <c r="F143" s="29"/>
      <c r="G143" s="29"/>
      <c r="H143" s="29"/>
      <c r="I143" s="29"/>
    </row>
    <row r="144" spans="4:9" hidden="1">
      <c r="D144" s="29"/>
      <c r="E144" s="29"/>
      <c r="F144" s="29"/>
      <c r="G144" s="29"/>
      <c r="H144" s="29"/>
      <c r="I144" s="29"/>
    </row>
    <row r="145" spans="4:9" hidden="1">
      <c r="D145" s="29"/>
      <c r="E145" s="29"/>
      <c r="F145" s="29"/>
      <c r="G145" s="29"/>
      <c r="H145" s="29"/>
      <c r="I145" s="29"/>
    </row>
    <row r="146" spans="4:9" hidden="1">
      <c r="D146" s="29"/>
      <c r="E146" s="29"/>
      <c r="F146" s="29"/>
      <c r="G146" s="29"/>
      <c r="H146" s="29"/>
      <c r="I146" s="29"/>
    </row>
    <row r="147" spans="4:9" hidden="1">
      <c r="D147" s="29"/>
      <c r="E147" s="29"/>
      <c r="F147" s="29"/>
      <c r="G147" s="29"/>
      <c r="H147" s="29"/>
      <c r="I147" s="29"/>
    </row>
    <row r="148" spans="4:9" hidden="1">
      <c r="D148" s="29"/>
      <c r="E148" s="29"/>
      <c r="F148" s="29"/>
      <c r="G148" s="29"/>
      <c r="H148" s="29"/>
      <c r="I148" s="29"/>
    </row>
    <row r="149" spans="4:9" hidden="1">
      <c r="D149" s="29"/>
      <c r="E149" s="29"/>
      <c r="F149" s="29"/>
      <c r="G149" s="29"/>
      <c r="H149" s="29"/>
      <c r="I149" s="29"/>
    </row>
    <row r="150" spans="4:9" hidden="1">
      <c r="D150" s="29"/>
      <c r="E150" s="29"/>
      <c r="F150" s="29"/>
      <c r="G150" s="29"/>
      <c r="H150" s="29"/>
      <c r="I150" s="29"/>
    </row>
    <row r="151" spans="4:9" hidden="1">
      <c r="D151" s="29"/>
      <c r="E151" s="29"/>
      <c r="F151" s="29"/>
      <c r="G151" s="29"/>
      <c r="H151" s="29"/>
      <c r="I151" s="29"/>
    </row>
    <row r="152" spans="4:9" hidden="1">
      <c r="D152" s="29"/>
      <c r="E152" s="29"/>
      <c r="F152" s="29"/>
      <c r="G152" s="29"/>
      <c r="H152" s="29"/>
      <c r="I152" s="29"/>
    </row>
    <row r="153" spans="4:9" hidden="1">
      <c r="D153" s="29"/>
      <c r="E153" s="29"/>
      <c r="F153" s="29"/>
      <c r="G153" s="29"/>
      <c r="H153" s="29"/>
      <c r="I153" s="29"/>
    </row>
    <row r="154" spans="4:9" hidden="1">
      <c r="D154" s="29"/>
      <c r="E154" s="29"/>
      <c r="F154" s="29"/>
      <c r="G154" s="29"/>
      <c r="H154" s="29"/>
      <c r="I154" s="29"/>
    </row>
    <row r="155" spans="4:9" hidden="1">
      <c r="D155" s="29"/>
      <c r="E155" s="29"/>
      <c r="F155" s="29"/>
      <c r="G155" s="29"/>
      <c r="H155" s="29"/>
      <c r="I155" s="29"/>
    </row>
    <row r="156" spans="4:9" hidden="1">
      <c r="D156" s="29"/>
      <c r="E156" s="29"/>
      <c r="F156" s="29"/>
      <c r="G156" s="29"/>
      <c r="H156" s="29"/>
      <c r="I156" s="29"/>
    </row>
    <row r="157" spans="4:9" hidden="1">
      <c r="D157" s="29"/>
      <c r="E157" s="29"/>
      <c r="F157" s="29"/>
      <c r="G157" s="29"/>
      <c r="H157" s="29"/>
      <c r="I157" s="29"/>
    </row>
    <row r="158" spans="4:9" hidden="1">
      <c r="D158" s="29"/>
      <c r="E158" s="29"/>
      <c r="F158" s="29"/>
      <c r="G158" s="29"/>
      <c r="H158" s="29"/>
      <c r="I158" s="29"/>
    </row>
    <row r="159" spans="4:9" hidden="1">
      <c r="D159" s="29"/>
      <c r="E159" s="29"/>
      <c r="F159" s="29"/>
      <c r="G159" s="29"/>
      <c r="H159" s="29"/>
      <c r="I159" s="29"/>
    </row>
    <row r="160" spans="4:9" hidden="1">
      <c r="D160" s="29"/>
      <c r="E160" s="29"/>
      <c r="F160" s="29"/>
      <c r="G160" s="29"/>
      <c r="H160" s="29"/>
      <c r="I160" s="29"/>
    </row>
    <row r="161" spans="4:9" hidden="1">
      <c r="D161" s="29"/>
      <c r="E161" s="29"/>
      <c r="F161" s="29"/>
      <c r="G161" s="29"/>
      <c r="H161" s="29"/>
      <c r="I161" s="29"/>
    </row>
    <row r="162" spans="4:9" hidden="1">
      <c r="D162" s="29"/>
      <c r="E162" s="29"/>
      <c r="F162" s="29"/>
      <c r="G162" s="29"/>
      <c r="H162" s="29"/>
      <c r="I162" s="29"/>
    </row>
    <row r="163" spans="4:9" hidden="1">
      <c r="D163" s="29"/>
      <c r="E163" s="29"/>
      <c r="F163" s="29"/>
      <c r="G163" s="29"/>
      <c r="H163" s="29"/>
      <c r="I163" s="29"/>
    </row>
    <row r="164" spans="4:9" hidden="1">
      <c r="D164" s="29"/>
      <c r="E164" s="29"/>
      <c r="F164" s="29"/>
      <c r="G164" s="29"/>
      <c r="H164" s="29"/>
      <c r="I164" s="29"/>
    </row>
    <row r="165" spans="4:9" hidden="1">
      <c r="D165" s="29"/>
      <c r="E165" s="29"/>
      <c r="F165" s="29"/>
      <c r="G165" s="29"/>
      <c r="H165" s="29"/>
      <c r="I165" s="29"/>
    </row>
    <row r="166" spans="4:9" hidden="1">
      <c r="D166" s="29"/>
      <c r="E166" s="29"/>
      <c r="F166" s="29"/>
      <c r="G166" s="29"/>
      <c r="H166" s="29"/>
      <c r="I166" s="29"/>
    </row>
    <row r="167" spans="4:9" hidden="1">
      <c r="D167" s="29"/>
      <c r="E167" s="29"/>
      <c r="F167" s="29"/>
      <c r="G167" s="29"/>
      <c r="H167" s="29"/>
      <c r="I167" s="29"/>
    </row>
    <row r="168" spans="4:9" hidden="1">
      <c r="D168" s="29"/>
      <c r="E168" s="29"/>
      <c r="F168" s="29"/>
      <c r="G168" s="29"/>
      <c r="H168" s="29"/>
      <c r="I168" s="29"/>
    </row>
    <row r="169" spans="4:9" hidden="1">
      <c r="D169" s="29"/>
      <c r="E169" s="29"/>
      <c r="F169" s="29"/>
      <c r="G169" s="29"/>
      <c r="H169" s="29"/>
      <c r="I169" s="29"/>
    </row>
    <row r="170" spans="4:9" hidden="1">
      <c r="D170" s="29"/>
      <c r="E170" s="29"/>
      <c r="F170" s="29"/>
      <c r="G170" s="29"/>
      <c r="H170" s="29"/>
      <c r="I170" s="29"/>
    </row>
    <row r="171" spans="4:9" hidden="1">
      <c r="D171" s="29"/>
      <c r="E171" s="29"/>
      <c r="F171" s="29"/>
      <c r="G171" s="29"/>
      <c r="H171" s="29"/>
      <c r="I171" s="29"/>
    </row>
    <row r="172" spans="4:9" hidden="1">
      <c r="D172" s="29"/>
      <c r="E172" s="29"/>
      <c r="F172" s="29"/>
      <c r="G172" s="29"/>
      <c r="H172" s="29"/>
      <c r="I172" s="29"/>
    </row>
    <row r="173" spans="4:9" hidden="1">
      <c r="D173" s="29"/>
      <c r="E173" s="29"/>
      <c r="F173" s="29"/>
      <c r="G173" s="29"/>
      <c r="H173" s="29"/>
      <c r="I173" s="29"/>
    </row>
    <row r="174" spans="4:9" hidden="1">
      <c r="D174" s="29"/>
      <c r="E174" s="29"/>
      <c r="F174" s="29"/>
      <c r="G174" s="29"/>
      <c r="H174" s="29"/>
      <c r="I174" s="29"/>
    </row>
    <row r="175" spans="4:9" hidden="1">
      <c r="D175" s="29"/>
      <c r="E175" s="29"/>
      <c r="F175" s="29"/>
      <c r="G175" s="29"/>
      <c r="H175" s="29"/>
      <c r="I175" s="29"/>
    </row>
    <row r="176" spans="4:9" hidden="1">
      <c r="D176" s="29"/>
      <c r="E176" s="29"/>
      <c r="F176" s="29"/>
      <c r="G176" s="29"/>
      <c r="H176" s="29"/>
      <c r="I176" s="29"/>
    </row>
    <row r="177" spans="4:9" hidden="1">
      <c r="D177" s="29"/>
      <c r="E177" s="29"/>
      <c r="F177" s="29"/>
      <c r="G177" s="29"/>
      <c r="H177" s="29"/>
      <c r="I177" s="29"/>
    </row>
    <row r="178" spans="4:9" hidden="1">
      <c r="D178" s="29"/>
      <c r="E178" s="29"/>
      <c r="F178" s="29"/>
      <c r="G178" s="29"/>
      <c r="H178" s="29"/>
      <c r="I178" s="29"/>
    </row>
    <row r="179" spans="4:9" hidden="1">
      <c r="D179" s="29"/>
      <c r="E179" s="29"/>
      <c r="F179" s="29"/>
      <c r="G179" s="29"/>
      <c r="H179" s="29"/>
      <c r="I179" s="29"/>
    </row>
    <row r="180" spans="4:9" hidden="1">
      <c r="D180" s="29"/>
      <c r="E180" s="29"/>
      <c r="F180" s="29"/>
      <c r="G180" s="29"/>
      <c r="H180" s="29"/>
      <c r="I180" s="29"/>
    </row>
    <row r="181" spans="4:9" hidden="1">
      <c r="D181" s="29"/>
      <c r="E181" s="29"/>
      <c r="F181" s="29"/>
      <c r="G181" s="29"/>
      <c r="H181" s="29"/>
      <c r="I181" s="29"/>
    </row>
    <row r="182" spans="4:9" hidden="1">
      <c r="D182" s="29"/>
      <c r="E182" s="29"/>
      <c r="F182" s="29"/>
      <c r="G182" s="29"/>
      <c r="H182" s="29"/>
      <c r="I182" s="29"/>
    </row>
    <row r="183" spans="4:9" hidden="1">
      <c r="D183" s="29"/>
      <c r="E183" s="29"/>
      <c r="F183" s="29"/>
      <c r="G183" s="29"/>
      <c r="H183" s="29"/>
      <c r="I183" s="29"/>
    </row>
    <row r="184" spans="4:9" hidden="1">
      <c r="D184" s="29"/>
      <c r="E184" s="29"/>
      <c r="F184" s="29"/>
      <c r="G184" s="29"/>
      <c r="H184" s="29"/>
      <c r="I184" s="29"/>
    </row>
    <row r="185" spans="4:9" hidden="1">
      <c r="D185" s="29"/>
      <c r="E185" s="29"/>
      <c r="F185" s="29"/>
      <c r="G185" s="29"/>
      <c r="H185" s="29"/>
      <c r="I185" s="29"/>
    </row>
    <row r="186" spans="4:9" hidden="1">
      <c r="D186" s="29"/>
      <c r="E186" s="29"/>
      <c r="F186" s="29"/>
      <c r="G186" s="29"/>
      <c r="H186" s="29"/>
      <c r="I186" s="29"/>
    </row>
    <row r="187" spans="4:9" hidden="1">
      <c r="D187" s="29"/>
      <c r="E187" s="29"/>
      <c r="F187" s="29"/>
      <c r="G187" s="29"/>
      <c r="H187" s="29"/>
      <c r="I187" s="29"/>
    </row>
    <row r="188" spans="4:9" hidden="1">
      <c r="D188" s="29"/>
      <c r="E188" s="29"/>
      <c r="F188" s="29"/>
      <c r="G188" s="29"/>
      <c r="H188" s="29"/>
      <c r="I188" s="29"/>
    </row>
    <row r="189" spans="4:9" hidden="1">
      <c r="D189" s="29"/>
      <c r="E189" s="29"/>
      <c r="F189" s="29"/>
      <c r="G189" s="29"/>
      <c r="H189" s="29"/>
      <c r="I189" s="29"/>
    </row>
    <row r="190" spans="4:9" hidden="1">
      <c r="D190" s="29"/>
      <c r="E190" s="29"/>
      <c r="F190" s="29"/>
      <c r="G190" s="29"/>
      <c r="H190" s="29"/>
      <c r="I190" s="29"/>
    </row>
    <row r="191" spans="4:9" hidden="1">
      <c r="D191" s="29"/>
      <c r="E191" s="29"/>
      <c r="F191" s="29"/>
      <c r="G191" s="29"/>
      <c r="H191" s="29"/>
      <c r="I191" s="29"/>
    </row>
    <row r="192" spans="4:9" hidden="1"/>
    <row r="193" hidden="1"/>
  </sheetData>
  <mergeCells count="1">
    <mergeCell ref="N3:S3"/>
  </mergeCells>
  <conditionalFormatting sqref="S1:T1">
    <cfRule type="cellIs" dxfId="88" priority="107" operator="equal">
      <formula>"Check"</formula>
    </cfRule>
    <cfRule type="cellIs" dxfId="87" priority="108" operator="equal">
      <formula>"Ok"</formula>
    </cfRule>
  </conditionalFormatting>
  <conditionalFormatting sqref="W1">
    <cfRule type="cellIs" dxfId="86" priority="109" operator="equal">
      <formula>"Check"</formula>
    </cfRule>
    <cfRule type="cellIs" dxfId="85" priority="110" operator="equal">
      <formula>"Ok"</formula>
    </cfRule>
  </conditionalFormatting>
  <conditionalFormatting sqref="R39:T39 R42:T42 R45:T45 R48:T48 J12:T18">
    <cfRule type="cellIs" dxfId="84" priority="106" operator="equal">
      <formula>0</formula>
    </cfRule>
  </conditionalFormatting>
  <conditionalFormatting sqref="J13:T13">
    <cfRule type="cellIs" dxfId="83" priority="105" operator="equal">
      <formula>0</formula>
    </cfRule>
  </conditionalFormatting>
  <conditionalFormatting sqref="J14:T14">
    <cfRule type="cellIs" dxfId="82" priority="104" operator="equal">
      <formula>0</formula>
    </cfRule>
  </conditionalFormatting>
  <conditionalFormatting sqref="J15:T15">
    <cfRule type="cellIs" dxfId="81" priority="103" operator="equal">
      <formula>0</formula>
    </cfRule>
  </conditionalFormatting>
  <conditionalFormatting sqref="J16:T16">
    <cfRule type="cellIs" dxfId="80" priority="102" operator="equal">
      <formula>0</formula>
    </cfRule>
  </conditionalFormatting>
  <conditionalFormatting sqref="J17:T18">
    <cfRule type="cellIs" dxfId="79" priority="101" operator="equal">
      <formula>0</formula>
    </cfRule>
  </conditionalFormatting>
  <conditionalFormatting sqref="J61:T65">
    <cfRule type="cellIs" dxfId="78" priority="100" operator="equal">
      <formula>0</formula>
    </cfRule>
  </conditionalFormatting>
  <conditionalFormatting sqref="J74:T82 J90:T95">
    <cfRule type="cellIs" dxfId="77" priority="98" operator="equal">
      <formula>0</formula>
    </cfRule>
  </conditionalFormatting>
  <conditionalFormatting sqref="J36:T36 J33:T34 J51:T54">
    <cfRule type="cellIs" dxfId="76" priority="95" operator="equal">
      <formula>0</formula>
    </cfRule>
  </conditionalFormatting>
  <conditionalFormatting sqref="J103:T104">
    <cfRule type="cellIs" dxfId="75" priority="94" operator="equal">
      <formula>0</formula>
    </cfRule>
  </conditionalFormatting>
  <conditionalFormatting sqref="J103:T104">
    <cfRule type="cellIs" dxfId="74" priority="93" operator="equal">
      <formula>0</formula>
    </cfRule>
  </conditionalFormatting>
  <conditionalFormatting sqref="J46:T46">
    <cfRule type="cellIs" dxfId="73" priority="56" operator="equal">
      <formula>0</formula>
    </cfRule>
  </conditionalFormatting>
  <conditionalFormatting sqref="J39:Q39 J42:Q42 J45:Q45">
    <cfRule type="cellIs" dxfId="72" priority="74" operator="equal">
      <formula>0</formula>
    </cfRule>
  </conditionalFormatting>
  <conditionalFormatting sqref="J39:Q39 J42:Q42 J45:Q45">
    <cfRule type="cellIs" dxfId="71" priority="73" operator="equal">
      <formula>0</formula>
    </cfRule>
  </conditionalFormatting>
  <conditionalFormatting sqref="J37:T37">
    <cfRule type="cellIs" dxfId="70" priority="69" operator="equal">
      <formula>0</formula>
    </cfRule>
  </conditionalFormatting>
  <conditionalFormatting sqref="J37:T37">
    <cfRule type="cellIs" dxfId="69" priority="68" operator="equal">
      <formula>0</formula>
    </cfRule>
  </conditionalFormatting>
  <conditionalFormatting sqref="J48:Q48">
    <cfRule type="cellIs" dxfId="68" priority="59" operator="equal">
      <formula>0</formula>
    </cfRule>
  </conditionalFormatting>
  <conditionalFormatting sqref="J48:Q48">
    <cfRule type="cellIs" dxfId="67" priority="58" operator="equal">
      <formula>0</formula>
    </cfRule>
  </conditionalFormatting>
  <conditionalFormatting sqref="J40:T40">
    <cfRule type="cellIs" dxfId="66" priority="65" operator="equal">
      <formula>0</formula>
    </cfRule>
  </conditionalFormatting>
  <conditionalFormatting sqref="J40:T40">
    <cfRule type="cellIs" dxfId="65" priority="64" operator="equal">
      <formula>0</formula>
    </cfRule>
  </conditionalFormatting>
  <conditionalFormatting sqref="J46:T46">
    <cfRule type="cellIs" dxfId="64" priority="57" operator="equal">
      <formula>0</formula>
    </cfRule>
  </conditionalFormatting>
  <conditionalFormatting sqref="J43:T43">
    <cfRule type="cellIs" dxfId="63" priority="61" operator="equal">
      <formula>0</formula>
    </cfRule>
  </conditionalFormatting>
  <conditionalFormatting sqref="J43:T43">
    <cfRule type="cellIs" dxfId="62" priority="60" operator="equal">
      <formula>0</formula>
    </cfRule>
  </conditionalFormatting>
  <conditionalFormatting sqref="J49:T49">
    <cfRule type="cellIs" dxfId="61" priority="51" operator="equal">
      <formula>0</formula>
    </cfRule>
  </conditionalFormatting>
  <conditionalFormatting sqref="J49:T49">
    <cfRule type="cellIs" dxfId="60" priority="52" operator="equal">
      <formula>0</formula>
    </cfRule>
  </conditionalFormatting>
  <conditionalFormatting sqref="J38:T38">
    <cfRule type="cellIs" dxfId="59" priority="50" operator="equal">
      <formula>0</formula>
    </cfRule>
  </conditionalFormatting>
  <conditionalFormatting sqref="J38:T38">
    <cfRule type="cellIs" dxfId="58" priority="49" operator="equal">
      <formula>0</formula>
    </cfRule>
  </conditionalFormatting>
  <conditionalFormatting sqref="J102:T102 T102:T104">
    <cfRule type="cellIs" dxfId="57" priority="30" operator="equal">
      <formula>0</formula>
    </cfRule>
  </conditionalFormatting>
  <conditionalFormatting sqref="J102:T102 T102:T104">
    <cfRule type="cellIs" dxfId="56" priority="29" operator="equal">
      <formula>0</formula>
    </cfRule>
  </conditionalFormatting>
  <conditionalFormatting sqref="J10:T10">
    <cfRule type="expression" dxfId="55" priority="28">
      <formula>J$10=J$4</formula>
    </cfRule>
  </conditionalFormatting>
  <conditionalFormatting sqref="J25:T25">
    <cfRule type="expression" dxfId="54" priority="27">
      <formula>J$10=J$4</formula>
    </cfRule>
  </conditionalFormatting>
  <conditionalFormatting sqref="J54:T54">
    <cfRule type="expression" dxfId="53" priority="26">
      <formula>J$10=J$4</formula>
    </cfRule>
  </conditionalFormatting>
  <conditionalFormatting sqref="J26:T28 J30:T30">
    <cfRule type="cellIs" dxfId="52" priority="23" operator="equal">
      <formula>0</formula>
    </cfRule>
  </conditionalFormatting>
  <conditionalFormatting sqref="J31:T32">
    <cfRule type="cellIs" dxfId="51" priority="22" operator="equal">
      <formula>0</formula>
    </cfRule>
  </conditionalFormatting>
  <conditionalFormatting sqref="J68:T68">
    <cfRule type="cellIs" dxfId="50" priority="19" operator="equal">
      <formula>0</formula>
    </cfRule>
  </conditionalFormatting>
  <conditionalFormatting sqref="J35:T35">
    <cfRule type="cellIs" dxfId="49" priority="18" operator="equal">
      <formula>0</formula>
    </cfRule>
  </conditionalFormatting>
  <conditionalFormatting sqref="J35:T35">
    <cfRule type="cellIs" dxfId="48" priority="17" operator="equal">
      <formula>0</formula>
    </cfRule>
  </conditionalFormatting>
  <conditionalFormatting sqref="J29:T29">
    <cfRule type="cellIs" dxfId="47" priority="16" operator="equal">
      <formula>0</formula>
    </cfRule>
  </conditionalFormatting>
  <conditionalFormatting sqref="J29:T29">
    <cfRule type="cellIs" dxfId="46" priority="15" operator="equal">
      <formula>0</formula>
    </cfRule>
  </conditionalFormatting>
  <conditionalFormatting sqref="J19:T24">
    <cfRule type="cellIs" dxfId="45" priority="14" operator="equal">
      <formula>0</formula>
    </cfRule>
  </conditionalFormatting>
  <conditionalFormatting sqref="J20:T20">
    <cfRule type="cellIs" dxfId="44" priority="13" operator="equal">
      <formula>0</formula>
    </cfRule>
  </conditionalFormatting>
  <conditionalFormatting sqref="J21:T21">
    <cfRule type="cellIs" dxfId="43" priority="12" operator="equal">
      <formula>0</formula>
    </cfRule>
  </conditionalFormatting>
  <conditionalFormatting sqref="J22:T22">
    <cfRule type="cellIs" dxfId="42" priority="11" operator="equal">
      <formula>0</formula>
    </cfRule>
  </conditionalFormatting>
  <conditionalFormatting sqref="J23:T23">
    <cfRule type="cellIs" dxfId="41" priority="10" operator="equal">
      <formula>0</formula>
    </cfRule>
  </conditionalFormatting>
  <conditionalFormatting sqref="J24:T24">
    <cfRule type="cellIs" dxfId="40" priority="9" operator="equal">
      <formula>0</formula>
    </cfRule>
  </conditionalFormatting>
  <conditionalFormatting sqref="J67:T67">
    <cfRule type="expression" dxfId="39" priority="112">
      <formula>J$58=J$4</formula>
    </cfRule>
    <cfRule type="cellIs" dxfId="38" priority="113" operator="equal">
      <formula>0</formula>
    </cfRule>
  </conditionalFormatting>
  <conditionalFormatting sqref="J96:T96">
    <cfRule type="expression" dxfId="37" priority="114">
      <formula>J$88=J$4</formula>
    </cfRule>
    <cfRule type="cellIs" dxfId="36" priority="115" operator="equal">
      <formula>0</formula>
    </cfRule>
  </conditionalFormatting>
  <conditionalFormatting sqref="J84:T84">
    <cfRule type="expression" dxfId="35" priority="116">
      <formula>J$72=J$4</formula>
    </cfRule>
    <cfRule type="cellIs" dxfId="34" priority="117" operator="equal">
      <formula>0</formula>
    </cfRule>
  </conditionalFormatting>
  <conditionalFormatting sqref="J58:T58 J72:T72 J88:T88">
    <cfRule type="expression" dxfId="33" priority="118">
      <formula>J$58=J$4</formula>
    </cfRule>
  </conditionalFormatting>
  <conditionalFormatting sqref="J100:T100">
    <cfRule type="expression" dxfId="32" priority="121">
      <formula>J$100=J$4</formula>
    </cfRule>
  </conditionalFormatting>
  <conditionalFormatting sqref="J41:T41">
    <cfRule type="cellIs" dxfId="31" priority="8" operator="equal">
      <formula>0</formula>
    </cfRule>
  </conditionalFormatting>
  <conditionalFormatting sqref="J41:T41">
    <cfRule type="cellIs" dxfId="30" priority="7" operator="equal">
      <formula>0</formula>
    </cfRule>
  </conditionalFormatting>
  <conditionalFormatting sqref="J44:T44">
    <cfRule type="cellIs" dxfId="29" priority="6" operator="equal">
      <formula>0</formula>
    </cfRule>
  </conditionalFormatting>
  <conditionalFormatting sqref="J44:T44">
    <cfRule type="cellIs" dxfId="28" priority="5" operator="equal">
      <formula>0</formula>
    </cfRule>
  </conditionalFormatting>
  <conditionalFormatting sqref="J47:T47">
    <cfRule type="cellIs" dxfId="27" priority="4" operator="equal">
      <formula>0</formula>
    </cfRule>
  </conditionalFormatting>
  <conditionalFormatting sqref="J47:T47">
    <cfRule type="cellIs" dxfId="26" priority="3" operator="equal">
      <formula>0</formula>
    </cfRule>
  </conditionalFormatting>
  <conditionalFormatting sqref="J50:T50">
    <cfRule type="cellIs" dxfId="25" priority="2" operator="equal">
      <formula>0</formula>
    </cfRule>
  </conditionalFormatting>
  <conditionalFormatting sqref="J50:T50">
    <cfRule type="cellIs" dxfId="24" priority="1" operator="equal">
      <formula>0</formula>
    </cfRule>
  </conditionalFormatting>
  <dataValidations disablePrompts="1" count="2">
    <dataValidation type="list" allowBlank="1" showInputMessage="1" showErrorMessage="1" sqref="F97 F85 F105">
      <formula1>"Real 2010,Real 2011,Real 2012,Real 2013,Real 2014,Real 2015,Nominal"</formula1>
    </dataValidation>
    <dataValidation type="list" allowBlank="1" showInputMessage="1" showErrorMessage="1" sqref="F83">
      <formula1>$G$60:$G$66</formula1>
    </dataValidation>
  </dataValidations>
  <hyperlinks>
    <hyperlink ref="J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'Lookup|Tables'!$H$66:$H$70</xm:f>
          </x14:formula1>
          <xm:sqref>F8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3" tint="0.59999389629810485"/>
  </sheetPr>
  <dimension ref="A1:AV55"/>
  <sheetViews>
    <sheetView showGridLines="0" workbookViewId="0"/>
  </sheetViews>
  <sheetFormatPr defaultColWidth="0" defaultRowHeight="11.25" zeroHeight="1"/>
  <cols>
    <col min="1" max="2" width="1.5" style="29" customWidth="1"/>
    <col min="3" max="3" width="59.664062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4" width="10.83203125" style="29" customWidth="1"/>
    <col min="25" max="48" width="0" style="29" hidden="1" customWidth="1"/>
    <col min="49" max="16384" width="10.5" style="29" hidden="1"/>
  </cols>
  <sheetData>
    <row r="1" spans="1:27" s="69" customFormat="1" ht="15.75">
      <c r="B1" s="70" t="str">
        <f>Index!$B$1</f>
        <v>AER opex model v1.8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82</v>
      </c>
      <c r="S1" s="76" t="s">
        <v>36</v>
      </c>
      <c r="T1" s="76"/>
      <c r="V1" s="187" t="s">
        <v>24</v>
      </c>
      <c r="W1" s="76" t="str">
        <f>'Check|List'!$S$1</f>
        <v>Ok</v>
      </c>
    </row>
    <row r="2" spans="1:27" s="77" customFormat="1" ht="13.5" thickBot="1">
      <c r="B2" s="78" t="str">
        <f>Index!$C$13</f>
        <v>Output | Models</v>
      </c>
      <c r="C2" s="78"/>
      <c r="D2" s="78"/>
      <c r="E2" s="78"/>
      <c r="F2" s="79"/>
      <c r="G2" s="79"/>
      <c r="H2" s="79"/>
      <c r="I2" s="79"/>
    </row>
    <row r="3" spans="1:27" s="80" customFormat="1">
      <c r="C3" s="81"/>
      <c r="D3" s="182"/>
      <c r="E3" s="182"/>
      <c r="F3" s="182"/>
      <c r="G3" s="182"/>
      <c r="H3" s="182"/>
      <c r="I3" s="182"/>
      <c r="J3" s="172" t="s">
        <v>124</v>
      </c>
      <c r="K3" s="172"/>
      <c r="L3" s="172"/>
      <c r="M3" s="182"/>
      <c r="N3" s="228"/>
      <c r="O3" s="228"/>
      <c r="P3" s="228"/>
      <c r="Q3" s="228"/>
      <c r="R3" s="228"/>
      <c r="S3" s="228"/>
      <c r="T3" s="219"/>
      <c r="U3" s="82"/>
      <c r="V3" s="82"/>
      <c r="W3" s="82"/>
      <c r="X3" s="82"/>
      <c r="Y3" s="82"/>
      <c r="Z3" s="82"/>
      <c r="AA3" s="82"/>
    </row>
    <row r="4" spans="1:27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5">
        <f>DATE(PPFirstYear,MONTH('Input|General'!$G$9),1)</f>
        <v>43160</v>
      </c>
      <c r="K4" s="155">
        <f>DATE(PPFirstYear+1,MONTH('Input|General'!$G$9),1)</f>
        <v>43525</v>
      </c>
      <c r="L4" s="155">
        <f>DATE(PPFirstYear+2,MONTH('Input|General'!$G$9),1)</f>
        <v>43891</v>
      </c>
      <c r="M4" s="155">
        <f>DATE(PPFirstYear+3,MONTH('Input|General'!$G$9),1)</f>
        <v>44256</v>
      </c>
      <c r="N4" s="155">
        <f>DATE(PPFirstYear+4,MONTH('Input|General'!$G$9),1)</f>
        <v>44621</v>
      </c>
      <c r="O4" s="155">
        <f>DATE(PPFirstYear+5,MONTH('Input|General'!$G$9),1)</f>
        <v>44986</v>
      </c>
      <c r="P4" s="155">
        <f>DATE(PPFirstYear+6,MONTH('Input|General'!$G$9),1)</f>
        <v>45352</v>
      </c>
      <c r="Q4" s="155">
        <f>DATE(PPFirstYear+7,MONTH('Input|General'!$G$9),1)</f>
        <v>45717</v>
      </c>
      <c r="R4" s="155">
        <f>DATE(PPFirstYear+8,MONTH('Input|General'!$G$9),1)</f>
        <v>46082</v>
      </c>
      <c r="S4" s="155">
        <f>DATE(PPFirstYear+9,MONTH('Input|General'!$G$9),1)</f>
        <v>46447</v>
      </c>
      <c r="T4" s="155">
        <f>DATE(PPFirstYear+10,MONTH('Input|General'!$G$9),1)</f>
        <v>46813</v>
      </c>
      <c r="U4" s="87"/>
      <c r="V4" s="87"/>
      <c r="W4" s="88"/>
      <c r="X4" s="88"/>
    </row>
    <row r="5" spans="1:27" s="27" customFormat="1" ht="3" customHeight="1">
      <c r="D5" s="28"/>
      <c r="E5" s="28"/>
      <c r="F5" s="28"/>
      <c r="G5" s="28"/>
      <c r="H5" s="28"/>
      <c r="I5" s="28"/>
    </row>
    <row r="6" spans="1:27" s="27" customFormat="1" ht="9" customHeight="1">
      <c r="D6" s="28"/>
      <c r="E6" s="28"/>
      <c r="F6" s="28"/>
      <c r="G6" s="28"/>
      <c r="H6" s="28"/>
      <c r="I6" s="28"/>
    </row>
    <row r="7" spans="1:27" s="27" customFormat="1" ht="3" customHeight="1">
      <c r="D7" s="28"/>
      <c r="E7" s="28"/>
      <c r="F7" s="28"/>
      <c r="G7" s="28"/>
      <c r="H7" s="28"/>
      <c r="I7" s="28"/>
    </row>
    <row r="8" spans="1:27" s="103" customFormat="1" ht="12.75">
      <c r="A8" s="94"/>
      <c r="B8" s="95" t="s">
        <v>55</v>
      </c>
      <c r="C8" s="94"/>
      <c r="D8" s="94"/>
      <c r="E8" s="68" t="s">
        <v>15</v>
      </c>
      <c r="F8" s="206">
        <f>DATE(PPLastYear,MONTH('Input|General'!$G$9),1)</f>
        <v>44621</v>
      </c>
      <c r="G8" s="96"/>
      <c r="H8" s="96"/>
      <c r="I8" s="96"/>
      <c r="J8" s="149" t="s">
        <v>56</v>
      </c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7"/>
      <c r="W8" s="98"/>
      <c r="X8" s="98"/>
    </row>
    <row r="9" spans="1:27" ht="4.5" customHeight="1"/>
    <row r="10" spans="1:27">
      <c r="M10" s="107"/>
      <c r="N10" s="107"/>
      <c r="O10" s="107"/>
      <c r="P10" s="107"/>
      <c r="Q10" s="107"/>
      <c r="R10" s="107"/>
      <c r="S10" s="107"/>
      <c r="T10" s="107"/>
    </row>
    <row r="11" spans="1:27">
      <c r="C11" s="67" t="s">
        <v>46</v>
      </c>
      <c r="D11" s="32" t="s">
        <v>7</v>
      </c>
      <c r="E11" s="32" t="s">
        <v>8</v>
      </c>
      <c r="F11" s="32" t="s">
        <v>22</v>
      </c>
      <c r="H11" s="32"/>
      <c r="I11" s="32"/>
      <c r="J11" s="162" t="str">
        <f>IF(YEAR(J$4)&gt;='Input|General'!$G$13,IF(YEAR(J$4)&lt;='Input|General'!$G$14,J$4,""),"")</f>
        <v/>
      </c>
      <c r="K11" s="162" t="str">
        <f>IF(YEAR(K$4)&gt;='Input|General'!$G$13,IF(YEAR(K$4)&lt;='Input|General'!$G$14,K$4,""),"")</f>
        <v/>
      </c>
      <c r="L11" s="162" t="str">
        <f>IF(YEAR(L$4)&gt;='Input|General'!$G$13,IF(YEAR(L$4)&lt;='Input|General'!$G$14,L$4,""),"")</f>
        <v/>
      </c>
      <c r="M11" s="162" t="str">
        <f>IF(YEAR(M$4)&gt;='Input|General'!$G$13,IF(YEAR(M$4)&lt;='Input|General'!$G$14,M$4,""),"")</f>
        <v/>
      </c>
      <c r="N11" s="162" t="str">
        <f>IF(YEAR(N$4)&gt;='Input|General'!$G$13,IF(YEAR(N$4)&lt;='Input|General'!$G$14,N$4,""),"")</f>
        <v/>
      </c>
      <c r="O11" s="162">
        <f>IF(YEAR(O$4)&gt;='Input|General'!$G$13,IF(YEAR(O$4)&lt;='Input|General'!$G$14,O$4,""),"")</f>
        <v>44986</v>
      </c>
      <c r="P11" s="162">
        <f>IF(YEAR(P$4)&gt;='Input|General'!$G$13,IF(YEAR(P$4)&lt;='Input|General'!$G$14,P$4,""),"")</f>
        <v>45352</v>
      </c>
      <c r="Q11" s="162">
        <f>IF(YEAR(Q$4)&gt;='Input|General'!$G$13,IF(YEAR(Q$4)&lt;='Input|General'!$G$14,Q$4,""),"")</f>
        <v>45717</v>
      </c>
      <c r="R11" s="162">
        <f>IF(YEAR(R$4)&gt;='Input|General'!$G$13,IF(YEAR(R$4)&lt;='Input|General'!$G$14,R$4,""),"")</f>
        <v>46082</v>
      </c>
      <c r="S11" s="162">
        <f>IF(YEAR(S$4)&gt;='Input|General'!$G$13,IF(YEAR(S$4)&lt;='Input|General'!$G$14,S$4,""),"")</f>
        <v>46447</v>
      </c>
      <c r="T11" s="162" t="str">
        <f>IF(YEAR(T$4)&gt;='Input|General'!$G$13,IF(YEAR(T$4)&lt;='Input|General'!$G$14,T$4,""),"")</f>
        <v/>
      </c>
      <c r="V11" s="137" t="s">
        <v>54</v>
      </c>
      <c r="W11" s="138"/>
      <c r="X11" s="138"/>
    </row>
    <row r="12" spans="1:27">
      <c r="C12" s="67"/>
      <c r="D12" s="32"/>
      <c r="E12" s="32"/>
      <c r="F12" s="32"/>
      <c r="H12" s="32"/>
      <c r="I12" s="3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V12" s="124"/>
      <c r="W12" s="142"/>
      <c r="X12" s="142"/>
    </row>
    <row r="13" spans="1:27">
      <c r="C13" s="111" t="str">
        <f>'Calc|Opex forecast'!C102</f>
        <v>Total forecast opex, excluding category specific forecasts</v>
      </c>
      <c r="D13" s="34" t="s">
        <v>105</v>
      </c>
      <c r="E13" s="30" t="str">
        <f>$E$8</f>
        <v>$millions</v>
      </c>
      <c r="F13" s="160">
        <f>$F$8</f>
        <v>44621</v>
      </c>
      <c r="H13" s="32"/>
      <c r="I13" s="32"/>
      <c r="J13" s="180">
        <f>IF(J11="",0,'Calc|Opex forecast'!J102*INDEX('Input|Rate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K13" s="180">
        <f>IF(K11="",0,'Calc|Opex forecast'!K102*INDEX('Input|Rate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L13" s="180">
        <f>IF(L11="",0,'Calc|Opex forecast'!L102*INDEX('Input|Rate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M13" s="180">
        <f>IF(M11="",0,'Calc|Opex forecast'!M102*INDEX('Input|Rate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N13" s="180">
        <f>IF(N11="",0,'Calc|Opex forecast'!N102*INDEX('Input|Rate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O13" s="180">
        <f ca="1">IF(O11="",0,'Calc|Opex forecast'!O102*INDEX('Input|Rate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83.003101870565686</v>
      </c>
      <c r="P13" s="180">
        <f ca="1">IF(P11="",0,'Calc|Opex forecast'!P102*INDEX('Input|Rate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83.039534446452919</v>
      </c>
      <c r="Q13" s="180">
        <f ca="1">IF(Q11="",0,'Calc|Opex forecast'!Q102*INDEX('Input|Rate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83.097994660378646</v>
      </c>
      <c r="R13" s="180">
        <f ca="1">IF(R11="",0,'Calc|Opex forecast'!R102*INDEX('Input|Rate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83.283948195527401</v>
      </c>
      <c r="S13" s="180">
        <f ca="1">IF(S11="",0,'Calc|Opex forecast'!S102*INDEX('Input|Rate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83.462726529758342</v>
      </c>
      <c r="T13" s="180">
        <f>IF(T11="",0,'Calc|Opex forecast'!T102*INDEX('Input|Rate of change'!$C$14:$P$22,MATCH('Calc|Opex forecast'!$F$102,'Input|Rate of change'!$C$14:$C$22,0),MATCH('Output|Models'!$F13,'Input|Rate of change'!$C$14:$P$14,0))*IF('Calc|Opex forecast'!$E$102="$millions",1000000,IF('Calc|Opex forecast'!$E$102="$000",1000,1))/IF($E13="$millions",1000000,IF($E13="$000",1000,1)))</f>
        <v>0</v>
      </c>
      <c r="U13" s="111"/>
      <c r="V13" s="152"/>
    </row>
    <row r="14" spans="1:27">
      <c r="C14" s="111" t="str">
        <f>'Input|Step changes'!C28</f>
        <v>Easement land tax</v>
      </c>
      <c r="D14" s="34" t="s">
        <v>105</v>
      </c>
      <c r="E14" s="30" t="str">
        <f t="shared" ref="E14:E18" si="0">$E$8</f>
        <v>$millions</v>
      </c>
      <c r="F14" s="160">
        <f t="shared" ref="F14:F18" si="1">$F$8</f>
        <v>44621</v>
      </c>
      <c r="H14" s="32"/>
      <c r="I14" s="32"/>
      <c r="J14" s="180">
        <f>IF(J$11="",0,'Calc|Opex forecast'!J90*INDEX('Input|Rate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0</v>
      </c>
      <c r="K14" s="180">
        <f>IF(K$11="",0,'Calc|Opex forecast'!K90*INDEX('Input|Rate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0</v>
      </c>
      <c r="L14" s="180">
        <f>IF(L$11="",0,'Calc|Opex forecast'!L90*INDEX('Input|Rate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0</v>
      </c>
      <c r="M14" s="180">
        <f>IF(M$11="",0,'Calc|Opex forecast'!M90*INDEX('Input|Rate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0</v>
      </c>
      <c r="N14" s="180">
        <f>IF(N$11="",0,'Calc|Opex forecast'!N90*INDEX('Input|Rate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0</v>
      </c>
      <c r="O14" s="180">
        <f>IF(O$11="",0,'Calc|Opex forecast'!O90*INDEX('Input|Rate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173.61030500000001</v>
      </c>
      <c r="P14" s="180">
        <f>IF(P$11="",0,'Calc|Opex forecast'!P90*INDEX('Input|Rate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173.61030500000001</v>
      </c>
      <c r="Q14" s="180">
        <f>IF(Q$11="",0,'Calc|Opex forecast'!Q90*INDEX('Input|Rate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173.61030500000001</v>
      </c>
      <c r="R14" s="180">
        <f>IF(R$11="",0,'Calc|Opex forecast'!R90*INDEX('Input|Rate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173.61030500000001</v>
      </c>
      <c r="S14" s="180">
        <f>IF(S$11="",0,'Calc|Opex forecast'!S90*INDEX('Input|Rate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173.61030500000001</v>
      </c>
      <c r="T14" s="180">
        <f>IF(T$11="",0,'Calc|Opex forecast'!T90*INDEX('Input|Rate of change'!$C$14:$P$22,MATCH('Calc|Opex forecast'!$F90,'Input|Rate of change'!$C$14:$C$22,0),MATCH('Output|Models'!$F14,'Input|Rate of change'!$C$14:$P$14,0))*IF('Calc|Opex forecast'!$E90="$millions",1000000,IF('Calc|Opex forecast'!$E90="$000",1000,1))/IF($E14="$millions",1000000,IF($E14="$000",1000,1)))</f>
        <v>0</v>
      </c>
      <c r="U14" s="111"/>
      <c r="V14" s="152"/>
    </row>
    <row r="15" spans="1:27">
      <c r="C15" s="111" t="str">
        <f>'Input|Step changes'!C29</f>
        <v>Self insurance cost</v>
      </c>
      <c r="D15" s="34" t="s">
        <v>105</v>
      </c>
      <c r="E15" s="30" t="str">
        <f t="shared" si="0"/>
        <v>$millions</v>
      </c>
      <c r="F15" s="160">
        <f t="shared" si="1"/>
        <v>44621</v>
      </c>
      <c r="H15" s="32"/>
      <c r="I15" s="32"/>
      <c r="J15" s="180">
        <f>IF(J$11="",0,'Calc|Opex forecast'!J91*INDEX('Input|Rate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K15" s="180">
        <f>IF(K$11="",0,'Calc|Opex forecast'!K91*INDEX('Input|Rate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L15" s="180">
        <f>IF(L$11="",0,'Calc|Opex forecast'!L91*INDEX('Input|Rate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M15" s="180">
        <f>IF(M$11="",0,'Calc|Opex forecast'!M91*INDEX('Input|Rate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N15" s="180">
        <f>IF(N$11="",0,'Calc|Opex forecast'!N91*INDEX('Input|Rate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O15" s="180">
        <f>IF(O$11="",0,'Calc|Opex forecast'!O91*INDEX('Input|Rate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P15" s="180">
        <f>IF(P$11="",0,'Calc|Opex forecast'!P91*INDEX('Input|Rate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Q15" s="180">
        <f>IF(Q$11="",0,'Calc|Opex forecast'!Q91*INDEX('Input|Rate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R15" s="180">
        <f>IF(R$11="",0,'Calc|Opex forecast'!R91*INDEX('Input|Rate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S15" s="180">
        <f>IF(S$11="",0,'Calc|Opex forecast'!S91*INDEX('Input|Rate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T15" s="180">
        <f>IF(T$11="",0,'Calc|Opex forecast'!T91*INDEX('Input|Rate of change'!$C$14:$P$22,MATCH('Calc|Opex forecast'!$F91,'Input|Rate of change'!$C$14:$C$22,0),MATCH('Output|Models'!$F15,'Input|Rate of change'!$C$14:$P$14,0))*IF('Calc|Opex forecast'!$E91="$millions",1000000,IF('Calc|Opex forecast'!$E91="$000",1000,1))/IF($E15="$millions",1000000,IF($E15="$000",1000,1)))</f>
        <v>0</v>
      </c>
      <c r="U15" s="111"/>
      <c r="V15" s="152"/>
    </row>
    <row r="16" spans="1:27">
      <c r="C16" s="111" t="str">
        <f>'Input|Step changes'!C30</f>
        <v>Group 3 roll in</v>
      </c>
      <c r="D16" s="34" t="s">
        <v>105</v>
      </c>
      <c r="E16" s="30" t="str">
        <f t="shared" si="0"/>
        <v>$millions</v>
      </c>
      <c r="F16" s="160">
        <f t="shared" si="1"/>
        <v>44621</v>
      </c>
      <c r="H16" s="32"/>
      <c r="I16" s="32"/>
      <c r="J16" s="180">
        <f>IF(J$11="",0,'Calc|Opex forecast'!J92*INDEX('Input|Rate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0</v>
      </c>
      <c r="K16" s="180">
        <f>IF(K$11="",0,'Calc|Opex forecast'!K92*INDEX('Input|Rate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0</v>
      </c>
      <c r="L16" s="180">
        <f>IF(L$11="",0,'Calc|Opex forecast'!L92*INDEX('Input|Rate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0</v>
      </c>
      <c r="M16" s="180">
        <f>IF(M$11="",0,'Calc|Opex forecast'!M92*INDEX('Input|Rate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0</v>
      </c>
      <c r="N16" s="180">
        <f>IF(N$11="",0,'Calc|Opex forecast'!N92*INDEX('Input|Rate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0</v>
      </c>
      <c r="O16" s="180">
        <f>IF(O$11="",0,'Calc|Opex forecast'!O92*INDEX('Input|Rate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5.2263371399674705</v>
      </c>
      <c r="P16" s="180">
        <f>IF(P$11="",0,'Calc|Opex forecast'!P92*INDEX('Input|Rate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5.2263371399674705</v>
      </c>
      <c r="Q16" s="180">
        <f>IF(Q$11="",0,'Calc|Opex forecast'!Q92*INDEX('Input|Rate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5.2263371399674705</v>
      </c>
      <c r="R16" s="180">
        <f>IF(R$11="",0,'Calc|Opex forecast'!R92*INDEX('Input|Rate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5.2263371399674705</v>
      </c>
      <c r="S16" s="180">
        <f>IF(S$11="",0,'Calc|Opex forecast'!S92*INDEX('Input|Rate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5.2263371399674705</v>
      </c>
      <c r="T16" s="180">
        <f>IF(T$11="",0,'Calc|Opex forecast'!T92*INDEX('Input|Rate of change'!$C$14:$P$22,MATCH('Calc|Opex forecast'!$F92,'Input|Rate of change'!$C$14:$C$22,0),MATCH('Output|Models'!$F16,'Input|Rate of change'!$C$14:$P$14,0))*IF('Calc|Opex forecast'!$E92="$millions",1000000,IF('Calc|Opex forecast'!$E92="$000",1000,1))/IF($E16="$millions",1000000,IF($E16="$000",1000,1)))</f>
        <v>0</v>
      </c>
      <c r="U16" s="111"/>
      <c r="V16" s="152"/>
    </row>
    <row r="17" spans="1:24">
      <c r="C17" s="111" t="str">
        <f>'Input|Step changes'!C31</f>
        <v>Innovation</v>
      </c>
      <c r="D17" s="34" t="s">
        <v>105</v>
      </c>
      <c r="E17" s="30" t="str">
        <f t="shared" si="0"/>
        <v>$millions</v>
      </c>
      <c r="F17" s="160">
        <f t="shared" si="1"/>
        <v>44621</v>
      </c>
      <c r="H17" s="32"/>
      <c r="I17" s="32"/>
      <c r="J17" s="180">
        <f>IF(J$11="",0,'Calc|Opex forecast'!J93*INDEX('Input|Rate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K17" s="180">
        <f>IF(K$11="",0,'Calc|Opex forecast'!K93*INDEX('Input|Rate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L17" s="180">
        <f>IF(L$11="",0,'Calc|Opex forecast'!L93*INDEX('Input|Rate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M17" s="180">
        <f>IF(M$11="",0,'Calc|Opex forecast'!M93*INDEX('Input|Rate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N17" s="180">
        <f>IF(N$11="",0,'Calc|Opex forecast'!N93*INDEX('Input|Rate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O17" s="180">
        <f>IF(O$11="",0,'Calc|Opex forecast'!O93*INDEX('Input|Rate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P17" s="180">
        <f>IF(P$11="",0,'Calc|Opex forecast'!P93*INDEX('Input|Rate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Q17" s="180">
        <f>IF(Q$11="",0,'Calc|Opex forecast'!Q93*INDEX('Input|Rate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R17" s="180">
        <f>IF(R$11="",0,'Calc|Opex forecast'!R93*INDEX('Input|Rate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S17" s="180">
        <f>IF(S$11="",0,'Calc|Opex forecast'!S93*INDEX('Input|Rate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T17" s="180">
        <f>IF(T$11="",0,'Calc|Opex forecast'!T93*INDEX('Input|Rate of change'!$C$14:$P$22,MATCH('Calc|Opex forecast'!$F93,'Input|Rate of change'!$C$14:$C$22,0),MATCH('Output|Models'!$F17,'Input|Rate of change'!$C$14:$P$14,0))*IF('Calc|Opex forecast'!$E93="$millions",1000000,IF('Calc|Opex forecast'!$E93="$000",1000,1))/IF($E17="$millions",1000000,IF($E17="$000",1000,1)))</f>
        <v>0</v>
      </c>
      <c r="U17" s="111"/>
      <c r="V17" s="207"/>
    </row>
    <row r="18" spans="1:24">
      <c r="C18" s="111" t="str">
        <f>'Input|Step changes'!C32</f>
        <v>Availability rebate</v>
      </c>
      <c r="D18" s="34" t="s">
        <v>105</v>
      </c>
      <c r="E18" s="30" t="str">
        <f t="shared" si="0"/>
        <v>$millions</v>
      </c>
      <c r="F18" s="160">
        <f t="shared" si="1"/>
        <v>44621</v>
      </c>
      <c r="H18" s="32"/>
      <c r="I18" s="32"/>
      <c r="J18" s="180">
        <f>IF(J$11="",0,'Calc|Opex forecast'!J94*INDEX('Input|Rate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K18" s="180">
        <f>IF(K$11="",0,'Calc|Opex forecast'!K94*INDEX('Input|Rate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L18" s="180">
        <f>IF(L$11="",0,'Calc|Opex forecast'!L94*INDEX('Input|Rate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M18" s="180">
        <f>IF(M$11="",0,'Calc|Opex forecast'!M94*INDEX('Input|Rate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N18" s="180">
        <f>IF(N$11="",0,'Calc|Opex forecast'!N94*INDEX('Input|Rate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O18" s="180">
        <f>IF(O$11="",0,'Calc|Opex forecast'!O94*INDEX('Input|Rate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P18" s="180">
        <f>IF(P$11="",0,'Calc|Opex forecast'!P94*INDEX('Input|Rate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Q18" s="180">
        <f>IF(Q$11="",0,'Calc|Opex forecast'!Q94*INDEX('Input|Rate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R18" s="180">
        <f>IF(R$11="",0,'Calc|Opex forecast'!R94*INDEX('Input|Rate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S18" s="180">
        <f>IF(S$11="",0,'Calc|Opex forecast'!S94*INDEX('Input|Rate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T18" s="180">
        <f>IF(T$11="",0,'Calc|Opex forecast'!T94*INDEX('Input|Rate of change'!$C$14:$P$22,MATCH('Calc|Opex forecast'!$F94,'Input|Rate of change'!$C$14:$C$22,0),MATCH('Output|Models'!$F18,'Input|Rate of change'!$C$14:$P$14,0))*IF('Calc|Opex forecast'!$E94="$millions",1000000,IF('Calc|Opex forecast'!$E94="$000",1000,1))/IF($E18="$millions",1000000,IF($E18="$000",1000,1)))</f>
        <v>0</v>
      </c>
      <c r="U18" s="111"/>
      <c r="V18" s="207"/>
    </row>
    <row r="19" spans="1:24">
      <c r="D19" s="34"/>
      <c r="H19" s="32"/>
      <c r="I19" s="32"/>
      <c r="N19" s="142"/>
      <c r="S19" s="23"/>
      <c r="T19" s="23"/>
    </row>
    <row r="20" spans="1:24" s="103" customFormat="1" ht="12.75">
      <c r="A20" s="94"/>
      <c r="B20" s="95" t="s">
        <v>21</v>
      </c>
      <c r="C20" s="94"/>
      <c r="D20" s="94"/>
      <c r="E20" s="94"/>
      <c r="F20" s="96"/>
      <c r="G20" s="96"/>
      <c r="H20" s="96"/>
      <c r="I20" s="96"/>
      <c r="J20" s="97"/>
      <c r="K20" s="98"/>
      <c r="L20" s="97"/>
      <c r="M20" s="98"/>
      <c r="N20" s="97"/>
      <c r="O20" s="97"/>
      <c r="P20" s="97"/>
      <c r="Q20" s="97"/>
      <c r="R20" s="97"/>
      <c r="S20" s="97"/>
      <c r="T20" s="97"/>
      <c r="U20" s="97"/>
      <c r="V20" s="97"/>
      <c r="W20" s="98"/>
      <c r="X20" s="98"/>
    </row>
    <row r="21" spans="1:24" hidden="1"/>
    <row r="22" spans="1:24" hidden="1"/>
    <row r="23" spans="1:24" hidden="1"/>
    <row r="24" spans="1:24" hidden="1"/>
    <row r="25" spans="1:24" hidden="1"/>
    <row r="26" spans="1:24" hidden="1">
      <c r="M26" s="146"/>
      <c r="N26" s="146"/>
      <c r="O26" s="146"/>
      <c r="P26" s="146"/>
      <c r="Q26" s="146"/>
      <c r="R26" s="146"/>
      <c r="S26" s="146"/>
      <c r="T26" s="146"/>
    </row>
    <row r="27" spans="1:24" hidden="1"/>
    <row r="28" spans="1:24" hidden="1"/>
    <row r="29" spans="1:24" hidden="1"/>
    <row r="30" spans="1:24" hidden="1"/>
    <row r="31" spans="1:24" hidden="1"/>
    <row r="32" spans="1:24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  <row r="54" hidden="1"/>
    <row r="55" hidden="1"/>
  </sheetData>
  <mergeCells count="1">
    <mergeCell ref="N3:S3"/>
  </mergeCells>
  <conditionalFormatting sqref="W1">
    <cfRule type="cellIs" dxfId="23" priority="13" operator="equal">
      <formula>"Check"</formula>
    </cfRule>
    <cfRule type="cellIs" dxfId="22" priority="14" operator="equal">
      <formula>"Ok"</formula>
    </cfRule>
  </conditionalFormatting>
  <conditionalFormatting sqref="J13:T18">
    <cfRule type="expression" dxfId="21" priority="3">
      <formula>AND($C13=0,J$11=J$4)</formula>
    </cfRule>
    <cfRule type="expression" dxfId="20" priority="4">
      <formula>NOT(J$11=J$4)</formula>
    </cfRule>
    <cfRule type="expression" dxfId="19" priority="5">
      <formula>J$11=J$4</formula>
    </cfRule>
  </conditionalFormatting>
  <conditionalFormatting sqref="J11:T11">
    <cfRule type="expression" dxfId="18" priority="7">
      <formula>J$11=J$4</formula>
    </cfRule>
  </conditionalFormatting>
  <conditionalFormatting sqref="S1:T1">
    <cfRule type="cellIs" dxfId="17" priority="1" operator="equal">
      <formula>"Check"</formula>
    </cfRule>
    <cfRule type="cellIs" dxfId="16" priority="2" operator="equal">
      <formula>"Ok"</formula>
    </cfRule>
  </conditionalFormatting>
  <dataValidations count="2">
    <dataValidation type="list" allowBlank="1" showInputMessage="1" showErrorMessage="1" sqref="F13:F18">
      <formula1>$G$22:$G$28</formula1>
    </dataValidation>
    <dataValidation type="list" allowBlank="1" showInputMessage="1" showErrorMessage="1" sqref="F19">
      <formula1>#REF!</formula1>
    </dataValidation>
  </dataValidations>
  <hyperlinks>
    <hyperlink ref="J1" location="Index!A1" display="Back to Index"/>
    <hyperlink ref="D13" location="'Calc|Opex forecast'!A1" display="Calc | Opex forecast"/>
    <hyperlink ref="D14" location="'Calc|Opex forecast'!A1" display="Calc | Opex forecast"/>
    <hyperlink ref="D15" location="'Calc|Opex forecast'!A1" display="Calc | Opex forecast"/>
    <hyperlink ref="D17" location="'Calc|Opex forecast'!A1" display="Calc | Opex forecast"/>
    <hyperlink ref="V1" location="'Check|List'!A1" display="Overall Check:"/>
    <hyperlink ref="D16" location="'Calc|Opex forecast'!A1" display="Calc | Opex forecast"/>
    <hyperlink ref="D18" location="'Calc|Opex forecast'!A1" display="Calc | Opex forecast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'Lookup|Tables'!$H$41:$H$60</xm:f>
          </x14:formula1>
          <xm:sqref>F8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1"/>
  </sheetPr>
  <dimension ref="A1:XER119"/>
  <sheetViews>
    <sheetView showGridLines="0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17" style="7" customWidth="1"/>
    <col min="5" max="5" width="15.83203125" style="7" customWidth="1"/>
    <col min="6" max="6" width="10.6640625" style="7" customWidth="1"/>
    <col min="7" max="7" width="15" style="16" customWidth="1"/>
    <col min="8" max="9" width="15" style="8" customWidth="1"/>
    <col min="10" max="23" width="10.83203125" style="8" customWidth="1"/>
    <col min="24" max="311" width="10.5" style="8" hidden="1" customWidth="1"/>
    <col min="312" max="16371" width="10.5" style="8" hidden="1"/>
    <col min="16372" max="16372" width="0" style="8" hidden="1"/>
    <col min="16373" max="16384" width="10.5" style="8" hidden="1"/>
  </cols>
  <sheetData>
    <row r="1" spans="1:47" s="38" customFormat="1" ht="15.75">
      <c r="B1" s="35" t="str">
        <f>Index!$B$1</f>
        <v>AER opex model v1.8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39"/>
      <c r="S1" s="40"/>
      <c r="U1" s="181" t="s">
        <v>24</v>
      </c>
      <c r="V1" s="40" t="str">
        <f>'Check|List'!$S$1</f>
        <v>Ok</v>
      </c>
    </row>
    <row r="2" spans="1:47" s="38" customFormat="1" ht="12.75">
      <c r="B2" s="53" t="str">
        <f>Index!$C$14</f>
        <v>Lookup | Tables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>
      <c r="D4" s="20"/>
      <c r="E4" s="20"/>
    </row>
    <row r="5" spans="1:47" s="6" customFormat="1" ht="9" customHeight="1">
      <c r="D5" s="20"/>
      <c r="E5" s="20"/>
    </row>
    <row r="6" spans="1:47" s="6" customFormat="1" ht="3" customHeight="1">
      <c r="D6" s="20"/>
      <c r="E6" s="20"/>
    </row>
    <row r="7" spans="1:47" customFormat="1" ht="12.75">
      <c r="A7" s="43"/>
      <c r="B7" s="51" t="s">
        <v>19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tr">
        <f>B7</f>
        <v>Unit Denominations</v>
      </c>
      <c r="D9" s="21" t="s">
        <v>7</v>
      </c>
      <c r="E9" s="21"/>
      <c r="F9" s="14"/>
      <c r="G9" s="14" t="s">
        <v>9</v>
      </c>
      <c r="H9" s="14"/>
    </row>
    <row r="10" spans="1:47">
      <c r="C10" s="15" t="s">
        <v>10</v>
      </c>
      <c r="D10" s="16" t="s">
        <v>69</v>
      </c>
      <c r="E10" s="16"/>
      <c r="F10" s="16"/>
      <c r="G10" s="52" t="s">
        <v>12</v>
      </c>
    </row>
    <row r="11" spans="1:47">
      <c r="C11" s="15" t="s">
        <v>13</v>
      </c>
      <c r="D11" s="16" t="s">
        <v>69</v>
      </c>
      <c r="E11" s="16"/>
      <c r="F11" s="16"/>
      <c r="G11" s="52" t="s">
        <v>20</v>
      </c>
    </row>
    <row r="12" spans="1:47">
      <c r="C12" s="15" t="s">
        <v>14</v>
      </c>
      <c r="D12" s="16" t="s">
        <v>69</v>
      </c>
      <c r="E12" s="16"/>
      <c r="F12" s="16"/>
      <c r="G12" s="52" t="s">
        <v>15</v>
      </c>
      <c r="T12" s="17"/>
    </row>
    <row r="13" spans="1:47">
      <c r="F13" s="8"/>
      <c r="G13" s="8"/>
    </row>
    <row r="14" spans="1:47">
      <c r="C14" s="15" t="s">
        <v>16</v>
      </c>
      <c r="D14" s="16" t="s">
        <v>69</v>
      </c>
      <c r="E14" s="16"/>
      <c r="F14" s="16"/>
      <c r="G14" s="52" t="s">
        <v>31</v>
      </c>
    </row>
    <row r="15" spans="1:47">
      <c r="C15" s="15" t="s">
        <v>8</v>
      </c>
      <c r="D15" s="16" t="s">
        <v>69</v>
      </c>
      <c r="E15" s="16"/>
      <c r="F15" s="16"/>
      <c r="G15" s="52" t="s">
        <v>11</v>
      </c>
    </row>
    <row r="16" spans="1:47">
      <c r="C16" s="15" t="s">
        <v>17</v>
      </c>
      <c r="D16" s="16" t="s">
        <v>69</v>
      </c>
      <c r="E16" s="16"/>
      <c r="F16" s="16"/>
      <c r="G16" s="52" t="s">
        <v>18</v>
      </c>
    </row>
    <row r="17" spans="1:47">
      <c r="C17" s="15" t="s">
        <v>37</v>
      </c>
      <c r="D17" s="16" t="s">
        <v>69</v>
      </c>
      <c r="E17" s="16"/>
      <c r="F17" s="16"/>
      <c r="G17" s="52" t="s">
        <v>38</v>
      </c>
    </row>
    <row r="18" spans="1:47">
      <c r="C18" s="15"/>
      <c r="D18" s="16"/>
      <c r="E18" s="16"/>
      <c r="F18" s="16"/>
      <c r="G18" s="8"/>
    </row>
    <row r="19" spans="1:47">
      <c r="C19" s="15" t="s">
        <v>23</v>
      </c>
      <c r="D19" s="16" t="s">
        <v>69</v>
      </c>
      <c r="E19" s="16"/>
      <c r="F19" s="16"/>
      <c r="G19" s="52" t="s">
        <v>23</v>
      </c>
    </row>
    <row r="20" spans="1:47">
      <c r="C20" s="15" t="s">
        <v>74</v>
      </c>
      <c r="D20" s="16" t="s">
        <v>69</v>
      </c>
      <c r="E20" s="16"/>
      <c r="F20" s="16"/>
      <c r="G20" s="52" t="s">
        <v>74</v>
      </c>
    </row>
    <row r="21" spans="1:47">
      <c r="C21" s="15"/>
      <c r="D21" s="16"/>
      <c r="E21" s="16"/>
      <c r="F21" s="16"/>
      <c r="G21" s="8"/>
    </row>
    <row r="22" spans="1:47" customFormat="1" ht="12.75">
      <c r="A22" s="43"/>
      <c r="B22" s="51" t="s">
        <v>125</v>
      </c>
      <c r="C22" s="43"/>
      <c r="D22" s="43"/>
      <c r="E22" s="43"/>
      <c r="F22" s="44"/>
      <c r="G22" s="44"/>
      <c r="H22" s="44"/>
      <c r="I22" s="44"/>
      <c r="J22" s="45"/>
      <c r="K22" s="46"/>
      <c r="L22" s="45"/>
      <c r="M22" s="46"/>
      <c r="N22" s="45"/>
      <c r="O22" s="45"/>
      <c r="P22" s="45"/>
      <c r="Q22" s="45"/>
      <c r="R22" s="45"/>
      <c r="S22" s="45"/>
      <c r="T22" s="45"/>
      <c r="U22" s="45"/>
      <c r="V22" s="46"/>
      <c r="W22" s="46"/>
      <c r="X22" s="47"/>
      <c r="Y22" s="47"/>
      <c r="Z22" s="47"/>
      <c r="AA22" s="47"/>
      <c r="AB22" s="48"/>
      <c r="AC22" s="49"/>
      <c r="AD22" s="49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</row>
    <row r="23" spans="1:47"/>
    <row r="24" spans="1:47">
      <c r="C24" s="13" t="str">
        <f>B22</f>
        <v>Months</v>
      </c>
      <c r="D24" s="21" t="s">
        <v>7</v>
      </c>
      <c r="E24" s="21"/>
      <c r="F24" s="14"/>
      <c r="G24" s="14" t="s">
        <v>9</v>
      </c>
      <c r="H24" s="14"/>
    </row>
    <row r="25" spans="1:47">
      <c r="C25" s="15" t="s">
        <v>126</v>
      </c>
      <c r="D25" s="16" t="s">
        <v>69</v>
      </c>
      <c r="E25" s="16"/>
      <c r="F25" s="16"/>
      <c r="G25" s="153">
        <v>36526</v>
      </c>
      <c r="H25" s="14"/>
    </row>
    <row r="26" spans="1:47">
      <c r="C26" s="15" t="s">
        <v>127</v>
      </c>
      <c r="D26" s="16" t="s">
        <v>69</v>
      </c>
      <c r="E26" s="16"/>
      <c r="F26" s="16"/>
      <c r="G26" s="153">
        <v>36557</v>
      </c>
      <c r="H26" s="14"/>
    </row>
    <row r="27" spans="1:47">
      <c r="C27" s="15" t="s">
        <v>128</v>
      </c>
      <c r="D27" s="16" t="s">
        <v>69</v>
      </c>
      <c r="E27" s="16"/>
      <c r="F27" s="16"/>
      <c r="G27" s="153">
        <v>36586</v>
      </c>
      <c r="H27" s="14"/>
    </row>
    <row r="28" spans="1:47">
      <c r="C28" s="15" t="s">
        <v>129</v>
      </c>
      <c r="D28" s="16" t="s">
        <v>69</v>
      </c>
      <c r="E28" s="16"/>
      <c r="F28" s="16"/>
      <c r="G28" s="153">
        <v>36617</v>
      </c>
    </row>
    <row r="29" spans="1:47">
      <c r="C29" s="15" t="s">
        <v>130</v>
      </c>
      <c r="D29" s="16" t="s">
        <v>69</v>
      </c>
      <c r="E29" s="16"/>
      <c r="F29" s="16"/>
      <c r="G29" s="153">
        <v>36647</v>
      </c>
    </row>
    <row r="30" spans="1:47">
      <c r="C30" s="15" t="s">
        <v>131</v>
      </c>
      <c r="D30" s="16" t="s">
        <v>69</v>
      </c>
      <c r="E30" s="16"/>
      <c r="F30" s="16"/>
      <c r="G30" s="153">
        <v>36678</v>
      </c>
      <c r="T30" s="17"/>
    </row>
    <row r="31" spans="1:47">
      <c r="C31" s="15" t="s">
        <v>132</v>
      </c>
      <c r="D31" s="16" t="s">
        <v>69</v>
      </c>
      <c r="E31" s="16"/>
      <c r="F31" s="16"/>
      <c r="G31" s="153">
        <v>36708</v>
      </c>
      <c r="T31" s="17"/>
    </row>
    <row r="32" spans="1:47">
      <c r="C32" s="15" t="s">
        <v>133</v>
      </c>
      <c r="D32" s="16" t="s">
        <v>69</v>
      </c>
      <c r="E32" s="16"/>
      <c r="F32" s="16"/>
      <c r="G32" s="153">
        <v>36739</v>
      </c>
      <c r="T32" s="17"/>
    </row>
    <row r="33" spans="1:47">
      <c r="C33" s="15" t="s">
        <v>134</v>
      </c>
      <c r="D33" s="16" t="s">
        <v>69</v>
      </c>
      <c r="E33" s="16"/>
      <c r="F33" s="16"/>
      <c r="G33" s="153">
        <v>36770</v>
      </c>
      <c r="T33" s="17"/>
    </row>
    <row r="34" spans="1:47">
      <c r="C34" s="15" t="s">
        <v>135</v>
      </c>
      <c r="D34" s="16" t="s">
        <v>69</v>
      </c>
      <c r="E34" s="16"/>
      <c r="F34" s="16"/>
      <c r="G34" s="153">
        <v>36800</v>
      </c>
      <c r="T34" s="17"/>
    </row>
    <row r="35" spans="1:47">
      <c r="C35" s="15" t="s">
        <v>136</v>
      </c>
      <c r="D35" s="16" t="s">
        <v>69</v>
      </c>
      <c r="E35" s="16"/>
      <c r="F35" s="16"/>
      <c r="G35" s="153">
        <v>36831</v>
      </c>
      <c r="T35" s="17"/>
    </row>
    <row r="36" spans="1:47">
      <c r="C36" s="15" t="s">
        <v>137</v>
      </c>
      <c r="D36" s="16" t="s">
        <v>69</v>
      </c>
      <c r="E36" s="16"/>
      <c r="F36" s="16"/>
      <c r="G36" s="153">
        <v>36861</v>
      </c>
      <c r="T36" s="17"/>
    </row>
    <row r="37" spans="1:47">
      <c r="C37" s="15"/>
      <c r="D37" s="16"/>
      <c r="E37" s="16"/>
      <c r="F37" s="16"/>
      <c r="T37" s="17"/>
    </row>
    <row r="38" spans="1:47" customFormat="1" ht="12.75">
      <c r="A38" s="43"/>
      <c r="B38" s="51" t="s">
        <v>70</v>
      </c>
      <c r="C38" s="43"/>
      <c r="D38" s="43"/>
      <c r="E38" s="43"/>
      <c r="F38" s="44"/>
      <c r="G38" s="44"/>
      <c r="H38" s="44"/>
      <c r="I38" s="44"/>
      <c r="J38" s="45"/>
      <c r="K38" s="46"/>
      <c r="L38" s="45"/>
      <c r="M38" s="46"/>
      <c r="N38" s="45"/>
      <c r="O38" s="45"/>
      <c r="P38" s="45"/>
      <c r="Q38" s="45"/>
      <c r="R38" s="45"/>
      <c r="S38" s="45"/>
      <c r="T38" s="45"/>
      <c r="U38" s="45"/>
      <c r="V38" s="46"/>
      <c r="W38" s="46"/>
      <c r="X38" s="47"/>
      <c r="Y38" s="47"/>
      <c r="Z38" s="47"/>
      <c r="AA38" s="47"/>
      <c r="AB38" s="48"/>
      <c r="AC38" s="49"/>
      <c r="AD38" s="49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</row>
    <row r="39" spans="1:47"/>
    <row r="40" spans="1:47">
      <c r="C40" s="13" t="str">
        <f>B38</f>
        <v>Years</v>
      </c>
      <c r="D40" s="21" t="s">
        <v>7</v>
      </c>
      <c r="E40" s="21"/>
      <c r="F40" s="14"/>
      <c r="G40" s="14" t="s">
        <v>161</v>
      </c>
      <c r="H40" s="14" t="s">
        <v>159</v>
      </c>
      <c r="I40" s="14" t="s">
        <v>160</v>
      </c>
    </row>
    <row r="41" spans="1:47">
      <c r="C41" s="159">
        <v>40695</v>
      </c>
      <c r="D41" s="16" t="s">
        <v>69</v>
      </c>
      <c r="E41" s="16"/>
      <c r="F41" s="16"/>
      <c r="G41" s="154">
        <v>2011</v>
      </c>
      <c r="H41" s="185">
        <f>DATE(G41,MONTH('Input|General'!$G$9),1)</f>
        <v>40603</v>
      </c>
      <c r="I41" s="183" t="str">
        <f>G41-1&amp;"–"&amp;RIGHT(G41,2)</f>
        <v>2010–11</v>
      </c>
    </row>
    <row r="42" spans="1:47">
      <c r="C42" s="159">
        <v>41061</v>
      </c>
      <c r="D42" s="16" t="s">
        <v>69</v>
      </c>
      <c r="E42" s="16"/>
      <c r="F42" s="16"/>
      <c r="G42" s="154">
        <v>2012</v>
      </c>
      <c r="H42" s="185">
        <f>DATE(G42,MONTH('Input|General'!$G$9),1)</f>
        <v>40969</v>
      </c>
      <c r="I42" s="183" t="str">
        <f t="shared" ref="I42:I60" si="0">G42-1&amp;"–"&amp;RIGHT(G42,2)</f>
        <v>2011–12</v>
      </c>
    </row>
    <row r="43" spans="1:47">
      <c r="C43" s="159">
        <v>41426</v>
      </c>
      <c r="D43" s="16" t="s">
        <v>69</v>
      </c>
      <c r="E43" s="16"/>
      <c r="F43" s="16"/>
      <c r="G43" s="154">
        <v>2013</v>
      </c>
      <c r="H43" s="185">
        <f>DATE(G43,MONTH('Input|General'!$G$9),1)</f>
        <v>41334</v>
      </c>
      <c r="I43" s="183" t="str">
        <f t="shared" si="0"/>
        <v>2012–13</v>
      </c>
    </row>
    <row r="44" spans="1:47">
      <c r="C44" s="159">
        <v>41791</v>
      </c>
      <c r="D44" s="16" t="s">
        <v>69</v>
      </c>
      <c r="E44" s="16"/>
      <c r="F44" s="16"/>
      <c r="G44" s="154">
        <v>2014</v>
      </c>
      <c r="H44" s="185">
        <f>DATE(G44,MONTH('Input|General'!$G$9),1)</f>
        <v>41699</v>
      </c>
      <c r="I44" s="183" t="str">
        <f t="shared" si="0"/>
        <v>2013–14</v>
      </c>
    </row>
    <row r="45" spans="1:47">
      <c r="C45" s="159">
        <v>42156</v>
      </c>
      <c r="D45" s="16" t="s">
        <v>69</v>
      </c>
      <c r="E45" s="16"/>
      <c r="F45" s="16"/>
      <c r="G45" s="154">
        <v>2015</v>
      </c>
      <c r="H45" s="185">
        <f>DATE(G45,MONTH('Input|General'!$G$9),1)</f>
        <v>42064</v>
      </c>
      <c r="I45" s="183" t="str">
        <f t="shared" si="0"/>
        <v>2014–15</v>
      </c>
      <c r="T45" s="17"/>
    </row>
    <row r="46" spans="1:47">
      <c r="C46" s="159">
        <v>42522</v>
      </c>
      <c r="D46" s="16" t="s">
        <v>69</v>
      </c>
      <c r="E46" s="16"/>
      <c r="F46" s="16"/>
      <c r="G46" s="154">
        <v>2016</v>
      </c>
      <c r="H46" s="185">
        <f>DATE(G46,MONTH('Input|General'!$G$9),1)</f>
        <v>42430</v>
      </c>
      <c r="I46" s="183" t="str">
        <f t="shared" si="0"/>
        <v>2015–16</v>
      </c>
      <c r="T46" s="17"/>
    </row>
    <row r="47" spans="1:47">
      <c r="C47" s="159">
        <v>42887</v>
      </c>
      <c r="D47" s="16" t="s">
        <v>69</v>
      </c>
      <c r="E47" s="16"/>
      <c r="F47" s="16"/>
      <c r="G47" s="154">
        <v>2017</v>
      </c>
      <c r="H47" s="185">
        <f>DATE(G47,MONTH('Input|General'!$G$9),1)</f>
        <v>42795</v>
      </c>
      <c r="I47" s="183" t="str">
        <f t="shared" si="0"/>
        <v>2016–17</v>
      </c>
      <c r="T47" s="17"/>
    </row>
    <row r="48" spans="1:47">
      <c r="C48" s="159">
        <v>43252</v>
      </c>
      <c r="D48" s="16" t="s">
        <v>69</v>
      </c>
      <c r="E48" s="16"/>
      <c r="F48" s="16"/>
      <c r="G48" s="154">
        <v>2018</v>
      </c>
      <c r="H48" s="185">
        <f>DATE(G48,MONTH('Input|General'!$G$9),1)</f>
        <v>43160</v>
      </c>
      <c r="I48" s="183" t="str">
        <f t="shared" si="0"/>
        <v>2017–18</v>
      </c>
      <c r="T48" s="17"/>
    </row>
    <row r="49" spans="1:47">
      <c r="C49" s="159">
        <v>43617</v>
      </c>
      <c r="D49" s="16" t="s">
        <v>69</v>
      </c>
      <c r="E49" s="16"/>
      <c r="F49" s="16"/>
      <c r="G49" s="154">
        <v>2019</v>
      </c>
      <c r="H49" s="185">
        <f>DATE(G49,MONTH('Input|General'!$G$9),1)</f>
        <v>43525</v>
      </c>
      <c r="I49" s="183" t="str">
        <f t="shared" si="0"/>
        <v>2018–19</v>
      </c>
      <c r="T49" s="17"/>
    </row>
    <row r="50" spans="1:47">
      <c r="C50" s="159">
        <v>43983</v>
      </c>
      <c r="D50" s="16" t="s">
        <v>69</v>
      </c>
      <c r="E50" s="16"/>
      <c r="F50" s="16"/>
      <c r="G50" s="154">
        <v>2020</v>
      </c>
      <c r="H50" s="185">
        <f>DATE(G50,MONTH('Input|General'!$G$9),1)</f>
        <v>43891</v>
      </c>
      <c r="I50" s="183" t="str">
        <f t="shared" si="0"/>
        <v>2019–20</v>
      </c>
      <c r="T50" s="17"/>
    </row>
    <row r="51" spans="1:47">
      <c r="C51" s="159">
        <v>44348</v>
      </c>
      <c r="D51" s="16" t="s">
        <v>69</v>
      </c>
      <c r="E51" s="16"/>
      <c r="F51" s="16"/>
      <c r="G51" s="154">
        <v>2021</v>
      </c>
      <c r="H51" s="185">
        <f>DATE(G51,MONTH('Input|General'!$G$9),1)</f>
        <v>44256</v>
      </c>
      <c r="I51" s="183" t="str">
        <f t="shared" si="0"/>
        <v>2020–21</v>
      </c>
      <c r="T51" s="17"/>
    </row>
    <row r="52" spans="1:47">
      <c r="C52" s="159">
        <v>44713</v>
      </c>
      <c r="D52" s="16" t="s">
        <v>69</v>
      </c>
      <c r="E52" s="16"/>
      <c r="F52" s="16"/>
      <c r="G52" s="154">
        <v>2022</v>
      </c>
      <c r="H52" s="185">
        <f>DATE(G52,MONTH('Input|General'!$G$9),1)</f>
        <v>44621</v>
      </c>
      <c r="I52" s="183" t="str">
        <f t="shared" si="0"/>
        <v>2021–22</v>
      </c>
      <c r="T52" s="17"/>
    </row>
    <row r="53" spans="1:47">
      <c r="C53" s="159">
        <v>45078</v>
      </c>
      <c r="D53" s="16" t="s">
        <v>69</v>
      </c>
      <c r="E53" s="16"/>
      <c r="F53" s="16"/>
      <c r="G53" s="154">
        <v>2023</v>
      </c>
      <c r="H53" s="185">
        <f>DATE(G53,MONTH('Input|General'!$G$9),1)</f>
        <v>44986</v>
      </c>
      <c r="I53" s="183" t="str">
        <f t="shared" si="0"/>
        <v>2022–23</v>
      </c>
      <c r="T53" s="17"/>
    </row>
    <row r="54" spans="1:47">
      <c r="C54" s="159">
        <v>45444</v>
      </c>
      <c r="D54" s="16" t="s">
        <v>69</v>
      </c>
      <c r="E54" s="16"/>
      <c r="F54" s="16"/>
      <c r="G54" s="154">
        <v>2024</v>
      </c>
      <c r="H54" s="185">
        <f>DATE(G54,MONTH('Input|General'!$G$9),1)</f>
        <v>45352</v>
      </c>
      <c r="I54" s="183" t="str">
        <f t="shared" si="0"/>
        <v>2023–24</v>
      </c>
      <c r="T54" s="17"/>
    </row>
    <row r="55" spans="1:47">
      <c r="C55" s="159">
        <v>45809</v>
      </c>
      <c r="D55" s="16" t="s">
        <v>69</v>
      </c>
      <c r="E55" s="16"/>
      <c r="F55" s="16"/>
      <c r="G55" s="154">
        <v>2025</v>
      </c>
      <c r="H55" s="185">
        <f>DATE(G55,MONTH('Input|General'!$G$9),1)</f>
        <v>45717</v>
      </c>
      <c r="I55" s="183" t="str">
        <f t="shared" si="0"/>
        <v>2024–25</v>
      </c>
      <c r="T55" s="17"/>
    </row>
    <row r="56" spans="1:47">
      <c r="C56" s="159">
        <v>46174</v>
      </c>
      <c r="D56" s="16" t="s">
        <v>69</v>
      </c>
      <c r="E56" s="16"/>
      <c r="F56" s="16"/>
      <c r="G56" s="154">
        <v>2026</v>
      </c>
      <c r="H56" s="185">
        <f>DATE(G56,MONTH('Input|General'!$G$9),1)</f>
        <v>46082</v>
      </c>
      <c r="I56" s="183" t="str">
        <f t="shared" si="0"/>
        <v>2025–26</v>
      </c>
      <c r="T56" s="17"/>
    </row>
    <row r="57" spans="1:47">
      <c r="C57" s="159">
        <v>46539</v>
      </c>
      <c r="D57" s="16" t="s">
        <v>69</v>
      </c>
      <c r="E57" s="16"/>
      <c r="F57" s="16"/>
      <c r="G57" s="154">
        <v>2027</v>
      </c>
      <c r="H57" s="185">
        <f>DATE(G57,MONTH('Input|General'!$G$9),1)</f>
        <v>46447</v>
      </c>
      <c r="I57" s="183" t="str">
        <f t="shared" si="0"/>
        <v>2026–27</v>
      </c>
      <c r="T57" s="17"/>
    </row>
    <row r="58" spans="1:47">
      <c r="C58" s="159">
        <v>46905</v>
      </c>
      <c r="D58" s="16" t="s">
        <v>69</v>
      </c>
      <c r="E58" s="16"/>
      <c r="F58" s="16"/>
      <c r="G58" s="154">
        <v>2028</v>
      </c>
      <c r="H58" s="185">
        <f>DATE(G58,MONTH('Input|General'!$G$9),1)</f>
        <v>46813</v>
      </c>
      <c r="I58" s="183" t="str">
        <f t="shared" si="0"/>
        <v>2027–28</v>
      </c>
      <c r="T58" s="17"/>
    </row>
    <row r="59" spans="1:47">
      <c r="C59" s="159">
        <v>47270</v>
      </c>
      <c r="D59" s="16" t="s">
        <v>69</v>
      </c>
      <c r="E59" s="16"/>
      <c r="F59" s="16"/>
      <c r="G59" s="154">
        <v>2029</v>
      </c>
      <c r="H59" s="185">
        <f>DATE(G59,MONTH('Input|General'!$G$9),1)</f>
        <v>47178</v>
      </c>
      <c r="I59" s="183" t="str">
        <f t="shared" si="0"/>
        <v>2028–29</v>
      </c>
      <c r="T59" s="17"/>
    </row>
    <row r="60" spans="1:47">
      <c r="C60" s="159">
        <v>47635</v>
      </c>
      <c r="D60" s="16" t="s">
        <v>69</v>
      </c>
      <c r="E60" s="16"/>
      <c r="F60" s="16"/>
      <c r="G60" s="154">
        <v>2030</v>
      </c>
      <c r="H60" s="185">
        <f>DATE(G60,MONTH('Input|General'!$G$9),1)</f>
        <v>47543</v>
      </c>
      <c r="I60" s="183" t="str">
        <f t="shared" si="0"/>
        <v>2029–30</v>
      </c>
      <c r="T60" s="17"/>
    </row>
    <row r="61" spans="1:47"/>
    <row r="62" spans="1:47" customFormat="1" ht="12.75">
      <c r="A62" s="43"/>
      <c r="B62" s="51" t="s">
        <v>157</v>
      </c>
      <c r="C62" s="43"/>
      <c r="D62" s="43"/>
      <c r="E62" s="43"/>
      <c r="F62" s="44"/>
      <c r="G62" s="44"/>
      <c r="H62" s="44"/>
      <c r="I62" s="44"/>
      <c r="J62" s="45"/>
      <c r="K62" s="46"/>
      <c r="L62" s="45"/>
      <c r="M62" s="46"/>
      <c r="N62" s="45"/>
      <c r="O62" s="45"/>
      <c r="P62" s="45"/>
      <c r="Q62" s="45"/>
      <c r="R62" s="45"/>
      <c r="S62" s="45"/>
      <c r="T62" s="45"/>
      <c r="U62" s="45"/>
      <c r="V62" s="46"/>
      <c r="W62" s="46"/>
      <c r="X62" s="47"/>
      <c r="Y62" s="47"/>
      <c r="Z62" s="47"/>
      <c r="AA62" s="47"/>
      <c r="AB62" s="48"/>
      <c r="AC62" s="49"/>
      <c r="AD62" s="49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U62" s="50"/>
    </row>
    <row r="63" spans="1:47"/>
    <row r="64" spans="1:47">
      <c r="C64" s="13" t="str">
        <f>B62</f>
        <v>Regulatory years</v>
      </c>
      <c r="D64" s="21" t="s">
        <v>7</v>
      </c>
      <c r="E64" s="21"/>
      <c r="F64" s="14"/>
      <c r="G64" s="14" t="s">
        <v>158</v>
      </c>
      <c r="H64" s="14" t="s">
        <v>124</v>
      </c>
    </row>
    <row r="65" spans="1:47">
      <c r="C65" s="15" t="s">
        <v>203</v>
      </c>
      <c r="D65" s="16" t="s">
        <v>99</v>
      </c>
      <c r="E65" s="21"/>
      <c r="F65" s="14"/>
      <c r="G65" s="183" t="str">
        <f>IF(H65="","",IF(MONTH(H65)=12,YEAR(H65),YEAR(H65)-1&amp;"–"&amp;RIGHT(YEAR(H65),2)))</f>
        <v>2016–17</v>
      </c>
      <c r="H65" s="185">
        <f>DATE(PPFirstYear-1,MONTH('Input|General'!$G$9),1)</f>
        <v>42795</v>
      </c>
    </row>
    <row r="66" spans="1:47">
      <c r="C66" s="15" t="s">
        <v>145</v>
      </c>
      <c r="D66" s="16" t="s">
        <v>99</v>
      </c>
      <c r="E66" s="16"/>
      <c r="F66" s="16"/>
      <c r="G66" s="183" t="str">
        <f t="shared" ref="G66:G75" si="1">IF(H66="","",IF(MONTH(H66)=12,YEAR(H66),YEAR(H66)-1&amp;"–"&amp;RIGHT(YEAR(H66),2)))</f>
        <v>2017–18</v>
      </c>
      <c r="H66" s="185">
        <f>DATE(PPFirstYear,MONTH('Input|General'!$G$9),1)</f>
        <v>43160</v>
      </c>
    </row>
    <row r="67" spans="1:47">
      <c r="C67" s="15" t="s">
        <v>146</v>
      </c>
      <c r="D67" s="16" t="s">
        <v>99</v>
      </c>
      <c r="E67" s="16"/>
      <c r="F67" s="16"/>
      <c r="G67" s="183" t="str">
        <f t="shared" si="1"/>
        <v>2018–19</v>
      </c>
      <c r="H67" s="185">
        <f>IF(PPLastYear-PPFirstYear&lt;1,"",DATE(PPFirstYear+1,MONTH('Input|General'!$G$9),1))</f>
        <v>43525</v>
      </c>
    </row>
    <row r="68" spans="1:47">
      <c r="C68" s="15" t="s">
        <v>147</v>
      </c>
      <c r="D68" s="16" t="s">
        <v>99</v>
      </c>
      <c r="E68" s="16"/>
      <c r="F68" s="16"/>
      <c r="G68" s="183" t="str">
        <f t="shared" si="1"/>
        <v>2019–20</v>
      </c>
      <c r="H68" s="185">
        <f>IF(PPLastYear-PPFirstYear&lt;2,"",DATE(PPFirstYear+2,MONTH('Input|General'!$G$9),1))</f>
        <v>43891</v>
      </c>
    </row>
    <row r="69" spans="1:47">
      <c r="C69" s="15" t="s">
        <v>148</v>
      </c>
      <c r="D69" s="16" t="s">
        <v>99</v>
      </c>
      <c r="E69" s="16"/>
      <c r="F69" s="16"/>
      <c r="G69" s="183" t="str">
        <f t="shared" si="1"/>
        <v>2020–21</v>
      </c>
      <c r="H69" s="185">
        <f>IF(PPLastYear-PPFirstYear&lt;3,"",DATE(PPFirstYear+3,MONTH('Input|General'!$G$9),1))</f>
        <v>44256</v>
      </c>
    </row>
    <row r="70" spans="1:47">
      <c r="C70" s="15" t="s">
        <v>149</v>
      </c>
      <c r="D70" s="16" t="s">
        <v>99</v>
      </c>
      <c r="E70" s="16"/>
      <c r="F70" s="16"/>
      <c r="G70" s="183" t="str">
        <f t="shared" si="1"/>
        <v>2021–22</v>
      </c>
      <c r="H70" s="185">
        <f>IF(PPLastYear-PPFirstYear&lt;4,"",DATE(PPFirstYear+4,MONTH('Input|General'!$G$9),1))</f>
        <v>44621</v>
      </c>
    </row>
    <row r="71" spans="1:47">
      <c r="C71" s="15" t="s">
        <v>210</v>
      </c>
      <c r="D71" s="16" t="s">
        <v>99</v>
      </c>
      <c r="E71" s="16"/>
      <c r="F71" s="16"/>
      <c r="G71" s="183" t="str">
        <f t="shared" si="1"/>
        <v/>
      </c>
      <c r="H71" s="185" t="str">
        <f>IF(PPLastYear-PPFirstYear&lt;5,"",DATE(PPFirstYear+5,MONTH('Input|General'!$G$9),1))</f>
        <v/>
      </c>
    </row>
    <row r="72" spans="1:47">
      <c r="C72" s="15" t="s">
        <v>150</v>
      </c>
      <c r="D72" s="16" t="s">
        <v>99</v>
      </c>
      <c r="E72" s="16"/>
      <c r="F72" s="16"/>
      <c r="G72" s="183" t="str">
        <f t="shared" si="1"/>
        <v>2022–23</v>
      </c>
      <c r="H72" s="185">
        <f>DATE(FPFirstYear,MONTH('Input|General'!$G$9),1)</f>
        <v>44986</v>
      </c>
      <c r="T72" s="17"/>
    </row>
    <row r="73" spans="1:47">
      <c r="C73" s="15" t="s">
        <v>151</v>
      </c>
      <c r="D73" s="16" t="s">
        <v>99</v>
      </c>
      <c r="E73" s="16"/>
      <c r="F73" s="16"/>
      <c r="G73" s="183" t="str">
        <f t="shared" si="1"/>
        <v>2023–24</v>
      </c>
      <c r="H73" s="185">
        <f>IF(FPLastYear-FPFirstYear&lt;1,"",DATE(FPFirstYear+1,MONTH('Input|General'!$G$9),1))</f>
        <v>45352</v>
      </c>
      <c r="T73" s="17"/>
    </row>
    <row r="74" spans="1:47">
      <c r="C74" s="15" t="s">
        <v>152</v>
      </c>
      <c r="D74" s="16" t="s">
        <v>99</v>
      </c>
      <c r="E74" s="16"/>
      <c r="F74" s="16"/>
      <c r="G74" s="183" t="str">
        <f t="shared" si="1"/>
        <v>2024–25</v>
      </c>
      <c r="H74" s="185">
        <f>IF(FPLastYear-FPFirstYear&lt;2,"",DATE(FPFirstYear+2,MONTH('Input|General'!$G$9),1))</f>
        <v>45717</v>
      </c>
      <c r="T74" s="17"/>
    </row>
    <row r="75" spans="1:47">
      <c r="C75" s="15" t="s">
        <v>153</v>
      </c>
      <c r="D75" s="16" t="s">
        <v>99</v>
      </c>
      <c r="E75" s="16"/>
      <c r="F75" s="16"/>
      <c r="G75" s="183" t="str">
        <f t="shared" si="1"/>
        <v>2025–26</v>
      </c>
      <c r="H75" s="185">
        <f>IF(FPLastYear-FPFirstYear&lt;3,"",DATE(FPFirstYear+3,MONTH('Input|General'!$G$9),1))</f>
        <v>46082</v>
      </c>
      <c r="T75" s="17"/>
    </row>
    <row r="76" spans="1:47">
      <c r="C76" s="15" t="s">
        <v>154</v>
      </c>
      <c r="D76" s="16" t="s">
        <v>99</v>
      </c>
      <c r="E76" s="16"/>
      <c r="F76" s="16"/>
      <c r="G76" s="183" t="str">
        <f>IF(H76="","",IF(MONTH(H76)=12,YEAR(H76),YEAR(H76)-1&amp;"–"&amp;RIGHT(YEAR(H76),2)))</f>
        <v>2026–27</v>
      </c>
      <c r="H76" s="185">
        <f>IF(FPLastYear-FPFirstYear&lt;4,"",DATE(FPFirstYear+4,MONTH('Input|General'!$G$9),1))</f>
        <v>46447</v>
      </c>
      <c r="T76" s="17"/>
    </row>
    <row r="77" spans="1:47">
      <c r="C77" s="15"/>
      <c r="D77" s="16"/>
      <c r="E77" s="16"/>
      <c r="F77" s="16"/>
      <c r="G77" s="213"/>
      <c r="H77" s="214"/>
      <c r="T77" s="17"/>
    </row>
    <row r="78" spans="1:47" customFormat="1" ht="12.75">
      <c r="A78" s="43"/>
      <c r="B78" s="51" t="s">
        <v>42</v>
      </c>
      <c r="C78" s="43"/>
      <c r="D78" s="43"/>
      <c r="E78" s="43"/>
      <c r="F78" s="44"/>
      <c r="G78" s="44"/>
      <c r="H78" s="44"/>
      <c r="I78" s="44"/>
      <c r="J78" s="45"/>
      <c r="K78" s="46"/>
      <c r="L78" s="45"/>
      <c r="M78" s="46"/>
      <c r="N78" s="45"/>
      <c r="O78" s="45"/>
      <c r="P78" s="45"/>
      <c r="Q78" s="45"/>
      <c r="R78" s="45"/>
      <c r="S78" s="45"/>
      <c r="T78" s="45"/>
      <c r="U78" s="45"/>
      <c r="V78" s="46"/>
      <c r="W78" s="46"/>
      <c r="X78" s="47"/>
      <c r="Y78" s="47"/>
      <c r="Z78" s="47"/>
      <c r="AA78" s="47"/>
      <c r="AB78" s="48"/>
      <c r="AC78" s="49"/>
      <c r="AD78" s="49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AT78" s="50"/>
      <c r="AU78" s="50"/>
    </row>
    <row r="79" spans="1:47"/>
    <row r="80" spans="1:47">
      <c r="C80" s="13" t="str">
        <f>B78</f>
        <v>Rate of change</v>
      </c>
      <c r="D80" s="21" t="s">
        <v>7</v>
      </c>
      <c r="E80" s="21"/>
      <c r="F80" s="14"/>
      <c r="G80" s="14" t="s">
        <v>158</v>
      </c>
      <c r="H80" s="215"/>
    </row>
    <row r="81" spans="1:47">
      <c r="C81" s="15" t="s">
        <v>196</v>
      </c>
      <c r="D81" s="16" t="s">
        <v>69</v>
      </c>
      <c r="E81" s="16"/>
      <c r="F81" s="16"/>
      <c r="G81" s="183" t="s">
        <v>108</v>
      </c>
      <c r="H81" s="214"/>
    </row>
    <row r="82" spans="1:47">
      <c r="C82" s="15" t="s">
        <v>197</v>
      </c>
      <c r="D82" s="16" t="s">
        <v>69</v>
      </c>
      <c r="E82" s="16"/>
      <c r="F82" s="16"/>
      <c r="G82" s="184" t="s">
        <v>198</v>
      </c>
      <c r="H82" s="214"/>
    </row>
    <row r="83" spans="1:47"/>
    <row r="84" spans="1:47" customFormat="1" ht="12.75">
      <c r="A84" s="43"/>
      <c r="B84" s="51" t="s">
        <v>21</v>
      </c>
      <c r="C84" s="43"/>
      <c r="D84" s="43"/>
      <c r="E84" s="43"/>
      <c r="F84" s="44"/>
      <c r="G84" s="44"/>
      <c r="H84" s="44"/>
      <c r="I84" s="44"/>
      <c r="J84" s="45"/>
      <c r="K84" s="46"/>
      <c r="L84" s="45"/>
      <c r="M84" s="46"/>
      <c r="N84" s="45"/>
      <c r="O84" s="45"/>
      <c r="P84" s="45"/>
      <c r="Q84" s="45"/>
      <c r="R84" s="45"/>
      <c r="S84" s="45"/>
      <c r="T84" s="45"/>
      <c r="U84" s="45"/>
      <c r="V84" s="46"/>
      <c r="W84" s="46"/>
      <c r="X84" s="47"/>
      <c r="Y84" s="47"/>
      <c r="Z84" s="47"/>
      <c r="AA84" s="47"/>
      <c r="AB84" s="48"/>
      <c r="AC84" s="49"/>
      <c r="AD84" s="49"/>
      <c r="AE84" s="50"/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P84" s="50"/>
      <c r="AQ84" s="50"/>
      <c r="AR84" s="50"/>
      <c r="AS84" s="50"/>
      <c r="AT84" s="50"/>
      <c r="AU84" s="50"/>
    </row>
    <row r="85" spans="1:47" hidden="1"/>
    <row r="86" spans="1:47" hidden="1"/>
    <row r="87" spans="1:47" hidden="1"/>
    <row r="88" spans="1:47" hidden="1"/>
    <row r="89" spans="1:47" hidden="1"/>
    <row r="90" spans="1:47" hidden="1"/>
    <row r="91" spans="1:47" hidden="1"/>
    <row r="92" spans="1:47" hidden="1"/>
    <row r="93" spans="1:47" hidden="1"/>
    <row r="94" spans="1:47" hidden="1"/>
    <row r="95" spans="1:47" hidden="1"/>
    <row r="96" spans="1:47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  <row r="118" hidden="1"/>
    <row r="119" hidden="1"/>
  </sheetData>
  <conditionalFormatting sqref="P14:Q21">
    <cfRule type="expression" dxfId="15" priority="56" stopIfTrue="1">
      <formula>#REF!="Actual"</formula>
    </cfRule>
  </conditionalFormatting>
  <conditionalFormatting sqref="P14:P21">
    <cfRule type="expression" dxfId="14" priority="55" stopIfTrue="1">
      <formula>#REF!="Actual"</formula>
    </cfRule>
  </conditionalFormatting>
  <conditionalFormatting sqref="P83">
    <cfRule type="expression" dxfId="13" priority="53" stopIfTrue="1">
      <formula>#REF!="Actual"</formula>
    </cfRule>
  </conditionalFormatting>
  <conditionalFormatting sqref="Q83">
    <cfRule type="expression" dxfId="12" priority="50" stopIfTrue="1">
      <formula>#REF!="Actual"</formula>
    </cfRule>
  </conditionalFormatting>
  <conditionalFormatting sqref="V1">
    <cfRule type="cellIs" dxfId="11" priority="5" operator="equal">
      <formula>"Check"</formula>
    </cfRule>
    <cfRule type="cellIs" dxfId="10" priority="6" operator="equal">
      <formula>"Ok"</formula>
    </cfRule>
  </conditionalFormatting>
  <conditionalFormatting sqref="S1">
    <cfRule type="cellIs" dxfId="9" priority="3" operator="equal">
      <formula>"Check"</formula>
    </cfRule>
    <cfRule type="cellIs" dxfId="8" priority="4" operator="equal">
      <formula>"Ok"</formula>
    </cfRule>
  </conditionalFormatting>
  <conditionalFormatting sqref="P61">
    <cfRule type="expression" dxfId="7" priority="2" stopIfTrue="1">
      <formula>#REF!="Actual"</formula>
    </cfRule>
  </conditionalFormatting>
  <conditionalFormatting sqref="Q61">
    <cfRule type="expression" dxfId="6" priority="1" stopIfTrue="1">
      <formula>#REF!="Actual"</formula>
    </cfRule>
  </conditionalFormatting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ignoredErrors>
    <ignoredError sqref="G11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theme="1"/>
  </sheetPr>
  <dimension ref="A1:AU28"/>
  <sheetViews>
    <sheetView showGridLines="0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26.33203125" style="7" bestFit="1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0" width="10.83203125" style="8" customWidth="1"/>
    <col min="21" max="23" width="10.83203125" style="8" hidden="1" customWidth="1"/>
    <col min="24" max="38" width="10.5" style="8" hidden="1" customWidth="1"/>
    <col min="39" max="16384" width="10.5" style="8" hidden="1"/>
  </cols>
  <sheetData>
    <row r="1" spans="1:47" s="38" customFormat="1" ht="15.75">
      <c r="B1" s="35" t="str">
        <f>Index!$B$1</f>
        <v>AER opex model v1.8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181" t="s">
        <v>24</v>
      </c>
      <c r="S1" s="40" t="str">
        <f>IF(COUNTIF(G10:G16,"Check")=0,"Ok","Check")</f>
        <v>Ok</v>
      </c>
      <c r="U1" s="39"/>
      <c r="V1" s="40"/>
    </row>
    <row r="2" spans="1:47" s="38" customFormat="1" ht="12.75">
      <c r="B2" s="53" t="str">
        <f>Index!$C$15</f>
        <v>Check | List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/>
    <row r="5" spans="1:47" s="6" customFormat="1" ht="9" customHeight="1"/>
    <row r="6" spans="1:47" s="6" customFormat="1" ht="3" customHeight="1"/>
    <row r="7" spans="1:47" customFormat="1" ht="12.75">
      <c r="A7" s="43"/>
      <c r="B7" s="51" t="s">
        <v>26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">
        <v>27</v>
      </c>
      <c r="D9" s="14" t="s">
        <v>7</v>
      </c>
      <c r="E9" s="14" t="s">
        <v>8</v>
      </c>
      <c r="F9" s="14"/>
      <c r="G9" s="14" t="s">
        <v>29</v>
      </c>
    </row>
    <row r="10" spans="1:47">
      <c r="C10" s="15" t="str">
        <f>Index!C7</f>
        <v>Input | General</v>
      </c>
      <c r="D10" s="166" t="str">
        <f>C10</f>
        <v>Input | General</v>
      </c>
      <c r="E10" s="16" t="s">
        <v>28</v>
      </c>
      <c r="F10" s="16"/>
      <c r="G10" s="18" t="str">
        <f>'Input|General'!S1</f>
        <v>OK</v>
      </c>
      <c r="T10" s="17"/>
    </row>
    <row r="11" spans="1:47">
      <c r="C11" s="15" t="str">
        <f>Index!C8</f>
        <v>Input | Inflation</v>
      </c>
      <c r="D11" s="166" t="str">
        <f>C11</f>
        <v>Input | Inflation</v>
      </c>
      <c r="E11" s="16" t="s">
        <v>28</v>
      </c>
      <c r="F11" s="16"/>
      <c r="G11" s="18" t="str">
        <f>'Input|Inflation'!T1</f>
        <v>OK</v>
      </c>
      <c r="T11" s="17"/>
    </row>
    <row r="12" spans="1:47">
      <c r="C12" s="15" t="str">
        <f>Index!C9</f>
        <v>Input | Reported opex</v>
      </c>
      <c r="D12" s="166" t="str">
        <f t="shared" ref="D12" si="0">C12</f>
        <v>Input | Reported opex</v>
      </c>
      <c r="E12" s="16" t="s">
        <v>28</v>
      </c>
      <c r="G12" s="18" t="str">
        <f>'Input|Reported opex'!S1</f>
        <v>OK</v>
      </c>
      <c r="H12" s="16"/>
      <c r="T12" s="17"/>
    </row>
    <row r="13" spans="1:47">
      <c r="C13" s="15" t="str">
        <f>Index!C10</f>
        <v>Input | Rate of change</v>
      </c>
      <c r="D13" s="166" t="s">
        <v>225</v>
      </c>
      <c r="E13" s="16" t="s">
        <v>28</v>
      </c>
      <c r="F13" s="16"/>
      <c r="G13" s="18" t="str">
        <f>'Input|Rate of change'!T1</f>
        <v>Ok</v>
      </c>
      <c r="H13" s="16"/>
      <c r="T13" s="17"/>
    </row>
    <row r="14" spans="1:47">
      <c r="C14" s="15" t="str">
        <f>Index!C11</f>
        <v>Input | Step changes</v>
      </c>
      <c r="D14" s="166" t="s">
        <v>60</v>
      </c>
      <c r="E14" s="16" t="s">
        <v>28</v>
      </c>
      <c r="F14" s="16"/>
      <c r="G14" s="18" t="str">
        <f>'Input|Step changes'!S1</f>
        <v>OK</v>
      </c>
      <c r="H14" s="16"/>
      <c r="T14" s="17"/>
    </row>
    <row r="15" spans="1:47">
      <c r="C15" s="15" t="str">
        <f>Index!C12</f>
        <v>Calc | Opex Forecast</v>
      </c>
      <c r="D15" s="166" t="s">
        <v>226</v>
      </c>
      <c r="E15" s="16" t="s">
        <v>28</v>
      </c>
      <c r="F15" s="16"/>
      <c r="G15" s="18" t="str">
        <f>'Calc|Opex forecast'!S1</f>
        <v>n/a</v>
      </c>
      <c r="H15" s="16"/>
      <c r="T15" s="17"/>
    </row>
    <row r="16" spans="1:47">
      <c r="C16" s="15" t="str">
        <f>Index!C13</f>
        <v>Output | Models</v>
      </c>
      <c r="D16" s="166" t="s">
        <v>227</v>
      </c>
      <c r="E16" s="16" t="s">
        <v>28</v>
      </c>
      <c r="F16" s="16"/>
      <c r="G16" s="18" t="str">
        <f>'Output|Models'!S1</f>
        <v>n/a</v>
      </c>
      <c r="H16" s="16"/>
      <c r="T16" s="17"/>
    </row>
    <row r="17" spans="1:47">
      <c r="C17" s="15"/>
    </row>
    <row r="18" spans="1:47" customFormat="1" ht="12.75">
      <c r="A18" s="43"/>
      <c r="B18" s="51" t="s">
        <v>21</v>
      </c>
      <c r="C18" s="43"/>
      <c r="D18" s="43"/>
      <c r="E18" s="43"/>
      <c r="F18" s="44"/>
      <c r="G18" s="44"/>
      <c r="H18" s="44"/>
      <c r="I18" s="44"/>
      <c r="J18" s="45"/>
      <c r="K18" s="46"/>
      <c r="L18" s="45"/>
      <c r="M18" s="46"/>
      <c r="N18" s="45"/>
      <c r="O18" s="45"/>
      <c r="P18" s="45"/>
      <c r="Q18" s="45"/>
      <c r="R18" s="45"/>
      <c r="S18" s="45"/>
      <c r="T18" s="45"/>
      <c r="U18" s="45"/>
      <c r="V18" s="46"/>
      <c r="W18" s="46"/>
      <c r="X18" s="47"/>
      <c r="Y18" s="47"/>
      <c r="Z18" s="47"/>
      <c r="AA18" s="47"/>
      <c r="AB18" s="48"/>
      <c r="AC18" s="49"/>
      <c r="AD18" s="49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</row>
    <row r="19" spans="1:47" hidden="1">
      <c r="C19" s="15"/>
    </row>
    <row r="20" spans="1:47" hidden="1">
      <c r="C20" s="15"/>
    </row>
    <row r="21" spans="1:47" hidden="1">
      <c r="C21" s="15"/>
    </row>
    <row r="22" spans="1:47" hidden="1">
      <c r="C22" s="15"/>
    </row>
    <row r="23" spans="1:47" hidden="1"/>
    <row r="24" spans="1:47"/>
    <row r="25" spans="1:47"/>
    <row r="26" spans="1:47"/>
    <row r="27" spans="1:47"/>
    <row r="28" spans="1:47"/>
  </sheetData>
  <conditionalFormatting sqref="G10:G16">
    <cfRule type="cellIs" dxfId="5" priority="13" operator="equal">
      <formula>"Check"</formula>
    </cfRule>
    <cfRule type="cellIs" dxfId="4" priority="14" operator="equal">
      <formula>"Ok"</formula>
    </cfRule>
  </conditionalFormatting>
  <conditionalFormatting sqref="V1">
    <cfRule type="cellIs" dxfId="3" priority="3" operator="equal">
      <formula>"Check"</formula>
    </cfRule>
    <cfRule type="cellIs" dxfId="2" priority="4" operator="equal">
      <formula>"Ok"</formula>
    </cfRule>
  </conditionalFormatting>
  <conditionalFormatting sqref="S1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J1" location="Index!A1" display="Back to Index"/>
    <hyperlink ref="D10" location="'Input|General'!A1" display="'Input|General'!A1"/>
    <hyperlink ref="D12" location="'Input|Reported opex'!A1" display="'Input|Reported opex'!A1"/>
    <hyperlink ref="D11" location="'Input|Inflation'!A1" display="'Input|Inflation'!A1"/>
    <hyperlink ref="R1" location="'Check|List'!A1" display="Overall Check:"/>
    <hyperlink ref="D15" location="'Calc|Opex forecast'!A1" display="Calc | Opex Forecast"/>
    <hyperlink ref="D16" location="'Output|Models'!A1" display="Output | Models"/>
    <hyperlink ref="D13" location="'Input|Rate of change'!A1" display="Input | Rate of change"/>
    <hyperlink ref="D14" location="'Input|Step changes'!A1" display="Input | Step changes"/>
  </hyperlinks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17</vt:i4>
      </vt:variant>
    </vt:vector>
  </HeadingPairs>
  <TitlesOfParts>
    <vt:vector size="28" baseType="lpstr">
      <vt:lpstr>Version history</vt:lpstr>
      <vt:lpstr>Index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Output|Models</vt:lpstr>
      <vt:lpstr>Lookup|Tables</vt:lpstr>
      <vt:lpstr>Check|List</vt:lpstr>
      <vt:lpstr>'Input|General'!_FilterDatabase</vt:lpstr>
      <vt:lpstr>'Input|Reported opex'!_FilterDatabase</vt:lpstr>
      <vt:lpstr>BaseYear</vt:lpstr>
      <vt:lpstr>dollars</vt:lpstr>
      <vt:lpstr>factor</vt:lpstr>
      <vt:lpstr>FPFirstYear</vt:lpstr>
      <vt:lpstr>FPLastYear</vt:lpstr>
      <vt:lpstr>millions</vt:lpstr>
      <vt:lpstr>Nominal_to_Real</vt:lpstr>
      <vt:lpstr>NSP</vt:lpstr>
      <vt:lpstr>number</vt:lpstr>
      <vt:lpstr>percent</vt:lpstr>
      <vt:lpstr>PPFirstYear</vt:lpstr>
      <vt:lpstr>PPLastYear</vt:lpstr>
      <vt:lpstr>Real_to_Nominal</vt:lpstr>
      <vt:lpstr>thousands</vt:lpstr>
      <vt:lpstr>unit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Jane Kelly</cp:lastModifiedBy>
  <dcterms:created xsi:type="dcterms:W3CDTF">2021-06-06T23:43:40Z</dcterms:created>
  <dcterms:modified xsi:type="dcterms:W3CDTF">2021-06-27T15:16:49Z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