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EBSS\13. Victoria 2021-26\Jemena\DD publication\"/>
    </mc:Choice>
  </mc:AlternateContent>
  <bookViews>
    <workbookView xWindow="0" yWindow="0" windowWidth="28800" windowHeight="12000"/>
  </bookViews>
  <sheets>
    <sheet name="Draft decisio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3" i="1" l="1"/>
  <c r="Z63" i="1"/>
  <c r="Y63" i="1"/>
  <c r="X63" i="1"/>
  <c r="W63" i="1"/>
  <c r="K44" i="1"/>
  <c r="J44" i="1"/>
  <c r="I44" i="1"/>
  <c r="H44" i="1"/>
  <c r="G44" i="1"/>
  <c r="F44" i="1"/>
  <c r="E44" i="1"/>
  <c r="D44" i="1"/>
  <c r="C44" i="1"/>
  <c r="M31" i="1"/>
  <c r="L31" i="1"/>
  <c r="K31" i="1"/>
  <c r="J31" i="1"/>
  <c r="I31" i="1"/>
  <c r="H31" i="1"/>
  <c r="G31" i="1"/>
  <c r="F31" i="1"/>
  <c r="E31" i="1"/>
  <c r="D31" i="1"/>
  <c r="C31" i="1"/>
  <c r="M12" i="1"/>
  <c r="L12" i="1"/>
  <c r="K12" i="1"/>
  <c r="J12" i="1"/>
  <c r="I12" i="1"/>
  <c r="H12" i="1"/>
  <c r="G12" i="1"/>
  <c r="F12" i="1"/>
  <c r="E12" i="1"/>
  <c r="O11" i="1"/>
  <c r="N11" i="1"/>
  <c r="O12" i="1" l="1"/>
  <c r="N12" i="1"/>
  <c r="V37" i="1"/>
  <c r="V39" i="1"/>
  <c r="V41" i="1"/>
  <c r="N13" i="1"/>
  <c r="V40" i="1"/>
  <c r="V42" i="1"/>
  <c r="V43" i="1"/>
  <c r="U43" i="1" l="1"/>
  <c r="U42" i="1"/>
  <c r="U41" i="1"/>
  <c r="U40" i="1"/>
  <c r="U39" i="1"/>
  <c r="U37" i="1"/>
  <c r="M13" i="1"/>
  <c r="V44" i="1"/>
  <c r="U45" i="1" l="1"/>
  <c r="L13" i="1"/>
  <c r="T43" i="1"/>
  <c r="T42" i="1"/>
  <c r="T41" i="1"/>
  <c r="T40" i="1"/>
  <c r="T39" i="1"/>
  <c r="T37" i="1"/>
  <c r="T44" i="1" l="1"/>
  <c r="K13" i="1"/>
  <c r="S42" i="1"/>
  <c r="S41" i="1"/>
  <c r="S43" i="1"/>
  <c r="S40" i="1"/>
  <c r="S39" i="1"/>
  <c r="S37" i="1"/>
  <c r="R41" i="1" l="1"/>
  <c r="J13" i="1"/>
  <c r="R42" i="1"/>
  <c r="R39" i="1"/>
  <c r="R37" i="1"/>
  <c r="R43" i="1"/>
  <c r="R40" i="1"/>
  <c r="S44" i="1"/>
  <c r="R44" i="1" l="1"/>
  <c r="Q43" i="1"/>
  <c r="Q42" i="1"/>
  <c r="Q41" i="1"/>
  <c r="Q40" i="1"/>
  <c r="Q39" i="1"/>
  <c r="Q37" i="1"/>
  <c r="I13" i="1"/>
  <c r="U30" i="1" l="1"/>
  <c r="Q30" i="1"/>
  <c r="U29" i="1"/>
  <c r="Q29" i="1"/>
  <c r="U28" i="1"/>
  <c r="Q28" i="1"/>
  <c r="U27" i="1"/>
  <c r="Q27" i="1"/>
  <c r="U26" i="1"/>
  <c r="Q26" i="1"/>
  <c r="U24" i="1"/>
  <c r="U31" i="1" s="1"/>
  <c r="Q24" i="1"/>
  <c r="Q31" i="1" s="1"/>
  <c r="H13" i="1"/>
  <c r="T30" i="1"/>
  <c r="T29" i="1"/>
  <c r="T28" i="1"/>
  <c r="T27" i="1"/>
  <c r="P43" i="1"/>
  <c r="P42" i="1"/>
  <c r="P41" i="1"/>
  <c r="P40" i="1"/>
  <c r="P39" i="1"/>
  <c r="P37" i="1"/>
  <c r="T26" i="1"/>
  <c r="T24" i="1"/>
  <c r="V30" i="1"/>
  <c r="V29" i="1"/>
  <c r="V28" i="1"/>
  <c r="V27" i="1"/>
  <c r="V26" i="1"/>
  <c r="V24" i="1"/>
  <c r="R30" i="1"/>
  <c r="R29" i="1"/>
  <c r="R28" i="1"/>
  <c r="R26" i="1"/>
  <c r="R24" i="1"/>
  <c r="S30" i="1"/>
  <c r="S29" i="1"/>
  <c r="S28" i="1"/>
  <c r="S27" i="1"/>
  <c r="S26" i="1"/>
  <c r="S24" i="1"/>
  <c r="R27" i="1"/>
  <c r="Q44" i="1"/>
  <c r="S31" i="1" l="1"/>
  <c r="G13" i="1"/>
  <c r="F13" i="1" s="1"/>
  <c r="E13" i="1" s="1"/>
  <c r="D13" i="1" s="1"/>
  <c r="O41" i="1"/>
  <c r="O37" i="1"/>
  <c r="O43" i="1"/>
  <c r="O40" i="1"/>
  <c r="O39" i="1"/>
  <c r="O42" i="1"/>
  <c r="T31" i="1"/>
  <c r="T49" i="1" s="1"/>
  <c r="R31" i="1"/>
  <c r="R49" i="1" s="1"/>
  <c r="V31" i="1"/>
  <c r="V52" i="1" s="1"/>
  <c r="AB70" i="1" s="1"/>
  <c r="P44" i="1"/>
  <c r="P27" i="1"/>
  <c r="P26" i="1"/>
  <c r="P24" i="1"/>
  <c r="P30" i="1"/>
  <c r="P29" i="1"/>
  <c r="P28" i="1"/>
  <c r="O27" i="1" l="1"/>
  <c r="O28" i="1"/>
  <c r="O30" i="1"/>
  <c r="O26" i="1"/>
  <c r="O29" i="1"/>
  <c r="O24" i="1"/>
  <c r="P31" i="1"/>
  <c r="Z61" i="1"/>
  <c r="V61" i="1"/>
  <c r="Y61" i="1"/>
  <c r="U61" i="1"/>
  <c r="X61" i="1"/>
  <c r="W61" i="1"/>
  <c r="V59" i="1"/>
  <c r="T59" i="1"/>
  <c r="U59" i="1"/>
  <c r="X59" i="1"/>
  <c r="S59" i="1"/>
  <c r="W59" i="1"/>
  <c r="S49" i="1"/>
  <c r="X60" i="1" l="1"/>
  <c r="T60" i="1"/>
  <c r="W60" i="1"/>
  <c r="V60" i="1"/>
  <c r="U60" i="1"/>
  <c r="Y60" i="1"/>
  <c r="U52" i="1"/>
  <c r="AA69" i="1" s="1"/>
  <c r="U44" i="1"/>
  <c r="U49" i="1" s="1"/>
  <c r="O31" i="1" l="1"/>
  <c r="O44" i="1"/>
  <c r="X62" i="1"/>
  <c r="X64" i="1" s="1"/>
  <c r="X66" i="1" s="1"/>
  <c r="V62" i="1"/>
  <c r="AA62" i="1"/>
  <c r="AA64" i="1" s="1"/>
  <c r="AA66" i="1" s="1"/>
  <c r="W62" i="1"/>
  <c r="Z62" i="1"/>
  <c r="Z64" i="1" s="1"/>
  <c r="Z66" i="1" s="1"/>
  <c r="Y62" i="1"/>
  <c r="Y64" i="1" s="1"/>
  <c r="Y66" i="1" s="1"/>
  <c r="Q49" i="1" l="1"/>
  <c r="P49" i="1"/>
  <c r="V64" i="1" s="1"/>
  <c r="T58" i="1" l="1"/>
  <c r="R58" i="1"/>
  <c r="W58" i="1"/>
  <c r="W64" i="1" s="1"/>
  <c r="W66" i="1" s="1"/>
  <c r="AB66" i="1" s="1"/>
  <c r="S58" i="1"/>
  <c r="V58" i="1"/>
  <c r="U58" i="1"/>
  <c r="AB64" i="1" l="1"/>
</calcChain>
</file>

<file path=xl/comments1.xml><?xml version="1.0" encoding="utf-8"?>
<comments xmlns="http://schemas.openxmlformats.org/spreadsheetml/2006/main">
  <authors>
    <author>Ahn, Aesop</author>
    <author>Holder, Toby</author>
  </authors>
  <commentList>
    <comment ref="L37" authorId="0" shapeId="0">
      <text>
        <r>
          <rPr>
            <b/>
            <sz val="9"/>
            <color indexed="81"/>
            <rFont val="Tahoma"/>
            <charset val="1"/>
          </rPr>
          <t>AER:</t>
        </r>
        <r>
          <rPr>
            <sz val="9"/>
            <color indexed="81"/>
            <rFont val="Tahoma"/>
            <charset val="1"/>
          </rPr>
          <t xml:space="preserve">
The actual incremental gain made in 2020 would be retained for an additional 5.5 years (6.5 in total) through the opex forecast. However, this will not be know at the reset. It would be known before 2015-26, when it would impact revenues. </t>
        </r>
      </text>
    </comment>
    <comment ref="M37" authorId="0" shapeId="0">
      <text>
        <r>
          <rPr>
            <b/>
            <sz val="9"/>
            <color indexed="81"/>
            <rFont val="Tahoma"/>
            <charset val="1"/>
          </rPr>
          <t>AER:</t>
        </r>
        <r>
          <rPr>
            <sz val="9"/>
            <color indexed="81"/>
            <rFont val="Tahoma"/>
            <charset val="1"/>
          </rPr>
          <t xml:space="preserve">
The actual incremental gain made in HY2021 would be retained for an additional 5 years (so only 5.5 in total) through the opex forecast. However, this will not be know at this reset. But it will be known before the next reset and it only impacts revenues in 2026-27.</t>
        </r>
      </text>
    </comment>
    <comment ref="U44"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do the true up.
</t>
        </r>
      </text>
    </comment>
    <comment ref="U45" authorId="0" shapeId="0">
      <text>
        <r>
          <rPr>
            <b/>
            <sz val="9"/>
            <color indexed="81"/>
            <rFont val="Tahoma"/>
            <charset val="1"/>
          </rPr>
          <t>AER:</t>
        </r>
        <r>
          <rPr>
            <sz val="9"/>
            <color indexed="81"/>
            <rFont val="Tahoma"/>
            <family val="2"/>
          </rPr>
          <t xml:space="preserve">
This is actual 2020 opex used for the  true up.</t>
        </r>
      </text>
    </comment>
    <comment ref="V64"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69" authorId="1"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0" authorId="1" shapeId="0">
      <text>
        <r>
          <rPr>
            <b/>
            <sz val="9"/>
            <color indexed="81"/>
            <rFont val="Tahoma"/>
            <family val="2"/>
          </rPr>
          <t xml:space="preserve">AER:
</t>
        </r>
        <r>
          <rPr>
            <sz val="9"/>
            <color indexed="81"/>
            <rFont val="Tahoma"/>
            <family val="2"/>
          </rPr>
          <t>The actual incremental gain made in HY2021 would be retained for an additional 5 years (so only 5.5 in total) through the opex forecast. This allows the DNSP te retain half of the annualised incremental gain for HY2021 for an extra year so that it is reatined for 6 years in total.</t>
        </r>
      </text>
    </comment>
  </commentList>
</comments>
</file>

<file path=xl/sharedStrings.xml><?xml version="1.0" encoding="utf-8"?>
<sst xmlns="http://schemas.openxmlformats.org/spreadsheetml/2006/main" count="79" uniqueCount="53">
  <si>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</si>
  <si>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</si>
  <si>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</si>
  <si>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</si>
  <si>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</si>
  <si>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</si>
  <si>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</si>
  <si>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</si>
  <si>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</si>
  <si>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</si>
  <si>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</si>
  <si>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</si>
  <si>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</si>
  <si>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</si>
  <si>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</si>
  <si>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</si>
  <si>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</si>
  <si>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</si>
  <si>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</si>
  <si>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</si>
  <si>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</si>
  <si>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</si>
  <si>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</si>
  <si>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</si>
  <si>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</si>
  <si>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</si>
  <si>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</si>
  <si>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</si>
  <si>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</si>
  <si>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</si>
  <si>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</si>
  <si>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</si>
  <si>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</si>
  <si>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</si>
  <si>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</si>
  <si>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</si>
  <si>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</si>
  <si>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</si>
  <si>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</si>
  <si>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</si>
  <si>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</si>
  <si>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</si>
  <si>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</si>
  <si>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</si>
  <si>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</si>
  <si>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$m, real December 2015</t>
  </si>
  <si>
    <t>$m, real December 2010</t>
  </si>
  <si>
    <t>2021-22 to 2025-26</t>
  </si>
  <si>
    <t>EBSS carryovers</t>
  </si>
  <si>
    <t>GSL payments</t>
  </si>
  <si>
    <t>Opex associated with pass throughs</t>
  </si>
  <si>
    <t>Year 1 WACC</t>
  </si>
  <si>
    <t>Jemena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</si>
</sst>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s>
  <borders count="1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auto="1"/>
      </left>
      <right/>
      <top/>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8">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cellStyleXfs>
  <cellXfs count="315">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3"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10" borderId="46" xfId="0" applyFont="1" applyFill="1" applyBorder="1" applyAlignment="1" applyProtection="1">
      <alignment horizontal="right" vertical="center"/>
    </xf>
    <xf numFmtId="0" fontId="8" fillId="10" borderId="47" xfId="0" applyFont="1" applyFill="1" applyBorder="1" applyAlignment="1" applyProtection="1">
      <alignment horizontal="right" vertical="center"/>
    </xf>
    <xf numFmtId="0" fontId="8" fillId="6" borderId="48" xfId="0" applyFont="1" applyFill="1" applyBorder="1" applyAlignment="1" applyProtection="1">
      <alignment horizontal="right" vertical="center"/>
    </xf>
    <xf numFmtId="0" fontId="8" fillId="6" borderId="49" xfId="0" applyFont="1" applyFill="1" applyBorder="1" applyAlignment="1" applyProtection="1">
      <alignment horizontal="right" vertical="center"/>
    </xf>
    <xf numFmtId="0" fontId="8" fillId="10" borderId="50" xfId="0" applyFont="1" applyFill="1" applyBorder="1" applyAlignment="1" applyProtection="1">
      <alignment horizontal="right" vertical="center"/>
    </xf>
    <xf numFmtId="0" fontId="8" fillId="10" borderId="51"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2" xfId="0" applyNumberFormat="1" applyFont="1" applyFill="1" applyBorder="1" applyAlignment="1" applyProtection="1">
      <alignment vertical="center" wrapText="1"/>
      <protection locked="0"/>
    </xf>
    <xf numFmtId="164" fontId="10" fillId="11" borderId="53" xfId="0" applyNumberFormat="1" applyFont="1" applyFill="1" applyBorder="1" applyAlignment="1" applyProtection="1">
      <alignment vertical="center" wrapText="1"/>
      <protection locked="0"/>
    </xf>
    <xf numFmtId="164" fontId="10" fillId="8" borderId="52" xfId="0" applyNumberFormat="1" applyFont="1" applyFill="1" applyBorder="1" applyAlignment="1" applyProtection="1">
      <alignment vertical="center" wrapText="1"/>
      <protection locked="0"/>
    </xf>
    <xf numFmtId="164" fontId="10" fillId="8" borderId="53" xfId="0" applyNumberFormat="1" applyFont="1" applyFill="1" applyBorder="1" applyAlignment="1" applyProtection="1">
      <alignment vertical="center" wrapText="1"/>
      <protection locked="0"/>
    </xf>
    <xf numFmtId="164" fontId="10" fillId="2" borderId="54" xfId="1" applyNumberFormat="1" applyFont="1" applyFill="1" applyBorder="1" applyAlignment="1" applyProtection="1">
      <alignment horizontal="right" vertical="center" wrapText="1"/>
    </xf>
    <xf numFmtId="164" fontId="10" fillId="2" borderId="55"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6"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7" xfId="0" applyNumberFormat="1" applyFont="1" applyFill="1" applyBorder="1" applyAlignment="1" applyProtection="1"/>
    <xf numFmtId="164" fontId="8" fillId="6" borderId="58" xfId="0" applyNumberFormat="1" applyFont="1" applyFill="1" applyBorder="1" applyAlignment="1" applyProtection="1"/>
    <xf numFmtId="164" fontId="8" fillId="6" borderId="57" xfId="0" applyNumberFormat="1" applyFont="1" applyFill="1" applyBorder="1" applyAlignment="1" applyProtection="1">
      <alignment vertical="center"/>
    </xf>
    <xf numFmtId="164" fontId="8" fillId="6" borderId="58" xfId="0" applyNumberFormat="1" applyFont="1" applyFill="1" applyBorder="1" applyAlignment="1" applyProtection="1">
      <alignment vertical="center"/>
    </xf>
    <xf numFmtId="164" fontId="10" fillId="6" borderId="38" xfId="0" applyNumberFormat="1" applyFont="1" applyFill="1" applyBorder="1" applyAlignment="1" applyProtection="1"/>
    <xf numFmtId="0" fontId="4" fillId="0" borderId="0" xfId="0" applyFont="1" applyProtection="1"/>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167" fontId="8" fillId="6" borderId="61" xfId="0" applyNumberFormat="1" applyFont="1" applyFill="1" applyBorder="1" applyAlignment="1" applyProtection="1">
      <alignment horizontal="left"/>
    </xf>
    <xf numFmtId="167" fontId="8" fillId="6" borderId="62" xfId="0" applyNumberFormat="1" applyFont="1" applyFill="1" applyBorder="1" applyAlignment="1" applyProtection="1">
      <alignment horizontal="left"/>
    </xf>
    <xf numFmtId="167" fontId="8" fillId="6" borderId="63"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7" xfId="0" applyNumberFormat="1" applyFont="1" applyFill="1" applyBorder="1" applyAlignment="1" applyProtection="1">
      <alignment vertical="center" wrapText="1"/>
      <protection locked="0"/>
    </xf>
    <xf numFmtId="164" fontId="10" fillId="11" borderId="58" xfId="0" applyNumberFormat="1" applyFont="1" applyFill="1" applyBorder="1" applyAlignment="1" applyProtection="1">
      <alignment vertical="center" wrapText="1"/>
      <protection locked="0"/>
    </xf>
    <xf numFmtId="164" fontId="10" fillId="8" borderId="57" xfId="0" applyNumberFormat="1" applyFont="1" applyFill="1" applyBorder="1" applyAlignment="1" applyProtection="1">
      <alignment vertical="center" wrapText="1"/>
      <protection locked="0"/>
    </xf>
    <xf numFmtId="164" fontId="10" fillId="8" borderId="58" xfId="0" applyNumberFormat="1" applyFont="1" applyFill="1" applyBorder="1" applyAlignment="1" applyProtection="1">
      <alignment vertical="center" wrapText="1"/>
      <protection locked="0"/>
    </xf>
    <xf numFmtId="164" fontId="10" fillId="2" borderId="59" xfId="1" applyNumberFormat="1" applyFont="1" applyFill="1" applyBorder="1" applyAlignment="1" applyProtection="1">
      <alignment horizontal="right" wrapText="1"/>
    </xf>
    <xf numFmtId="164" fontId="10" fillId="2" borderId="65" xfId="1" applyNumberFormat="1" applyFont="1" applyFill="1" applyBorder="1" applyAlignment="1" applyProtection="1">
      <alignment horizontal="right" wrapText="1"/>
    </xf>
    <xf numFmtId="164" fontId="10" fillId="2" borderId="61"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6" xfId="0" applyFont="1" applyBorder="1" applyAlignment="1" applyProtection="1">
      <alignment vertical="center" wrapText="1"/>
    </xf>
    <xf numFmtId="164" fontId="10" fillId="11" borderId="67" xfId="0" applyNumberFormat="1" applyFont="1" applyFill="1" applyBorder="1" applyAlignment="1" applyProtection="1">
      <alignment vertical="center" wrapText="1"/>
      <protection locked="0"/>
    </xf>
    <xf numFmtId="164" fontId="10" fillId="11" borderId="68" xfId="0" applyNumberFormat="1" applyFont="1" applyFill="1" applyBorder="1" applyAlignment="1" applyProtection="1">
      <alignment vertical="center" wrapText="1"/>
      <protection locked="0"/>
    </xf>
    <xf numFmtId="164" fontId="10" fillId="8" borderId="67" xfId="0" applyNumberFormat="1" applyFont="1" applyFill="1" applyBorder="1" applyAlignment="1" applyProtection="1">
      <alignment vertical="center" wrapText="1"/>
      <protection locked="0"/>
    </xf>
    <xf numFmtId="164" fontId="10" fillId="8" borderId="68" xfId="0" applyNumberFormat="1" applyFont="1" applyFill="1" applyBorder="1" applyAlignment="1" applyProtection="1">
      <alignment vertical="center" wrapText="1"/>
      <protection locked="0"/>
    </xf>
    <xf numFmtId="164" fontId="10" fillId="2" borderId="70" xfId="1" applyNumberFormat="1" applyFont="1" applyFill="1" applyBorder="1" applyAlignment="1" applyProtection="1">
      <alignment horizontal="right" wrapText="1"/>
    </xf>
    <xf numFmtId="164" fontId="10" fillId="2" borderId="71"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72" xfId="0" applyNumberFormat="1" applyFont="1" applyFill="1" applyBorder="1" applyAlignment="1" applyProtection="1">
      <alignment horizontal="right" vertical="center"/>
    </xf>
    <xf numFmtId="0" fontId="8" fillId="13" borderId="48" xfId="0" applyFont="1" applyFill="1" applyBorder="1" applyAlignment="1" applyProtection="1">
      <alignment horizontal="right" vertical="center" wrapText="1" indent="1"/>
    </xf>
    <xf numFmtId="164" fontId="8" fillId="13" borderId="51" xfId="1" applyNumberFormat="1" applyFont="1" applyFill="1" applyBorder="1" applyAlignment="1" applyProtection="1">
      <alignment horizontal="right" wrapText="1"/>
    </xf>
    <xf numFmtId="164" fontId="8" fillId="13" borderId="42" xfId="1" applyNumberFormat="1" applyFont="1" applyFill="1" applyBorder="1" applyAlignment="1" applyProtection="1">
      <alignment horizontal="right" wrapText="1"/>
    </xf>
    <xf numFmtId="164" fontId="8" fillId="13" borderId="73" xfId="1" applyNumberFormat="1" applyFont="1" applyFill="1" applyBorder="1" applyAlignment="1" applyProtection="1">
      <alignment horizontal="right" wrapText="1"/>
    </xf>
    <xf numFmtId="164" fontId="8" fillId="13" borderId="74"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41"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41" xfId="0" applyFont="1" applyFill="1" applyBorder="1" applyProtection="1"/>
    <xf numFmtId="0" fontId="4" fillId="0" borderId="0" xfId="0" applyFont="1" applyFill="1" applyBorder="1" applyAlignment="1" applyProtection="1">
      <alignment horizontal="right"/>
    </xf>
    <xf numFmtId="0" fontId="8" fillId="2" borderId="38" xfId="0" applyFont="1" applyFill="1" applyBorder="1" applyAlignment="1" applyProtection="1">
      <alignment vertical="center" wrapText="1"/>
    </xf>
    <xf numFmtId="0" fontId="10" fillId="0" borderId="38" xfId="0" applyFont="1" applyBorder="1" applyAlignment="1" applyProtection="1">
      <alignment horizontal="left" vertical="center" wrapText="1" indent="1"/>
    </xf>
    <xf numFmtId="0" fontId="8" fillId="10" borderId="79" xfId="0" applyFont="1" applyFill="1" applyBorder="1" applyAlignment="1" applyProtection="1">
      <alignment horizontal="right" vertical="center"/>
    </xf>
    <xf numFmtId="0" fontId="8" fillId="10" borderId="80" xfId="0" applyFont="1" applyFill="1" applyBorder="1" applyAlignment="1" applyProtection="1">
      <alignment horizontal="right" vertical="center"/>
    </xf>
    <xf numFmtId="0" fontId="8" fillId="10" borderId="81" xfId="0" applyFont="1" applyFill="1" applyBorder="1" applyAlignment="1" applyProtection="1">
      <alignment horizontal="right" vertical="center"/>
    </xf>
    <xf numFmtId="0" fontId="4" fillId="0" borderId="0" xfId="0" quotePrefix="1" applyFont="1"/>
    <xf numFmtId="169" fontId="10" fillId="2" borderId="82" xfId="0" applyNumberFormat="1" applyFont="1" applyFill="1" applyBorder="1" applyAlignment="1" applyProtection="1">
      <alignment horizontal="right" vertical="center"/>
    </xf>
    <xf numFmtId="169" fontId="10" fillId="2" borderId="55"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8" xfId="0" applyNumberFormat="1" applyFont="1" applyFill="1" applyBorder="1" applyAlignment="1" applyProtection="1"/>
    <xf numFmtId="166" fontId="10" fillId="2" borderId="59" xfId="0" applyNumberFormat="1" applyFont="1" applyFill="1" applyBorder="1" applyAlignment="1" applyProtection="1">
      <alignment horizontal="right" vertical="center"/>
    </xf>
    <xf numFmtId="166" fontId="10" fillId="2" borderId="65" xfId="0" applyNumberFormat="1" applyFont="1" applyFill="1" applyBorder="1" applyAlignment="1" applyProtection="1">
      <alignment horizontal="right" vertical="center"/>
    </xf>
    <xf numFmtId="166" fontId="10" fillId="2" borderId="61" xfId="0" applyNumberFormat="1" applyFont="1" applyFill="1" applyBorder="1" applyAlignment="1" applyProtection="1">
      <alignment horizontal="right" vertical="center"/>
    </xf>
    <xf numFmtId="166" fontId="10" fillId="12" borderId="61" xfId="0" applyNumberFormat="1" applyFont="1" applyFill="1" applyBorder="1" applyAlignment="1" applyProtection="1">
      <alignment horizontal="right" vertical="center"/>
    </xf>
    <xf numFmtId="168" fontId="4" fillId="0" borderId="0" xfId="0" applyNumberFormat="1" applyFont="1" applyFill="1" applyProtection="1"/>
    <xf numFmtId="0" fontId="4" fillId="0" borderId="0" xfId="0" applyFont="1" applyFill="1" applyBorder="1" applyProtection="1"/>
    <xf numFmtId="164" fontId="10" fillId="11" borderId="83" xfId="0" applyNumberFormat="1" applyFont="1" applyFill="1" applyBorder="1" applyAlignment="1" applyProtection="1">
      <alignment vertical="center" wrapText="1"/>
      <protection locked="0"/>
    </xf>
    <xf numFmtId="164" fontId="10" fillId="11" borderId="84" xfId="0" applyNumberFormat="1" applyFont="1" applyFill="1" applyBorder="1" applyAlignment="1" applyProtection="1">
      <alignment vertical="center" wrapText="1"/>
      <protection locked="0"/>
    </xf>
    <xf numFmtId="164" fontId="10" fillId="8" borderId="83" xfId="0" applyNumberFormat="1" applyFont="1" applyFill="1" applyBorder="1" applyAlignment="1" applyProtection="1">
      <alignment vertical="center" wrapText="1"/>
      <protection locked="0"/>
    </xf>
    <xf numFmtId="164" fontId="10" fillId="8" borderId="84" xfId="0" applyNumberFormat="1" applyFont="1" applyFill="1" applyBorder="1" applyAlignment="1" applyProtection="1">
      <alignment vertical="center" wrapText="1"/>
      <protection locked="0"/>
    </xf>
    <xf numFmtId="166" fontId="10" fillId="2" borderId="70" xfId="0" applyNumberFormat="1" applyFont="1" applyFill="1" applyBorder="1" applyAlignment="1" applyProtection="1">
      <alignment horizontal="right" vertical="center"/>
    </xf>
    <xf numFmtId="166" fontId="10" fillId="2" borderId="71"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5" xfId="1" applyNumberFormat="1" applyFont="1" applyFill="1" applyBorder="1" applyAlignment="1" applyProtection="1">
      <alignment horizontal="right" wrapText="1"/>
    </xf>
    <xf numFmtId="164" fontId="8" fillId="13" borderId="86" xfId="1" applyNumberFormat="1" applyFont="1" applyFill="1" applyBorder="1" applyAlignment="1" applyProtection="1">
      <alignment horizontal="right" wrapText="1"/>
    </xf>
    <xf numFmtId="164" fontId="8" fillId="13" borderId="87"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8"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89"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90"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91" xfId="0" applyFont="1" applyFill="1" applyBorder="1"/>
    <xf numFmtId="166" fontId="10" fillId="11" borderId="73" xfId="0" applyNumberFormat="1" applyFont="1" applyFill="1" applyBorder="1" applyAlignment="1" applyProtection="1">
      <alignment horizontal="right" vertical="center"/>
    </xf>
    <xf numFmtId="166" fontId="10" fillId="11" borderId="74" xfId="0" applyNumberFormat="1" applyFont="1" applyFill="1" applyBorder="1" applyAlignment="1" applyProtection="1">
      <alignment horizontal="right" vertical="center"/>
    </xf>
    <xf numFmtId="166" fontId="10" fillId="11" borderId="92"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41" xfId="0" applyFont="1" applyFill="1" applyBorder="1"/>
    <xf numFmtId="10" fontId="4" fillId="2" borderId="0" xfId="0" applyNumberFormat="1" applyFont="1" applyFill="1" applyProtection="1"/>
    <xf numFmtId="0" fontId="8" fillId="2" borderId="90"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6" xfId="0" applyFont="1" applyFill="1" applyBorder="1" applyAlignment="1" applyProtection="1">
      <alignment horizontal="center" vertical="center"/>
    </xf>
    <xf numFmtId="0" fontId="9" fillId="11" borderId="98"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99" xfId="0" applyFont="1" applyFill="1" applyBorder="1" applyAlignment="1" applyProtection="1">
      <alignment horizontal="centerContinuous" vertical="center"/>
    </xf>
    <xf numFmtId="0" fontId="8" fillId="15" borderId="68" xfId="0" applyFont="1" applyFill="1" applyBorder="1" applyAlignment="1" applyProtection="1">
      <alignment horizontal="centerContinuous" vertical="center"/>
    </xf>
    <xf numFmtId="0" fontId="8" fillId="15" borderId="100" xfId="0" applyFont="1" applyFill="1" applyBorder="1" applyAlignment="1" applyProtection="1">
      <alignment horizontal="centerContinuous" vertical="center"/>
    </xf>
    <xf numFmtId="0" fontId="8" fillId="15" borderId="101" xfId="0" applyFont="1" applyFill="1" applyBorder="1" applyAlignment="1" applyProtection="1">
      <alignment horizontal="centerContinuous" vertical="center"/>
    </xf>
    <xf numFmtId="0" fontId="8" fillId="15" borderId="102" xfId="0" applyFont="1" applyFill="1" applyBorder="1" applyAlignment="1" applyProtection="1">
      <alignment horizontal="centerContinuous" vertical="center"/>
    </xf>
    <xf numFmtId="0" fontId="4" fillId="15" borderId="103" xfId="0" applyFont="1" applyFill="1" applyBorder="1" applyAlignment="1">
      <alignment horizontal="centerContinuous"/>
    </xf>
    <xf numFmtId="0" fontId="8" fillId="10" borderId="104" xfId="0" applyFont="1" applyFill="1" applyBorder="1" applyAlignment="1" applyProtection="1">
      <alignment horizontal="right" vertical="center"/>
    </xf>
    <xf numFmtId="0" fontId="8" fillId="10" borderId="105" xfId="0" applyFont="1" applyFill="1" applyBorder="1" applyAlignment="1" applyProtection="1">
      <alignment horizontal="right" vertical="center"/>
    </xf>
    <xf numFmtId="0" fontId="8" fillId="14" borderId="105" xfId="0" applyFont="1" applyFill="1" applyBorder="1" applyAlignment="1" applyProtection="1">
      <alignment horizontal="right" vertical="center"/>
    </xf>
    <xf numFmtId="0" fontId="9" fillId="11" borderId="106"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3"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6" xfId="0" applyNumberFormat="1" applyFont="1" applyFill="1" applyBorder="1" applyAlignment="1" applyProtection="1">
      <alignment horizontal="right" vertical="center"/>
    </xf>
    <xf numFmtId="166" fontId="10" fillId="2" borderId="107"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8" xfId="0" applyNumberFormat="1" applyFont="1" applyFill="1" applyBorder="1" applyAlignment="1" applyProtection="1">
      <alignment horizontal="right" vertical="center"/>
    </xf>
    <xf numFmtId="0" fontId="4" fillId="11" borderId="38" xfId="0" applyFont="1" applyFill="1" applyBorder="1"/>
    <xf numFmtId="166" fontId="10" fillId="2" borderId="27" xfId="0" applyNumberFormat="1" applyFont="1" applyFill="1" applyBorder="1" applyAlignment="1" applyProtection="1">
      <alignment horizontal="right" vertical="center"/>
    </xf>
    <xf numFmtId="166" fontId="10" fillId="2" borderId="62" xfId="0" applyNumberFormat="1" applyFont="1" applyFill="1" applyBorder="1" applyAlignment="1" applyProtection="1">
      <alignment horizontal="right" vertical="center"/>
    </xf>
    <xf numFmtId="166" fontId="10" fillId="2" borderId="109" xfId="0" applyNumberFormat="1" applyFont="1" applyFill="1" applyBorder="1" applyAlignment="1" applyProtection="1">
      <alignment horizontal="right" vertical="center"/>
    </xf>
    <xf numFmtId="166" fontId="10" fillId="2" borderId="110" xfId="0" applyNumberFormat="1" applyFont="1" applyFill="1" applyBorder="1" applyAlignment="1" applyProtection="1">
      <alignment horizontal="right" vertical="center"/>
    </xf>
    <xf numFmtId="166" fontId="10" fillId="16" borderId="91" xfId="0" applyNumberFormat="1" applyFont="1" applyFill="1" applyBorder="1" applyAlignment="1" applyProtection="1">
      <alignment horizontal="right" vertical="center"/>
    </xf>
    <xf numFmtId="166" fontId="10" fillId="2" borderId="111" xfId="0" applyNumberFormat="1" applyFont="1" applyFill="1" applyBorder="1" applyAlignment="1" applyProtection="1">
      <alignment horizontal="right" vertical="center"/>
    </xf>
    <xf numFmtId="166" fontId="10" fillId="2" borderId="112"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3" xfId="0" applyNumberFormat="1" applyFont="1" applyFill="1" applyBorder="1" applyAlignment="1" applyProtection="1">
      <alignment horizontal="right" vertical="center"/>
    </xf>
    <xf numFmtId="0" fontId="4" fillId="11" borderId="114" xfId="0" applyFont="1" applyFill="1" applyBorder="1"/>
    <xf numFmtId="166" fontId="10" fillId="16" borderId="41"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5"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40" xfId="0" applyNumberFormat="1" applyFont="1" applyFill="1" applyBorder="1" applyAlignment="1" applyProtection="1">
      <alignment horizontal="right"/>
    </xf>
    <xf numFmtId="166" fontId="12" fillId="17" borderId="116" xfId="0" applyNumberFormat="1" applyFont="1" applyFill="1" applyBorder="1" applyAlignment="1" applyProtection="1">
      <alignment horizontal="right"/>
    </xf>
    <xf numFmtId="166" fontId="12" fillId="17" borderId="117"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66" fontId="8" fillId="2" borderId="3" xfId="0" applyNumberFormat="1" applyFont="1" applyFill="1" applyBorder="1" applyAlignment="1" applyProtection="1">
      <alignment horizontal="right" vertical="center"/>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8" xfId="7" applyFont="1" applyFill="1" applyBorder="1" applyAlignment="1" applyProtection="1">
      <alignment vertical="center" wrapText="1"/>
      <protection locked="0"/>
    </xf>
    <xf numFmtId="166" fontId="12" fillId="17" borderId="119" xfId="0" applyNumberFormat="1" applyFont="1" applyFill="1" applyBorder="1" applyAlignment="1" applyProtection="1">
      <alignment horizontal="right" vertical="center"/>
    </xf>
    <xf numFmtId="166" fontId="12" fillId="17" borderId="120"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90" xfId="0" applyFont="1" applyBorder="1" applyAlignment="1" applyProtection="1">
      <alignment horizontal="left"/>
    </xf>
    <xf numFmtId="0" fontId="10" fillId="0" borderId="16" xfId="0" applyFont="1" applyBorder="1" applyAlignment="1" applyProtection="1">
      <alignment horizontal="left"/>
    </xf>
    <xf numFmtId="0" fontId="8" fillId="10" borderId="48" xfId="0" applyFont="1" applyFill="1" applyBorder="1" applyAlignment="1" applyProtection="1">
      <alignment horizontal="right" vertical="center"/>
    </xf>
    <xf numFmtId="0" fontId="8" fillId="14" borderId="51" xfId="0" applyFont="1" applyFill="1" applyBorder="1" applyAlignment="1" applyProtection="1">
      <alignment horizontal="right" vertical="center"/>
    </xf>
    <xf numFmtId="0" fontId="9" fillId="11" borderId="121"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2" xfId="0" applyFont="1" applyFill="1" applyBorder="1"/>
    <xf numFmtId="10" fontId="10" fillId="8" borderId="118"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38" xfId="0" applyNumberFormat="1" applyFont="1" applyFill="1" applyBorder="1" applyAlignment="1" applyProtection="1"/>
    <xf numFmtId="164" fontId="10" fillId="18" borderId="64" xfId="0" applyNumberFormat="1" applyFont="1" applyFill="1" applyBorder="1" applyAlignment="1" applyProtection="1">
      <alignment vertical="center" wrapText="1"/>
      <protection locked="0"/>
    </xf>
    <xf numFmtId="164" fontId="10" fillId="18" borderId="69" xfId="0" applyNumberFormat="1" applyFont="1" applyFill="1" applyBorder="1" applyAlignment="1" applyProtection="1">
      <alignment vertical="center" wrapText="1"/>
      <protection locked="0"/>
    </xf>
    <xf numFmtId="164" fontId="10" fillId="18" borderId="53" xfId="0" applyNumberFormat="1" applyFont="1" applyFill="1" applyBorder="1" applyAlignment="1" applyProtection="1">
      <alignment vertical="center" wrapText="1"/>
      <protection locked="0"/>
    </xf>
    <xf numFmtId="164" fontId="10" fillId="18" borderId="58" xfId="0" applyNumberFormat="1" applyFont="1" applyFill="1" applyBorder="1" applyAlignment="1" applyProtection="1">
      <alignment vertical="center" wrapText="1"/>
      <protection locked="0"/>
    </xf>
    <xf numFmtId="164" fontId="10" fillId="18" borderId="84" xfId="0" applyNumberFormat="1" applyFont="1" applyFill="1" applyBorder="1" applyAlignment="1" applyProtection="1">
      <alignment vertical="center" wrapText="1"/>
      <protection locked="0"/>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8" fillId="9"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6" borderId="36" xfId="0" applyFont="1" applyFill="1" applyBorder="1" applyAlignment="1" applyProtection="1">
      <alignment horizontal="center"/>
    </xf>
    <xf numFmtId="0" fontId="9" fillId="10" borderId="37" xfId="0" applyFont="1" applyFill="1" applyBorder="1" applyAlignment="1" applyProtection="1">
      <alignment horizontal="center"/>
    </xf>
    <xf numFmtId="0" fontId="9" fillId="10" borderId="0" xfId="0" applyFont="1" applyFill="1" applyBorder="1" applyAlignment="1" applyProtection="1">
      <alignment horizontal="center"/>
    </xf>
    <xf numFmtId="0" fontId="9" fillId="10" borderId="38"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9" xfId="0" applyFont="1" applyFill="1" applyBorder="1" applyAlignment="1" applyProtection="1">
      <alignment horizontal="center"/>
    </xf>
    <xf numFmtId="0" fontId="9" fillId="10" borderId="40" xfId="0" applyFont="1" applyFill="1" applyBorder="1" applyAlignment="1" applyProtection="1">
      <alignment horizontal="center"/>
    </xf>
    <xf numFmtId="0" fontId="9" fillId="10" borderId="41" xfId="0" applyFont="1" applyFill="1" applyBorder="1" applyAlignment="1" applyProtection="1">
      <alignment horizontal="center"/>
    </xf>
    <xf numFmtId="0" fontId="9" fillId="10" borderId="42" xfId="0" applyFont="1" applyFill="1" applyBorder="1" applyAlignment="1" applyProtection="1">
      <alignment horizontal="center"/>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9" fillId="6" borderId="75" xfId="0" applyFont="1" applyFill="1" applyBorder="1" applyAlignment="1" applyProtection="1">
      <alignment horizontal="center"/>
    </xf>
    <xf numFmtId="0" fontId="9" fillId="6" borderId="76" xfId="0" applyFont="1" applyFill="1" applyBorder="1" applyAlignment="1" applyProtection="1">
      <alignment horizontal="center"/>
    </xf>
    <xf numFmtId="0" fontId="9" fillId="6" borderId="55" xfId="0" applyFont="1" applyFill="1" applyBorder="1" applyAlignment="1" applyProtection="1">
      <alignment horizontal="center"/>
    </xf>
    <xf numFmtId="0" fontId="9" fillId="10" borderId="77" xfId="0" applyFont="1" applyFill="1" applyBorder="1" applyAlignment="1" applyProtection="1">
      <alignment horizontal="center"/>
    </xf>
    <xf numFmtId="0" fontId="9" fillId="10" borderId="35" xfId="0" applyFont="1" applyFill="1" applyBorder="1" applyAlignment="1" applyProtection="1">
      <alignment horizontal="center"/>
    </xf>
    <xf numFmtId="0" fontId="9" fillId="10" borderId="78" xfId="0" applyFont="1" applyFill="1" applyBorder="1" applyAlignment="1" applyProtection="1">
      <alignment horizontal="center"/>
    </xf>
    <xf numFmtId="0" fontId="9" fillId="14" borderId="95" xfId="0" applyFont="1" applyFill="1" applyBorder="1" applyAlignment="1" applyProtection="1">
      <alignment horizontal="center" vertical="center" wrapText="1"/>
    </xf>
    <xf numFmtId="0" fontId="9" fillId="14" borderId="97" xfId="0" applyFont="1" applyFill="1" applyBorder="1" applyAlignment="1" applyProtection="1">
      <alignment horizontal="center" vertical="center" wrapText="1"/>
    </xf>
    <xf numFmtId="0" fontId="10" fillId="2" borderId="59" xfId="0" applyFont="1" applyFill="1" applyBorder="1" applyAlignment="1" applyProtection="1">
      <alignment horizontal="center"/>
    </xf>
    <xf numFmtId="0" fontId="10" fillId="2" borderId="60" xfId="0" applyFont="1" applyFill="1" applyBorder="1" applyAlignment="1" applyProtection="1">
      <alignment horizontal="center"/>
    </xf>
    <xf numFmtId="0" fontId="10" fillId="2" borderId="70" xfId="0" applyFont="1" applyFill="1" applyBorder="1" applyAlignment="1" applyProtection="1">
      <alignment horizontal="center"/>
    </xf>
    <xf numFmtId="0" fontId="10" fillId="2" borderId="122" xfId="0" applyFont="1" applyFill="1" applyBorder="1" applyAlignment="1" applyProtection="1">
      <alignment horizontal="center"/>
    </xf>
    <xf numFmtId="0" fontId="9" fillId="10" borderId="93" xfId="0" applyFont="1" applyFill="1" applyBorder="1" applyAlignment="1" applyProtection="1">
      <alignment horizontal="center" vertical="center"/>
    </xf>
    <xf numFmtId="0" fontId="9" fillId="10" borderId="94" xfId="0" applyFont="1" applyFill="1" applyBorder="1" applyAlignment="1" applyProtection="1">
      <alignment horizontal="center" vertical="center"/>
    </xf>
    <xf numFmtId="0" fontId="9" fillId="10" borderId="95" xfId="0" applyFont="1" applyFill="1" applyBorder="1" applyAlignment="1" applyProtection="1">
      <alignment horizontal="center" vertical="center"/>
    </xf>
    <xf numFmtId="0" fontId="10" fillId="0" borderId="18" xfId="0" applyFont="1" applyBorder="1" applyAlignment="1" applyProtection="1">
      <alignment horizontal="left" vertical="center" wrapText="1"/>
    </xf>
    <xf numFmtId="0" fontId="10" fillId="0" borderId="27" xfId="0" applyFont="1" applyBorder="1" applyAlignment="1" applyProtection="1">
      <alignment horizontal="left" vertical="center" wrapText="1"/>
    </xf>
  </cellXfs>
  <cellStyles count="8">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8"/>
  <sheetViews>
    <sheetView showGridLines="0" tabSelected="1" zoomScale="69" workbookViewId="0"/>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52</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48</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47</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0</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1</v>
      </c>
      <c r="C7" s="13"/>
      <c r="D7" s="14"/>
      <c r="E7" s="14"/>
      <c r="F7" s="14"/>
      <c r="G7" s="14"/>
      <c r="H7" s="14"/>
      <c r="I7" s="14"/>
      <c r="J7" s="14"/>
      <c r="K7" s="14"/>
      <c r="L7" s="14"/>
      <c r="M7" s="14"/>
      <c r="N7" s="14"/>
      <c r="O7" s="15"/>
      <c r="Q7" s="11"/>
      <c r="R7" s="11"/>
      <c r="S7" s="11"/>
      <c r="T7" s="11"/>
      <c r="U7" s="11"/>
      <c r="V7" s="11"/>
    </row>
    <row r="8" spans="1:28" s="19" customFormat="1" x14ac:dyDescent="0.25">
      <c r="A8" s="1"/>
      <c r="B8" s="16"/>
      <c r="C8" s="274" t="s">
        <v>2</v>
      </c>
      <c r="D8" s="275"/>
      <c r="E8" s="275"/>
      <c r="F8" s="275"/>
      <c r="G8" s="275"/>
      <c r="H8" s="275"/>
      <c r="I8" s="275"/>
      <c r="J8" s="275"/>
      <c r="K8" s="275"/>
      <c r="L8" s="275"/>
      <c r="M8" s="275"/>
      <c r="N8" s="17" t="s">
        <v>3</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4</v>
      </c>
      <c r="P9" s="10"/>
      <c r="Q9" s="11"/>
      <c r="R9" s="11"/>
      <c r="S9" s="11"/>
      <c r="T9" s="11"/>
      <c r="U9" s="11"/>
      <c r="V9" s="11"/>
      <c r="W9" s="10"/>
      <c r="X9" s="10"/>
      <c r="Y9" s="10"/>
    </row>
    <row r="10" spans="1:28" s="23" customFormat="1" x14ac:dyDescent="0.25">
      <c r="A10" s="1"/>
      <c r="B10" s="24" t="s">
        <v>5</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6</v>
      </c>
      <c r="C11" s="32"/>
      <c r="D11" s="33"/>
      <c r="E11" s="34">
        <v>99.8</v>
      </c>
      <c r="F11" s="34">
        <v>102</v>
      </c>
      <c r="G11" s="34">
        <v>104.8</v>
      </c>
      <c r="H11" s="34">
        <v>106.6</v>
      </c>
      <c r="I11" s="35">
        <v>108.4</v>
      </c>
      <c r="J11" s="35">
        <v>110</v>
      </c>
      <c r="K11" s="35">
        <v>112.1</v>
      </c>
      <c r="L11" s="35">
        <v>114.1</v>
      </c>
      <c r="M11" s="35">
        <v>116.2</v>
      </c>
      <c r="N11" s="35">
        <f>M11*1.0125</f>
        <v>117.6525</v>
      </c>
      <c r="O11" s="36">
        <f>114.4*(1+3%)</f>
        <v>117.83200000000001</v>
      </c>
      <c r="P11" s="10"/>
      <c r="Q11" s="11"/>
      <c r="R11" s="11"/>
      <c r="S11" s="11"/>
      <c r="T11" s="11"/>
      <c r="U11" s="11"/>
      <c r="V11" s="11"/>
      <c r="W11" s="10"/>
      <c r="X11" s="10"/>
      <c r="Y11" s="10"/>
    </row>
    <row r="12" spans="1:28" s="23" customFormat="1" x14ac:dyDescent="0.25">
      <c r="A12" s="1"/>
      <c r="B12" s="37" t="s">
        <v>7</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1.2499999999999956E-2</v>
      </c>
      <c r="O12" s="41">
        <f>+O11/N11-1</f>
        <v>1.5256794373259552E-3</v>
      </c>
      <c r="P12" s="10"/>
      <c r="Q12" s="11"/>
      <c r="R12" s="11"/>
      <c r="S12" s="11"/>
      <c r="T12" s="11"/>
      <c r="U12" s="11"/>
      <c r="V12" s="11"/>
      <c r="W12" s="10"/>
      <c r="X12" s="10"/>
      <c r="Y12" s="10"/>
    </row>
    <row r="13" spans="1:28" s="23" customFormat="1" ht="15.75" thickBot="1" x14ac:dyDescent="0.3">
      <c r="A13" s="1"/>
      <c r="B13" s="42" t="s">
        <v>8</v>
      </c>
      <c r="C13" s="43"/>
      <c r="D13" s="44">
        <f>E13/(1+E12)</f>
        <v>0.82147452832909207</v>
      </c>
      <c r="E13" s="45">
        <f t="shared" ref="E13:K13" si="2">F13/(1+F12)</f>
        <v>0.8469685654151673</v>
      </c>
      <c r="F13" s="45">
        <f t="shared" si="2"/>
        <v>0.86563921515377829</v>
      </c>
      <c r="G13" s="45">
        <f t="shared" si="2"/>
        <v>0.88940186027564661</v>
      </c>
      <c r="H13" s="45">
        <f t="shared" si="2"/>
        <v>0.90467784642541904</v>
      </c>
      <c r="I13" s="45">
        <f t="shared" si="2"/>
        <v>0.91995383257519159</v>
      </c>
      <c r="J13" s="45">
        <f t="shared" si="2"/>
        <v>0.93353248693054502</v>
      </c>
      <c r="K13" s="45">
        <f t="shared" si="2"/>
        <v>0.95135447077194635</v>
      </c>
      <c r="L13" s="45">
        <f>M13/(1+M12)</f>
        <v>0.96832778871613823</v>
      </c>
      <c r="M13" s="45">
        <f>N13/(1+N12)</f>
        <v>0.98614977255753966</v>
      </c>
      <c r="N13" s="45">
        <f>O13/(1+O12)</f>
        <v>0.99847664471450881</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9</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10</v>
      </c>
      <c r="C19" s="55">
        <v>2014</v>
      </c>
    </row>
    <row r="20" spans="1:28" s="50" customFormat="1" ht="15.75" thickBot="1" x14ac:dyDescent="0.25">
      <c r="A20" s="1"/>
      <c r="B20" s="56" t="s">
        <v>11</v>
      </c>
      <c r="C20" s="57"/>
      <c r="D20" s="57"/>
      <c r="E20" s="57"/>
      <c r="F20" s="57"/>
      <c r="G20" s="57"/>
      <c r="H20" s="57"/>
      <c r="I20" s="57"/>
      <c r="J20" s="57"/>
      <c r="K20" s="57"/>
      <c r="L20" s="57"/>
      <c r="M20" s="57"/>
      <c r="N20" s="58"/>
      <c r="O20" s="58"/>
      <c r="P20" s="58"/>
      <c r="Q20" s="58"/>
      <c r="R20" s="58"/>
      <c r="S20" s="58"/>
      <c r="T20" s="58"/>
      <c r="U20" s="58"/>
      <c r="V20" s="59"/>
      <c r="W20" s="10"/>
      <c r="X20" s="10"/>
      <c r="Y20" s="10"/>
      <c r="Z20" s="10"/>
      <c r="AA20" s="10"/>
    </row>
    <row r="21" spans="1:28" s="23" customFormat="1" x14ac:dyDescent="0.2">
      <c r="A21" s="1"/>
      <c r="B21" s="10"/>
      <c r="C21" s="276" t="s">
        <v>46</v>
      </c>
      <c r="D21" s="277"/>
      <c r="E21" s="277"/>
      <c r="F21" s="277"/>
      <c r="G21" s="278"/>
      <c r="H21" s="279" t="s">
        <v>45</v>
      </c>
      <c r="I21" s="277"/>
      <c r="J21" s="277"/>
      <c r="K21" s="277"/>
      <c r="L21" s="277"/>
      <c r="M21" s="280"/>
      <c r="O21" s="281" t="s">
        <v>12</v>
      </c>
      <c r="P21" s="282"/>
      <c r="Q21" s="282"/>
      <c r="R21" s="282"/>
      <c r="S21" s="282"/>
      <c r="T21" s="282"/>
      <c r="U21" s="282"/>
      <c r="V21" s="283"/>
      <c r="W21" s="10"/>
      <c r="X21" s="10"/>
      <c r="Y21" s="10"/>
      <c r="Z21" s="10"/>
      <c r="AA21" s="10"/>
      <c r="AB21" s="60"/>
    </row>
    <row r="22" spans="1:28" s="23" customFormat="1" ht="15.75" thickBot="1" x14ac:dyDescent="0.3">
      <c r="A22" s="1"/>
      <c r="B22" s="10"/>
      <c r="C22" s="284" t="s">
        <v>13</v>
      </c>
      <c r="D22" s="285"/>
      <c r="E22" s="285"/>
      <c r="F22" s="285"/>
      <c r="G22" s="286"/>
      <c r="H22" s="287" t="s">
        <v>14</v>
      </c>
      <c r="I22" s="288"/>
      <c r="J22" s="288"/>
      <c r="K22" s="288"/>
      <c r="L22" s="288"/>
      <c r="M22" s="289"/>
      <c r="O22" s="290" t="s">
        <v>13</v>
      </c>
      <c r="P22" s="291"/>
      <c r="Q22" s="292" t="s">
        <v>14</v>
      </c>
      <c r="R22" s="293"/>
      <c r="S22" s="293"/>
      <c r="T22" s="293"/>
      <c r="U22" s="293"/>
      <c r="V22" s="294"/>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67" t="s">
        <v>4</v>
      </c>
      <c r="O23" s="68">
        <v>2014</v>
      </c>
      <c r="P23" s="69">
        <v>2015</v>
      </c>
      <c r="Q23" s="70">
        <v>2016</v>
      </c>
      <c r="R23" s="71">
        <v>2017</v>
      </c>
      <c r="S23" s="71">
        <v>2018</v>
      </c>
      <c r="T23" s="71">
        <v>2019</v>
      </c>
      <c r="U23" s="71">
        <v>2020</v>
      </c>
      <c r="V23" s="72" t="s">
        <v>4</v>
      </c>
      <c r="W23" s="10"/>
      <c r="X23" s="10"/>
      <c r="Y23" s="10"/>
      <c r="Z23" s="10"/>
      <c r="AA23" s="10"/>
      <c r="AB23" s="60"/>
    </row>
    <row r="24" spans="1:28" s="23" customFormat="1" ht="14.25" x14ac:dyDescent="0.2">
      <c r="A24" s="1"/>
      <c r="B24" s="73" t="s">
        <v>15</v>
      </c>
      <c r="C24" s="74"/>
      <c r="D24" s="75"/>
      <c r="E24" s="75"/>
      <c r="F24" s="77">
        <v>62.312522198841826</v>
      </c>
      <c r="G24" s="77">
        <v>61.339548222612443</v>
      </c>
      <c r="H24" s="76">
        <v>90.428592978618695</v>
      </c>
      <c r="I24" s="77">
        <v>88.67080759533853</v>
      </c>
      <c r="J24" s="77">
        <v>89.714325209564052</v>
      </c>
      <c r="K24" s="77">
        <v>91.51295033963072</v>
      </c>
      <c r="L24" s="77">
        <v>91.983487970870172</v>
      </c>
      <c r="M24" s="268"/>
      <c r="O24" s="78">
        <f>+LOOKUP($C$19,C$23:G$23,C24:G24)/$D$13</f>
        <v>75.854478806041229</v>
      </c>
      <c r="P24" s="79">
        <f>+G24/$D$13</f>
        <v>74.670055013609769</v>
      </c>
      <c r="Q24" s="80">
        <f t="shared" ref="Q24:V24" si="3">+H24/$I$13</f>
        <v>98.29688162229337</v>
      </c>
      <c r="R24" s="81">
        <f t="shared" si="3"/>
        <v>96.386149451789038</v>
      </c>
      <c r="S24" s="81">
        <f t="shared" si="3"/>
        <v>97.520464650307687</v>
      </c>
      <c r="T24" s="81">
        <f t="shared" si="3"/>
        <v>99.475590077669466</v>
      </c>
      <c r="U24" s="81">
        <f t="shared" si="3"/>
        <v>99.987069691730412</v>
      </c>
      <c r="V24" s="82">
        <f t="shared" si="3"/>
        <v>0</v>
      </c>
      <c r="W24" s="10"/>
      <c r="X24" s="10"/>
      <c r="Y24" s="10"/>
      <c r="Z24" s="10"/>
      <c r="AA24" s="10"/>
      <c r="AB24" s="60"/>
    </row>
    <row r="25" spans="1:28" s="23" customFormat="1" x14ac:dyDescent="0.25">
      <c r="A25" s="1"/>
      <c r="B25" s="83" t="s">
        <v>16</v>
      </c>
      <c r="C25" s="84"/>
      <c r="D25" s="85"/>
      <c r="E25" s="85"/>
      <c r="F25" s="87"/>
      <c r="G25" s="87"/>
      <c r="H25" s="86"/>
      <c r="I25" s="87"/>
      <c r="J25" s="87"/>
      <c r="K25" s="87"/>
      <c r="L25" s="87"/>
      <c r="M25" s="88"/>
      <c r="N25" s="89"/>
      <c r="O25" s="90"/>
      <c r="P25" s="91"/>
      <c r="Q25" s="92"/>
      <c r="R25" s="93"/>
      <c r="S25" s="93"/>
      <c r="T25" s="93"/>
      <c r="U25" s="93"/>
      <c r="V25" s="94"/>
      <c r="W25" s="10"/>
      <c r="X25" s="10"/>
      <c r="Y25" s="10"/>
      <c r="Z25" s="10"/>
      <c r="AA25" s="10"/>
      <c r="AB25" s="60"/>
    </row>
    <row r="26" spans="1:28" s="23" customFormat="1" ht="14.25" x14ac:dyDescent="0.2">
      <c r="A26" s="1"/>
      <c r="B26" s="95" t="s">
        <v>17</v>
      </c>
      <c r="C26" s="96"/>
      <c r="D26" s="97"/>
      <c r="E26" s="97"/>
      <c r="F26" s="99">
        <v>-0.52015868509564467</v>
      </c>
      <c r="G26" s="99">
        <v>-0.54101706892932722</v>
      </c>
      <c r="H26" s="98">
        <v>-0.61928897427544138</v>
      </c>
      <c r="I26" s="99">
        <v>-0.65126378470516744</v>
      </c>
      <c r="J26" s="99">
        <v>-0.70551446243299143</v>
      </c>
      <c r="K26" s="99">
        <v>-0.7399278257425842</v>
      </c>
      <c r="L26" s="99">
        <v>-0.77089662376474866</v>
      </c>
      <c r="M26" s="269"/>
      <c r="N26" s="89"/>
      <c r="O26" s="100">
        <f t="shared" ref="O26:O30" si="4">+LOOKUP($C$19,C$23:G$23,C26:G26)/$D$13</f>
        <v>-0.63320123407072115</v>
      </c>
      <c r="P26" s="101">
        <f t="shared" ref="P26:P30" si="5">+G26/$D$13</f>
        <v>-0.65859262858676193</v>
      </c>
      <c r="Q26" s="102">
        <f t="shared" ref="Q26:V30" si="6">H26/$I$13</f>
        <v>-0.67317397063490614</v>
      </c>
      <c r="R26" s="102">
        <f t="shared" si="6"/>
        <v>-0.70793094353670949</v>
      </c>
      <c r="S26" s="102">
        <f t="shared" si="6"/>
        <v>-0.76690203078786223</v>
      </c>
      <c r="T26" s="102">
        <f t="shared" si="6"/>
        <v>-0.80430973766513103</v>
      </c>
      <c r="U26" s="102">
        <f t="shared" si="6"/>
        <v>-0.83797316394324617</v>
      </c>
      <c r="V26" s="82">
        <f t="shared" si="6"/>
        <v>0</v>
      </c>
      <c r="W26" s="10"/>
      <c r="X26" s="10"/>
      <c r="Y26" s="10"/>
      <c r="Z26" s="10"/>
      <c r="AA26" s="10"/>
      <c r="AB26" s="60"/>
    </row>
    <row r="27" spans="1:28" s="23" customFormat="1" ht="14.25" x14ac:dyDescent="0.2">
      <c r="A27" s="1"/>
      <c r="B27" s="95" t="s">
        <v>18</v>
      </c>
      <c r="C27" s="96"/>
      <c r="D27" s="97"/>
      <c r="E27" s="97"/>
      <c r="F27" s="99">
        <v>-0.2</v>
      </c>
      <c r="G27" s="99">
        <v>-0.2</v>
      </c>
      <c r="H27" s="98"/>
      <c r="I27" s="99"/>
      <c r="J27" s="99"/>
      <c r="K27" s="99"/>
      <c r="L27" s="99"/>
      <c r="M27" s="269"/>
      <c r="N27" s="89"/>
      <c r="O27" s="100">
        <f t="shared" si="4"/>
        <v>-0.24346463962407575</v>
      </c>
      <c r="P27" s="101">
        <f t="shared" si="5"/>
        <v>-0.24346463962407575</v>
      </c>
      <c r="Q27" s="102">
        <f t="shared" si="6"/>
        <v>0</v>
      </c>
      <c r="R27" s="102">
        <f t="shared" si="6"/>
        <v>0</v>
      </c>
      <c r="S27" s="102">
        <f t="shared" si="6"/>
        <v>0</v>
      </c>
      <c r="T27" s="102">
        <f t="shared" si="6"/>
        <v>0</v>
      </c>
      <c r="U27" s="102">
        <f t="shared" si="6"/>
        <v>0</v>
      </c>
      <c r="V27" s="82">
        <f t="shared" si="6"/>
        <v>0</v>
      </c>
      <c r="W27" s="10"/>
      <c r="X27" s="10"/>
      <c r="Y27" s="10"/>
      <c r="Z27" s="10"/>
      <c r="AA27" s="10"/>
      <c r="AB27" s="60"/>
    </row>
    <row r="28" spans="1:28" s="23" customFormat="1" x14ac:dyDescent="0.25">
      <c r="A28" s="61"/>
      <c r="B28" s="95" t="s">
        <v>49</v>
      </c>
      <c r="C28" s="96"/>
      <c r="D28" s="97"/>
      <c r="E28" s="97"/>
      <c r="F28" s="99">
        <v>-1.7065300714128807E-2</v>
      </c>
      <c r="G28" s="99">
        <v>-1.663692074451345E-2</v>
      </c>
      <c r="H28" s="98">
        <v>-0.12474499999999999</v>
      </c>
      <c r="I28" s="99">
        <v>-0.12474499999999999</v>
      </c>
      <c r="J28" s="99">
        <v>-0.12474499999999999</v>
      </c>
      <c r="K28" s="99">
        <v>-0.12474499999999999</v>
      </c>
      <c r="L28" s="99">
        <v>-0.12474499999999999</v>
      </c>
      <c r="M28" s="269"/>
      <c r="N28" s="89"/>
      <c r="O28" s="100">
        <f t="shared" si="4"/>
        <v>-2.077398644220926E-2</v>
      </c>
      <c r="P28" s="101">
        <f>+G28/$D$13</f>
        <v>-2.0252509567586386E-2</v>
      </c>
      <c r="Q28" s="102">
        <f t="shared" si="6"/>
        <v>-0.13559919594095943</v>
      </c>
      <c r="R28" s="102">
        <f t="shared" si="6"/>
        <v>-0.13559919594095943</v>
      </c>
      <c r="S28" s="102">
        <f t="shared" si="6"/>
        <v>-0.13559919594095943</v>
      </c>
      <c r="T28" s="102">
        <f t="shared" si="6"/>
        <v>-0.13559919594095943</v>
      </c>
      <c r="U28" s="102">
        <f t="shared" si="6"/>
        <v>-0.13559919594095943</v>
      </c>
      <c r="V28" s="82">
        <f t="shared" si="6"/>
        <v>0</v>
      </c>
      <c r="W28" s="10"/>
      <c r="X28" s="10"/>
      <c r="Y28" s="10"/>
      <c r="Z28" s="10"/>
      <c r="AA28" s="10"/>
      <c r="AB28" s="60"/>
    </row>
    <row r="29" spans="1:28" s="23" customFormat="1" x14ac:dyDescent="0.25">
      <c r="A29" s="1"/>
      <c r="B29" s="103" t="s">
        <v>50</v>
      </c>
      <c r="C29" s="96"/>
      <c r="D29" s="97"/>
      <c r="E29" s="97"/>
      <c r="F29" s="99"/>
      <c r="G29" s="99"/>
      <c r="H29" s="98"/>
      <c r="I29" s="99"/>
      <c r="J29" s="99"/>
      <c r="K29" s="99"/>
      <c r="L29" s="99"/>
      <c r="M29" s="269"/>
      <c r="N29" s="104"/>
      <c r="O29" s="100">
        <f t="shared" si="4"/>
        <v>0</v>
      </c>
      <c r="P29" s="101">
        <f>+G29/$D$13</f>
        <v>0</v>
      </c>
      <c r="Q29" s="102">
        <f t="shared" si="6"/>
        <v>0</v>
      </c>
      <c r="R29" s="102">
        <f t="shared" si="6"/>
        <v>0</v>
      </c>
      <c r="S29" s="102">
        <f t="shared" si="6"/>
        <v>0</v>
      </c>
      <c r="T29" s="102">
        <f t="shared" si="6"/>
        <v>0</v>
      </c>
      <c r="U29" s="102">
        <f t="shared" si="6"/>
        <v>0</v>
      </c>
      <c r="V29" s="82">
        <f t="shared" si="6"/>
        <v>0</v>
      </c>
      <c r="W29" s="10"/>
      <c r="X29" s="10"/>
      <c r="Y29" s="10"/>
      <c r="Z29" s="10"/>
      <c r="AA29" s="10"/>
      <c r="AB29" s="105"/>
    </row>
    <row r="30" spans="1:28" s="23" customFormat="1" thickBot="1" x14ac:dyDescent="0.25">
      <c r="A30" s="1"/>
      <c r="B30" s="106" t="s">
        <v>19</v>
      </c>
      <c r="C30" s="107"/>
      <c r="D30" s="108"/>
      <c r="E30" s="108"/>
      <c r="F30" s="110">
        <v>0</v>
      </c>
      <c r="G30" s="110">
        <v>0</v>
      </c>
      <c r="H30" s="109"/>
      <c r="I30" s="110"/>
      <c r="J30" s="110"/>
      <c r="K30" s="110"/>
      <c r="L30" s="110"/>
      <c r="M30" s="270"/>
      <c r="N30" s="60"/>
      <c r="O30" s="111">
        <f t="shared" si="4"/>
        <v>0</v>
      </c>
      <c r="P30" s="112">
        <f t="shared" si="5"/>
        <v>0</v>
      </c>
      <c r="Q30" s="113">
        <f t="shared" si="6"/>
        <v>0</v>
      </c>
      <c r="R30" s="113">
        <f t="shared" si="6"/>
        <v>0</v>
      </c>
      <c r="S30" s="113">
        <f t="shared" si="6"/>
        <v>0</v>
      </c>
      <c r="T30" s="113">
        <f t="shared" si="6"/>
        <v>0</v>
      </c>
      <c r="U30" s="113">
        <f t="shared" si="6"/>
        <v>0</v>
      </c>
      <c r="V30" s="114">
        <f t="shared" si="6"/>
        <v>0</v>
      </c>
      <c r="W30" s="10"/>
      <c r="X30" s="10"/>
      <c r="Y30" s="10"/>
      <c r="Z30" s="10"/>
      <c r="AA30" s="10"/>
      <c r="AB30" s="105"/>
    </row>
    <row r="31" spans="1:28" s="23" customFormat="1" ht="15.75" thickBot="1" x14ac:dyDescent="0.3">
      <c r="A31" s="1"/>
      <c r="B31" s="115" t="s">
        <v>20</v>
      </c>
      <c r="C31" s="116">
        <f t="shared" ref="C31:M31" si="7">SUM(C24:C30)</f>
        <v>0</v>
      </c>
      <c r="D31" s="116">
        <f t="shared" si="7"/>
        <v>0</v>
      </c>
      <c r="E31" s="116">
        <f t="shared" si="7"/>
        <v>0</v>
      </c>
      <c r="F31" s="116">
        <f t="shared" si="7"/>
        <v>61.575298213032049</v>
      </c>
      <c r="G31" s="116">
        <f t="shared" si="7"/>
        <v>60.581894232938602</v>
      </c>
      <c r="H31" s="116">
        <f t="shared" si="7"/>
        <v>89.684559004343257</v>
      </c>
      <c r="I31" s="116">
        <f t="shared" si="7"/>
        <v>87.894798810633361</v>
      </c>
      <c r="J31" s="116">
        <f t="shared" si="7"/>
        <v>88.884065747131061</v>
      </c>
      <c r="K31" s="116">
        <f t="shared" si="7"/>
        <v>90.648277513888132</v>
      </c>
      <c r="L31" s="116">
        <f t="shared" si="7"/>
        <v>91.087846347105426</v>
      </c>
      <c r="M31" s="117">
        <f t="shared" si="7"/>
        <v>0</v>
      </c>
      <c r="N31" s="60"/>
      <c r="O31" s="118">
        <f t="shared" ref="O31:V31" si="8">+SUM(O24:O30)</f>
        <v>74.957038945904216</v>
      </c>
      <c r="P31" s="119">
        <f t="shared" si="8"/>
        <v>73.747745235831346</v>
      </c>
      <c r="Q31" s="119">
        <f t="shared" si="8"/>
        <v>97.488108455717509</v>
      </c>
      <c r="R31" s="119">
        <f t="shared" si="8"/>
        <v>95.542619312311373</v>
      </c>
      <c r="S31" s="119">
        <f t="shared" si="8"/>
        <v>96.617963423578871</v>
      </c>
      <c r="T31" s="119">
        <f t="shared" si="8"/>
        <v>98.535681144063375</v>
      </c>
      <c r="U31" s="119">
        <f t="shared" si="8"/>
        <v>99.01349733184621</v>
      </c>
      <c r="V31" s="120">
        <f t="shared" si="8"/>
        <v>0</v>
      </c>
      <c r="W31" s="10"/>
      <c r="X31" s="10"/>
      <c r="Y31" s="10"/>
      <c r="Z31" s="10"/>
      <c r="AA31" s="10"/>
      <c r="AB31" s="105"/>
    </row>
    <row r="32" spans="1:28" s="23" customFormat="1" thickBot="1" x14ac:dyDescent="0.25">
      <c r="A32" s="1"/>
      <c r="B32" s="121"/>
      <c r="C32" s="122"/>
      <c r="D32" s="122"/>
      <c r="E32" s="122"/>
      <c r="F32" s="123"/>
      <c r="G32" s="123"/>
      <c r="H32" s="123"/>
      <c r="I32" s="123"/>
      <c r="J32" s="123"/>
      <c r="K32" s="123"/>
      <c r="L32" s="123"/>
      <c r="M32" s="124"/>
      <c r="N32" s="125"/>
      <c r="O32" s="122"/>
      <c r="P32" s="122"/>
      <c r="Q32" s="122"/>
      <c r="R32" s="122"/>
      <c r="S32" s="122"/>
      <c r="T32" s="122"/>
      <c r="U32" s="122"/>
      <c r="V32" s="122"/>
      <c r="W32" s="10"/>
      <c r="X32" s="10"/>
      <c r="Y32" s="10"/>
      <c r="Z32" s="10"/>
      <c r="AA32" s="10"/>
      <c r="AB32" s="126"/>
    </row>
    <row r="33" spans="1:28" s="50" customFormat="1" ht="15.75" thickBot="1" x14ac:dyDescent="0.25">
      <c r="A33" s="1"/>
      <c r="B33" s="56" t="s">
        <v>21</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7"/>
      <c r="C34" s="295" t="s">
        <v>22</v>
      </c>
      <c r="D34" s="296"/>
      <c r="E34" s="296"/>
      <c r="F34" s="296"/>
      <c r="G34" s="296"/>
      <c r="H34" s="296"/>
      <c r="I34" s="296"/>
      <c r="J34" s="296"/>
      <c r="K34" s="296"/>
      <c r="L34" s="296"/>
      <c r="M34" s="297"/>
      <c r="N34" s="105"/>
      <c r="O34" s="281" t="s">
        <v>12</v>
      </c>
      <c r="P34" s="282"/>
      <c r="Q34" s="282"/>
      <c r="R34" s="282"/>
      <c r="S34" s="282"/>
      <c r="T34" s="282"/>
      <c r="U34" s="282"/>
      <c r="V34" s="283"/>
      <c r="W34" s="10"/>
      <c r="X34" s="10"/>
      <c r="Y34" s="10"/>
      <c r="Z34" s="10"/>
      <c r="AA34" s="10"/>
      <c r="AB34" s="60"/>
    </row>
    <row r="35" spans="1:28" s="23" customFormat="1" ht="15.75" thickBot="1" x14ac:dyDescent="0.3">
      <c r="A35" s="1"/>
      <c r="B35" s="127"/>
      <c r="C35" s="298" t="s">
        <v>13</v>
      </c>
      <c r="D35" s="299"/>
      <c r="E35" s="299"/>
      <c r="F35" s="299"/>
      <c r="G35" s="300"/>
      <c r="H35" s="301" t="s">
        <v>14</v>
      </c>
      <c r="I35" s="302"/>
      <c r="J35" s="302"/>
      <c r="K35" s="302"/>
      <c r="L35" s="302"/>
      <c r="M35" s="303"/>
      <c r="N35" s="105"/>
      <c r="O35" s="290" t="s">
        <v>13</v>
      </c>
      <c r="P35" s="291"/>
      <c r="Q35" s="292" t="s">
        <v>14</v>
      </c>
      <c r="R35" s="293"/>
      <c r="S35" s="293"/>
      <c r="T35" s="293"/>
      <c r="U35" s="293"/>
      <c r="V35" s="294"/>
      <c r="W35" s="10"/>
      <c r="X35" s="10"/>
      <c r="Y35" s="10"/>
      <c r="Z35" s="10"/>
      <c r="AA35" s="10"/>
      <c r="AB35" s="60"/>
    </row>
    <row r="36" spans="1:28" s="23" customFormat="1" ht="15.75" thickBot="1" x14ac:dyDescent="0.3">
      <c r="A36" s="1"/>
      <c r="B36" s="128"/>
      <c r="C36" s="62">
        <v>2011</v>
      </c>
      <c r="D36" s="63">
        <v>2012</v>
      </c>
      <c r="E36" s="63">
        <v>2013</v>
      </c>
      <c r="F36" s="63">
        <v>2014</v>
      </c>
      <c r="G36" s="64">
        <v>2015</v>
      </c>
      <c r="H36" s="65">
        <v>2016</v>
      </c>
      <c r="I36" s="66">
        <v>2017</v>
      </c>
      <c r="J36" s="66">
        <v>2018</v>
      </c>
      <c r="K36" s="66">
        <v>2019</v>
      </c>
      <c r="L36" s="129">
        <v>2020</v>
      </c>
      <c r="M36" s="130" t="s">
        <v>4</v>
      </c>
      <c r="N36" s="104"/>
      <c r="O36" s="68">
        <v>2014</v>
      </c>
      <c r="P36" s="69">
        <v>2015</v>
      </c>
      <c r="Q36" s="70">
        <v>2016</v>
      </c>
      <c r="R36" s="71">
        <v>2017</v>
      </c>
      <c r="S36" s="71">
        <v>2018</v>
      </c>
      <c r="T36" s="71">
        <v>2019</v>
      </c>
      <c r="U36" s="131">
        <v>2020</v>
      </c>
      <c r="V36" s="72" t="s">
        <v>4</v>
      </c>
      <c r="W36" s="10"/>
      <c r="X36" s="10"/>
      <c r="Y36" s="132"/>
      <c r="Z36" s="10"/>
      <c r="AA36" s="10"/>
    </row>
    <row r="37" spans="1:28" s="23" customFormat="1" x14ac:dyDescent="0.25">
      <c r="A37" s="1"/>
      <c r="B37" s="73" t="s">
        <v>23</v>
      </c>
      <c r="C37" s="74"/>
      <c r="D37" s="75"/>
      <c r="E37" s="75"/>
      <c r="F37" s="77">
        <v>72.383382723006122</v>
      </c>
      <c r="G37" s="77">
        <v>75.029347420022887</v>
      </c>
      <c r="H37" s="76">
        <v>82.570048906029299</v>
      </c>
      <c r="I37" s="77">
        <v>87.612991970377593</v>
      </c>
      <c r="J37" s="77">
        <v>81.820382370000033</v>
      </c>
      <c r="K37" s="77">
        <v>87.548048559999998</v>
      </c>
      <c r="L37" s="271"/>
      <c r="M37" s="271"/>
      <c r="N37" s="104"/>
      <c r="O37" s="133">
        <f>+LOOKUP($C$19,C$36:G$36,C37:G37)/LOOKUP($C$19,C$9:N$9,C$13:N$13)*(1+LOOKUP($C$19,C$9:N$9,C$12:N$12))^0.5</f>
        <v>80.694304132692181</v>
      </c>
      <c r="P37" s="134">
        <f>+G37/I$13*(1+I$12)^0.5</f>
        <v>82.243422492450478</v>
      </c>
      <c r="Q37" s="135">
        <f>+H37/J$13*(1+J$12)^0.5</f>
        <v>89.099405708408611</v>
      </c>
      <c r="R37" s="136">
        <f>+I37/K$13*(1+K$12)^0.5</f>
        <v>92.967812431765282</v>
      </c>
      <c r="S37" s="136">
        <f>+J37/L$13*(1+L$12)^0.5</f>
        <v>85.247004141570173</v>
      </c>
      <c r="T37" s="136">
        <f>+K37/M$13*(1+M$12)^0.5</f>
        <v>89.59088631679144</v>
      </c>
      <c r="U37" s="137">
        <f t="shared" ref="U37:V37" si="9">+L37/N$13*(1+N$12)^0.5</f>
        <v>0</v>
      </c>
      <c r="V37" s="138">
        <f t="shared" si="9"/>
        <v>0</v>
      </c>
      <c r="W37" s="10"/>
      <c r="X37" s="10"/>
      <c r="Y37" s="132"/>
      <c r="Z37" s="10"/>
      <c r="AA37" s="10"/>
    </row>
    <row r="38" spans="1:28" s="23" customFormat="1" x14ac:dyDescent="0.25">
      <c r="A38" s="1"/>
      <c r="B38" s="83" t="s">
        <v>24</v>
      </c>
      <c r="C38" s="84"/>
      <c r="D38" s="85"/>
      <c r="E38" s="85"/>
      <c r="F38" s="85"/>
      <c r="G38" s="85"/>
      <c r="H38" s="84"/>
      <c r="I38" s="85"/>
      <c r="J38" s="85"/>
      <c r="K38" s="85"/>
      <c r="L38" s="139"/>
      <c r="M38" s="140"/>
      <c r="N38" s="60"/>
      <c r="O38" s="90"/>
      <c r="P38" s="91"/>
      <c r="Q38" s="92"/>
      <c r="R38" s="93"/>
      <c r="S38" s="93"/>
      <c r="T38" s="93"/>
      <c r="U38" s="93"/>
      <c r="V38" s="94"/>
      <c r="W38" s="10"/>
      <c r="X38" s="10"/>
      <c r="Y38" s="10"/>
      <c r="Z38" s="10"/>
      <c r="AA38" s="10"/>
      <c r="AB38" s="60"/>
    </row>
    <row r="39" spans="1:28" s="23" customFormat="1" ht="14.25" x14ac:dyDescent="0.2">
      <c r="A39" s="1"/>
      <c r="B39" s="313" t="s">
        <v>17</v>
      </c>
      <c r="C39" s="96"/>
      <c r="D39" s="97"/>
      <c r="E39" s="97"/>
      <c r="F39" s="99">
        <v>0</v>
      </c>
      <c r="G39" s="99"/>
      <c r="H39" s="98"/>
      <c r="I39" s="99"/>
      <c r="J39" s="99"/>
      <c r="K39" s="99"/>
      <c r="L39" s="272"/>
      <c r="M39" s="269"/>
      <c r="N39" s="60"/>
      <c r="O39" s="141">
        <f t="shared" ref="O39:O43" si="10">+LOOKUP($C$19,C$36:G$36,C39:G39)/LOOKUP($C$19,C$9:N$9,C$13:N$13)*(1+LOOKUP($C$19,C$9:N$9,C$12:N$12))^0.5</f>
        <v>0</v>
      </c>
      <c r="P39" s="142">
        <f t="shared" ref="P39:V43" si="11">G39/I$13*(1+I$12)^0.5</f>
        <v>0</v>
      </c>
      <c r="Q39" s="143">
        <f t="shared" si="11"/>
        <v>0</v>
      </c>
      <c r="R39" s="143">
        <f t="shared" si="11"/>
        <v>0</v>
      </c>
      <c r="S39" s="143">
        <f t="shared" si="11"/>
        <v>0</v>
      </c>
      <c r="T39" s="143">
        <f t="shared" si="11"/>
        <v>0</v>
      </c>
      <c r="U39" s="144">
        <f t="shared" si="11"/>
        <v>0</v>
      </c>
      <c r="V39" s="82">
        <f t="shared" si="11"/>
        <v>0</v>
      </c>
      <c r="W39" s="10"/>
      <c r="X39" s="10"/>
      <c r="Y39" s="10"/>
      <c r="Z39" s="10"/>
      <c r="AA39" s="10"/>
      <c r="AB39" s="60"/>
    </row>
    <row r="40" spans="1:28" s="23" customFormat="1" ht="15" customHeight="1" x14ac:dyDescent="0.2">
      <c r="A40" s="1"/>
      <c r="B40" s="313" t="s">
        <v>18</v>
      </c>
      <c r="C40" s="96"/>
      <c r="D40" s="97"/>
      <c r="E40" s="97"/>
      <c r="F40" s="99">
        <v>-6.3864000000000004E-2</v>
      </c>
      <c r="G40" s="99">
        <v>-9.4493749999999987E-2</v>
      </c>
      <c r="H40" s="98">
        <v>-0.11060399999999999</v>
      </c>
      <c r="I40" s="99">
        <v>-0.2</v>
      </c>
      <c r="J40" s="99">
        <v>-0.23927899999999999</v>
      </c>
      <c r="K40" s="99">
        <v>-2.4720619999999999E-2</v>
      </c>
      <c r="L40" s="272"/>
      <c r="M40" s="269"/>
      <c r="N40" s="60"/>
      <c r="O40" s="141">
        <f t="shared" si="10"/>
        <v>-7.119674219774054E-2</v>
      </c>
      <c r="P40" s="142">
        <f t="shared" si="11"/>
        <v>-0.10357932824125875</v>
      </c>
      <c r="Q40" s="143">
        <f t="shared" si="11"/>
        <v>-0.11935018568522646</v>
      </c>
      <c r="R40" s="143">
        <f t="shared" si="11"/>
        <v>-0.21222380457728962</v>
      </c>
      <c r="S40" s="143">
        <f t="shared" si="11"/>
        <v>-0.24929995819073267</v>
      </c>
      <c r="T40" s="143">
        <f t="shared" si="11"/>
        <v>-2.5297448572857154E-2</v>
      </c>
      <c r="U40" s="144">
        <f t="shared" si="11"/>
        <v>0</v>
      </c>
      <c r="V40" s="82">
        <f t="shared" si="11"/>
        <v>0</v>
      </c>
      <c r="W40" s="10"/>
      <c r="X40" s="10"/>
      <c r="Y40" s="10"/>
      <c r="Z40" s="10"/>
      <c r="AA40" s="10"/>
      <c r="AB40" s="60"/>
    </row>
    <row r="41" spans="1:28" s="23" customFormat="1" ht="15" customHeight="1" x14ac:dyDescent="0.2">
      <c r="A41" s="1"/>
      <c r="B41" s="313" t="s">
        <v>49</v>
      </c>
      <c r="C41" s="96"/>
      <c r="D41" s="97"/>
      <c r="E41" s="97"/>
      <c r="F41" s="99">
        <v>-6.7974609999999991E-2</v>
      </c>
      <c r="G41" s="99">
        <v>-0.10554183</v>
      </c>
      <c r="H41" s="98">
        <v>-0.218525</v>
      </c>
      <c r="I41" s="99">
        <v>-0.14519000000000001</v>
      </c>
      <c r="J41" s="99">
        <v>-0.15711</v>
      </c>
      <c r="K41" s="99">
        <v>-0.2475</v>
      </c>
      <c r="L41" s="272"/>
      <c r="M41" s="269"/>
      <c r="N41" s="60"/>
      <c r="O41" s="141">
        <f t="shared" si="10"/>
        <v>-7.5779324567235934E-2</v>
      </c>
      <c r="P41" s="142">
        <f t="shared" si="11"/>
        <v>-0.11568968162183353</v>
      </c>
      <c r="Q41" s="143">
        <f t="shared" si="11"/>
        <v>-0.23580520891526627</v>
      </c>
      <c r="R41" s="143">
        <f t="shared" si="11"/>
        <v>-0.1540638709328834</v>
      </c>
      <c r="S41" s="143">
        <f t="shared" si="11"/>
        <v>-0.16368973638031759</v>
      </c>
      <c r="T41" s="143">
        <f t="shared" si="11"/>
        <v>-0.25327514122955436</v>
      </c>
      <c r="U41" s="144">
        <f t="shared" si="11"/>
        <v>0</v>
      </c>
      <c r="V41" s="82">
        <f t="shared" si="11"/>
        <v>0</v>
      </c>
      <c r="W41" s="10"/>
      <c r="X41" s="10"/>
      <c r="Y41" s="10"/>
      <c r="Z41" s="10"/>
      <c r="AA41" s="10"/>
      <c r="AB41" s="60"/>
    </row>
    <row r="42" spans="1:28" s="23" customFormat="1" ht="15" customHeight="1" x14ac:dyDescent="0.2">
      <c r="A42" s="1"/>
      <c r="B42" s="313" t="s">
        <v>25</v>
      </c>
      <c r="C42" s="96"/>
      <c r="D42" s="97"/>
      <c r="E42" s="97"/>
      <c r="F42" s="99">
        <v>-1.198712999999998E-2</v>
      </c>
      <c r="G42" s="99">
        <v>-0.47446055000000026</v>
      </c>
      <c r="H42" s="98">
        <v>-0.19171972000000009</v>
      </c>
      <c r="I42" s="99">
        <v>0.2468716100000001</v>
      </c>
      <c r="J42" s="99">
        <v>-0.48004487999999984</v>
      </c>
      <c r="K42" s="99">
        <v>0.67777713999999989</v>
      </c>
      <c r="L42" s="272"/>
      <c r="M42" s="269"/>
      <c r="N42" s="145"/>
      <c r="O42" s="141">
        <f t="shared" si="10"/>
        <v>-1.3363469314493299E-2</v>
      </c>
      <c r="P42" s="142">
        <f t="shared" si="11"/>
        <v>-0.52007995286437669</v>
      </c>
      <c r="Q42" s="143">
        <f t="shared" si="11"/>
        <v>-0.20688025913637514</v>
      </c>
      <c r="R42" s="143">
        <f t="shared" si="11"/>
        <v>0.26196016158160434</v>
      </c>
      <c r="S42" s="143">
        <f t="shared" si="11"/>
        <v>-0.50014906662797509</v>
      </c>
      <c r="T42" s="143">
        <f t="shared" si="11"/>
        <v>0.69359232668954918</v>
      </c>
      <c r="U42" s="144">
        <f t="shared" si="11"/>
        <v>0</v>
      </c>
      <c r="V42" s="82">
        <f t="shared" si="11"/>
        <v>0</v>
      </c>
      <c r="W42" s="10"/>
      <c r="X42" s="10"/>
      <c r="Y42" s="10"/>
      <c r="Z42" s="10"/>
      <c r="AA42" s="10"/>
      <c r="AB42" s="146"/>
    </row>
    <row r="43" spans="1:28" s="23" customFormat="1" ht="15.75" customHeight="1" thickBot="1" x14ac:dyDescent="0.25">
      <c r="A43" s="1"/>
      <c r="B43" s="314" t="s">
        <v>19</v>
      </c>
      <c r="C43" s="147"/>
      <c r="D43" s="148"/>
      <c r="E43" s="148"/>
      <c r="F43" s="150"/>
      <c r="G43" s="150"/>
      <c r="H43" s="149"/>
      <c r="I43" s="150"/>
      <c r="J43" s="150"/>
      <c r="K43" s="150"/>
      <c r="L43" s="273"/>
      <c r="M43" s="270"/>
      <c r="N43" s="145"/>
      <c r="O43" s="151">
        <f t="shared" si="10"/>
        <v>0</v>
      </c>
      <c r="P43" s="152">
        <f t="shared" si="11"/>
        <v>0</v>
      </c>
      <c r="Q43" s="153">
        <f t="shared" si="11"/>
        <v>0</v>
      </c>
      <c r="R43" s="153">
        <f t="shared" si="11"/>
        <v>0</v>
      </c>
      <c r="S43" s="153">
        <f t="shared" si="11"/>
        <v>0</v>
      </c>
      <c r="T43" s="153">
        <f t="shared" si="11"/>
        <v>0</v>
      </c>
      <c r="U43" s="154">
        <f t="shared" si="11"/>
        <v>0</v>
      </c>
      <c r="V43" s="114">
        <f t="shared" si="11"/>
        <v>0</v>
      </c>
      <c r="W43" s="10"/>
      <c r="X43" s="10"/>
      <c r="Y43" s="10"/>
      <c r="Z43" s="10"/>
      <c r="AA43" s="10"/>
      <c r="AB43" s="146"/>
    </row>
    <row r="44" spans="1:28" s="163" customFormat="1" ht="15.75" customHeight="1" thickBot="1" x14ac:dyDescent="0.3">
      <c r="A44" s="1"/>
      <c r="B44" s="155" t="s">
        <v>26</v>
      </c>
      <c r="C44" s="156">
        <f>SUM(C37:C43)</f>
        <v>0</v>
      </c>
      <c r="D44" s="156">
        <f>SUM(D37:D43)</f>
        <v>0</v>
      </c>
      <c r="E44" s="156">
        <f>SUM(E37:E43)</f>
        <v>0</v>
      </c>
      <c r="F44" s="156">
        <f>SUM(F37:F43)</f>
        <v>72.239556983006139</v>
      </c>
      <c r="G44" s="156">
        <f>SUM(G37:G43)</f>
        <v>74.354851290022879</v>
      </c>
      <c r="H44" s="157">
        <f>SUM(H37:H43)</f>
        <v>82.04920018602931</v>
      </c>
      <c r="I44" s="157">
        <f>SUM(I37:I43)</f>
        <v>87.51467358037759</v>
      </c>
      <c r="J44" s="157">
        <f>SUM(J37:J43)</f>
        <v>80.943948490000039</v>
      </c>
      <c r="K44" s="157">
        <f>SUM(K37:K43)</f>
        <v>87.953605080000003</v>
      </c>
      <c r="L44" s="158"/>
      <c r="M44" s="117"/>
      <c r="N44" s="159"/>
      <c r="O44" s="160">
        <f>O37+SUM(O39:O43)</f>
        <v>80.533964596612705</v>
      </c>
      <c r="P44" s="119">
        <f>P37+SUM(P39:P43)</f>
        <v>81.504073529723001</v>
      </c>
      <c r="Q44" s="119">
        <f>Q37+SUM(Q39:Q43)</f>
        <v>88.53737005467174</v>
      </c>
      <c r="R44" s="119">
        <f>R37+SUM(R39:R43)</f>
        <v>92.863484917836715</v>
      </c>
      <c r="S44" s="119">
        <f>S37+SUM(S39:S43)</f>
        <v>84.333865380371151</v>
      </c>
      <c r="T44" s="119">
        <f>T37+SUM(T39:T43)</f>
        <v>90.005906053678572</v>
      </c>
      <c r="U44" s="161">
        <f>(U31-(LOOKUP($W$44,$Q$23:$U$23,$Q$31:$U$31)-LOOKUP($W$44,$Q$36:$U$36,$Q$44:$U$44)))+W45</f>
        <v>86.72939928863849</v>
      </c>
      <c r="V44" s="120">
        <f>V37+SUM(V39:V43)</f>
        <v>0</v>
      </c>
      <c r="W44" s="267">
        <v>2018</v>
      </c>
      <c r="X44" s="162" t="s">
        <v>27</v>
      </c>
      <c r="Y44" s="10"/>
      <c r="Z44" s="10"/>
      <c r="AA44" s="10"/>
      <c r="AB44" s="159"/>
    </row>
    <row r="45" spans="1:28" s="10" customFormat="1" ht="15.75" thickBot="1" x14ac:dyDescent="0.3">
      <c r="A45" s="61"/>
      <c r="F45" s="164"/>
      <c r="G45" s="164"/>
      <c r="H45" s="164"/>
      <c r="I45" s="164"/>
      <c r="J45" s="164"/>
      <c r="K45" s="164"/>
      <c r="U45" s="165">
        <f>U37+SUM(U39:U43)</f>
        <v>0</v>
      </c>
      <c r="W45" s="166"/>
      <c r="X45" s="167" t="s">
        <v>28</v>
      </c>
    </row>
    <row r="46" spans="1:28" s="10" customFormat="1" x14ac:dyDescent="0.25">
      <c r="A46" s="61"/>
      <c r="B46" s="168"/>
      <c r="C46" s="168"/>
      <c r="D46" s="168"/>
      <c r="E46" s="168"/>
      <c r="F46" s="168"/>
      <c r="G46" s="168"/>
      <c r="H46" s="168"/>
      <c r="I46" s="168"/>
      <c r="J46" s="168"/>
      <c r="K46" s="168"/>
      <c r="X46" s="167"/>
    </row>
    <row r="47" spans="1:28" s="10" customFormat="1" ht="15.75" thickBot="1" x14ac:dyDescent="0.3">
      <c r="A47" s="1"/>
      <c r="C47" s="23"/>
      <c r="D47" s="23"/>
      <c r="F47" s="168"/>
      <c r="G47" s="168"/>
      <c r="H47" s="168"/>
      <c r="I47" s="168"/>
      <c r="J47" s="168"/>
      <c r="X47" s="167"/>
    </row>
    <row r="48" spans="1:28" s="172" customFormat="1" ht="15.75" thickBot="1" x14ac:dyDescent="0.25">
      <c r="A48" s="1"/>
      <c r="B48" s="169"/>
      <c r="C48" s="23"/>
      <c r="D48" s="23"/>
      <c r="E48" s="170"/>
      <c r="F48" s="171"/>
      <c r="G48" s="171"/>
      <c r="H48" s="171"/>
      <c r="I48" s="171"/>
      <c r="J48" s="171"/>
      <c r="O48" s="173" t="s">
        <v>29</v>
      </c>
      <c r="P48" s="174"/>
      <c r="Q48" s="175"/>
      <c r="R48" s="174"/>
      <c r="S48" s="174"/>
      <c r="T48" s="174"/>
      <c r="U48" s="174"/>
      <c r="V48" s="176"/>
      <c r="W48" s="10"/>
      <c r="X48" s="10"/>
      <c r="Y48" s="10"/>
      <c r="Z48" s="10"/>
      <c r="AA48" s="10"/>
      <c r="AB48" s="10"/>
    </row>
    <row r="49" spans="1:29" s="23" customFormat="1" thickBot="1" x14ac:dyDescent="0.25">
      <c r="A49" s="1"/>
      <c r="J49" s="177"/>
      <c r="O49" s="178"/>
      <c r="P49" s="179">
        <f>(P31-P44)-(O31-O44)</f>
        <v>-2.1794026431831668</v>
      </c>
      <c r="Q49" s="179">
        <f>(Q31-Q44)-(P31-P44)+IF(O23=P23,P31-P44,O31-O44)</f>
        <v>11.130141044228935</v>
      </c>
      <c r="R49" s="180">
        <f>(R31-R44)-(Q31-Q44)</f>
        <v>-6.2716040065711098</v>
      </c>
      <c r="S49" s="180">
        <f>(S31-S44)-(R31-R44)</f>
        <v>9.6049636487330616</v>
      </c>
      <c r="T49" s="180">
        <f>(T31-T44)-(S31-S44)</f>
        <v>-3.7543229528229176</v>
      </c>
      <c r="U49" s="180">
        <f>(U31-U44)-(T31-T44)</f>
        <v>3.7543229528229176</v>
      </c>
      <c r="V49" s="181">
        <v>0</v>
      </c>
      <c r="W49" s="10"/>
      <c r="X49" s="10"/>
      <c r="Y49" s="10"/>
      <c r="Z49" s="10"/>
      <c r="AA49" s="10"/>
      <c r="AB49" s="10"/>
    </row>
    <row r="50" spans="1:29" s="23" customFormat="1" ht="15.75" thickBot="1" x14ac:dyDescent="0.3">
      <c r="A50" s="1"/>
      <c r="J50" s="177"/>
      <c r="O50" s="182"/>
      <c r="P50" s="182"/>
      <c r="Q50" s="182"/>
      <c r="R50" s="182"/>
      <c r="S50" s="182"/>
      <c r="T50" s="182"/>
      <c r="U50" s="182"/>
      <c r="V50" s="182"/>
      <c r="W50" s="10"/>
      <c r="X50" s="10"/>
      <c r="Y50" s="10"/>
      <c r="Z50" s="10"/>
      <c r="AA50" s="10"/>
      <c r="AB50" s="10"/>
    </row>
    <row r="51" spans="1:29" s="23" customFormat="1" ht="15.75" thickBot="1" x14ac:dyDescent="0.25">
      <c r="A51" s="1"/>
      <c r="J51" s="177"/>
      <c r="O51" s="173" t="s">
        <v>30</v>
      </c>
      <c r="P51" s="174"/>
      <c r="Q51" s="174"/>
      <c r="R51" s="174"/>
      <c r="S51" s="174"/>
      <c r="T51" s="174"/>
      <c r="U51" s="174"/>
      <c r="V51" s="176"/>
      <c r="W51" s="10"/>
      <c r="X51" s="10"/>
      <c r="Y51" s="10"/>
      <c r="Z51" s="10"/>
      <c r="AA51" s="10"/>
      <c r="AB51" s="10"/>
    </row>
    <row r="52" spans="1:29" s="23" customFormat="1" thickBot="1" x14ac:dyDescent="0.25">
      <c r="A52" s="1"/>
      <c r="J52" s="177"/>
      <c r="O52" s="178"/>
      <c r="P52" s="183"/>
      <c r="Q52" s="183"/>
      <c r="R52" s="183"/>
      <c r="S52" s="183"/>
      <c r="T52" s="183"/>
      <c r="U52" s="179">
        <f>(U31-U45)-(LOOKUP($W$44,$Q$23:$U$23,$Q$31:$U$31)-LOOKUP($W$44,$Q$36:$U$36,$Q$44:$U$44))+W45</f>
        <v>86.72939928863849</v>
      </c>
      <c r="V52" s="181">
        <f>(V31-V44)-(U31-U45)/2</f>
        <v>-49.506748665923105</v>
      </c>
      <c r="W52" s="10"/>
      <c r="X52" s="10"/>
      <c r="Y52" s="10"/>
      <c r="Z52" s="10"/>
      <c r="AA52" s="10"/>
      <c r="AB52" s="10"/>
    </row>
    <row r="53" spans="1:29" s="23" customFormat="1" ht="23.25" customHeight="1" thickBot="1" x14ac:dyDescent="0.3">
      <c r="A53" s="1"/>
      <c r="C53" s="184"/>
      <c r="D53" s="184"/>
      <c r="E53" s="184"/>
      <c r="F53" s="184"/>
      <c r="J53" s="177"/>
      <c r="N53" s="50"/>
      <c r="O53" s="182"/>
      <c r="P53" s="182"/>
      <c r="Q53" s="182"/>
      <c r="R53" s="182"/>
      <c r="S53" s="182"/>
      <c r="T53" s="182"/>
      <c r="U53" s="182"/>
      <c r="V53" s="182"/>
      <c r="W53" s="10"/>
      <c r="X53" s="10"/>
      <c r="Y53" s="10"/>
      <c r="Z53" s="10"/>
      <c r="AA53" s="10"/>
      <c r="AB53" s="10"/>
    </row>
    <row r="54" spans="1:29" s="172" customFormat="1" ht="15.75" thickBot="1" x14ac:dyDescent="0.25">
      <c r="A54" s="1"/>
      <c r="J54" s="177"/>
      <c r="O54" s="13" t="s">
        <v>31</v>
      </c>
      <c r="P54" s="14"/>
      <c r="Q54" s="174"/>
      <c r="R54" s="174"/>
      <c r="S54" s="174"/>
      <c r="T54" s="174"/>
      <c r="U54" s="174"/>
      <c r="V54" s="174"/>
      <c r="W54" s="174"/>
      <c r="X54" s="174"/>
      <c r="Y54" s="174"/>
      <c r="Z54" s="174"/>
      <c r="AA54" s="174"/>
      <c r="AB54" s="176"/>
    </row>
    <row r="55" spans="1:29" s="23" customFormat="1" ht="30" customHeight="1" x14ac:dyDescent="0.25">
      <c r="A55" s="1"/>
      <c r="C55" s="184"/>
      <c r="D55" s="184"/>
      <c r="E55" s="184"/>
      <c r="F55" s="184"/>
      <c r="J55" s="177"/>
      <c r="N55" s="50"/>
      <c r="O55" s="185"/>
      <c r="P55" s="186"/>
      <c r="Q55" s="310" t="s">
        <v>14</v>
      </c>
      <c r="R55" s="311"/>
      <c r="S55" s="311"/>
      <c r="T55" s="311"/>
      <c r="U55" s="312"/>
      <c r="V55" s="187"/>
      <c r="W55" s="304" t="s">
        <v>32</v>
      </c>
      <c r="X55" s="305"/>
      <c r="Y55" s="305"/>
      <c r="Z55" s="305"/>
      <c r="AA55" s="305"/>
      <c r="AB55" s="188"/>
    </row>
    <row r="56" spans="1:29" s="23" customFormat="1" x14ac:dyDescent="0.25">
      <c r="A56" s="1"/>
      <c r="C56" s="184"/>
      <c r="D56" s="184"/>
      <c r="E56" s="184"/>
      <c r="F56" s="184"/>
      <c r="N56" s="50"/>
      <c r="O56" s="189"/>
      <c r="P56" s="190"/>
      <c r="Q56" s="191" t="s">
        <v>12</v>
      </c>
      <c r="R56" s="192"/>
      <c r="S56" s="192"/>
      <c r="T56" s="192"/>
      <c r="U56" s="192"/>
      <c r="V56" s="192"/>
      <c r="W56" s="192"/>
      <c r="X56" s="192"/>
      <c r="Y56" s="193"/>
      <c r="Z56" s="194"/>
      <c r="AA56" s="195"/>
      <c r="AB56" s="196"/>
    </row>
    <row r="57" spans="1:29" s="23" customFormat="1" ht="15.75" thickBot="1" x14ac:dyDescent="0.3">
      <c r="A57" s="1"/>
      <c r="C57" s="184"/>
      <c r="D57" s="184"/>
      <c r="E57" s="184"/>
      <c r="F57" s="184"/>
      <c r="N57" s="50"/>
      <c r="O57" s="189"/>
      <c r="P57" s="190"/>
      <c r="Q57" s="197">
        <v>2016</v>
      </c>
      <c r="R57" s="198">
        <v>2017</v>
      </c>
      <c r="S57" s="198">
        <v>2018</v>
      </c>
      <c r="T57" s="198">
        <v>2019</v>
      </c>
      <c r="U57" s="198">
        <v>2020</v>
      </c>
      <c r="V57" s="198" t="s">
        <v>4</v>
      </c>
      <c r="W57" s="199" t="s">
        <v>33</v>
      </c>
      <c r="X57" s="199" t="s">
        <v>34</v>
      </c>
      <c r="Y57" s="199" t="s">
        <v>35</v>
      </c>
      <c r="Z57" s="199" t="s">
        <v>36</v>
      </c>
      <c r="AA57" s="199" t="s">
        <v>37</v>
      </c>
      <c r="AB57" s="200" t="s">
        <v>38</v>
      </c>
    </row>
    <row r="58" spans="1:29" s="23" customFormat="1" thickBot="1" x14ac:dyDescent="0.25">
      <c r="A58" s="1"/>
      <c r="C58" s="50"/>
      <c r="D58" s="50"/>
      <c r="E58" s="50"/>
      <c r="F58" s="50"/>
      <c r="G58" s="50"/>
      <c r="O58" s="306">
        <v>2016</v>
      </c>
      <c r="P58" s="307"/>
      <c r="Q58" s="201"/>
      <c r="R58" s="202">
        <f>$Q$49</f>
        <v>11.130141044228935</v>
      </c>
      <c r="S58" s="203">
        <f>$Q$49</f>
        <v>11.130141044228935</v>
      </c>
      <c r="T58" s="204">
        <f>$Q$49</f>
        <v>11.130141044228935</v>
      </c>
      <c r="U58" s="203">
        <f>$Q$49</f>
        <v>11.130141044228935</v>
      </c>
      <c r="V58" s="203">
        <f>$Q$49/2</f>
        <v>5.5650705221144676</v>
      </c>
      <c r="W58" s="205">
        <f>$Q$49/2</f>
        <v>5.5650705221144676</v>
      </c>
      <c r="X58" s="206"/>
      <c r="Y58" s="206"/>
      <c r="Z58" s="206"/>
      <c r="AA58" s="207"/>
      <c r="AB58" s="208"/>
    </row>
    <row r="59" spans="1:29" s="23" customFormat="1" thickBot="1" x14ac:dyDescent="0.25">
      <c r="A59" s="1"/>
      <c r="O59" s="306">
        <v>2017</v>
      </c>
      <c r="P59" s="307"/>
      <c r="Q59" s="201"/>
      <c r="R59" s="201"/>
      <c r="S59" s="151">
        <f>$R$49</f>
        <v>-6.2716040065711098</v>
      </c>
      <c r="T59" s="209">
        <f>$R$49</f>
        <v>-6.2716040065711098</v>
      </c>
      <c r="U59" s="209">
        <f t="shared" ref="U59:W59" si="12">$R$49</f>
        <v>-6.2716040065711098</v>
      </c>
      <c r="V59" s="209">
        <f>$R$49/2</f>
        <v>-3.1358020032855549</v>
      </c>
      <c r="W59" s="209">
        <f t="shared" si="12"/>
        <v>-6.2716040065711098</v>
      </c>
      <c r="X59" s="205">
        <f>$R$49/2</f>
        <v>-3.1358020032855549</v>
      </c>
      <c r="Y59" s="206"/>
      <c r="Z59" s="206"/>
      <c r="AA59" s="206"/>
      <c r="AB59" s="210"/>
    </row>
    <row r="60" spans="1:29" s="23" customFormat="1" thickBot="1" x14ac:dyDescent="0.25">
      <c r="A60" s="1"/>
      <c r="O60" s="306">
        <v>2018</v>
      </c>
      <c r="P60" s="307"/>
      <c r="Q60" s="206"/>
      <c r="R60" s="206"/>
      <c r="S60" s="201"/>
      <c r="T60" s="211">
        <f>$S$49</f>
        <v>9.6049636487330616</v>
      </c>
      <c r="U60" s="212">
        <f>$S$49</f>
        <v>9.6049636487330616</v>
      </c>
      <c r="V60" s="213">
        <f>$S$49/2</f>
        <v>4.8024818243665308</v>
      </c>
      <c r="W60" s="212">
        <f t="shared" ref="W60:X60" si="13">$S$49</f>
        <v>9.6049636487330616</v>
      </c>
      <c r="X60" s="212">
        <f t="shared" si="13"/>
        <v>9.6049636487330616</v>
      </c>
      <c r="Y60" s="214">
        <f>$S$49/2</f>
        <v>4.8024818243665308</v>
      </c>
      <c r="Z60" s="215"/>
      <c r="AA60" s="206"/>
      <c r="AB60" s="210"/>
    </row>
    <row r="61" spans="1:29" s="23" customFormat="1" thickBot="1" x14ac:dyDescent="0.25">
      <c r="A61" s="1"/>
      <c r="O61" s="306">
        <v>2019</v>
      </c>
      <c r="P61" s="307"/>
      <c r="Q61" s="206"/>
      <c r="R61" s="206"/>
      <c r="S61" s="206"/>
      <c r="T61" s="201"/>
      <c r="U61" s="151">
        <f>$T$49</f>
        <v>-3.7543229528229176</v>
      </c>
      <c r="V61" s="216">
        <f>$T$49/2</f>
        <v>-1.8771614764114588</v>
      </c>
      <c r="W61" s="212">
        <f>$T$49</f>
        <v>-3.7543229528229176</v>
      </c>
      <c r="X61" s="209">
        <f>$T$49</f>
        <v>-3.7543229528229176</v>
      </c>
      <c r="Y61" s="213">
        <f>$T$49</f>
        <v>-3.7543229528229176</v>
      </c>
      <c r="Z61" s="217">
        <f>$T$49/2</f>
        <v>-1.8771614764114588</v>
      </c>
      <c r="AA61" s="215"/>
      <c r="AB61" s="210"/>
    </row>
    <row r="62" spans="1:29" s="23" customFormat="1" thickBot="1" x14ac:dyDescent="0.25">
      <c r="A62" s="1"/>
      <c r="B62" s="218"/>
      <c r="C62" s="218"/>
      <c r="D62" s="218"/>
      <c r="E62" s="218"/>
      <c r="F62" s="218"/>
      <c r="G62" s="218"/>
      <c r="H62" s="218"/>
      <c r="I62" s="218"/>
      <c r="J62" s="219"/>
      <c r="K62" s="219"/>
      <c r="L62" s="219"/>
      <c r="M62" s="219"/>
      <c r="N62" s="219"/>
      <c r="O62" s="306">
        <v>2020</v>
      </c>
      <c r="P62" s="307"/>
      <c r="Q62" s="206"/>
      <c r="R62" s="206"/>
      <c r="S62" s="206"/>
      <c r="T62" s="206"/>
      <c r="U62" s="201"/>
      <c r="V62" s="151">
        <f>$U$49/2</f>
        <v>1.8771614764114588</v>
      </c>
      <c r="W62" s="212">
        <f t="shared" ref="W62:Z62" si="14">$U$49</f>
        <v>3.7543229528229176</v>
      </c>
      <c r="X62" s="212">
        <f t="shared" si="14"/>
        <v>3.7543229528229176</v>
      </c>
      <c r="Y62" s="212">
        <f t="shared" si="14"/>
        <v>3.7543229528229176</v>
      </c>
      <c r="Z62" s="212">
        <f t="shared" si="14"/>
        <v>3.7543229528229176</v>
      </c>
      <c r="AA62" s="220">
        <f>$U$49/2</f>
        <v>1.8771614764114588</v>
      </c>
      <c r="AB62" s="221"/>
    </row>
    <row r="63" spans="1:29" s="23" customFormat="1" thickBot="1" x14ac:dyDescent="0.25">
      <c r="A63" s="1"/>
      <c r="B63" s="218"/>
      <c r="C63" s="218"/>
      <c r="D63" s="218"/>
      <c r="E63" s="218"/>
      <c r="F63" s="218"/>
      <c r="G63" s="218"/>
      <c r="H63" s="218"/>
      <c r="I63" s="218"/>
      <c r="J63" s="219"/>
      <c r="K63" s="219"/>
      <c r="L63" s="219"/>
      <c r="M63" s="219"/>
      <c r="N63" s="219"/>
      <c r="O63" s="306" t="s">
        <v>4</v>
      </c>
      <c r="P63" s="307"/>
      <c r="Q63" s="206"/>
      <c r="R63" s="222"/>
      <c r="S63" s="206"/>
      <c r="T63" s="222"/>
      <c r="U63" s="201"/>
      <c r="V63" s="201"/>
      <c r="W63" s="211">
        <f>$V$49</f>
        <v>0</v>
      </c>
      <c r="X63" s="223">
        <f t="shared" ref="X63:AA63" si="15">$V$49</f>
        <v>0</v>
      </c>
      <c r="Y63" s="223">
        <f t="shared" si="15"/>
        <v>0</v>
      </c>
      <c r="Z63" s="223">
        <f t="shared" si="15"/>
        <v>0</v>
      </c>
      <c r="AA63" s="224">
        <f t="shared" si="15"/>
        <v>0</v>
      </c>
      <c r="AB63" s="221"/>
    </row>
    <row r="64" spans="1:29" s="163" customFormat="1" ht="15.75" thickBot="1" x14ac:dyDescent="0.3">
      <c r="A64" s="1"/>
      <c r="B64" s="218"/>
      <c r="C64" s="218"/>
      <c r="D64" s="218"/>
      <c r="E64" s="218"/>
      <c r="F64" s="218"/>
      <c r="G64" s="218"/>
      <c r="H64" s="218"/>
      <c r="I64" s="218"/>
      <c r="J64" s="219"/>
      <c r="K64" s="219"/>
      <c r="L64" s="219"/>
      <c r="M64" s="219"/>
      <c r="N64" s="219"/>
      <c r="O64" s="225" t="s">
        <v>39</v>
      </c>
      <c r="P64" s="226"/>
      <c r="Q64" s="227"/>
      <c r="R64" s="227"/>
      <c r="S64" s="227"/>
      <c r="T64" s="227"/>
      <c r="U64" s="227"/>
      <c r="V64" s="227">
        <f>-P49/2</f>
        <v>1.0897013215915834</v>
      </c>
      <c r="W64" s="228">
        <f>+SUM(W58:W63)</f>
        <v>8.8984301642764194</v>
      </c>
      <c r="X64" s="229">
        <f>+SUM(X59:X63)</f>
        <v>6.4691616454475067</v>
      </c>
      <c r="Y64" s="230">
        <f>+SUM(Y60:Y63)</f>
        <v>4.8024818243665308</v>
      </c>
      <c r="Z64" s="231">
        <f>+SUM(Z61:Z63)</f>
        <v>1.8771614764114588</v>
      </c>
      <c r="AA64" s="231">
        <f>+SUM(AA62:AA63)</f>
        <v>1.8771614764114588</v>
      </c>
      <c r="AB64" s="232">
        <f>SUM(V64:AA64)</f>
        <v>25.014097908504958</v>
      </c>
      <c r="AC64" s="266"/>
    </row>
    <row r="65" spans="1:29" s="23" customFormat="1" ht="15.75" thickBot="1" x14ac:dyDescent="0.3">
      <c r="A65" s="1"/>
      <c r="B65" s="218"/>
      <c r="C65" s="218"/>
      <c r="D65" s="218"/>
      <c r="E65" s="218"/>
      <c r="F65" s="218"/>
      <c r="G65" s="218"/>
      <c r="H65" s="218"/>
      <c r="I65" s="218"/>
      <c r="J65" s="219"/>
      <c r="K65" s="219"/>
      <c r="L65" s="219"/>
      <c r="M65" s="219"/>
      <c r="N65" s="219"/>
      <c r="O65" s="233"/>
      <c r="P65" s="233"/>
      <c r="Q65" s="233"/>
      <c r="R65" s="233"/>
      <c r="S65" s="233"/>
      <c r="T65" s="233"/>
      <c r="U65" s="233"/>
      <c r="V65" s="233"/>
      <c r="W65" s="234"/>
      <c r="X65" s="234"/>
      <c r="Y65" s="234"/>
      <c r="Z65" s="234"/>
      <c r="AA65" s="234"/>
      <c r="AB65" s="146"/>
    </row>
    <row r="66" spans="1:29" s="23" customFormat="1" ht="15.75" thickBot="1" x14ac:dyDescent="0.3">
      <c r="A66" s="1"/>
      <c r="B66" s="218"/>
      <c r="C66" s="218"/>
      <c r="D66" s="218"/>
      <c r="E66" s="218"/>
      <c r="F66" s="218"/>
      <c r="G66" s="218"/>
      <c r="H66" s="218"/>
      <c r="I66" s="218"/>
      <c r="J66" s="218"/>
      <c r="K66" s="218"/>
      <c r="L66" s="218"/>
      <c r="M66" s="218"/>
      <c r="N66" s="218"/>
      <c r="O66" s="235" t="s">
        <v>40</v>
      </c>
      <c r="P66" s="236"/>
      <c r="Q66" s="237"/>
      <c r="R66" s="237"/>
      <c r="S66" s="237"/>
      <c r="T66" s="237"/>
      <c r="U66" s="227"/>
      <c r="V66" s="227">
        <v>0</v>
      </c>
      <c r="W66" s="239">
        <f>W64+V64*(1+AB72)^(AA72/12)*(1+AB73)^(AA73/12)</f>
        <v>10.026286495752172</v>
      </c>
      <c r="X66" s="240">
        <f t="shared" ref="X66:AA66" si="16">X64</f>
        <v>6.4691616454475067</v>
      </c>
      <c r="Y66" s="240">
        <f t="shared" si="16"/>
        <v>4.8024818243665308</v>
      </c>
      <c r="Z66" s="241">
        <f t="shared" si="16"/>
        <v>1.8771614764114588</v>
      </c>
      <c r="AA66" s="241">
        <f t="shared" si="16"/>
        <v>1.8771614764114588</v>
      </c>
      <c r="AB66" s="232">
        <f>SUM(V66:AA66)</f>
        <v>25.052252918389129</v>
      </c>
      <c r="AC66" s="266"/>
    </row>
    <row r="67" spans="1:29" s="23" customFormat="1" ht="17.25" thickBot="1" x14ac:dyDescent="0.25">
      <c r="M67" s="242"/>
      <c r="N67" s="242"/>
      <c r="O67" s="242"/>
      <c r="P67" s="242"/>
      <c r="Q67" s="243"/>
      <c r="R67" s="242"/>
      <c r="S67" s="242"/>
      <c r="T67" s="242"/>
      <c r="U67" s="243"/>
      <c r="V67" s="243"/>
      <c r="W67" s="243"/>
      <c r="X67" s="243"/>
      <c r="Y67" s="244"/>
      <c r="Z67" s="244"/>
      <c r="AA67" s="89"/>
      <c r="AB67" s="89"/>
    </row>
    <row r="68" spans="1:29" s="23" customFormat="1" ht="15.75" thickBot="1" x14ac:dyDescent="0.3">
      <c r="M68" s="242"/>
      <c r="N68" s="242"/>
      <c r="O68" s="245"/>
      <c r="P68" s="246"/>
      <c r="Q68" s="247">
        <v>2016</v>
      </c>
      <c r="R68" s="71">
        <v>2017</v>
      </c>
      <c r="S68" s="71">
        <v>2018</v>
      </c>
      <c r="T68" s="71">
        <v>2019</v>
      </c>
      <c r="U68" s="71">
        <v>2020</v>
      </c>
      <c r="V68" s="71" t="s">
        <v>4</v>
      </c>
      <c r="W68" s="248" t="s">
        <v>33</v>
      </c>
      <c r="X68" s="248" t="s">
        <v>34</v>
      </c>
      <c r="Y68" s="248" t="s">
        <v>35</v>
      </c>
      <c r="Z68" s="248" t="s">
        <v>36</v>
      </c>
      <c r="AA68" s="248" t="s">
        <v>37</v>
      </c>
      <c r="AB68" s="71" t="s">
        <v>41</v>
      </c>
      <c r="AC68" s="249" t="s">
        <v>38</v>
      </c>
    </row>
    <row r="69" spans="1:29" s="23" customFormat="1" thickBot="1" x14ac:dyDescent="0.25">
      <c r="M69" s="242"/>
      <c r="N69" s="242"/>
      <c r="O69" s="306" t="s">
        <v>42</v>
      </c>
      <c r="P69" s="307"/>
      <c r="Q69" s="206"/>
      <c r="R69" s="206"/>
      <c r="S69" s="206"/>
      <c r="T69" s="206"/>
      <c r="U69" s="206"/>
      <c r="V69" s="206"/>
      <c r="W69" s="206"/>
      <c r="X69" s="206"/>
      <c r="Y69" s="206"/>
      <c r="Z69" s="206"/>
      <c r="AA69" s="250">
        <f>-U52/2</f>
        <v>-43.364699644319245</v>
      </c>
      <c r="AB69" s="206"/>
      <c r="AC69" s="208"/>
    </row>
    <row r="70" spans="1:29" s="23" customFormat="1" thickBot="1" x14ac:dyDescent="0.25">
      <c r="M70" s="242"/>
      <c r="N70" s="242"/>
      <c r="O70" s="308" t="s">
        <v>43</v>
      </c>
      <c r="P70" s="309"/>
      <c r="Q70" s="222"/>
      <c r="R70" s="222"/>
      <c r="S70" s="222"/>
      <c r="T70" s="222"/>
      <c r="U70" s="222"/>
      <c r="V70" s="222"/>
      <c r="W70" s="222"/>
      <c r="X70" s="222"/>
      <c r="Y70" s="222"/>
      <c r="Z70" s="222"/>
      <c r="AA70" s="222"/>
      <c r="AB70" s="251">
        <f>V52</f>
        <v>-49.506748665923105</v>
      </c>
      <c r="AC70" s="252"/>
    </row>
    <row r="71" spans="1:29" s="23" customFormat="1" ht="16.5" x14ac:dyDescent="0.2">
      <c r="M71" s="242"/>
      <c r="N71" s="242"/>
      <c r="O71" s="242"/>
      <c r="P71" s="242"/>
      <c r="Q71" s="243"/>
      <c r="R71" s="242"/>
      <c r="S71" s="242"/>
      <c r="T71" s="242"/>
      <c r="U71" s="243"/>
      <c r="V71" s="243"/>
      <c r="W71" s="243"/>
      <c r="X71" s="243"/>
      <c r="Y71" s="244"/>
      <c r="Z71" s="244"/>
      <c r="AA71" s="89"/>
      <c r="AB71" s="89"/>
    </row>
    <row r="72" spans="1:29" s="23" customFormat="1" ht="16.5" x14ac:dyDescent="0.2">
      <c r="M72" s="242"/>
      <c r="N72" s="242"/>
      <c r="O72" s="242"/>
      <c r="P72" s="242"/>
      <c r="Q72" s="243"/>
      <c r="R72" s="242"/>
      <c r="S72" s="242"/>
      <c r="T72" s="242"/>
      <c r="U72" s="243"/>
      <c r="V72" s="243"/>
      <c r="W72" s="243"/>
      <c r="X72" s="243"/>
      <c r="Y72" s="244"/>
      <c r="Z72" s="244"/>
      <c r="AA72" s="238">
        <v>3</v>
      </c>
      <c r="AB72" s="253">
        <v>4.750534536450958E-2</v>
      </c>
      <c r="AC72" s="23" t="s">
        <v>44</v>
      </c>
    </row>
    <row r="73" spans="1:29" s="254" customFormat="1" x14ac:dyDescent="0.2">
      <c r="A73" s="23"/>
      <c r="B73" s="23"/>
      <c r="C73" s="23"/>
      <c r="D73" s="23"/>
      <c r="E73" s="23"/>
      <c r="F73" s="23"/>
      <c r="G73" s="23"/>
      <c r="H73" s="23"/>
      <c r="I73" s="23"/>
      <c r="J73" s="23"/>
      <c r="K73" s="23"/>
      <c r="L73" s="23"/>
      <c r="N73" s="255"/>
      <c r="O73" s="255"/>
      <c r="P73" s="255"/>
      <c r="Q73" s="255"/>
      <c r="R73" s="255"/>
      <c r="S73" s="255"/>
      <c r="T73" s="255"/>
      <c r="U73" s="255"/>
      <c r="V73" s="255"/>
      <c r="W73" s="255"/>
      <c r="X73" s="255"/>
      <c r="Y73" s="255"/>
      <c r="AA73" s="238">
        <v>6</v>
      </c>
      <c r="AB73" s="253">
        <v>4.6681347061823211E-2</v>
      </c>
      <c r="AC73" s="23" t="s">
        <v>51</v>
      </c>
    </row>
    <row r="74" spans="1:29" s="23" customFormat="1" ht="14.25" x14ac:dyDescent="0.2">
      <c r="N74" s="256"/>
      <c r="O74" s="218"/>
      <c r="P74" s="218"/>
      <c r="Q74" s="218"/>
      <c r="R74" s="256"/>
      <c r="S74" s="256"/>
      <c r="T74" s="256"/>
      <c r="U74" s="244"/>
      <c r="V74" s="244"/>
      <c r="W74" s="244"/>
      <c r="X74" s="244"/>
      <c r="Y74" s="244"/>
      <c r="Z74" s="244"/>
      <c r="AA74" s="244"/>
    </row>
    <row r="75" spans="1:29" s="19" customFormat="1" ht="14.25" x14ac:dyDescent="0.2">
      <c r="A75" s="23"/>
      <c r="B75" s="23"/>
      <c r="C75" s="23"/>
      <c r="D75" s="23"/>
      <c r="E75" s="23"/>
      <c r="F75" s="23"/>
      <c r="G75" s="23"/>
      <c r="H75" s="23"/>
      <c r="I75" s="23"/>
      <c r="J75" s="23"/>
      <c r="K75" s="23"/>
      <c r="L75" s="23"/>
      <c r="W75" s="257"/>
      <c r="X75" s="257"/>
      <c r="Y75" s="257"/>
      <c r="Z75" s="257"/>
      <c r="AA75" s="257"/>
      <c r="AB75" s="257"/>
    </row>
    <row r="76" spans="1:29" s="23" customFormat="1" ht="14.25" x14ac:dyDescent="0.2">
      <c r="N76" s="258"/>
      <c r="O76" s="258"/>
      <c r="P76" s="258"/>
      <c r="Q76" s="244"/>
      <c r="R76" s="244"/>
      <c r="S76" s="89"/>
      <c r="T76" s="89"/>
      <c r="U76" s="89"/>
      <c r="V76" s="89"/>
      <c r="W76" s="89"/>
      <c r="X76" s="89"/>
      <c r="Y76" s="89"/>
    </row>
    <row r="77" spans="1:29" s="23" customFormat="1" ht="14.25" x14ac:dyDescent="0.2">
      <c r="N77" s="218"/>
      <c r="O77" s="218"/>
      <c r="P77" s="218"/>
      <c r="Q77" s="244"/>
      <c r="R77" s="244"/>
      <c r="S77" s="89"/>
      <c r="T77" s="89"/>
      <c r="U77" s="89"/>
      <c r="V77" s="89"/>
      <c r="W77" s="89"/>
      <c r="X77" s="89"/>
      <c r="Y77" s="89"/>
      <c r="Z77" s="89"/>
      <c r="AA77" s="89"/>
      <c r="AB77" s="89"/>
    </row>
    <row r="78" spans="1:29" x14ac:dyDescent="0.25">
      <c r="A78" s="4"/>
      <c r="N78" s="259"/>
      <c r="O78" s="259"/>
      <c r="P78" s="259"/>
      <c r="Q78" s="260"/>
      <c r="R78" s="261"/>
      <c r="S78" s="262"/>
      <c r="T78" s="262"/>
      <c r="U78" s="262"/>
      <c r="V78" s="262"/>
      <c r="W78" s="262"/>
      <c r="X78" s="262"/>
      <c r="Y78" s="262"/>
    </row>
    <row r="79" spans="1:29" x14ac:dyDescent="0.25">
      <c r="A79" s="4"/>
      <c r="N79" s="263"/>
      <c r="O79" s="263"/>
      <c r="P79" s="263"/>
      <c r="Q79" s="261"/>
      <c r="R79" s="260"/>
      <c r="S79" s="262"/>
      <c r="T79" s="262"/>
      <c r="U79" s="262"/>
      <c r="V79" s="262"/>
      <c r="W79" s="262"/>
      <c r="X79" s="262"/>
      <c r="Y79" s="262"/>
    </row>
    <row r="80" spans="1:29" x14ac:dyDescent="0.25">
      <c r="A80" s="4"/>
      <c r="N80" s="263"/>
      <c r="O80" s="263"/>
      <c r="P80" s="263"/>
      <c r="Q80" s="261"/>
      <c r="R80" s="261"/>
      <c r="S80" s="262"/>
      <c r="T80" s="262"/>
      <c r="U80" s="262"/>
      <c r="V80" s="262"/>
      <c r="W80" s="262"/>
      <c r="X80" s="262"/>
      <c r="Y80" s="262"/>
    </row>
    <row r="81" spans="1:25" x14ac:dyDescent="0.25">
      <c r="A81" s="4"/>
      <c r="N81" s="263"/>
      <c r="O81" s="263"/>
      <c r="P81" s="263"/>
      <c r="Q81" s="261"/>
      <c r="R81" s="261"/>
      <c r="S81" s="262"/>
      <c r="T81" s="262"/>
      <c r="U81" s="262"/>
      <c r="V81" s="262"/>
      <c r="W81" s="262"/>
      <c r="X81" s="262"/>
      <c r="Y81" s="262"/>
    </row>
    <row r="82" spans="1:25" x14ac:dyDescent="0.25">
      <c r="A82" s="4"/>
      <c r="R82" s="261"/>
      <c r="S82" s="262"/>
      <c r="T82" s="262"/>
      <c r="U82" s="262"/>
      <c r="V82" s="262"/>
      <c r="W82" s="262"/>
      <c r="X82" s="262"/>
      <c r="Y82" s="262"/>
    </row>
    <row r="83" spans="1:25" s="264" customFormat="1" x14ac:dyDescent="0.25">
      <c r="A83" s="4"/>
      <c r="B83" s="4"/>
      <c r="C83" s="4"/>
      <c r="D83" s="4"/>
      <c r="E83" s="4"/>
      <c r="F83" s="4"/>
      <c r="G83" s="4"/>
      <c r="H83" s="4"/>
      <c r="I83" s="4"/>
      <c r="J83" s="4"/>
      <c r="K83" s="4"/>
      <c r="L83" s="4"/>
      <c r="Y83" s="265"/>
    </row>
    <row r="84" spans="1:25" x14ac:dyDescent="0.25">
      <c r="A84" s="4"/>
    </row>
    <row r="85" spans="1:25" x14ac:dyDescent="0.25">
      <c r="A85" s="4"/>
    </row>
    <row r="86" spans="1:25" x14ac:dyDescent="0.25">
      <c r="A86" s="4"/>
    </row>
    <row r="87" spans="1:25" x14ac:dyDescent="0.25">
      <c r="A87" s="4"/>
    </row>
    <row r="88" spans="1:25" x14ac:dyDescent="0.25">
      <c r="A88" s="4"/>
    </row>
  </sheetData>
  <mergeCells count="24">
    <mergeCell ref="O62:P62"/>
    <mergeCell ref="O63:P63"/>
    <mergeCell ref="O69:P69"/>
    <mergeCell ref="O70:P70"/>
    <mergeCell ref="Q55:U55"/>
    <mergeCell ref="W55:AA55"/>
    <mergeCell ref="O58:P58"/>
    <mergeCell ref="O59:P59"/>
    <mergeCell ref="O60:P60"/>
    <mergeCell ref="O61:P61"/>
    <mergeCell ref="C34:M34"/>
    <mergeCell ref="O34:V34"/>
    <mergeCell ref="C35:G35"/>
    <mergeCell ref="H35:M35"/>
    <mergeCell ref="O35:P35"/>
    <mergeCell ref="Q35:V35"/>
    <mergeCell ref="C8:M8"/>
    <mergeCell ref="C21:G21"/>
    <mergeCell ref="H21:M21"/>
    <mergeCell ref="O21:V21"/>
    <mergeCell ref="C22:G22"/>
    <mergeCell ref="H22:M22"/>
    <mergeCell ref="O22:P22"/>
    <mergeCell ref="Q22:V22"/>
  </mergeCells>
  <dataValidations count="1">
    <dataValidation type="list" allowBlank="1" showInputMessage="1" showErrorMessage="1" sqref="W44">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Draft decision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2020-09-22T03:41:31Z</dcterms:created>
  <dcterms:modified xsi:type="dcterms:W3CDTF">2020-09-22T04:25:19Z</dcterms:modified>
</cp:coreProperties>
</file>