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VIC 2021-25\Powercor\DD\Total opex\Published version\"/>
    </mc:Choice>
  </mc:AlternateContent>
  <bookViews>
    <workbookView xWindow="0" yWindow="0" windowWidth="28800" windowHeight="1230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'Input|General'!$G$6:$G$16</definedName>
    <definedName name="_xlnm._FilterDatabase" localSheetId="3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86" i="42" l="1"/>
  <c r="E86" i="42"/>
  <c r="C86" i="42"/>
  <c r="F85" i="42"/>
  <c r="E85" i="42"/>
  <c r="C85" i="42"/>
  <c r="F84" i="42"/>
  <c r="E84" i="42"/>
  <c r="C84" i="42"/>
  <c r="F83" i="42"/>
  <c r="E83" i="42"/>
  <c r="C83" i="42"/>
  <c r="F82" i="42"/>
  <c r="E82" i="42"/>
  <c r="C82" i="42"/>
  <c r="F81" i="42"/>
  <c r="E81" i="42"/>
  <c r="C81" i="42"/>
  <c r="F80" i="42"/>
  <c r="E80" i="42"/>
  <c r="C80" i="42"/>
  <c r="F79" i="42"/>
  <c r="E79" i="42"/>
  <c r="C79" i="42"/>
  <c r="F78" i="42"/>
  <c r="E78" i="42"/>
  <c r="C78" i="42"/>
  <c r="F77" i="42"/>
  <c r="E77" i="42"/>
  <c r="C77" i="42"/>
  <c r="F67" i="55" l="1"/>
  <c r="F65" i="55"/>
  <c r="F63" i="55"/>
  <c r="F68" i="55"/>
  <c r="F66" i="55"/>
  <c r="F64" i="55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 l="1"/>
  <c r="T107" i="2"/>
  <c r="U107" i="2"/>
  <c r="S107" i="2"/>
  <c r="P30" i="42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M16" i="42"/>
  <c r="P16" i="42"/>
  <c r="T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W52" i="58"/>
  <c r="S52" i="58"/>
  <c r="R52" i="58"/>
  <c r="Q52" i="58"/>
  <c r="P52" i="58"/>
  <c r="O52" i="58"/>
  <c r="N52" i="58"/>
  <c r="M52" i="58"/>
  <c r="L52" i="58"/>
  <c r="K52" i="58"/>
  <c r="J52" i="58"/>
  <c r="T38" i="58"/>
  <c r="S38" i="58"/>
  <c r="S16" i="42" s="1"/>
  <c r="R38" i="58"/>
  <c r="R16" i="42" s="1"/>
  <c r="Q38" i="58"/>
  <c r="Q16" i="42" s="1"/>
  <c r="P38" i="58"/>
  <c r="O38" i="58"/>
  <c r="O16" i="42" s="1"/>
  <c r="N38" i="58"/>
  <c r="N16" i="42" s="1"/>
  <c r="M38" i="58"/>
  <c r="L38" i="58"/>
  <c r="L16" i="42" s="1"/>
  <c r="K38" i="58"/>
  <c r="K16" i="42" s="1"/>
  <c r="J38" i="58"/>
  <c r="J16" i="42" s="1"/>
  <c r="F38" i="58"/>
  <c r="E38" i="58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T65" i="42"/>
  <c r="T67" i="4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8" i="53"/>
  <c r="T42" i="53" s="1"/>
  <c r="P38" i="53"/>
  <c r="Q10" i="53"/>
  <c r="R10" i="53"/>
  <c r="S38" i="53"/>
  <c r="U77" i="2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8" i="53"/>
  <c r="R102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8" i="53"/>
  <c r="Q92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8" i="53"/>
  <c r="S92" i="42"/>
  <c r="S45" i="42"/>
  <c r="S37" i="42"/>
  <c r="S33" i="42"/>
  <c r="S48" i="42"/>
  <c r="S51" i="42"/>
  <c r="S39" i="42"/>
  <c r="S35" i="42"/>
  <c r="S42" i="42"/>
  <c r="S24" i="42"/>
  <c r="O63" i="42"/>
  <c r="O45" i="42"/>
  <c r="O48" i="42"/>
  <c r="O51" i="42"/>
  <c r="O39" i="42"/>
  <c r="O42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2" i="42"/>
  <c r="L10" i="42"/>
  <c r="L30" i="42" s="1"/>
  <c r="Q60" i="42"/>
  <c r="P102" i="42"/>
  <c r="J10" i="42"/>
  <c r="J30" i="42" s="1"/>
  <c r="R64" i="2"/>
  <c r="S95" i="2"/>
  <c r="S28" i="53"/>
  <c r="Q64" i="2"/>
  <c r="R95" i="2"/>
  <c r="P28" i="53"/>
  <c r="T28" i="53"/>
  <c r="T34" i="53" s="1"/>
  <c r="O10" i="42"/>
  <c r="O30" i="42" s="1"/>
  <c r="P60" i="42"/>
  <c r="S102" i="42"/>
  <c r="Q49" i="2"/>
  <c r="Q75" i="2"/>
  <c r="Q95" i="2"/>
  <c r="Q105" i="2"/>
  <c r="Q28" i="53"/>
  <c r="M10" i="42"/>
  <c r="M30" i="42" s="1"/>
  <c r="S60" i="42"/>
  <c r="Q74" i="42"/>
  <c r="T92" i="42"/>
  <c r="S74" i="42"/>
  <c r="R92" i="42"/>
  <c r="Q102" i="42"/>
  <c r="T60" i="42"/>
  <c r="R74" i="42"/>
  <c r="T102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U60" i="2" s="1"/>
  <c r="S64" i="2"/>
  <c r="U75" i="2"/>
  <c r="T95" i="2"/>
  <c r="U105" i="2"/>
  <c r="U109" i="2" s="1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G66" i="55"/>
  <c r="P12" i="2" s="1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K83" i="42" l="1"/>
  <c r="K81" i="42"/>
  <c r="Q80" i="42"/>
  <c r="K79" i="42"/>
  <c r="M78" i="42"/>
  <c r="O77" i="42"/>
  <c r="O81" i="42"/>
  <c r="M86" i="42"/>
  <c r="S85" i="42"/>
  <c r="M80" i="42"/>
  <c r="S79" i="42"/>
  <c r="K77" i="42"/>
  <c r="K85" i="42"/>
  <c r="O85" i="42"/>
  <c r="S83" i="42"/>
  <c r="P79" i="42"/>
  <c r="O83" i="42"/>
  <c r="O79" i="42"/>
  <c r="T80" i="42"/>
  <c r="T86" i="42"/>
  <c r="O84" i="42"/>
  <c r="O82" i="42"/>
  <c r="J82" i="42"/>
  <c r="O80" i="42"/>
  <c r="J80" i="42"/>
  <c r="L81" i="42"/>
  <c r="P83" i="42"/>
  <c r="T85" i="42"/>
  <c r="M77" i="42"/>
  <c r="M81" i="42"/>
  <c r="M85" i="42"/>
  <c r="J77" i="42"/>
  <c r="J79" i="42"/>
  <c r="J81" i="42"/>
  <c r="J83" i="42"/>
  <c r="J85" i="42"/>
  <c r="S80" i="42"/>
  <c r="T79" i="42"/>
  <c r="Q83" i="42"/>
  <c r="P80" i="42"/>
  <c r="R79" i="42"/>
  <c r="K84" i="42"/>
  <c r="J84" i="42"/>
  <c r="K82" i="42"/>
  <c r="N78" i="42"/>
  <c r="K80" i="42"/>
  <c r="M82" i="42"/>
  <c r="T83" i="42"/>
  <c r="J86" i="42"/>
  <c r="Q85" i="42"/>
  <c r="N77" i="42"/>
  <c r="N79" i="42"/>
  <c r="N81" i="42"/>
  <c r="N83" i="42"/>
  <c r="N85" i="42"/>
  <c r="L82" i="42"/>
  <c r="L86" i="42"/>
  <c r="N84" i="42"/>
  <c r="K78" i="42"/>
  <c r="L77" i="42"/>
  <c r="L83" i="42"/>
  <c r="R86" i="42"/>
  <c r="O86" i="42"/>
  <c r="P86" i="42"/>
  <c r="R83" i="42"/>
  <c r="R85" i="42"/>
  <c r="M84" i="42"/>
  <c r="O78" i="42"/>
  <c r="J78" i="42"/>
  <c r="R80" i="42"/>
  <c r="Q86" i="42"/>
  <c r="L79" i="42"/>
  <c r="L85" i="42"/>
  <c r="N86" i="42"/>
  <c r="M79" i="42"/>
  <c r="M83" i="42"/>
  <c r="K86" i="42"/>
  <c r="L78" i="42"/>
  <c r="L80" i="42"/>
  <c r="L84" i="42"/>
  <c r="S86" i="42"/>
  <c r="N82" i="42"/>
  <c r="N80" i="42"/>
  <c r="P85" i="42"/>
  <c r="Q79" i="42"/>
  <c r="E22" i="2"/>
  <c r="D22" i="2"/>
  <c r="C31" i="2"/>
  <c r="C32" i="2"/>
  <c r="E32" i="2" s="1"/>
  <c r="C27" i="2"/>
  <c r="C28" i="2"/>
  <c r="C29" i="2"/>
  <c r="D32" i="2"/>
  <c r="C30" i="2"/>
  <c r="U78" i="2"/>
  <c r="U80" i="2"/>
  <c r="U79" i="2"/>
  <c r="P32" i="2" l="1"/>
  <c r="U101" i="2"/>
  <c r="U97" i="2"/>
  <c r="U98" i="2"/>
  <c r="U99" i="2"/>
  <c r="U100" i="2"/>
  <c r="U7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T63" i="42" l="1"/>
  <c r="T69" i="42" s="1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W79" i="58"/>
  <c r="W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8" i="53"/>
  <c r="L38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Q101" i="2" l="1"/>
  <c r="T101" i="2"/>
  <c r="S101" i="2"/>
  <c r="R101" i="2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8" i="53"/>
  <c r="J10" i="53"/>
  <c r="L10" i="53"/>
  <c r="N28" i="53"/>
  <c r="N10" i="53"/>
  <c r="L28" i="53"/>
  <c r="J38" i="53"/>
  <c r="K38" i="53"/>
  <c r="K28" i="53"/>
  <c r="K10" i="53"/>
  <c r="M38" i="53"/>
  <c r="M28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S63" i="42" l="1"/>
  <c r="Q63" i="42"/>
  <c r="R63" i="42"/>
  <c r="P63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4" i="42"/>
  <c r="E104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6" i="42"/>
  <c r="F105" i="42"/>
  <c r="F98" i="42"/>
  <c r="F96" i="42"/>
  <c r="F95" i="42"/>
  <c r="F94" i="42"/>
  <c r="F88" i="42"/>
  <c r="F76" i="42"/>
  <c r="S42" i="53"/>
  <c r="Q42" i="53"/>
  <c r="O42" i="53"/>
  <c r="N24" i="53"/>
  <c r="M42" i="53"/>
  <c r="L24" i="53"/>
  <c r="K42" i="53"/>
  <c r="J24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G57" i="55"/>
  <c r="G58" i="55"/>
  <c r="G59" i="55"/>
  <c r="G60" i="55"/>
  <c r="N12" i="2" s="1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4" i="53"/>
  <c r="M24" i="53"/>
  <c r="K24" i="53"/>
  <c r="J34" i="53"/>
  <c r="L34" i="53"/>
  <c r="N34" i="53"/>
  <c r="P34" i="53"/>
  <c r="R34" i="53"/>
  <c r="J42" i="53"/>
  <c r="L42" i="53"/>
  <c r="N42" i="53"/>
  <c r="P42" i="53"/>
  <c r="R42" i="53"/>
  <c r="K34" i="53"/>
  <c r="M34" i="53"/>
  <c r="O34" i="53"/>
  <c r="Q34" i="53"/>
  <c r="S34" i="53"/>
  <c r="K47" i="2"/>
  <c r="M47" i="2"/>
  <c r="Q60" i="2"/>
  <c r="O47" i="2"/>
  <c r="S60" i="2"/>
  <c r="L47" i="2"/>
  <c r="L109" i="2"/>
  <c r="L73" i="2"/>
  <c r="N47" i="2"/>
  <c r="N109" i="2"/>
  <c r="N73" i="2"/>
  <c r="P109" i="2"/>
  <c r="P73" i="2"/>
  <c r="R60" i="2"/>
  <c r="R109" i="2"/>
  <c r="R73" i="2"/>
  <c r="T60" i="2"/>
  <c r="T109" i="2"/>
  <c r="T73" i="2"/>
  <c r="J109" i="2"/>
  <c r="J73" i="2"/>
  <c r="J47" i="2"/>
  <c r="S73" i="2"/>
  <c r="Q73" i="2"/>
  <c r="M73" i="2"/>
  <c r="K73" i="2"/>
  <c r="N22" i="2" l="1"/>
  <c r="O32" i="2"/>
  <c r="J70" i="42" a="1"/>
  <c r="J70" i="42" s="1"/>
  <c r="L70" i="42" a="1"/>
  <c r="L70" i="42" s="1"/>
  <c r="K70" i="42" a="1"/>
  <c r="K70" i="42" s="1"/>
  <c r="W73" i="2"/>
  <c r="X42" i="53"/>
  <c r="X34" i="53"/>
  <c r="W60" i="2"/>
  <c r="W109" i="2"/>
  <c r="N21" i="42" l="1"/>
  <c r="M22" i="2"/>
  <c r="N32" i="2"/>
  <c r="P47" i="2"/>
  <c r="S47" i="2"/>
  <c r="Q47" i="2"/>
  <c r="R47" i="2"/>
  <c r="T47" i="2"/>
  <c r="R81" i="42" l="1"/>
  <c r="T78" i="42"/>
  <c r="Q81" i="42"/>
  <c r="T81" i="42"/>
  <c r="S81" i="42"/>
  <c r="L22" i="2"/>
  <c r="M32" i="2"/>
  <c r="M21" i="42"/>
  <c r="W47" i="2"/>
  <c r="P81" i="42" l="1"/>
  <c r="L21" i="42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T77" i="42" l="1"/>
  <c r="J22" i="2"/>
  <c r="J32" i="2" s="1"/>
  <c r="K32" i="2"/>
  <c r="K21" i="42"/>
  <c r="E88" i="42"/>
  <c r="J21" i="42" l="1"/>
  <c r="E106" i="42" l="1"/>
  <c r="F15" i="42" l="1"/>
  <c r="F56" i="42"/>
  <c r="F54" i="42"/>
  <c r="C94" i="42" l="1"/>
  <c r="C95" i="42"/>
  <c r="C96" i="42"/>
  <c r="F13" i="44"/>
  <c r="E56" i="42"/>
  <c r="F35" i="42"/>
  <c r="E54" i="42"/>
  <c r="F13" i="42"/>
  <c r="E13" i="42"/>
  <c r="E15" i="42"/>
  <c r="E13" i="44"/>
  <c r="E105" i="42"/>
  <c r="E76" i="42"/>
  <c r="E94" i="42"/>
  <c r="E95" i="42"/>
  <c r="E96" i="42"/>
  <c r="E98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C76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Q78" i="42" l="1"/>
  <c r="R78" i="42"/>
  <c r="S78" i="42"/>
  <c r="R13" i="42"/>
  <c r="S13" i="42"/>
  <c r="P13" i="42"/>
  <c r="Q13" i="42"/>
  <c r="O13" i="42"/>
  <c r="N13" i="42"/>
  <c r="M13" i="42"/>
  <c r="L13" i="42"/>
  <c r="K13" i="42"/>
  <c r="J13" i="42"/>
  <c r="M69" i="42"/>
  <c r="K69" i="42"/>
  <c r="L69" i="42"/>
  <c r="R69" i="42"/>
  <c r="T1" i="2"/>
  <c r="G13" i="16" s="1"/>
  <c r="S1" i="54"/>
  <c r="G10" i="16" s="1"/>
  <c r="N69" i="42"/>
  <c r="J69" i="42"/>
  <c r="S77" i="42" l="1"/>
  <c r="P77" i="42"/>
  <c r="Q77" i="42"/>
  <c r="R77" i="42"/>
  <c r="P78" i="42"/>
  <c r="M70" i="42" a="1"/>
  <c r="M70" i="42" s="1"/>
  <c r="N70" i="42" a="1"/>
  <c r="N70" i="42" s="1"/>
  <c r="P69" i="42"/>
  <c r="O69" i="42"/>
  <c r="S69" i="42"/>
  <c r="Q69" i="42"/>
  <c r="T70" i="42" l="1" a="1"/>
  <c r="T70" i="42" s="1"/>
  <c r="S70" i="42" a="1"/>
  <c r="S70" i="42" s="1"/>
  <c r="Q70" i="42" a="1"/>
  <c r="Q70" i="42" s="1"/>
  <c r="R70" i="42" a="1"/>
  <c r="R70" i="42" s="1"/>
  <c r="O70" i="42" a="1"/>
  <c r="O70" i="42" s="1"/>
  <c r="P70" i="42" a="1"/>
  <c r="P70" i="42" s="1"/>
  <c r="P21" i="2" l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5" i="42"/>
  <c r="O95" i="42"/>
  <c r="M95" i="42"/>
  <c r="S94" i="42"/>
  <c r="S14" i="44" s="1"/>
  <c r="N94" i="42"/>
  <c r="L94" i="42"/>
  <c r="J76" i="42"/>
  <c r="R76" i="42"/>
  <c r="K76" i="42"/>
  <c r="J96" i="42"/>
  <c r="T96" i="42"/>
  <c r="T16" i="44" s="1"/>
  <c r="J94" i="42"/>
  <c r="R96" i="42"/>
  <c r="R16" i="44" s="1"/>
  <c r="J95" i="42"/>
  <c r="P95" i="42"/>
  <c r="P15" i="44" s="1"/>
  <c r="R95" i="42"/>
  <c r="R15" i="44" s="1"/>
  <c r="O94" i="42"/>
  <c r="R94" i="42"/>
  <c r="R14" i="44" s="1"/>
  <c r="T94" i="42"/>
  <c r="T14" i="44" s="1"/>
  <c r="Q76" i="42"/>
  <c r="P76" i="42"/>
  <c r="T76" i="42"/>
  <c r="N96" i="42"/>
  <c r="O96" i="42"/>
  <c r="K96" i="42"/>
  <c r="Q95" i="42"/>
  <c r="Q15" i="44" s="1"/>
  <c r="K95" i="42"/>
  <c r="P94" i="42"/>
  <c r="P14" i="44" s="1"/>
  <c r="S76" i="42"/>
  <c r="P96" i="42"/>
  <c r="P16" i="44" s="1"/>
  <c r="T95" i="42"/>
  <c r="T15" i="44" s="1"/>
  <c r="L95" i="42"/>
  <c r="S95" i="42"/>
  <c r="S15" i="44" s="1"/>
  <c r="Q94" i="42"/>
  <c r="Q14" i="44" s="1"/>
  <c r="K94" i="42"/>
  <c r="M94" i="42"/>
  <c r="M76" i="42"/>
  <c r="N76" i="42"/>
  <c r="O76" i="42"/>
  <c r="M96" i="42"/>
  <c r="L96" i="42"/>
  <c r="S96" i="42"/>
  <c r="S16" i="44" s="1"/>
  <c r="L76" i="42"/>
  <c r="Q96" i="42"/>
  <c r="Q16" i="44" s="1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 l="1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T98" i="42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8" i="42" l="1"/>
  <c r="K54" i="42"/>
  <c r="K56" i="42" s="1"/>
  <c r="L88" i="42"/>
  <c r="S54" i="42"/>
  <c r="S56" i="42" s="1"/>
  <c r="J88" i="42"/>
  <c r="P54" i="42"/>
  <c r="P56" i="42" s="1"/>
  <c r="K88" i="42"/>
  <c r="S98" i="42"/>
  <c r="L98" i="42"/>
  <c r="Q54" i="42"/>
  <c r="Q56" i="42" s="1"/>
  <c r="R98" i="42"/>
  <c r="N88" i="42"/>
  <c r="K98" i="42"/>
  <c r="R54" i="42"/>
  <c r="R56" i="42" s="1"/>
  <c r="O88" i="42"/>
  <c r="Q98" i="42"/>
  <c r="N98" i="42"/>
  <c r="M88" i="42"/>
  <c r="J54" i="42"/>
  <c r="O98" i="42"/>
  <c r="P98" i="42"/>
  <c r="M98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O54" i="42" s="1"/>
  <c r="O56" i="42" l="1"/>
  <c r="N54" i="42"/>
  <c r="N56" i="42" s="1"/>
  <c r="T84" i="42" l="1"/>
  <c r="S84" i="42"/>
  <c r="Q84" i="42"/>
  <c r="R84" i="42"/>
  <c r="S82" i="42" l="1"/>
  <c r="S88" i="42" s="1"/>
  <c r="S24" i="53"/>
  <c r="R24" i="53"/>
  <c r="R82" i="42"/>
  <c r="R88" i="42" s="1"/>
  <c r="Q82" i="42"/>
  <c r="Q88" i="42" s="1"/>
  <c r="Q24" i="53"/>
  <c r="T24" i="53"/>
  <c r="T82" i="42"/>
  <c r="T88" i="42" s="1"/>
  <c r="P84" i="42" l="1"/>
  <c r="R104" i="42"/>
  <c r="R13" i="44" s="1"/>
  <c r="R105" i="42"/>
  <c r="Q105" i="42"/>
  <c r="Q104" i="42"/>
  <c r="Q13" i="44" s="1"/>
  <c r="T105" i="42"/>
  <c r="T104" i="42"/>
  <c r="T13" i="44" s="1"/>
  <c r="S104" i="42"/>
  <c r="S13" i="44" s="1"/>
  <c r="S105" i="42"/>
  <c r="S106" i="42" l="1"/>
  <c r="R106" i="42"/>
  <c r="Q106" i="42"/>
  <c r="P82" i="42"/>
  <c r="P88" i="42" s="1"/>
  <c r="P24" i="53"/>
  <c r="X24" i="53" s="1"/>
  <c r="S1" i="53" s="1"/>
  <c r="G14" i="16" s="1"/>
  <c r="S1" i="16" s="1"/>
  <c r="T106" i="42"/>
  <c r="P105" i="42" l="1"/>
  <c r="P104" i="42"/>
  <c r="P13" i="44" s="1"/>
  <c r="W1" i="44"/>
  <c r="V1" i="58"/>
  <c r="W1" i="42"/>
  <c r="W1" i="53"/>
  <c r="W1" i="55"/>
  <c r="V1" i="54"/>
  <c r="W1" i="2"/>
  <c r="V1" i="4"/>
  <c r="P106" i="42" l="1"/>
</calcChain>
</file>

<file path=xl/sharedStrings.xml><?xml version="1.0" encoding="utf-8"?>
<sst xmlns="http://schemas.openxmlformats.org/spreadsheetml/2006/main" count="746" uniqueCount="222">
  <si>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</si>
  <si>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</si>
  <si>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</si>
  <si>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</si>
  <si>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</si>
  <si>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</si>
  <si>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</si>
  <si>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</si>
  <si>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</si>
  <si>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</si>
  <si>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</si>
  <si>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</si>
  <si>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</si>
  <si>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</si>
  <si>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</si>
  <si>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</si>
  <si>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</si>
  <si>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</si>
  <si>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</si>
  <si>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</si>
  <si>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</si>
  <si>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</si>
  <si>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</si>
  <si>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</si>
  <si>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</si>
  <si>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</si>
  <si>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</si>
  <si>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</si>
  <si>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</si>
  <si>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</si>
  <si>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</si>
  <si>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</si>
  <si>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</si>
  <si>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</si>
  <si>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</si>
  <si>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</si>
  <si>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</si>
  <si>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</si>
  <si>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</si>
  <si>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</si>
  <si>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</si>
  <si>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</si>
  <si>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</si>
  <si>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</si>
  <si>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</si>
  <si>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</si>
  <si>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</si>
  <si>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</si>
  <si>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</si>
  <si>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</si>
  <si>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</si>
  <si>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</si>
  <si>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</si>
  <si>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</si>
  <si>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</si>
  <si>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</si>
  <si>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</si>
  <si>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</si>
  <si>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</si>
  <si>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</si>
  <si>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</si>
  <si>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</si>
  <si>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</si>
  <si>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</si>
  <si>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</si>
  <si>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</si>
  <si>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</si>
  <si>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</si>
  <si>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</si>
  <si>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</si>
  <si>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</si>
  <si>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</si>
  <si>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</si>
  <si>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</si>
  <si>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</si>
  <si>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</si>
  <si>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</si>
  <si>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</si>
  <si>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</si>
  <si>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</si>
  <si>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</si>
  <si>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</si>
  <si>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</si>
  <si>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</si>
  <si>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</si>
  <si>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</si>
  <si>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</si>
  <si>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</si>
  <si>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</si>
  <si>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</si>
  <si>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</si>
  <si>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</si>
  <si>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</si>
  <si>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</si>
  <si>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</si>
  <si>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</si>
  <si>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</si>
  <si>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</si>
  <si>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</si>
  <si>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</si>
  <si>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</si>
  <si>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</si>
  <si>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</si>
  <si>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</si>
  <si>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</si>
  <si>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</si>
  <si>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</si>
  <si>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</si>
  <si>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</si>
  <si>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</si>
  <si>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</si>
  <si>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</si>
  <si>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</si>
  <si>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</si>
  <si>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</si>
  <si>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</si>
  <si>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</si>
  <si>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</si>
  <si>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</si>
  <si>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</si>
  <si>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</si>
  <si>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</si>
  <si>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</si>
  <si>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</si>
  <si>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</si>
  <si>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</si>
  <si>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</si>
  <si>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</si>
  <si>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</si>
  <si>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</si>
  <si>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</si>
  <si>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</si>
  <si>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</si>
  <si>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</si>
  <si>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</si>
  <si>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</si>
  <si>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</si>
  <si>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</si>
  <si>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</si>
  <si>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</si>
  <si>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</si>
  <si>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</si>
  <si>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</si>
  <si>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</si>
  <si>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</si>
  <si>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</si>
  <si>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</si>
  <si>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</si>
  <si>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</si>
  <si>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</si>
  <si>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</si>
  <si>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</si>
  <si>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</si>
  <si>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</si>
  <si>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</si>
  <si>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</si>
  <si>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</si>
  <si>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</si>
  <si>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</si>
  <si>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</si>
  <si>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</si>
  <si>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</si>
  <si>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</si>
  <si>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</si>
  <si>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</si>
  <si>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</si>
  <si>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</si>
  <si>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</si>
  <si>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</si>
  <si>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</si>
  <si>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</si>
  <si>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</si>
  <si>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</si>
  <si>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</si>
  <si>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</si>
  <si>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</si>
  <si>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</si>
  <si>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</si>
  <si>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</si>
  <si>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</si>
  <si>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</si>
  <si>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</si>
  <si>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</si>
  <si>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</si>
  <si>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</si>
  <si>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</si>
  <si>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</si>
  <si>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</si>
  <si>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</si>
  <si>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</si>
  <si>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</si>
  <si>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</si>
  <si>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</si>
  <si>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</si>
  <si>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</si>
  <si>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</si>
  <si>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</si>
  <si>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</si>
  <si>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</si>
  <si>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</si>
  <si>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</si>
  <si>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</si>
  <si>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</si>
  <si>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</si>
  <si>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</si>
  <si>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Emergency recoverable works</t>
  </si>
  <si>
    <t>Communications network</t>
  </si>
  <si>
    <t>Wasted truck visits</t>
  </si>
  <si>
    <t>Replacement expenditure on faults and minor repairs</t>
  </si>
  <si>
    <t>Security of critical infrastructure</t>
  </si>
  <si>
    <t>EPA regulations change</t>
  </si>
  <si>
    <t>IT cloud solutions</t>
  </si>
  <si>
    <t>5 minute settlement</t>
  </si>
  <si>
    <t>Financial year RIN</t>
  </si>
  <si>
    <t>ESV levy</t>
  </si>
  <si>
    <t>Solar enablement</t>
  </si>
  <si>
    <t>GSLs</t>
  </si>
  <si>
    <t>Powercor</t>
  </si>
  <si>
    <t>HBRA zone reclassification</t>
  </si>
  <si>
    <t xml:space="preserve">REFCL on-going operating expenditure </t>
  </si>
  <si>
    <t>Replacing EDO fuses with fault tamers</t>
  </si>
  <si>
    <t>Increasing 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</si>
</sst>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71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9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</cellStyleXfs>
  <cellXfs count="224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164" fontId="4" fillId="0" borderId="0" xfId="0" applyNumberFormat="1" applyFont="1" applyProtection="1"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71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8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6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0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2" xfId="267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69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5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>
      <selection activeCell="A38" sqref="A38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194</v>
      </c>
      <c r="D10" s="7" t="s">
        <v>181</v>
      </c>
    </row>
    <row r="11" spans="1:47">
      <c r="C11" s="19" t="s">
        <v>59</v>
      </c>
      <c r="D11" s="7" t="s">
        <v>50</v>
      </c>
    </row>
    <row r="12" spans="1:47">
      <c r="C12" s="19" t="s">
        <v>195</v>
      </c>
      <c r="D12" s="7" t="s">
        <v>182</v>
      </c>
    </row>
    <row r="13" spans="1:47">
      <c r="C13" s="19" t="s">
        <v>196</v>
      </c>
      <c r="D13" s="7" t="s">
        <v>183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G7" sqref="G7:G16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217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52" t="s">
        <v>134</v>
      </c>
      <c r="H8" s="29"/>
      <c r="I8" s="29"/>
      <c r="S8" s="131" t="str">
        <f>IF(COUNTBLANK($G8),"Check","Ok")</f>
        <v>Ok</v>
      </c>
    </row>
    <row r="9" spans="1:47">
      <c r="C9" s="29" t="s">
        <v>190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191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192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148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193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5" priority="13" operator="equal">
      <formula>"Check"</formula>
    </cfRule>
    <cfRule type="cellIs" dxfId="254" priority="14" operator="equal">
      <formula>"Ok"</formula>
    </cfRule>
  </conditionalFormatting>
  <conditionalFormatting sqref="V1">
    <cfRule type="cellIs" dxfId="253" priority="3" operator="equal">
      <formula>"Check"</formula>
    </cfRule>
    <cfRule type="cellIs" dxfId="252" priority="4" operator="equal">
      <formula>"Ok"</formula>
    </cfRule>
  </conditionalFormatting>
  <conditionalFormatting sqref="S7:S16">
    <cfRule type="cellIs" dxfId="251" priority="5" operator="equal">
      <formula>"Check"</formula>
    </cfRule>
    <cfRule type="cellIs" dxfId="250" priority="6" operator="equal">
      <formula>"Ok"</formula>
    </cfRule>
  </conditionalFormatting>
  <conditionalFormatting sqref="S1">
    <cfRule type="cellIs" dxfId="249" priority="1" operator="equal">
      <formula>"Check"</formula>
    </cfRule>
    <cfRule type="cellIs" dxfId="248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A5" sqref="A5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7" priority="11" operator="equal">
      <formula>"Check"</formula>
    </cfRule>
    <cfRule type="cellIs" dxfId="246" priority="12" operator="equal">
      <formula>"Ok"</formula>
    </cfRule>
  </conditionalFormatting>
  <conditionalFormatting sqref="W1">
    <cfRule type="cellIs" dxfId="245" priority="7" operator="equal">
      <formula>"Check"</formula>
    </cfRule>
    <cfRule type="cellIs" dxfId="244" priority="8" operator="equal">
      <formula>"Ok"</formula>
    </cfRule>
  </conditionalFormatting>
  <conditionalFormatting sqref="T1">
    <cfRule type="cellIs" dxfId="243" priority="5" operator="equal">
      <formula>"Check"</formula>
    </cfRule>
    <cfRule type="cellIs" dxfId="242" priority="6" operator="equal">
      <formula>"Ok"</formula>
    </cfRule>
  </conditionalFormatting>
  <conditionalFormatting sqref="X51:X57">
    <cfRule type="cellIs" dxfId="241" priority="3" operator="equal">
      <formula>"Check"</formula>
    </cfRule>
    <cfRule type="cellIs" dxfId="240" priority="4" operator="equal">
      <formula>"Ok"</formula>
    </cfRule>
  </conditionalFormatting>
  <conditionalFormatting sqref="X58:X62 T9:T84">
    <cfRule type="cellIs" dxfId="239" priority="1" operator="equal">
      <formula>"Check"</formula>
    </cfRule>
    <cfRule type="cellIs" dxfId="238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zoomScale="115" zoomScaleNormal="115" workbookViewId="0">
      <selection activeCell="Q89" sqref="Q89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24" width="0" style="103" hidden="1" customWidth="1"/>
    <col min="25" max="16384" width="9.33203125" style="103" hidden="1"/>
  </cols>
  <sheetData>
    <row r="1" spans="1:23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IF(COUNTA($W$29:$W$288)=COUNTIF($W$29:$W$288,"OK"),"OK","Check")</f>
        <v>OK</v>
      </c>
      <c r="T1" s="76"/>
      <c r="U1" s="185" t="s">
        <v>24</v>
      </c>
      <c r="V1" s="76" t="str">
        <f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200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227.20857397562551</v>
      </c>
      <c r="K13" s="161">
        <v>235.26845919388919</v>
      </c>
      <c r="L13" s="161">
        <v>247.73718575950224</v>
      </c>
      <c r="M13" s="161">
        <v>247.91517863126015</v>
      </c>
      <c r="N13" s="161">
        <v>252.31584364778593</v>
      </c>
      <c r="O13" s="150"/>
      <c r="P13" s="150"/>
      <c r="Q13" s="150"/>
      <c r="R13" s="150"/>
      <c r="S13" s="150"/>
      <c r="T13" s="150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227.20857397562551</v>
      </c>
      <c r="K15" s="129">
        <f t="shared" ref="K15:T15" si="1">K13</f>
        <v>235.26845919388919</v>
      </c>
      <c r="L15" s="129">
        <f t="shared" si="1"/>
        <v>247.73718575950224</v>
      </c>
      <c r="M15" s="129">
        <f t="shared" si="1"/>
        <v>247.91517863126015</v>
      </c>
      <c r="N15" s="129">
        <f t="shared" si="1"/>
        <v>252.31584364778593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1.6620102906657084</v>
      </c>
      <c r="K19" s="161">
        <v>1.7490670445742109</v>
      </c>
      <c r="L19" s="161">
        <v>1.8565094484111484</v>
      </c>
      <c r="M19" s="161">
        <v>1.9712092113177384</v>
      </c>
      <c r="N19" s="161">
        <v>2.0619088757803503</v>
      </c>
      <c r="O19" s="150"/>
      <c r="P19" s="150"/>
      <c r="Q19" s="150"/>
      <c r="R19" s="150"/>
      <c r="S19" s="150"/>
      <c r="T19" s="150"/>
      <c r="U19" s="29"/>
      <c r="V19" s="29"/>
      <c r="W19" s="29"/>
    </row>
    <row r="20" spans="1:23">
      <c r="A20" s="29"/>
      <c r="B20" s="29"/>
      <c r="C20" s="61" t="s">
        <v>186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3.0996437859920776</v>
      </c>
      <c r="K20" s="161">
        <v>3.0996437859920776</v>
      </c>
      <c r="L20" s="161">
        <v>3.0996437859920776</v>
      </c>
      <c r="M20" s="161">
        <v>3.0996437859920776</v>
      </c>
      <c r="N20" s="161">
        <v>3.0996437859920776</v>
      </c>
      <c r="O20" s="150"/>
      <c r="P20" s="150"/>
      <c r="Q20" s="150"/>
      <c r="R20" s="150"/>
      <c r="S20" s="150"/>
      <c r="T20" s="150"/>
      <c r="U20" s="29"/>
      <c r="V20" s="29"/>
      <c r="W20" s="29"/>
    </row>
    <row r="21" spans="1:23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</row>
    <row r="22" spans="1:23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</row>
    <row r="23" spans="1:23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</row>
    <row r="24" spans="1:23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</row>
    <row r="25" spans="1:23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</row>
    <row r="26" spans="1:23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</row>
    <row r="27" spans="1:23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</row>
    <row r="29" spans="1:23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4.761654076657786</v>
      </c>
      <c r="K29" s="129">
        <f t="shared" ref="K29:S29" si="4">SUM(K19:K27)</f>
        <v>4.8487108305662883</v>
      </c>
      <c r="L29" s="129">
        <f t="shared" si="4"/>
        <v>4.9561532344032262</v>
      </c>
      <c r="M29" s="129">
        <f t="shared" si="4"/>
        <v>5.0708529973098155</v>
      </c>
      <c r="N29" s="129">
        <f t="shared" si="4"/>
        <v>5.1615526617724274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201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8"/>
      <c r="V33" s="138"/>
      <c r="W33" s="29"/>
    </row>
    <row r="34" spans="1:23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</row>
    <row r="35" spans="1:23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138.73097438447596</v>
      </c>
      <c r="P36" s="161"/>
      <c r="Q36" s="161"/>
      <c r="R36" s="161"/>
      <c r="S36" s="161"/>
      <c r="T36" s="161"/>
      <c r="U36" s="29"/>
      <c r="V36" s="29"/>
      <c r="W36" s="29"/>
    </row>
    <row r="37" spans="1:23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</row>
    <row r="38" spans="1:23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138.73097438447596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</row>
    <row r="39" spans="1:23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</row>
    <row r="40" spans="1:23">
      <c r="A40" s="29"/>
      <c r="B40" s="29"/>
      <c r="C40" s="67" t="s">
        <v>157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</row>
    <row r="41" spans="1:23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</row>
    <row r="42" spans="1:23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1.0857735077898052</v>
      </c>
      <c r="P42" s="150"/>
      <c r="Q42" s="150"/>
      <c r="R42" s="150"/>
      <c r="S42" s="150"/>
      <c r="T42" s="150"/>
      <c r="U42" s="29"/>
      <c r="V42" s="29"/>
      <c r="W42" s="29"/>
    </row>
    <row r="43" spans="1:23">
      <c r="A43" s="29"/>
      <c r="B43" s="29"/>
      <c r="C43" s="61" t="s">
        <v>186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1.6821071980232147</v>
      </c>
      <c r="P43" s="150"/>
      <c r="Q43" s="150"/>
      <c r="R43" s="150"/>
      <c r="S43" s="150"/>
      <c r="T43" s="150"/>
      <c r="U43" s="29"/>
      <c r="V43" s="29"/>
      <c r="W43" s="29"/>
    </row>
    <row r="44" spans="1:23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</row>
    <row r="45" spans="1:23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</row>
    <row r="46" spans="1:23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</row>
    <row r="47" spans="1:23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</row>
    <row r="48" spans="1:23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</row>
    <row r="49" spans="1:23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</row>
    <row r="50" spans="1:23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</row>
    <row r="51" spans="1:23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</row>
    <row r="52" spans="1:23">
      <c r="A52" s="29"/>
      <c r="B52" s="29"/>
      <c r="C52" s="139" t="s">
        <v>155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2.7678807058130199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 t="str">
        <f>IF(COUNTIF(J42:S50,"&lt;0")&gt;0,"Check","Ok")</f>
        <v>Ok</v>
      </c>
    </row>
    <row r="53" spans="1:23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8"/>
      <c r="W54" s="98"/>
    </row>
    <row r="55" spans="1:23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</row>
    <row r="57" spans="1:23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8"/>
      <c r="V57" s="138"/>
      <c r="W57" s="29"/>
    </row>
    <row r="58" spans="1:23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197.13364757204533</v>
      </c>
      <c r="K60" s="161">
        <v>214.07976014771</v>
      </c>
      <c r="L60" s="161">
        <v>223.88679698387105</v>
      </c>
      <c r="M60" s="161">
        <v>225.69319940000003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</row>
    <row r="61" spans="1:23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</row>
    <row r="62" spans="1:23">
      <c r="A62" s="29"/>
      <c r="B62" s="29"/>
      <c r="C62" s="67" t="s">
        <v>177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</row>
    <row r="63" spans="1:23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</row>
    <row r="64" spans="1:23">
      <c r="A64" s="29"/>
      <c r="B64" s="29"/>
      <c r="C64" s="61" t="s">
        <v>174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-8.0202334250815888</v>
      </c>
      <c r="K64" s="161">
        <v>1.7305429999999999</v>
      </c>
      <c r="L64" s="161">
        <v>5.2668002325138916</v>
      </c>
      <c r="M64" s="161">
        <v>-9.8760068599999986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</row>
    <row r="65" spans="1:23">
      <c r="A65" s="29"/>
      <c r="B65" s="29"/>
      <c r="C65" s="61" t="s">
        <v>185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</v>
      </c>
      <c r="K65" s="161">
        <v>5.6903000000000002E-2</v>
      </c>
      <c r="L65" s="161">
        <v>0</v>
      </c>
      <c r="M65" s="161">
        <v>0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</row>
    <row r="66" spans="1:23">
      <c r="A66" s="29"/>
      <c r="B66" s="29"/>
      <c r="C66" s="61" t="s">
        <v>187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</row>
    <row r="67" spans="1:23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</row>
    <row r="68" spans="1:23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</row>
    <row r="69" spans="1:23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</row>
    <row r="70" spans="1:23">
      <c r="A70" s="29"/>
      <c r="B70" s="29"/>
      <c r="C70" s="139" t="s">
        <v>175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205.15388099712692</v>
      </c>
      <c r="K70" s="129">
        <f t="shared" ref="K70:S70" si="12">K60-SUM(K64:K68)</f>
        <v>212.29231414771002</v>
      </c>
      <c r="L70" s="129">
        <f t="shared" si="12"/>
        <v>218.61999675135715</v>
      </c>
      <c r="M70" s="129">
        <f t="shared" si="12"/>
        <v>235.56920626000002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</row>
    <row r="71" spans="1:23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</row>
    <row r="72" spans="1:23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</row>
    <row r="73" spans="1:23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</row>
    <row r="74" spans="1:23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</row>
    <row r="75" spans="1:23">
      <c r="A75" s="29"/>
      <c r="B75" s="29"/>
      <c r="C75" s="61" t="s">
        <v>186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3.2959469800000001</v>
      </c>
      <c r="K75" s="161">
        <v>3.0511071699999999</v>
      </c>
      <c r="L75" s="161">
        <v>2.2502399999999998</v>
      </c>
      <c r="M75" s="161">
        <v>1.412155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</row>
    <row r="76" spans="1:23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</row>
    <row r="77" spans="1:23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</row>
    <row r="78" spans="1:23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</row>
    <row r="79" spans="1:23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3.2959469800000001</v>
      </c>
      <c r="K79" s="184">
        <f t="shared" ref="K79:S79" si="14">SUM(K74:K77)</f>
        <v>3.0511071699999999</v>
      </c>
      <c r="L79" s="184">
        <f t="shared" si="14"/>
        <v>2.2502399999999998</v>
      </c>
      <c r="M79" s="184">
        <f t="shared" si="14"/>
        <v>1.412155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 t="str">
        <f>IF(COUNTIF(J74:S77,"&lt;0")&gt;0,"Check","Ok")</f>
        <v>Ok</v>
      </c>
    </row>
    <row r="80" spans="1:23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8"/>
      <c r="W81" s="98"/>
    </row>
    <row r="82" spans="1:23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</row>
    <row r="84" spans="1:23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</row>
    <row r="85" spans="1:23">
      <c r="A85" s="29"/>
      <c r="B85" s="29"/>
      <c r="C85" s="61" t="s">
        <v>205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0.24592608489294868</v>
      </c>
      <c r="P85" s="161"/>
      <c r="Q85" s="161"/>
      <c r="R85" s="161"/>
      <c r="S85" s="161"/>
      <c r="T85" s="161"/>
      <c r="U85" s="142"/>
      <c r="V85" s="142"/>
      <c r="W85" s="29"/>
    </row>
    <row r="86" spans="1:23">
      <c r="A86" s="29"/>
      <c r="B86" s="29"/>
      <c r="C86" s="61" t="s">
        <v>206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0.3654947333671224</v>
      </c>
      <c r="P86" s="161"/>
      <c r="Q86" s="161"/>
      <c r="R86" s="161"/>
      <c r="S86" s="161"/>
      <c r="T86" s="161"/>
      <c r="U86" s="142"/>
      <c r="V86" s="142"/>
      <c r="W86" s="29"/>
    </row>
    <row r="87" spans="1:23">
      <c r="A87" s="29"/>
      <c r="B87" s="29"/>
      <c r="C87" s="61" t="s">
        <v>207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>
        <v>1.190045034053195</v>
      </c>
      <c r="P87" s="161"/>
      <c r="Q87" s="161"/>
      <c r="R87" s="161"/>
      <c r="S87" s="161"/>
      <c r="T87" s="161"/>
      <c r="U87" s="142"/>
      <c r="V87" s="142"/>
      <c r="W87" s="29"/>
    </row>
    <row r="88" spans="1:23">
      <c r="A88" s="29"/>
      <c r="B88" s="29"/>
      <c r="C88" s="61" t="s">
        <v>208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0</v>
      </c>
      <c r="P88" s="161"/>
      <c r="Q88" s="161"/>
      <c r="R88" s="161"/>
      <c r="S88" s="161"/>
      <c r="T88" s="161"/>
      <c r="U88" s="142"/>
      <c r="V88" s="142"/>
      <c r="W88" s="29"/>
    </row>
    <row r="89" spans="1:23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42"/>
      <c r="V89" s="142"/>
      <c r="W89" s="29"/>
    </row>
    <row r="90" spans="1:23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62"/>
      <c r="V90" s="162"/>
      <c r="W90" s="195"/>
    </row>
    <row r="91" spans="1:23">
      <c r="A91" s="29"/>
      <c r="B91" s="29"/>
      <c r="C91" s="61" t="s">
        <v>176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42"/>
      <c r="V91" s="142"/>
      <c r="W91" s="29"/>
    </row>
    <row r="92" spans="1:23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62"/>
      <c r="V92" s="162"/>
      <c r="W92" s="195"/>
    </row>
    <row r="93" spans="1:23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42"/>
      <c r="V93" s="142"/>
      <c r="W93" s="29"/>
    </row>
    <row r="94" spans="1:23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8"/>
      <c r="W95" s="98"/>
    </row>
  </sheetData>
  <conditionalFormatting sqref="W60 W74:W77 W64:W68">
    <cfRule type="cellIs" dxfId="237" priority="55" operator="equal">
      <formula>"Check"</formula>
    </cfRule>
    <cfRule type="cellIs" dxfId="236" priority="56" operator="equal">
      <formula>"Ok"</formula>
    </cfRule>
  </conditionalFormatting>
  <conditionalFormatting sqref="W79">
    <cfRule type="cellIs" dxfId="235" priority="53" operator="equal">
      <formula>"Check"</formula>
    </cfRule>
    <cfRule type="cellIs" dxfId="234" priority="54" operator="equal">
      <formula>"Ok"</formula>
    </cfRule>
  </conditionalFormatting>
  <conditionalFormatting sqref="W15">
    <cfRule type="cellIs" dxfId="233" priority="51" operator="equal">
      <formula>"Check"</formula>
    </cfRule>
    <cfRule type="cellIs" dxfId="232" priority="52" operator="equal">
      <formula>"Ok"</formula>
    </cfRule>
  </conditionalFormatting>
  <conditionalFormatting sqref="V1">
    <cfRule type="cellIs" dxfId="231" priority="49" operator="equal">
      <formula>"Check"</formula>
    </cfRule>
    <cfRule type="cellIs" dxfId="230" priority="50" operator="equal">
      <formula>"Ok"</formula>
    </cfRule>
  </conditionalFormatting>
  <conditionalFormatting sqref="S1:T1">
    <cfRule type="cellIs" dxfId="229" priority="47" operator="equal">
      <formula>"Check"</formula>
    </cfRule>
    <cfRule type="cellIs" dxfId="228" priority="48" operator="equal">
      <formula>"Ok"</formula>
    </cfRule>
  </conditionalFormatting>
  <conditionalFormatting sqref="J15:T15">
    <cfRule type="cellIs" dxfId="227" priority="46" operator="equal">
      <formula>0</formula>
    </cfRule>
  </conditionalFormatting>
  <conditionalFormatting sqref="J79:S79">
    <cfRule type="cellIs" dxfId="226" priority="45" operator="equal">
      <formula>0</formula>
    </cfRule>
  </conditionalFormatting>
  <conditionalFormatting sqref="W71:W73">
    <cfRule type="cellIs" dxfId="225" priority="43" operator="equal">
      <formula>"Check"</formula>
    </cfRule>
    <cfRule type="cellIs" dxfId="224" priority="44" operator="equal">
      <formula>"Ok"</formula>
    </cfRule>
  </conditionalFormatting>
  <conditionalFormatting sqref="J56:T56 N60:T60 J64:T68 J74:S77">
    <cfRule type="expression" dxfId="223" priority="41">
      <formula>J$57=J$4</formula>
    </cfRule>
  </conditionalFormatting>
  <conditionalFormatting sqref="P13:T13 J21:T27 O19:T20">
    <cfRule type="expression" dxfId="222" priority="40">
      <formula>J$10=J$4</formula>
    </cfRule>
  </conditionalFormatting>
  <conditionalFormatting sqref="J60:O60">
    <cfRule type="expression" dxfId="221" priority="37">
      <formula>J$10=J$4</formula>
    </cfRule>
  </conditionalFormatting>
  <conditionalFormatting sqref="W70">
    <cfRule type="cellIs" dxfId="220" priority="35" operator="equal">
      <formula>"Check"</formula>
    </cfRule>
    <cfRule type="cellIs" dxfId="219" priority="36" operator="equal">
      <formula>"Ok"</formula>
    </cfRule>
  </conditionalFormatting>
  <conditionalFormatting sqref="J70:S70">
    <cfRule type="cellIs" dxfId="218" priority="33" operator="equal">
      <formula>0</formula>
    </cfRule>
  </conditionalFormatting>
  <conditionalFormatting sqref="J89:T89 J91:T91 J93:T93 J85:N88 P85:T88">
    <cfRule type="expression" dxfId="217" priority="32">
      <formula>J$83=J$4</formula>
    </cfRule>
  </conditionalFormatting>
  <conditionalFormatting sqref="W29">
    <cfRule type="cellIs" dxfId="216" priority="28" operator="equal">
      <formula>"Check"</formula>
    </cfRule>
    <cfRule type="cellIs" dxfId="215" priority="29" operator="equal">
      <formula>"Ok"</formula>
    </cfRule>
  </conditionalFormatting>
  <conditionalFormatting sqref="J29:T29">
    <cfRule type="cellIs" dxfId="214" priority="27" operator="equal">
      <formula>0</formula>
    </cfRule>
  </conditionalFormatting>
  <conditionalFormatting sqref="N13">
    <cfRule type="expression" dxfId="213" priority="24">
      <formula>N$57=N$4</formula>
    </cfRule>
  </conditionalFormatting>
  <conditionalFormatting sqref="J13:N13">
    <cfRule type="expression" dxfId="212" priority="23">
      <formula>J$10=J$4</formula>
    </cfRule>
  </conditionalFormatting>
  <conditionalFormatting sqref="O60">
    <cfRule type="expression" dxfId="211" priority="21">
      <formula>O$10=O$4</formula>
    </cfRule>
  </conditionalFormatting>
  <conditionalFormatting sqref="T79">
    <cfRule type="cellIs" dxfId="210" priority="20" operator="equal">
      <formula>0</formula>
    </cfRule>
  </conditionalFormatting>
  <conditionalFormatting sqref="T74:T77">
    <cfRule type="expression" dxfId="209" priority="19">
      <formula>T$57=T$4</formula>
    </cfRule>
  </conditionalFormatting>
  <conditionalFormatting sqref="T70">
    <cfRule type="cellIs" dxfId="208" priority="18" operator="equal">
      <formula>0</formula>
    </cfRule>
  </conditionalFormatting>
  <conditionalFormatting sqref="O12:O13">
    <cfRule type="expression" dxfId="207" priority="16">
      <formula>O$10=O$4</formula>
    </cfRule>
  </conditionalFormatting>
  <conditionalFormatting sqref="W38">
    <cfRule type="cellIs" dxfId="206" priority="14" operator="equal">
      <formula>"Check"</formula>
    </cfRule>
    <cfRule type="cellIs" dxfId="205" priority="15" operator="equal">
      <formula>"Ok"</formula>
    </cfRule>
  </conditionalFormatting>
  <conditionalFormatting sqref="J38:T38">
    <cfRule type="cellIs" dxfId="204" priority="13" operator="equal">
      <formula>0</formula>
    </cfRule>
  </conditionalFormatting>
  <conditionalFormatting sqref="J42:N50 P42:T50">
    <cfRule type="expression" dxfId="203" priority="12">
      <formula>J$33=J$4</formula>
    </cfRule>
  </conditionalFormatting>
  <conditionalFormatting sqref="W52">
    <cfRule type="cellIs" dxfId="202" priority="10" operator="equal">
      <formula>"Check"</formula>
    </cfRule>
    <cfRule type="cellIs" dxfId="201" priority="11" operator="equal">
      <formula>"Ok"</formula>
    </cfRule>
  </conditionalFormatting>
  <conditionalFormatting sqref="J52:T52">
    <cfRule type="cellIs" dxfId="200" priority="9" operator="equal">
      <formula>0</formula>
    </cfRule>
  </conditionalFormatting>
  <conditionalFormatting sqref="J36">
    <cfRule type="expression" dxfId="199" priority="7">
      <formula>J$33=J$4</formula>
    </cfRule>
  </conditionalFormatting>
  <conditionalFormatting sqref="O35">
    <cfRule type="expression" dxfId="198" priority="6">
      <formula>O$10=O$4</formula>
    </cfRule>
  </conditionalFormatting>
  <conditionalFormatting sqref="K36:T36">
    <cfRule type="expression" dxfId="197" priority="4">
      <formula>K$33=K$4</formula>
    </cfRule>
  </conditionalFormatting>
  <conditionalFormatting sqref="O42:O50">
    <cfRule type="expression" dxfId="196" priority="3">
      <formula>O$33=O$4</formula>
    </cfRule>
  </conditionalFormatting>
  <conditionalFormatting sqref="J19:N20">
    <cfRule type="expression" dxfId="195" priority="2">
      <formula>J$10=J$4</formula>
    </cfRule>
  </conditionalFormatting>
  <conditionalFormatting sqref="O85:O88">
    <cfRule type="expression" dxfId="194" priority="1">
      <formula>O$83=O$4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workbookViewId="0">
      <selection activeCell="C1" sqref="C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23"/>
      <c r="L3" s="223"/>
      <c r="M3" s="223"/>
      <c r="N3" s="180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61"/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/>
      <c r="R39" s="165"/>
      <c r="S39" s="165"/>
      <c r="T39" s="165"/>
      <c r="U39" s="165"/>
    </row>
    <row r="40" spans="1:50" ht="11.25" customHeight="1" outlineLevel="1">
      <c r="C40" s="61"/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60"/>
      <c r="R40" s="60"/>
      <c r="S40" s="60"/>
      <c r="T40" s="60"/>
      <c r="U40" s="60"/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DAE</v>
      </c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0.59199999999999997</v>
      </c>
      <c r="R51" s="60">
        <v>0.59199999999999997</v>
      </c>
      <c r="S51" s="60">
        <v>0.59199999999999997</v>
      </c>
      <c r="T51" s="60">
        <v>0.59199999999999997</v>
      </c>
      <c r="U51" s="60">
        <v>0.59199999999999997</v>
      </c>
    </row>
    <row r="52" spans="1:50" ht="11.25" customHeight="1" outlineLevel="1">
      <c r="C52" s="146">
        <f t="shared" si="37"/>
        <v>0</v>
      </c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>
        <f t="shared" si="37"/>
        <v>0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>
        <f t="shared" si="37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7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7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164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880121.6032931275</v>
      </c>
      <c r="Q66" s="194">
        <v>888396.4607707836</v>
      </c>
      <c r="R66" s="194">
        <v>903125.34191961354</v>
      </c>
      <c r="S66" s="194">
        <v>922089.92647309322</v>
      </c>
      <c r="T66" s="194">
        <v>940970.4853925365</v>
      </c>
      <c r="U66" s="194">
        <v>959726.23127424764</v>
      </c>
    </row>
    <row r="67" spans="3:23" outlineLevel="1">
      <c r="C67" s="61" t="s">
        <v>165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76525.406826970167</v>
      </c>
      <c r="Q67" s="194">
        <v>76850.785588484214</v>
      </c>
      <c r="R67" s="194">
        <v>77312.313295204527</v>
      </c>
      <c r="S67" s="194">
        <v>77803.185152502541</v>
      </c>
      <c r="T67" s="194">
        <v>78325.154892489067</v>
      </c>
      <c r="U67" s="194">
        <v>78880.081102392229</v>
      </c>
    </row>
    <row r="68" spans="3:23" outlineLevel="1">
      <c r="C68" s="61" t="s">
        <v>166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2574.01467</v>
      </c>
      <c r="Q68" s="194">
        <v>2574.01467</v>
      </c>
      <c r="R68" s="194">
        <v>2579.5769587330001</v>
      </c>
      <c r="S68" s="194">
        <v>2579.5769587330001</v>
      </c>
      <c r="T68" s="194">
        <v>2579.5769587330001</v>
      </c>
      <c r="U68" s="194">
        <v>2579.5769587330001</v>
      </c>
    </row>
    <row r="69" spans="3:23" outlineLevel="1">
      <c r="C69" s="61" t="s">
        <v>167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10892.98057585585</v>
      </c>
      <c r="Q69" s="194">
        <v>10929.385066208704</v>
      </c>
      <c r="R69" s="194">
        <v>10978.140919997155</v>
      </c>
      <c r="S69" s="194">
        <v>11027.11427305608</v>
      </c>
      <c r="T69" s="194">
        <v>11076.30609564708</v>
      </c>
      <c r="U69" s="194">
        <v>11125.717362360077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9.3580247024860341E-3</v>
      </c>
      <c r="R77" s="117">
        <f t="shared" si="44"/>
        <v>1.6443241708470779E-2</v>
      </c>
      <c r="S77" s="117">
        <f t="shared" si="44"/>
        <v>2.0781403039288548E-2</v>
      </c>
      <c r="T77" s="117">
        <f t="shared" si="44"/>
        <v>2.0269021005962173E-2</v>
      </c>
      <c r="U77" s="117">
        <f t="shared" si="44"/>
        <v>1.9736294093464224E-2</v>
      </c>
    </row>
    <row r="78" spans="3:23" outlineLevel="1">
      <c r="C78" s="146" t="str">
        <f t="shared" ref="C78:C82" si="45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4.2428912142806752E-3</v>
      </c>
      <c r="R78" s="117">
        <f t="shared" si="46"/>
        <v>5.9875429191720286E-3</v>
      </c>
      <c r="S78" s="117">
        <f t="shared" si="46"/>
        <v>6.3291353967773745E-3</v>
      </c>
      <c r="T78" s="117">
        <f t="shared" si="46"/>
        <v>6.6864437877587335E-3</v>
      </c>
      <c r="U78" s="117">
        <f t="shared" si="46"/>
        <v>7.059924070592416E-3</v>
      </c>
    </row>
    <row r="79" spans="3:23" outlineLevel="1">
      <c r="C79" s="146" t="str">
        <f t="shared" si="45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2.1586075473347677E-3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 t="str">
        <f t="shared" si="45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>
        <f t="shared" si="48"/>
        <v>3.3364415866472541E-3</v>
      </c>
      <c r="R80" s="117">
        <f t="shared" si="48"/>
        <v>4.4510671186728246E-3</v>
      </c>
      <c r="S80" s="117">
        <f t="shared" si="48"/>
        <v>4.4510671186728246E-3</v>
      </c>
      <c r="T80" s="117">
        <f t="shared" si="48"/>
        <v>4.4510671186710482E-3</v>
      </c>
      <c r="U80" s="117">
        <f t="shared" si="48"/>
        <v>4.4510671186728246E-3</v>
      </c>
    </row>
    <row r="81" spans="3:23" outlineLevel="1">
      <c r="C81" s="146">
        <f t="shared" si="45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168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169</v>
      </c>
      <c r="K84" s="209" t="s">
        <v>170</v>
      </c>
      <c r="L84" s="209" t="s">
        <v>171</v>
      </c>
      <c r="M84" s="209" t="s">
        <v>197</v>
      </c>
      <c r="N84" s="209" t="s">
        <v>172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1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173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6.9499440519998588E-3</v>
      </c>
      <c r="R97" s="117">
        <f t="shared" si="53"/>
        <v>1.2368355677016572E-2</v>
      </c>
      <c r="S97" s="117">
        <f t="shared" si="53"/>
        <v>1.4967333687226296E-2</v>
      </c>
      <c r="T97" s="117">
        <f>IF(T$95=T$4,SUMPRODUCT(T$77:T$82,$J$86:$J$91),"")</f>
        <v>1.467571658751431E-2</v>
      </c>
      <c r="U97" s="117">
        <f>IF(U$95=U$4,SUMPRODUCT(U$77:U$82,$J$86:$J$91),"")</f>
        <v>1.4372819657068263E-2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7.1125519053061928E-3</v>
      </c>
      <c r="R98" s="117">
        <f t="shared" si="54"/>
        <v>1.2603429284541192E-2</v>
      </c>
      <c r="S98" s="117">
        <f t="shared" si="54"/>
        <v>1.5313590863328013E-2</v>
      </c>
      <c r="T98" s="117">
        <f>IF(T$95=T$4,SUMPRODUCT(T$77:T$82,$K$86:$K$91),"")</f>
        <v>1.5015900636986178E-2</v>
      </c>
      <c r="U98" s="117">
        <f>IF(U$95=U$4,SUMPRODUCT(U$77:U$82,$K$86:$K$91),"")</f>
        <v>1.4706698962827763E-2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4.449166155535241E-3</v>
      </c>
      <c r="R99" s="117">
        <f t="shared" si="55"/>
        <v>8.3898289361666479E-3</v>
      </c>
      <c r="S99" s="117">
        <f t="shared" si="55"/>
        <v>9.2257875033680964E-3</v>
      </c>
      <c r="T99" s="117">
        <f>IF(T$95=T$4,SUMPRODUCT(T$77:T$82,$L$86:$L$91),"")</f>
        <v>9.1069449772523924E-3</v>
      </c>
      <c r="U99" s="117">
        <f>IF(U$95=U$4,SUMPRODUCT(U$77:U$82,$L$86:$L$91),"")</f>
        <v>8.9838035418070283E-3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7.0501962682500315E-3</v>
      </c>
      <c r="R100" s="117">
        <f t="shared" si="56"/>
        <v>1.2592922253391179E-2</v>
      </c>
      <c r="S100" s="117">
        <f t="shared" si="56"/>
        <v>1.5273786387877268E-2</v>
      </c>
      <c r="T100" s="117">
        <f>IF(T$95=T$4,SUMPRODUCT(T$77:T$82,$M$86:$M$91),"")</f>
        <v>1.496070144400318E-2</v>
      </c>
      <c r="U100" s="117">
        <f>IF(U$95=U$4,SUMPRODUCT(U$77:U$82,$M$86:$M$91),"")</f>
        <v>1.4635430478904886E-2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3.6800404843042043E-3</v>
      </c>
      <c r="R101" s="117">
        <f t="shared" ref="R101:U101" si="57">IF(R$95=R$4,SUMPRODUCT(R$77:R$82,$N$86:$N$91),"")</f>
        <v>6.4994601297350667E-3</v>
      </c>
      <c r="S101" s="117">
        <f t="shared" si="57"/>
        <v>6.7078409959570326E-3</v>
      </c>
      <c r="T101" s="117">
        <f t="shared" si="57"/>
        <v>6.7527983476149394E-3</v>
      </c>
      <c r="U101" s="117">
        <f t="shared" si="57"/>
        <v>6.8003175061215754E-3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59">$R$107</f>
        <v>5.0000000000000001E-3</v>
      </c>
      <c r="U107" s="167">
        <f t="shared" si="59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0">IF(J105=J$4,IF(ISBLANK(J107),"Check","Ok"),"")</f>
        <v/>
      </c>
      <c r="K109" s="132" t="str">
        <f t="shared" si="60"/>
        <v/>
      </c>
      <c r="L109" s="132" t="str">
        <f t="shared" si="60"/>
        <v/>
      </c>
      <c r="M109" s="132" t="str">
        <f t="shared" si="60"/>
        <v/>
      </c>
      <c r="N109" s="132" t="str">
        <f t="shared" si="60"/>
        <v/>
      </c>
      <c r="O109" s="132" t="str">
        <f t="shared" si="60"/>
        <v/>
      </c>
      <c r="P109" s="132" t="str">
        <f t="shared" si="60"/>
        <v/>
      </c>
      <c r="Q109" s="132" t="str">
        <f t="shared" si="60"/>
        <v>Ok</v>
      </c>
      <c r="R109" s="132" t="str">
        <f t="shared" si="60"/>
        <v>Ok</v>
      </c>
      <c r="S109" s="132" t="str">
        <f t="shared" si="60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3" priority="130" operator="equal">
      <formula>"Check"</formula>
    </cfRule>
    <cfRule type="cellIs" dxfId="192" priority="131" operator="equal">
      <formula>"Ok"</formula>
    </cfRule>
  </conditionalFormatting>
  <conditionalFormatting sqref="T1">
    <cfRule type="cellIs" dxfId="191" priority="94" operator="equal">
      <formula>"Check"</formula>
    </cfRule>
    <cfRule type="cellIs" dxfId="190" priority="95" operator="equal">
      <formula>"Ok"</formula>
    </cfRule>
  </conditionalFormatting>
  <conditionalFormatting sqref="W60">
    <cfRule type="cellIs" dxfId="189" priority="82" operator="equal">
      <formula>"Check"</formula>
    </cfRule>
    <cfRule type="cellIs" dxfId="188" priority="83" operator="equal">
      <formula>"Ok"</formula>
    </cfRule>
  </conditionalFormatting>
  <conditionalFormatting sqref="J60:T60">
    <cfRule type="cellIs" dxfId="187" priority="74" operator="equal">
      <formula>"Check"</formula>
    </cfRule>
    <cfRule type="cellIs" dxfId="186" priority="75" operator="equal">
      <formula>"Ok"</formula>
    </cfRule>
  </conditionalFormatting>
  <conditionalFormatting sqref="J36:U36">
    <cfRule type="expression" dxfId="185" priority="65">
      <formula>J$36=J$4</formula>
    </cfRule>
  </conditionalFormatting>
  <conditionalFormatting sqref="J38:T45 Q38:U38">
    <cfRule type="expression" dxfId="184" priority="63">
      <formula>J$36=J$4</formula>
    </cfRule>
  </conditionalFormatting>
  <conditionalFormatting sqref="J51:U58">
    <cfRule type="expression" dxfId="183" priority="62">
      <formula>J$49=J$4</formula>
    </cfRule>
  </conditionalFormatting>
  <conditionalFormatting sqref="W109">
    <cfRule type="cellIs" dxfId="182" priority="56" operator="equal">
      <formula>"Check"</formula>
    </cfRule>
    <cfRule type="cellIs" dxfId="181" priority="57" operator="equal">
      <formula>"Ok"</formula>
    </cfRule>
  </conditionalFormatting>
  <conditionalFormatting sqref="J109:T109">
    <cfRule type="cellIs" dxfId="180" priority="54" operator="equal">
      <formula>"Check"</formula>
    </cfRule>
    <cfRule type="cellIs" dxfId="179" priority="55" operator="equal">
      <formula>"Ok"</formula>
    </cfRule>
  </conditionalFormatting>
  <conditionalFormatting sqref="W47">
    <cfRule type="cellIs" dxfId="178" priority="52" operator="equal">
      <formula>"Check"</formula>
    </cfRule>
    <cfRule type="cellIs" dxfId="177" priority="53" operator="equal">
      <formula>"Ok"</formula>
    </cfRule>
  </conditionalFormatting>
  <conditionalFormatting sqref="J47:T47">
    <cfRule type="cellIs" dxfId="176" priority="50" operator="equal">
      <formula>"Check"</formula>
    </cfRule>
    <cfRule type="cellIs" dxfId="175" priority="51" operator="equal">
      <formula>"Ok"</formula>
    </cfRule>
  </conditionalFormatting>
  <conditionalFormatting sqref="W73">
    <cfRule type="cellIs" dxfId="174" priority="48" operator="equal">
      <formula>"Check"</formula>
    </cfRule>
    <cfRule type="cellIs" dxfId="173" priority="49" operator="equal">
      <formula>"Ok"</formula>
    </cfRule>
  </conditionalFormatting>
  <conditionalFormatting sqref="J73:T73">
    <cfRule type="cellIs" dxfId="172" priority="46" operator="equal">
      <formula>"Check"</formula>
    </cfRule>
    <cfRule type="cellIs" dxfId="171" priority="47" operator="equal">
      <formula>"Ok"</formula>
    </cfRule>
  </conditionalFormatting>
  <conditionalFormatting sqref="J64:U64">
    <cfRule type="expression" dxfId="170" priority="40">
      <formula>J$64=J$4</formula>
    </cfRule>
  </conditionalFormatting>
  <conditionalFormatting sqref="J70:T71 J66:U69">
    <cfRule type="expression" dxfId="169" priority="38">
      <formula>J$64=J$4</formula>
    </cfRule>
  </conditionalFormatting>
  <conditionalFormatting sqref="J49:U49">
    <cfRule type="expression" dxfId="168" priority="35">
      <formula>J$36=J$4</formula>
    </cfRule>
  </conditionalFormatting>
  <conditionalFormatting sqref="J75:U75">
    <cfRule type="expression" dxfId="167" priority="34">
      <formula>J$36=J$4</formula>
    </cfRule>
  </conditionalFormatting>
  <conditionalFormatting sqref="J105:U105">
    <cfRule type="expression" dxfId="166" priority="33">
      <formula>J$36=J$4</formula>
    </cfRule>
  </conditionalFormatting>
  <conditionalFormatting sqref="J26:T32">
    <cfRule type="cellIs" dxfId="165" priority="31" operator="equal">
      <formula>0</formula>
    </cfRule>
  </conditionalFormatting>
  <conditionalFormatting sqref="J16:T22">
    <cfRule type="cellIs" dxfId="164" priority="30" operator="equal">
      <formula>0</formula>
    </cfRule>
  </conditionalFormatting>
  <conditionalFormatting sqref="W93:W101">
    <cfRule type="cellIs" dxfId="163" priority="26" operator="equal">
      <formula>"Check"</formula>
    </cfRule>
    <cfRule type="cellIs" dxfId="162" priority="27" operator="equal">
      <formula>"Ok"</formula>
    </cfRule>
  </conditionalFormatting>
  <conditionalFormatting sqref="K90:M91">
    <cfRule type="expression" dxfId="161" priority="25">
      <formula>K$84=K$4</formula>
    </cfRule>
  </conditionalFormatting>
  <conditionalFormatting sqref="J96:T96 J93:T94">
    <cfRule type="cellIs" dxfId="160" priority="23" operator="equal">
      <formula>"Check"</formula>
    </cfRule>
    <cfRule type="cellIs" dxfId="159" priority="24" operator="equal">
      <formula>"Ok"</formula>
    </cfRule>
  </conditionalFormatting>
  <conditionalFormatting sqref="J95:U95">
    <cfRule type="expression" dxfId="158" priority="22">
      <formula>J$95=J$4</formula>
    </cfRule>
  </conditionalFormatting>
  <conditionalFormatting sqref="J107:U107">
    <cfRule type="expression" dxfId="157" priority="135">
      <formula>J$105=J$4</formula>
    </cfRule>
  </conditionalFormatting>
  <conditionalFormatting sqref="K86:M89">
    <cfRule type="expression" dxfId="156" priority="21">
      <formula>K$84=K$4</formula>
    </cfRule>
  </conditionalFormatting>
  <conditionalFormatting sqref="U26:U32">
    <cfRule type="cellIs" dxfId="155" priority="20" operator="equal">
      <formula>0</formula>
    </cfRule>
  </conditionalFormatting>
  <conditionalFormatting sqref="U16:U22">
    <cfRule type="cellIs" dxfId="154" priority="19" operator="equal">
      <formula>0</formula>
    </cfRule>
  </conditionalFormatting>
  <conditionalFormatting sqref="U109">
    <cfRule type="cellIs" dxfId="153" priority="1" operator="equal">
      <formula>"Check"</formula>
    </cfRule>
    <cfRule type="cellIs" dxfId="152" priority="2" operator="equal">
      <formula>"Ok"</formula>
    </cfRule>
  </conditionalFormatting>
  <conditionalFormatting sqref="U47">
    <cfRule type="cellIs" dxfId="151" priority="14" operator="equal">
      <formula>"Check"</formula>
    </cfRule>
    <cfRule type="cellIs" dxfId="150" priority="15" operator="equal">
      <formula>"Ok"</formula>
    </cfRule>
  </conditionalFormatting>
  <conditionalFormatting sqref="U38:U45">
    <cfRule type="expression" dxfId="149" priority="13">
      <formula>U$36=U$4</formula>
    </cfRule>
  </conditionalFormatting>
  <conditionalFormatting sqref="U51:U58">
    <cfRule type="expression" dxfId="148" priority="10">
      <formula>U$49=U$4</formula>
    </cfRule>
  </conditionalFormatting>
  <conditionalFormatting sqref="U60">
    <cfRule type="cellIs" dxfId="147" priority="8" operator="equal">
      <formula>"Check"</formula>
    </cfRule>
    <cfRule type="cellIs" dxfId="146" priority="9" operator="equal">
      <formula>"Ok"</formula>
    </cfRule>
  </conditionalFormatting>
  <conditionalFormatting sqref="U73">
    <cfRule type="cellIs" dxfId="145" priority="5" operator="equal">
      <formula>"Check"</formula>
    </cfRule>
    <cfRule type="cellIs" dxfId="144" priority="6" operator="equal">
      <formula>"Ok"</formula>
    </cfRule>
  </conditionalFormatting>
  <conditionalFormatting sqref="U70:U71">
    <cfRule type="expression" dxfId="143" priority="4">
      <formula>U$64=U$4</formula>
    </cfRule>
  </conditionalFormatting>
  <conditionalFormatting sqref="U107">
    <cfRule type="expression" dxfId="142" priority="3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4"/>
  <sheetViews>
    <sheetView showGridLines="0" workbookViewId="0">
      <selection activeCell="T40" sqref="T40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IF(COUNTA($X$8:$X$237)=COUNTIF($X$8:$X$237,"OK"),"OK","Check")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23"/>
      <c r="O3" s="223"/>
      <c r="P3" s="223"/>
      <c r="Q3" s="223"/>
      <c r="R3" s="223"/>
      <c r="S3" s="223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218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2">
        <v>0</v>
      </c>
      <c r="Q12" s="222">
        <v>0</v>
      </c>
      <c r="R12" s="222">
        <v>0</v>
      </c>
      <c r="S12" s="222">
        <v>0</v>
      </c>
      <c r="T12" s="222">
        <v>0</v>
      </c>
    </row>
    <row r="13" spans="1:48" outlineLevel="1">
      <c r="C13" s="61" t="s">
        <v>209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2">
        <v>2.9238251955701817</v>
      </c>
      <c r="Q13" s="222">
        <v>2.6020418343178573</v>
      </c>
      <c r="R13" s="222">
        <v>2.6047746012461772</v>
      </c>
      <c r="S13" s="222">
        <v>2.6115609785855085</v>
      </c>
      <c r="T13" s="222">
        <v>2.6212694119513613</v>
      </c>
    </row>
    <row r="14" spans="1:48" outlineLevel="1">
      <c r="C14" s="61" t="s">
        <v>219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2">
        <v>9.1607106669164745E-2</v>
      </c>
      <c r="Q14" s="222">
        <v>0.18624155405280468</v>
      </c>
      <c r="R14" s="222">
        <v>0.68922984337263526</v>
      </c>
      <c r="S14" s="222">
        <v>0.80017523183844674</v>
      </c>
      <c r="T14" s="222">
        <v>0.80017523183844674</v>
      </c>
    </row>
    <row r="15" spans="1:48" outlineLevel="1">
      <c r="C15" s="61" t="s">
        <v>220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22">
        <v>0</v>
      </c>
      <c r="Q15" s="222">
        <v>0</v>
      </c>
      <c r="R15" s="222">
        <v>0</v>
      </c>
      <c r="S15" s="222">
        <v>0</v>
      </c>
      <c r="T15" s="222">
        <v>0</v>
      </c>
    </row>
    <row r="16" spans="1:48" outlineLevel="1">
      <c r="C16" s="61" t="s">
        <v>210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22">
        <v>0</v>
      </c>
      <c r="Q16" s="222">
        <v>0</v>
      </c>
      <c r="R16" s="222">
        <v>0</v>
      </c>
      <c r="S16" s="222">
        <v>0</v>
      </c>
      <c r="T16" s="222">
        <v>0</v>
      </c>
    </row>
    <row r="17" spans="1:48" outlineLevel="1">
      <c r="C17" s="61" t="s">
        <v>215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2">
        <v>0</v>
      </c>
      <c r="Q17" s="222">
        <v>0</v>
      </c>
      <c r="R17" s="222">
        <v>0</v>
      </c>
      <c r="S17" s="222">
        <v>0</v>
      </c>
      <c r="T17" s="222">
        <v>0</v>
      </c>
    </row>
    <row r="18" spans="1:48" outlineLevel="1">
      <c r="C18" s="61" t="s">
        <v>211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2">
        <v>0.82805427601272863</v>
      </c>
      <c r="Q18" s="222">
        <v>0.81696413837183113</v>
      </c>
      <c r="R18" s="222">
        <v>1.1642831331482184</v>
      </c>
      <c r="S18" s="222">
        <v>1.3737328963985043</v>
      </c>
      <c r="T18" s="222">
        <v>1.3582684070866131</v>
      </c>
    </row>
    <row r="19" spans="1:48" outlineLevel="1">
      <c r="C19" s="61" t="s">
        <v>221</v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2">
        <v>0</v>
      </c>
      <c r="Q19" s="222">
        <v>0</v>
      </c>
      <c r="R19" s="222">
        <v>0</v>
      </c>
      <c r="S19" s="222">
        <v>0</v>
      </c>
      <c r="T19" s="222">
        <v>0</v>
      </c>
    </row>
    <row r="20" spans="1:48" outlineLevel="1">
      <c r="C20" s="61" t="s">
        <v>212</v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22">
        <v>0.50336528824272109</v>
      </c>
      <c r="Q20" s="222">
        <v>0.70088992693153507</v>
      </c>
      <c r="R20" s="222">
        <v>0.89109673569245562</v>
      </c>
      <c r="S20" s="222">
        <v>1.0892726121203209</v>
      </c>
      <c r="T20" s="222">
        <v>1.3031009865676511</v>
      </c>
    </row>
    <row r="21" spans="1:48" outlineLevel="1">
      <c r="C21" s="61" t="s">
        <v>214</v>
      </c>
      <c r="D21" s="30" t="s">
        <v>68</v>
      </c>
      <c r="E21" s="148" t="s">
        <v>15</v>
      </c>
      <c r="F21" s="169">
        <v>44348</v>
      </c>
      <c r="G21" s="32"/>
      <c r="H21" s="32"/>
      <c r="J21" s="150"/>
      <c r="K21" s="150"/>
      <c r="L21" s="150"/>
      <c r="M21" s="150"/>
      <c r="N21" s="150"/>
      <c r="O21" s="168"/>
      <c r="P21" s="222">
        <v>0</v>
      </c>
      <c r="Q21" s="222">
        <v>0</v>
      </c>
      <c r="R21" s="222">
        <v>0</v>
      </c>
      <c r="S21" s="222">
        <v>0</v>
      </c>
      <c r="T21" s="222">
        <v>0</v>
      </c>
    </row>
    <row r="22" spans="1:48" outlineLevel="1">
      <c r="C22" s="61" t="s">
        <v>213</v>
      </c>
      <c r="D22" s="30" t="s">
        <v>68</v>
      </c>
      <c r="E22" s="148" t="s">
        <v>15</v>
      </c>
      <c r="F22" s="169">
        <v>44348</v>
      </c>
      <c r="G22" s="32"/>
      <c r="H22" s="32"/>
      <c r="J22" s="150"/>
      <c r="K22" s="150"/>
      <c r="L22" s="150"/>
      <c r="M22" s="150"/>
      <c r="N22" s="150"/>
      <c r="O22" s="168"/>
      <c r="P22" s="222">
        <v>0</v>
      </c>
      <c r="Q22" s="222">
        <v>0</v>
      </c>
      <c r="R22" s="222">
        <v>0</v>
      </c>
      <c r="S22" s="222">
        <v>0</v>
      </c>
      <c r="T22" s="222">
        <v>0</v>
      </c>
    </row>
    <row r="23" spans="1:48" outlineLevel="1">
      <c r="G23" s="32"/>
      <c r="H23" s="32"/>
    </row>
    <row r="24" spans="1:48" outlineLevel="1">
      <c r="C24" s="29" t="s">
        <v>40</v>
      </c>
      <c r="D24" s="30" t="s">
        <v>97</v>
      </c>
      <c r="E24" s="30" t="s">
        <v>28</v>
      </c>
      <c r="F24" s="30" t="s">
        <v>36</v>
      </c>
      <c r="J24" s="132" t="str">
        <f t="shared" ref="J24:T24" si="2">IF(J10=J4,IF(COUNTA($C12:$C22)=COUNT(J12:J22),"Ok","Check"),"")</f>
        <v/>
      </c>
      <c r="K24" s="132" t="str">
        <f t="shared" si="2"/>
        <v/>
      </c>
      <c r="L24" s="132" t="str">
        <f t="shared" si="2"/>
        <v/>
      </c>
      <c r="M24" s="132" t="str">
        <f t="shared" si="2"/>
        <v/>
      </c>
      <c r="N24" s="132" t="str">
        <f t="shared" si="2"/>
        <v/>
      </c>
      <c r="O24" s="132" t="str">
        <f t="shared" si="2"/>
        <v/>
      </c>
      <c r="P24" s="132" t="str">
        <f t="shared" si="2"/>
        <v>Ok</v>
      </c>
      <c r="Q24" s="132" t="str">
        <f t="shared" si="2"/>
        <v>Ok</v>
      </c>
      <c r="R24" s="132" t="str">
        <f t="shared" si="2"/>
        <v>Ok</v>
      </c>
      <c r="S24" s="132" t="str">
        <f t="shared" si="2"/>
        <v>Ok</v>
      </c>
      <c r="T24" s="132" t="str">
        <f t="shared" si="2"/>
        <v>Ok</v>
      </c>
      <c r="U24" s="132"/>
      <c r="V24" s="24"/>
      <c r="X24" s="131" t="str">
        <f>IF(COUNTIF(J24:U24,"Check")=0,"Ok","Check")</f>
        <v>Ok</v>
      </c>
    </row>
    <row r="25" spans="1:48">
      <c r="G25" s="32"/>
      <c r="H25" s="32"/>
    </row>
    <row r="26" spans="1:48" s="103" customFormat="1" ht="12.75">
      <c r="A26" s="94"/>
      <c r="B26" s="95" t="s">
        <v>113</v>
      </c>
      <c r="C26" s="94"/>
      <c r="D26" s="94"/>
      <c r="E26" s="94"/>
      <c r="F26" s="96"/>
      <c r="G26" s="96"/>
      <c r="H26" s="96"/>
      <c r="I26" s="96"/>
      <c r="J26" s="97"/>
      <c r="K26" s="98"/>
      <c r="L26" s="97"/>
      <c r="M26" s="98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98"/>
      <c r="Y26" s="99"/>
      <c r="Z26" s="99"/>
      <c r="AA26" s="99"/>
      <c r="AB26" s="99"/>
      <c r="AC26" s="100"/>
      <c r="AD26" s="101"/>
      <c r="AE26" s="101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</row>
    <row r="27" spans="1:48" outlineLevel="1">
      <c r="G27" s="32"/>
      <c r="H27" s="32"/>
    </row>
    <row r="28" spans="1:48" outlineLevel="1">
      <c r="C28" s="67" t="s">
        <v>109</v>
      </c>
      <c r="D28" s="32" t="s">
        <v>7</v>
      </c>
      <c r="E28" s="32" t="s">
        <v>8</v>
      </c>
      <c r="F28" s="32" t="s">
        <v>22</v>
      </c>
      <c r="G28" s="32"/>
      <c r="H28" s="32"/>
      <c r="J28" s="160" t="str">
        <f t="shared" ref="J28:N28" si="3">IF(YEAR(J$4)&gt;=FPFirstYear,IF(YEAR(J$4)&lt;=FPLastYear,J$4,""),"")</f>
        <v/>
      </c>
      <c r="K28" s="160" t="str">
        <f t="shared" si="3"/>
        <v/>
      </c>
      <c r="L28" s="160" t="str">
        <f t="shared" si="3"/>
        <v/>
      </c>
      <c r="M28" s="160" t="str">
        <f t="shared" si="3"/>
        <v/>
      </c>
      <c r="N28" s="160" t="str">
        <f t="shared" si="3"/>
        <v/>
      </c>
      <c r="O28" s="160"/>
      <c r="P28" s="160">
        <f t="shared" ref="P28:T28" si="4">P$4</f>
        <v>44713</v>
      </c>
      <c r="Q28" s="160">
        <f t="shared" si="4"/>
        <v>45078</v>
      </c>
      <c r="R28" s="160">
        <f t="shared" si="4"/>
        <v>45444</v>
      </c>
      <c r="S28" s="160">
        <f t="shared" si="4"/>
        <v>45809</v>
      </c>
      <c r="T28" s="160">
        <f t="shared" si="4"/>
        <v>46174</v>
      </c>
    </row>
    <row r="29" spans="1:48" outlineLevel="1">
      <c r="G29" s="32"/>
      <c r="H29" s="32"/>
    </row>
    <row r="30" spans="1:48" outlineLevel="1">
      <c r="C30" s="61" t="s">
        <v>216</v>
      </c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>
        <v>2.6006331802363221</v>
      </c>
      <c r="Q30" s="168">
        <v>2.6006331802363221</v>
      </c>
      <c r="R30" s="168">
        <v>2.6006331802363221</v>
      </c>
      <c r="S30" s="168">
        <v>2.6006331802363221</v>
      </c>
      <c r="T30" s="168">
        <v>2.6006331802363221</v>
      </c>
    </row>
    <row r="31" spans="1:48" outlineLevel="1">
      <c r="C31" s="61"/>
      <c r="D31" s="30" t="s">
        <v>68</v>
      </c>
      <c r="E31" s="148" t="s">
        <v>15</v>
      </c>
      <c r="F31" s="169">
        <v>44348</v>
      </c>
      <c r="G31" s="32"/>
      <c r="H31" s="32"/>
      <c r="J31" s="150"/>
      <c r="K31" s="150"/>
      <c r="L31" s="150"/>
      <c r="M31" s="150"/>
      <c r="N31" s="168"/>
      <c r="O31" s="168"/>
      <c r="P31" s="168"/>
      <c r="Q31" s="168"/>
      <c r="R31" s="168"/>
      <c r="S31" s="168"/>
      <c r="T31" s="168"/>
    </row>
    <row r="32" spans="1:48" outlineLevel="1">
      <c r="C32" s="61"/>
      <c r="D32" s="30" t="s">
        <v>68</v>
      </c>
      <c r="E32" s="148" t="s">
        <v>15</v>
      </c>
      <c r="F32" s="169">
        <v>44348</v>
      </c>
      <c r="G32" s="32"/>
      <c r="H32" s="32"/>
      <c r="J32" s="150"/>
      <c r="K32" s="150"/>
      <c r="L32" s="150"/>
      <c r="M32" s="150"/>
      <c r="N32" s="168"/>
      <c r="O32" s="168"/>
      <c r="P32" s="168"/>
      <c r="Q32" s="168"/>
      <c r="R32" s="168"/>
      <c r="S32" s="168"/>
      <c r="T32" s="168"/>
    </row>
    <row r="33" spans="1:48" outlineLevel="1">
      <c r="G33" s="32"/>
      <c r="H33" s="32"/>
    </row>
    <row r="34" spans="1:48" outlineLevel="1">
      <c r="C34" s="29" t="s">
        <v>40</v>
      </c>
      <c r="D34" s="30" t="s">
        <v>97</v>
      </c>
      <c r="E34" s="30" t="s">
        <v>28</v>
      </c>
      <c r="F34" s="30" t="s">
        <v>36</v>
      </c>
      <c r="J34" s="132" t="str">
        <f t="shared" ref="J34:R34" si="5">IF(J28=J4,IF(COUNTA($C30:$C32)=COUNT(J30:J32),"Ok","Check"),"")</f>
        <v/>
      </c>
      <c r="K34" s="132" t="str">
        <f t="shared" si="5"/>
        <v/>
      </c>
      <c r="L34" s="132" t="str">
        <f t="shared" si="5"/>
        <v/>
      </c>
      <c r="M34" s="132" t="str">
        <f t="shared" si="5"/>
        <v/>
      </c>
      <c r="N34" s="132" t="str">
        <f t="shared" si="5"/>
        <v/>
      </c>
      <c r="O34" s="132" t="str">
        <f t="shared" si="5"/>
        <v/>
      </c>
      <c r="P34" s="132" t="str">
        <f t="shared" si="5"/>
        <v>Ok</v>
      </c>
      <c r="Q34" s="132" t="str">
        <f t="shared" si="5"/>
        <v>Ok</v>
      </c>
      <c r="R34" s="132" t="str">
        <f t="shared" si="5"/>
        <v>Ok</v>
      </c>
      <c r="S34" s="132" t="str">
        <f>IF(S28=S4,IF(COUNTA($C30:$C32)=COUNT(S30:S32),"Ok","Check"),"")</f>
        <v>Ok</v>
      </c>
      <c r="T34" s="132" t="str">
        <f>IF(T28=T4,IF(COUNTA($C30:$C32)=COUNT(T30:T32),"Ok","Check"),"")</f>
        <v>Ok</v>
      </c>
      <c r="U34" s="132"/>
      <c r="V34" s="24"/>
      <c r="X34" s="131" t="str">
        <f>IF(COUNTIF(J34:U34,"Check")=0,"Ok","Check")</f>
        <v>Ok</v>
      </c>
    </row>
    <row r="35" spans="1:48">
      <c r="G35" s="32"/>
      <c r="H35" s="32"/>
    </row>
    <row r="36" spans="1:48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98"/>
      <c r="Y36" s="99"/>
      <c r="Z36" s="99"/>
      <c r="AA36" s="99"/>
      <c r="AB36" s="99"/>
      <c r="AC36" s="100"/>
      <c r="AD36" s="101"/>
      <c r="AE36" s="101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</row>
    <row r="37" spans="1:48" outlineLevel="1">
      <c r="G37" s="32"/>
      <c r="H37" s="32"/>
    </row>
    <row r="38" spans="1:48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0" t="str">
        <f t="shared" ref="J38:N38" si="6">IF(YEAR(J$4)&gt;=FPFirstYear,IF(YEAR(J$4)&lt;=FPLastYear,J$4,""),"")</f>
        <v/>
      </c>
      <c r="K38" s="160" t="str">
        <f t="shared" si="6"/>
        <v/>
      </c>
      <c r="L38" s="160" t="str">
        <f t="shared" si="6"/>
        <v/>
      </c>
      <c r="M38" s="160" t="str">
        <f t="shared" si="6"/>
        <v/>
      </c>
      <c r="N38" s="160" t="str">
        <f t="shared" si="6"/>
        <v/>
      </c>
      <c r="O38" s="160"/>
      <c r="P38" s="160">
        <f t="shared" ref="P38:T38" si="7">P$4</f>
        <v>44713</v>
      </c>
      <c r="Q38" s="160">
        <f t="shared" si="7"/>
        <v>45078</v>
      </c>
      <c r="R38" s="160">
        <f t="shared" si="7"/>
        <v>45444</v>
      </c>
      <c r="S38" s="160">
        <f t="shared" si="7"/>
        <v>45809</v>
      </c>
      <c r="T38" s="160">
        <f t="shared" si="7"/>
        <v>46174</v>
      </c>
    </row>
    <row r="39" spans="1:48" outlineLevel="1">
      <c r="G39" s="32"/>
      <c r="H39" s="32"/>
    </row>
    <row r="40" spans="1:48" outlineLevel="1">
      <c r="C40" s="111" t="s">
        <v>39</v>
      </c>
      <c r="D40" s="30" t="s">
        <v>71</v>
      </c>
      <c r="E40" s="30" t="s">
        <v>15</v>
      </c>
      <c r="F40" s="208">
        <v>44348</v>
      </c>
      <c r="G40" s="32"/>
      <c r="H40" s="32"/>
      <c r="J40" s="168"/>
      <c r="K40" s="168"/>
      <c r="L40" s="168"/>
      <c r="M40" s="168"/>
      <c r="N40" s="168"/>
      <c r="O40" s="168"/>
      <c r="P40" s="168">
        <v>2.1344123468423364</v>
      </c>
      <c r="Q40" s="168">
        <v>2.1886401708958725</v>
      </c>
      <c r="R40" s="168">
        <v>2.2689921546441365</v>
      </c>
      <c r="S40" s="168">
        <v>2.3026139619730119</v>
      </c>
      <c r="T40" s="168">
        <v>2.312631030160786</v>
      </c>
    </row>
    <row r="41" spans="1:48" outlineLevel="1">
      <c r="G41" s="32"/>
      <c r="H41" s="32"/>
    </row>
    <row r="42" spans="1:48" outlineLevel="1">
      <c r="C42" s="29" t="s">
        <v>40</v>
      </c>
      <c r="D42" s="30" t="s">
        <v>97</v>
      </c>
      <c r="E42" s="30" t="s">
        <v>28</v>
      </c>
      <c r="F42" s="30" t="s">
        <v>36</v>
      </c>
      <c r="J42" s="132" t="str">
        <f t="shared" ref="J42:R42" si="8">IF(J38=J4,IF(ISBLANK(J40),"Check","Ok"),"")</f>
        <v/>
      </c>
      <c r="K42" s="132" t="str">
        <f t="shared" si="8"/>
        <v/>
      </c>
      <c r="L42" s="132" t="str">
        <f t="shared" si="8"/>
        <v/>
      </c>
      <c r="M42" s="132" t="str">
        <f t="shared" si="8"/>
        <v/>
      </c>
      <c r="N42" s="132" t="str">
        <f t="shared" si="8"/>
        <v/>
      </c>
      <c r="O42" s="132" t="str">
        <f t="shared" si="8"/>
        <v/>
      </c>
      <c r="P42" s="132" t="str">
        <f t="shared" si="8"/>
        <v>Ok</v>
      </c>
      <c r="Q42" s="132" t="str">
        <f t="shared" si="8"/>
        <v>Ok</v>
      </c>
      <c r="R42" s="132" t="str">
        <f t="shared" si="8"/>
        <v>Ok</v>
      </c>
      <c r="S42" s="132" t="str">
        <f>IF(S38=S4,IF(ISBLANK(S40),"Check","Ok"),"")</f>
        <v>Ok</v>
      </c>
      <c r="T42" s="132" t="str">
        <f>IF(T38=T4,IF(ISBLANK(T40),"Check","Ok"),"")</f>
        <v>Ok</v>
      </c>
      <c r="U42" s="132"/>
      <c r="V42" s="24"/>
      <c r="X42" s="131" t="str">
        <f>IF(COUNTIF(J42:U42,"Check")=0,"Ok","Check")</f>
        <v>Ok</v>
      </c>
    </row>
    <row r="43" spans="1:48">
      <c r="G43" s="32"/>
      <c r="H43" s="32"/>
    </row>
    <row r="44" spans="1:48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98"/>
      <c r="Y44" s="99"/>
      <c r="Z44" s="99"/>
      <c r="AA44" s="99"/>
      <c r="AB44" s="99"/>
      <c r="AC44" s="100"/>
      <c r="AD44" s="101"/>
      <c r="AE44" s="101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:T1">
    <cfRule type="cellIs" dxfId="141" priority="33" operator="equal">
      <formula>"Check"</formula>
    </cfRule>
    <cfRule type="cellIs" dxfId="140" priority="34" operator="equal">
      <formula>"Ok"</formula>
    </cfRule>
  </conditionalFormatting>
  <conditionalFormatting sqref="W1">
    <cfRule type="cellIs" dxfId="139" priority="35" operator="equal">
      <formula>"Check"</formula>
    </cfRule>
    <cfRule type="cellIs" dxfId="138" priority="36" operator="equal">
      <formula>"Ok"</formula>
    </cfRule>
  </conditionalFormatting>
  <conditionalFormatting sqref="J10:T10">
    <cfRule type="expression" dxfId="137" priority="31">
      <formula>J$10=J$4</formula>
    </cfRule>
  </conditionalFormatting>
  <conditionalFormatting sqref="J12:O22">
    <cfRule type="expression" dxfId="136" priority="30">
      <formula>J$10=J$4</formula>
    </cfRule>
  </conditionalFormatting>
  <conditionalFormatting sqref="X24">
    <cfRule type="cellIs" dxfId="135" priority="26" operator="equal">
      <formula>"Check"</formula>
    </cfRule>
    <cfRule type="cellIs" dxfId="134" priority="27" operator="equal">
      <formula>"Ok"</formula>
    </cfRule>
  </conditionalFormatting>
  <conditionalFormatting sqref="J24:U24">
    <cfRule type="cellIs" dxfId="133" priority="24" operator="equal">
      <formula>"Check"</formula>
    </cfRule>
    <cfRule type="cellIs" dxfId="132" priority="25" operator="equal">
      <formula>"Ok"</formula>
    </cfRule>
  </conditionalFormatting>
  <conditionalFormatting sqref="X34">
    <cfRule type="cellIs" dxfId="131" priority="22" operator="equal">
      <formula>"Check"</formula>
    </cfRule>
    <cfRule type="cellIs" dxfId="130" priority="23" operator="equal">
      <formula>"Ok"</formula>
    </cfRule>
  </conditionalFormatting>
  <conditionalFormatting sqref="J34:U34">
    <cfRule type="cellIs" dxfId="129" priority="20" operator="equal">
      <formula>"Check"</formula>
    </cfRule>
    <cfRule type="cellIs" dxfId="128" priority="21" operator="equal">
      <formula>"Ok"</formula>
    </cfRule>
  </conditionalFormatting>
  <conditionalFormatting sqref="J30:M32 O31:T32">
    <cfRule type="expression" dxfId="127" priority="19">
      <formula>J$28=J$4</formula>
    </cfRule>
  </conditionalFormatting>
  <conditionalFormatting sqref="X42">
    <cfRule type="cellIs" dxfId="126" priority="17" operator="equal">
      <formula>"Check"</formula>
    </cfRule>
    <cfRule type="cellIs" dxfId="125" priority="18" operator="equal">
      <formula>"Ok"</formula>
    </cfRule>
  </conditionalFormatting>
  <conditionalFormatting sqref="J42:U42">
    <cfRule type="cellIs" dxfId="124" priority="15" operator="equal">
      <formula>"Check"</formula>
    </cfRule>
    <cfRule type="cellIs" dxfId="123" priority="16" operator="equal">
      <formula>"Ok"</formula>
    </cfRule>
  </conditionalFormatting>
  <conditionalFormatting sqref="O30">
    <cfRule type="expression" dxfId="122" priority="14">
      <formula>O$10=O$4</formula>
    </cfRule>
  </conditionalFormatting>
  <conditionalFormatting sqref="N30:N32">
    <cfRule type="expression" dxfId="121" priority="13">
      <formula>N$10=N$4</formula>
    </cfRule>
  </conditionalFormatting>
  <conditionalFormatting sqref="J40:T40">
    <cfRule type="expression" dxfId="120" priority="10">
      <formula>J$38=J$4</formula>
    </cfRule>
  </conditionalFormatting>
  <conditionalFormatting sqref="J28:N28">
    <cfRule type="expression" dxfId="119" priority="9">
      <formula>J$10=J$4</formula>
    </cfRule>
  </conditionalFormatting>
  <conditionalFormatting sqref="J38:N38">
    <cfRule type="expression" dxfId="118" priority="8">
      <formula>J$10=J$4</formula>
    </cfRule>
  </conditionalFormatting>
  <conditionalFormatting sqref="O28">
    <cfRule type="expression" dxfId="117" priority="7">
      <formula>O$10=O$4</formula>
    </cfRule>
  </conditionalFormatting>
  <conditionalFormatting sqref="O38">
    <cfRule type="expression" dxfId="116" priority="6">
      <formula>O$10=O$4</formula>
    </cfRule>
  </conditionalFormatting>
  <conditionalFormatting sqref="P28:T28">
    <cfRule type="expression" dxfId="115" priority="5">
      <formula>P$10=P$4</formula>
    </cfRule>
  </conditionalFormatting>
  <conditionalFormatting sqref="P38:T38">
    <cfRule type="expression" dxfId="114" priority="4">
      <formula>P$10=P$4</formula>
    </cfRule>
  </conditionalFormatting>
  <conditionalFormatting sqref="P12:T21">
    <cfRule type="expression" dxfId="113" priority="3">
      <formula>P$10=P$4</formula>
    </cfRule>
  </conditionalFormatting>
  <conditionalFormatting sqref="P30:T30">
    <cfRule type="expression" dxfId="112" priority="2">
      <formula>P$10=P$4</formula>
    </cfRule>
  </conditionalFormatting>
  <conditionalFormatting sqref="P22:T22">
    <cfRule type="expression" dxfId="111" priority="1">
      <formula>P$10=P$4</formula>
    </cfRule>
  </conditionalFormatting>
  <dataValidations count="2">
    <dataValidation type="list" allowBlank="1" showInputMessage="1" showErrorMessage="1" sqref="F25 F33 F35 F43">
      <formula1>"Real 2010,Real 2011,Real 2012,Real 2013,Real 2014,Real 2015,Nominal"</formula1>
    </dataValidation>
    <dataValidation type="list" allowBlank="1" showInputMessage="1" showErrorMessage="1" sqref="V30:V33 I40 V25 I25 V12:V23 I30:I33 V35 I35 V43 I43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E30:E32 E12:E23</xm:sqref>
        </x14:dataValidation>
        <x14:dataValidation type="list" allowBlank="1" showInputMessage="1" showErrorMessage="1">
          <x14:formula1>
            <xm:f>'Lookup|Tables'!$C$67:$C$76</xm:f>
          </x14:formula1>
          <xm:sqref>F23</xm:sqref>
        </x14:dataValidation>
        <x14:dataValidation type="list" allowBlank="1" showInputMessage="1" showErrorMessage="1">
          <x14:formula1>
            <xm:f>'Lookup|Tables'!$H$41:$H$60</xm:f>
          </x14:formula1>
          <xm:sqref>F40 F30:F32 F12:F22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6"/>
  <sheetViews>
    <sheetView showGridLines="0" topLeftCell="B1" workbookViewId="0">
      <selection activeCell="C1" sqref="C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23"/>
      <c r="O3" s="223"/>
      <c r="P3" s="223"/>
      <c r="Q3" s="223"/>
      <c r="R3" s="223"/>
      <c r="S3" s="223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235.56920626000002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241.06595549428499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247.91517863126015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269.48654362065173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198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138.73097438447596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198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138.94263337941456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199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277.88526675882912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1.412155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1.4451060891435208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5.0708529973098155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5.5120733429797992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202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2.7678807058130199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202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2.7721036044908502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203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5.5442072089817005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241.06595549428499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8.3987231381773881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249.46467863246238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-1.4772399551454223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Emergency recoverable works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0.24592608489294868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0.24592608489294868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Communications network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0.3654947333671224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0.3654947333671224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Wasted truck visits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1.190045034053195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1.190045034053195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Replacement expenditure on faults and minor repairs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163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249.7889045296302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5.8483797730791058E-3</v>
      </c>
      <c r="Q63" s="117">
        <f ca="1">IF(Q60=Q4,AVERAGE(OFFSET('Input|Rate of change'!R97,0,0,COUNTA('Input|Rate of change'!$J$84:$N$84),1)),0)</f>
        <v>1.0490799256170132E-2</v>
      </c>
      <c r="R63" s="117">
        <f ca="1">IF(R60=R4,AVERAGE(OFFSET('Input|Rate of change'!S97,0,0,COUNTA('Input|Rate of change'!$J$84:$N$84),1)),0)</f>
        <v>1.2297667887551341E-2</v>
      </c>
      <c r="S63" s="117">
        <f ca="1">IF(S60=S4,AVERAGE(OFFSET('Input|Rate of change'!T97,0,0,COUNTA('Input|Rate of change'!$J$84:$N$84),1)),0)</f>
        <v>1.2102412398674201E-2</v>
      </c>
      <c r="T63" s="117">
        <f ca="1">IF(T60=T4,AVERAGE(OFFSET('Input|Rate of change'!U97,0,0,COUNTA('Input|Rate of change'!$J$84:$N$84),1)),0)</f>
        <v>1.1899814029345902E-2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1.4129713396567292E-3</v>
      </c>
      <c r="Q65" s="117">
        <f>SUMPRODUCT('Input|Rate of change'!R38:R45,'Input|Rate of change'!R51:R58)</f>
        <v>-1.4786599665769973E-3</v>
      </c>
      <c r="R65" s="117">
        <f>SUMPRODUCT('Input|Rate of change'!S38:S45,'Input|Rate of change'!S51:S58)</f>
        <v>-4.2997348533891511E-4</v>
      </c>
      <c r="S65" s="117">
        <f>SUMPRODUCT('Input|Rate of change'!T38:T45,'Input|Rate of change'!T51:T58)</f>
        <v>2.174266963630669E-3</v>
      </c>
      <c r="T65" s="117">
        <f>SUMPRODUCT('Input|Rate of change'!U38:U45,'Input|Rate of change'!U51:U58)</f>
        <v>5.8998326967571154E-3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3.494709534230811E-3</v>
      </c>
      <c r="Q69" s="143">
        <f t="shared" ca="1" si="9"/>
        <v>3.9516438298918821E-3</v>
      </c>
      <c r="R69" s="143">
        <f t="shared" ca="1" si="9"/>
        <v>6.8030946974337869E-3</v>
      </c>
      <c r="S69" s="143">
        <f t="shared" ca="1" si="9"/>
        <v>9.2314782715745558E-3</v>
      </c>
      <c r="T69" s="143">
        <f t="shared" ref="T69" ca="1" si="10">(1+T63)*(1+T65)*(1-T67)-1</f>
        <v>1.2780504369808598E-2</v>
      </c>
    </row>
    <row r="70" spans="1:48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3.494709534230811E-3</v>
      </c>
      <c r="Q70" s="117">
        <f t="array" aca="1" ref="Q70" ca="1">IF(Q$60=Q$4,PRODUCT(1+$J69:Q69)-1,"")</f>
        <v>7.460163211491011E-3</v>
      </c>
      <c r="R70" s="117">
        <f t="array" aca="1" ref="R70" ca="1">IF(R$60=R$4,PRODUCT(1+$J69:R69)-1,"")</f>
        <v>1.4314010105710873E-2</v>
      </c>
      <c r="S70" s="117">
        <f t="array" aca="1" ref="S70" ca="1">IF(S$60=S$4,PRODUCT(1+$J69:S69)-1,"")</f>
        <v>2.3677627850555494E-2</v>
      </c>
      <c r="T70" s="117">
        <f t="array" aca="1" ref="T70" ca="1">IF(T$60=T$4,PRODUCT(1+$J69:T69)-1,"")</f>
        <v>3.6760744246574717E-2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HBRA zone reclassification</v>
      </c>
      <c r="D76" s="110" t="s">
        <v>30</v>
      </c>
      <c r="E76" s="30" t="str">
        <f t="shared" ref="E76:E96" si="12">$E$8</f>
        <v>$millions</v>
      </c>
      <c r="F76" s="158">
        <f t="shared" ref="F76:F88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</row>
    <row r="77" spans="1:48" outlineLevel="1">
      <c r="C77" s="121" t="str">
        <f>'Input|Step changes'!C13</f>
        <v>Security of critical infrastructure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2.9238251955701817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2.6020418343178573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2.6047746012461772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2.6115609785855085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2.6212694119513613</v>
      </c>
    </row>
    <row r="78" spans="1:48" outlineLevel="1">
      <c r="C78" s="121" t="str">
        <f>'Input|Step changes'!C14</f>
        <v xml:space="preserve">REFCL on-going operating expenditure 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9.1607106669164745E-2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0.18624155405280468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0.68922984337263526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0.80017523183844674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0.80017523183844674</v>
      </c>
    </row>
    <row r="79" spans="1:48" outlineLevel="1">
      <c r="C79" s="121" t="str">
        <f>'Input|Step changes'!C15</f>
        <v>Replacing EDO fuses with fault tamers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 t="str">
        <f>'Input|Step changes'!C16</f>
        <v>EPA regulations change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 t="str">
        <f>'Input|Step changes'!C17</f>
        <v>Solar enablement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 t="str">
        <f>'Input|Step changes'!C18</f>
        <v>IT cloud solutions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0.82805427601272852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0.81696413837183113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1.1642831331482184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1.3737328963985043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1.3582684070866131</v>
      </c>
    </row>
    <row r="83" spans="1:48" outlineLevel="1">
      <c r="C83" s="121" t="str">
        <f>'Input|Step changes'!C19</f>
        <v>Increasing insurance premiums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>5 minute settlement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0.50336528824272109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0.70088992693153496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0.89109673569245562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1.0892726121203209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1.3031009865676511</v>
      </c>
    </row>
    <row r="85" spans="1:48" outlineLevel="1">
      <c r="C85" s="121" t="str">
        <f>'Input|Step changes'!C21</f>
        <v>ESV levy</v>
      </c>
      <c r="D85" s="110" t="s">
        <v>30</v>
      </c>
      <c r="E85" s="30" t="str">
        <f t="shared" si="12"/>
        <v>$millions</v>
      </c>
      <c r="F85" s="158">
        <f t="shared" si="13"/>
        <v>44348</v>
      </c>
      <c r="J85" s="127">
        <f>'Input|Step changes'!J21*IF('Input|Step changes'!$F21="nominal",LOOKUP($F85,Nominal_to_Real,'Input|Rate of change'!N$26:N$32),INDEX('Input|Rate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K85" s="127">
        <f>'Input|Step changes'!K21*IF('Input|Step changes'!$F21="nominal",LOOKUP($F85,Nominal_to_Real,'Input|Rate of change'!O$26:O$32),INDEX('Input|Rate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L85" s="127">
        <f>'Input|Step changes'!L21*IF('Input|Step changes'!$F21="nominal",LOOKUP($F85,Nominal_to_Real,'Input|Rate of change'!P$26:P$32),INDEX('Input|Rate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M85" s="127">
        <f>'Input|Step changes'!M21*IF('Input|Step changes'!$F21="nominal",LOOKUP($F85,Nominal_to_Real,'Input|Rate of change'!Q$26:Q$32),INDEX('Input|Rate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N85" s="127">
        <f>'Input|Step changes'!N21*IF('Input|Step changes'!$F21="nominal",LOOKUP($F85,Nominal_to_Real,'Input|Rate of change'!R$26:R$32),INDEX('Input|Rate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O85" s="127">
        <f>'Input|Step changes'!O21*IF('Input|Step changes'!$F21="nominal",LOOKUP($F85,Nominal_to_Real,'Input|Rate of change'!S$26:S$32),INDEX('Input|Rate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P85" s="127">
        <f>'Input|Step changes'!P21*IF('Input|Step changes'!$F21="nominal",LOOKUP($F85,Nominal_to_Real,'Input|Rate of change'!T$26:T$32),INDEX('Input|Rate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Q85" s="127">
        <f>'Input|Step changes'!Q21*IF('Input|Step changes'!$F21="nominal",LOOKUP($F85,Nominal_to_Real,'Input|Rate of change'!U$26:U$32),INDEX('Input|Rate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R85" s="127">
        <f>'Input|Step changes'!R21*IF('Input|Step changes'!$F21="nominal",LOOKUP($F85,Nominal_to_Real,'Input|Rate of change'!V$26:V$32),INDEX('Input|Rate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S85" s="127">
        <f>'Input|Step changes'!S21*IF('Input|Step changes'!$F21="nominal",LOOKUP($F85,Nominal_to_Real,'Input|Rate of change'!W$26:W$32),INDEX('Input|Rate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  <c r="T85" s="127">
        <f>'Input|Step changes'!T21*IF('Input|Step changes'!$F21="nominal",LOOKUP($F85,Nominal_to_Real,'Input|Rate of change'!X$26:X$32),INDEX('Input|Rate of change'!$C$14:$P$22,MATCH('Input|Step changes'!$F21,'Input|Rate of change'!$C$14:$C$22,0),MATCH('Calc|Opex forecast'!$F85,'Input|Rate of change'!$C$14:$P$14,0)))*IF('Input|Step changes'!$E21="$millions",1000000,IF('Input|Step changes'!$E21="$000",1000,1))/IF($E85="$millions",1000000,IF($E85="$000",1000,1))</f>
        <v>0</v>
      </c>
    </row>
    <row r="86" spans="1:48" outlineLevel="1">
      <c r="C86" s="121" t="str">
        <f>'Input|Step changes'!C22</f>
        <v>Financial year RIN</v>
      </c>
      <c r="D86" s="110" t="s">
        <v>30</v>
      </c>
      <c r="E86" s="30" t="str">
        <f t="shared" si="12"/>
        <v>$millions</v>
      </c>
      <c r="F86" s="158">
        <f t="shared" si="13"/>
        <v>44348</v>
      </c>
      <c r="J86" s="127">
        <f>'Input|Step changes'!J22*IF('Input|Step changes'!$F22="nominal",LOOKUP($F86,Nominal_to_Real,'Input|Rate of change'!N$26:N$32),INDEX('Input|Rate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K86" s="127">
        <f>'Input|Step changes'!K22*IF('Input|Step changes'!$F22="nominal",LOOKUP($F86,Nominal_to_Real,'Input|Rate of change'!O$26:O$32),INDEX('Input|Rate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L86" s="127">
        <f>'Input|Step changes'!L22*IF('Input|Step changes'!$F22="nominal",LOOKUP($F86,Nominal_to_Real,'Input|Rate of change'!P$26:P$32),INDEX('Input|Rate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M86" s="127">
        <f>'Input|Step changes'!M22*IF('Input|Step changes'!$F22="nominal",LOOKUP($F86,Nominal_to_Real,'Input|Rate of change'!Q$26:Q$32),INDEX('Input|Rate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N86" s="127">
        <f>'Input|Step changes'!N22*IF('Input|Step changes'!$F22="nominal",LOOKUP($F86,Nominal_to_Real,'Input|Rate of change'!R$26:R$32),INDEX('Input|Rate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O86" s="127">
        <f>'Input|Step changes'!O22*IF('Input|Step changes'!$F22="nominal",LOOKUP($F86,Nominal_to_Real,'Input|Rate of change'!S$26:S$32),INDEX('Input|Rate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P86" s="127">
        <f>'Input|Step changes'!P22*IF('Input|Step changes'!$F22="nominal",LOOKUP($F86,Nominal_to_Real,'Input|Rate of change'!T$26:T$32),INDEX('Input|Rate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Q86" s="127">
        <f>'Input|Step changes'!Q22*IF('Input|Step changes'!$F22="nominal",LOOKUP($F86,Nominal_to_Real,'Input|Rate of change'!U$26:U$32),INDEX('Input|Rate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R86" s="127">
        <f>'Input|Step changes'!R22*IF('Input|Step changes'!$F22="nominal",LOOKUP($F86,Nominal_to_Real,'Input|Rate of change'!V$26:V$32),INDEX('Input|Rate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S86" s="127">
        <f>'Input|Step changes'!S22*IF('Input|Step changes'!$F22="nominal",LOOKUP($F86,Nominal_to_Real,'Input|Rate of change'!W$26:W$32),INDEX('Input|Rate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  <c r="T86" s="127">
        <f>'Input|Step changes'!T22*IF('Input|Step changes'!$F22="nominal",LOOKUP($F86,Nominal_to_Real,'Input|Rate of change'!X$26:X$32),INDEX('Input|Rate of change'!$C$14:$P$22,MATCH('Input|Step changes'!$F22,'Input|Rate of change'!$C$14:$C$22,0),MATCH('Calc|Opex forecast'!$F86,'Input|Rate of change'!$C$14:$P$14,0)))*IF('Input|Step changes'!$E22="$millions",1000000,IF('Input|Step changes'!$E22="$000",1000,1))/IF($E86="$millions",1000000,IF($E86="$000",1000,1))</f>
        <v>0</v>
      </c>
    </row>
    <row r="87" spans="1:48" outlineLevel="1">
      <c r="C87" s="121"/>
      <c r="D87" s="110"/>
      <c r="F87" s="112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</row>
    <row r="88" spans="1:48" outlineLevel="1">
      <c r="C88" s="113" t="s">
        <v>48</v>
      </c>
      <c r="D88" s="122" t="s">
        <v>30</v>
      </c>
      <c r="E88" s="122" t="str">
        <f>$E$8</f>
        <v>$millions</v>
      </c>
      <c r="F88" s="172">
        <f t="shared" si="13"/>
        <v>44348</v>
      </c>
      <c r="G88" s="32"/>
      <c r="H88" s="32"/>
      <c r="I88" s="32"/>
      <c r="J88" s="174">
        <f>SUM(J75:J87)</f>
        <v>0</v>
      </c>
      <c r="K88" s="174">
        <f t="shared" ref="K88:S88" si="14">SUM(K75:K87)</f>
        <v>0</v>
      </c>
      <c r="L88" s="174">
        <f t="shared" si="14"/>
        <v>0</v>
      </c>
      <c r="M88" s="174">
        <f t="shared" si="14"/>
        <v>0</v>
      </c>
      <c r="N88" s="174">
        <f t="shared" si="14"/>
        <v>0</v>
      </c>
      <c r="O88" s="174">
        <f t="shared" si="14"/>
        <v>0</v>
      </c>
      <c r="P88" s="174">
        <f t="shared" si="14"/>
        <v>4.3468518664947959</v>
      </c>
      <c r="Q88" s="174">
        <f t="shared" si="14"/>
        <v>4.3061374536740287</v>
      </c>
      <c r="R88" s="174">
        <f t="shared" si="14"/>
        <v>5.3493843134594865</v>
      </c>
      <c r="S88" s="174">
        <f t="shared" si="14"/>
        <v>5.8747417189427802</v>
      </c>
      <c r="T88" s="174">
        <f t="shared" ref="T88" si="15">SUM(T75:T87)</f>
        <v>6.0828140374440727</v>
      </c>
    </row>
    <row r="89" spans="1:48">
      <c r="C89" s="123"/>
      <c r="D89" s="110"/>
      <c r="E89" s="110"/>
      <c r="F89" s="110"/>
      <c r="J89" s="107"/>
      <c r="K89" s="107"/>
      <c r="L89" s="107"/>
      <c r="M89" s="107"/>
      <c r="N89" s="23"/>
      <c r="O89" s="23"/>
      <c r="P89" s="23"/>
      <c r="Q89" s="23"/>
      <c r="R89" s="23"/>
      <c r="S89" s="23"/>
      <c r="T89" s="23"/>
    </row>
    <row r="90" spans="1:48" s="103" customFormat="1" ht="12.75">
      <c r="A90" s="94"/>
      <c r="B90" s="95" t="s">
        <v>114</v>
      </c>
      <c r="C90" s="94"/>
      <c r="D90" s="94"/>
      <c r="E90" s="94"/>
      <c r="F90" s="96"/>
      <c r="G90" s="96"/>
      <c r="H90" s="96"/>
      <c r="I90" s="96"/>
      <c r="J90" s="97"/>
      <c r="K90" s="98"/>
      <c r="L90" s="97"/>
      <c r="M90" s="98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9"/>
      <c r="Z90" s="99"/>
      <c r="AA90" s="99"/>
      <c r="AB90" s="99"/>
      <c r="AC90" s="100"/>
      <c r="AD90" s="101"/>
      <c r="AE90" s="101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</row>
    <row r="91" spans="1:48" outlineLevel="1">
      <c r="C91" s="106"/>
      <c r="J91" s="107"/>
      <c r="K91" s="107"/>
      <c r="L91" s="107"/>
    </row>
    <row r="92" spans="1:48" outlineLevel="1">
      <c r="C92" s="67" t="s">
        <v>109</v>
      </c>
      <c r="D92" s="32" t="s">
        <v>7</v>
      </c>
      <c r="E92" s="32" t="s">
        <v>8</v>
      </c>
      <c r="F92" s="32" t="s">
        <v>22</v>
      </c>
      <c r="J92" s="160"/>
      <c r="K92" s="160"/>
      <c r="L92" s="160"/>
      <c r="M92" s="160"/>
      <c r="N92" s="160"/>
      <c r="O92" s="160"/>
      <c r="P92" s="160">
        <f>P$4</f>
        <v>44713</v>
      </c>
      <c r="Q92" s="160">
        <f t="shared" ref="Q92:T92" si="16">Q$4</f>
        <v>45078</v>
      </c>
      <c r="R92" s="160">
        <f t="shared" si="16"/>
        <v>45444</v>
      </c>
      <c r="S92" s="160">
        <f t="shared" si="16"/>
        <v>45809</v>
      </c>
      <c r="T92" s="160">
        <f t="shared" si="16"/>
        <v>46174</v>
      </c>
    </row>
    <row r="93" spans="1:48" outlineLevel="1">
      <c r="C93" s="67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</row>
    <row r="94" spans="1:48" outlineLevel="1">
      <c r="C94" s="121" t="str">
        <f>'Input|Step changes'!C30</f>
        <v>GSLs</v>
      </c>
      <c r="D94" s="110" t="s">
        <v>30</v>
      </c>
      <c r="E94" s="30" t="str">
        <f t="shared" si="12"/>
        <v>$millions</v>
      </c>
      <c r="F94" s="158">
        <f t="shared" ref="F94:F96" si="17">$F$8</f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2.6006331802363221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2.6006331802363221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2.6006331802363221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2.6006331802363221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2.6006331802363221</v>
      </c>
    </row>
    <row r="95" spans="1:48" outlineLevel="1">
      <c r="C95" s="121">
        <f>'Input|Step changes'!C31</f>
        <v>0</v>
      </c>
      <c r="D95" s="110" t="s">
        <v>30</v>
      </c>
      <c r="E95" s="30" t="str">
        <f t="shared" si="12"/>
        <v>$millions</v>
      </c>
      <c r="F95" s="158">
        <f t="shared" si="17"/>
        <v>44348</v>
      </c>
      <c r="J95" s="127">
        <f>'Input|Step changes'!J31*IF('Input|Step changes'!$F31="nominal",LOOKUP($F95,Nominal_to_Real,'Input|Rate of change'!J$26:J$32),INDEX('Input|Rate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K95" s="127">
        <f>'Input|Step changes'!K31*IF('Input|Step changes'!$F31="nominal",LOOKUP($F95,Nominal_to_Real,'Input|Rate of change'!K$26:K$32),INDEX('Input|Rate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L95" s="127">
        <f>'Input|Step changes'!L31*IF('Input|Step changes'!$F31="nominal",LOOKUP($F95,Nominal_to_Real,'Input|Rate of change'!L$26:L$32),INDEX('Input|Rate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M95" s="127">
        <f>'Input|Step changes'!M31*IF('Input|Step changes'!$F31="nominal",LOOKUP($F95,Nominal_to_Real,'Input|Rate of change'!M$26:M$32),INDEX('Input|Rate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N95" s="127">
        <f>'Input|Step changes'!N31*IF('Input|Step changes'!$F31="nominal",LOOKUP($F95,Nominal_to_Real,'Input|Rate of change'!N$26:N$32),INDEX('Input|Rate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O95" s="127">
        <f>'Input|Step changes'!O31*IF('Input|Step changes'!$F31="nominal",LOOKUP($F95,Nominal_to_Real,'Input|Rate of change'!O$26:O$32),INDEX('Input|Rate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P95" s="127">
        <f>'Input|Step changes'!P31*IF('Input|Step changes'!$F31="nominal",LOOKUP($F95,Nominal_to_Real,'Input|Rate of change'!P$26:P$32),INDEX('Input|Rate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Q95" s="127">
        <f>'Input|Step changes'!Q31*IF('Input|Step changes'!$F31="nominal",LOOKUP($F95,Nominal_to_Real,'Input|Rate of change'!Q$26:Q$32),INDEX('Input|Rate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R95" s="127">
        <f>'Input|Step changes'!R31*IF('Input|Step changes'!$F31="nominal",LOOKUP($F95,Nominal_to_Real,'Input|Rate of change'!R$26:R$32),INDEX('Input|Rate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S95" s="127">
        <f>'Input|Step changes'!S31*IF('Input|Step changes'!$F31="nominal",LOOKUP($F95,Nominal_to_Real,'Input|Rate of change'!S$26:S$32),INDEX('Input|Rate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  <c r="T95" s="127">
        <f>'Input|Step changes'!T31*IF('Input|Step changes'!$F31="nominal",LOOKUP($F95,Nominal_to_Real,'Input|Rate of change'!T$26:T$32),INDEX('Input|Rate of change'!$C$14:$P$22,MATCH('Input|Step changes'!$F31,'Input|Rate of change'!$C$14:$C$22,0),MATCH('Calc|Opex forecast'!$F95,'Input|Rate of change'!$C$14:$P$14,0)))*IF('Input|Step changes'!$E31="$millions",1000000,IF('Input|Step changes'!$E31="$000",1000,1))/IF($E95="$millions",1000000,IF($E95="$000",1000,1))</f>
        <v>0</v>
      </c>
    </row>
    <row r="96" spans="1:48" outlineLevel="1">
      <c r="C96" s="121">
        <f>'Input|Step changes'!C32</f>
        <v>0</v>
      </c>
      <c r="D96" s="110" t="s">
        <v>30</v>
      </c>
      <c r="E96" s="30" t="str">
        <f t="shared" si="12"/>
        <v>$millions</v>
      </c>
      <c r="F96" s="158">
        <f t="shared" si="17"/>
        <v>44348</v>
      </c>
      <c r="J96" s="127">
        <f>'Input|Step changes'!J32*IF('Input|Step changes'!$F32="nominal",LOOKUP($F96,Nominal_to_Real,'Input|Rate of change'!J$26:J$32),INDEX('Input|Rate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K96" s="127">
        <f>'Input|Step changes'!K32*IF('Input|Step changes'!$F32="nominal",LOOKUP($F96,Nominal_to_Real,'Input|Rate of change'!K$26:K$32),INDEX('Input|Rate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L96" s="127">
        <f>'Input|Step changes'!L32*IF('Input|Step changes'!$F32="nominal",LOOKUP($F96,Nominal_to_Real,'Input|Rate of change'!L$26:L$32),INDEX('Input|Rate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M96" s="127">
        <f>'Input|Step changes'!M32*IF('Input|Step changes'!$F32="nominal",LOOKUP($F96,Nominal_to_Real,'Input|Rate of change'!M$26:M$32),INDEX('Input|Rate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N96" s="127">
        <f>'Input|Step changes'!N32*IF('Input|Step changes'!$F32="nominal",LOOKUP($F96,Nominal_to_Real,'Input|Rate of change'!N$26:N$32),INDEX('Input|Rate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O96" s="127">
        <f>'Input|Step changes'!O32*IF('Input|Step changes'!$F32="nominal",LOOKUP($F96,Nominal_to_Real,'Input|Rate of change'!O$26:O$32),INDEX('Input|Rate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P96" s="127">
        <f>'Input|Step changes'!P32*IF('Input|Step changes'!$F32="nominal",LOOKUP($F96,Nominal_to_Real,'Input|Rate of change'!P$26:P$32),INDEX('Input|Rate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Q96" s="127">
        <f>'Input|Step changes'!Q32*IF('Input|Step changes'!$F32="nominal",LOOKUP($F96,Nominal_to_Real,'Input|Rate of change'!Q$26:Q$32),INDEX('Input|Rate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R96" s="127">
        <f>'Input|Step changes'!R32*IF('Input|Step changes'!$F32="nominal",LOOKUP($F96,Nominal_to_Real,'Input|Rate of change'!R$26:R$32),INDEX('Input|Rate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S96" s="127">
        <f>'Input|Step changes'!S32*IF('Input|Step changes'!$F32="nominal",LOOKUP($F96,Nominal_to_Real,'Input|Rate of change'!S$26:S$32),INDEX('Input|Rate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  <c r="T96" s="127">
        <f>'Input|Step changes'!T32*IF('Input|Step changes'!$F32="nominal",LOOKUP($F96,Nominal_to_Real,'Input|Rate of change'!T$26:T$32),INDEX('Input|Rate of change'!$C$14:$P$22,MATCH('Input|Step changes'!$F32,'Input|Rate of change'!$C$14:$C$22,0),MATCH('Calc|Opex forecast'!$F96,'Input|Rate of change'!$C$14:$P$14,0)))*IF('Input|Step changes'!$E32="$millions",1000000,IF('Input|Step changes'!$E32="$000",1000,1))/IF($E96="$millions",1000000,IF($E96="$000",1000,1))</f>
        <v>0</v>
      </c>
    </row>
    <row r="97" spans="1:48" outlineLevel="1">
      <c r="C97" s="121"/>
      <c r="D97" s="108"/>
      <c r="F97" s="112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48" outlineLevel="1">
      <c r="C98" s="113" t="s">
        <v>115</v>
      </c>
      <c r="D98" s="122" t="s">
        <v>30</v>
      </c>
      <c r="E98" s="122" t="str">
        <f>$E$8</f>
        <v>$millions</v>
      </c>
      <c r="F98" s="172">
        <f t="shared" ref="F98" si="18">$F$8</f>
        <v>44348</v>
      </c>
      <c r="G98" s="32"/>
      <c r="H98" s="32"/>
      <c r="I98" s="32"/>
      <c r="J98" s="128">
        <f>SUM(J93:J97)</f>
        <v>0</v>
      </c>
      <c r="K98" s="128">
        <f t="shared" ref="K98:S98" si="19">SUM(K93:K97)</f>
        <v>0</v>
      </c>
      <c r="L98" s="128">
        <f t="shared" si="19"/>
        <v>0</v>
      </c>
      <c r="M98" s="128">
        <f t="shared" si="19"/>
        <v>0</v>
      </c>
      <c r="N98" s="128">
        <f t="shared" si="19"/>
        <v>0</v>
      </c>
      <c r="O98" s="128">
        <f t="shared" si="19"/>
        <v>0</v>
      </c>
      <c r="P98" s="128">
        <f t="shared" si="19"/>
        <v>2.6006331802363221</v>
      </c>
      <c r="Q98" s="128">
        <f t="shared" si="19"/>
        <v>2.6006331802363221</v>
      </c>
      <c r="R98" s="128">
        <f t="shared" si="19"/>
        <v>2.6006331802363221</v>
      </c>
      <c r="S98" s="128">
        <f t="shared" si="19"/>
        <v>2.6006331802363221</v>
      </c>
      <c r="T98" s="128">
        <f t="shared" ref="T98" si="20">SUM(T93:T97)</f>
        <v>2.6006331802363221</v>
      </c>
    </row>
    <row r="99" spans="1:48">
      <c r="C99" s="123"/>
      <c r="D99" s="110"/>
      <c r="E99" s="110"/>
      <c r="F99" s="110"/>
      <c r="J99" s="107"/>
      <c r="K99" s="107"/>
      <c r="L99" s="107"/>
      <c r="M99" s="107"/>
      <c r="N99" s="23"/>
      <c r="O99" s="23"/>
      <c r="P99" s="23"/>
      <c r="Q99" s="23"/>
      <c r="R99" s="23"/>
      <c r="S99" s="23"/>
      <c r="T99" s="23"/>
    </row>
    <row r="100" spans="1:48" s="103" customFormat="1" ht="12.75">
      <c r="A100" s="94"/>
      <c r="B100" s="95" t="s">
        <v>90</v>
      </c>
      <c r="C100" s="94"/>
      <c r="D100" s="94"/>
      <c r="E100" s="94"/>
      <c r="F100" s="96"/>
      <c r="G100" s="96"/>
      <c r="H100" s="96"/>
      <c r="I100" s="96"/>
      <c r="J100" s="97"/>
      <c r="K100" s="98"/>
      <c r="L100" s="97"/>
      <c r="M100" s="98"/>
      <c r="N100" s="97"/>
      <c r="O100" s="97"/>
      <c r="P100" s="97"/>
      <c r="Q100" s="97"/>
      <c r="R100" s="97"/>
      <c r="S100" s="97"/>
      <c r="T100" s="97"/>
      <c r="U100" s="97"/>
      <c r="V100" s="97"/>
      <c r="W100" s="98"/>
      <c r="X100" s="98"/>
      <c r="Y100" s="99"/>
      <c r="Z100" s="99"/>
      <c r="AA100" s="99"/>
      <c r="AB100" s="99"/>
      <c r="AC100" s="100"/>
      <c r="AD100" s="101"/>
      <c r="AE100" s="101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</row>
    <row r="101" spans="1:48" outlineLevel="1">
      <c r="C101" s="106"/>
      <c r="J101" s="107"/>
      <c r="K101" s="107"/>
      <c r="L101" s="107"/>
    </row>
    <row r="102" spans="1:48" outlineLevel="1">
      <c r="C102" s="67"/>
      <c r="J102" s="160"/>
      <c r="K102" s="160"/>
      <c r="L102" s="160"/>
      <c r="M102" s="160"/>
      <c r="N102" s="160"/>
      <c r="O102" s="160"/>
      <c r="P102" s="160">
        <f>P$4</f>
        <v>44713</v>
      </c>
      <c r="Q102" s="160">
        <f t="shared" ref="Q102:T102" si="21">Q$4</f>
        <v>45078</v>
      </c>
      <c r="R102" s="160">
        <f t="shared" si="21"/>
        <v>45444</v>
      </c>
      <c r="S102" s="160">
        <f t="shared" si="21"/>
        <v>45809</v>
      </c>
      <c r="T102" s="160">
        <f t="shared" si="21"/>
        <v>46174</v>
      </c>
    </row>
    <row r="103" spans="1:48" outlineLevel="1">
      <c r="C103" s="124"/>
      <c r="D103" s="110"/>
      <c r="E103" s="110"/>
      <c r="F103" s="110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</row>
    <row r="104" spans="1:48" outlineLevel="1">
      <c r="C104" s="123" t="s">
        <v>132</v>
      </c>
      <c r="D104" s="126" t="s">
        <v>30</v>
      </c>
      <c r="E104" s="126" t="str">
        <f>$E$8</f>
        <v>$millions</v>
      </c>
      <c r="F104" s="172">
        <f t="shared" ref="F104:F106" si="22">$F$8</f>
        <v>44348</v>
      </c>
      <c r="J104" s="149"/>
      <c r="K104" s="149"/>
      <c r="L104" s="149"/>
      <c r="M104" s="149"/>
      <c r="N104" s="149"/>
      <c r="O104" s="149"/>
      <c r="P104" s="149">
        <f ca="1">(1+P70)*SUM($J56:$S56)+P88</f>
        <v>255.00869606232976</v>
      </c>
      <c r="Q104" s="149">
        <f t="shared" ref="Q104:T104" ca="1" si="23">(1+Q70)*SUM($J56:$S56)+Q88</f>
        <v>255.95850797951482</v>
      </c>
      <c r="R104" s="149">
        <f t="shared" ca="1" si="23"/>
        <v>258.71376974682124</v>
      </c>
      <c r="S104" s="149">
        <f t="shared" ca="1" si="23"/>
        <v>261.57805497122348</v>
      </c>
      <c r="T104" s="149">
        <f t="shared" ca="1" si="23"/>
        <v>265.05414460212006</v>
      </c>
    </row>
    <row r="105" spans="1:48" outlineLevel="1">
      <c r="C105" s="123" t="s">
        <v>107</v>
      </c>
      <c r="D105" s="126" t="s">
        <v>30</v>
      </c>
      <c r="E105" s="126" t="str">
        <f>$E$8</f>
        <v>$millions</v>
      </c>
      <c r="F105" s="172">
        <f t="shared" si="22"/>
        <v>44348</v>
      </c>
      <c r="J105" s="149"/>
      <c r="K105" s="149"/>
      <c r="L105" s="149"/>
      <c r="M105" s="149"/>
      <c r="N105" s="149"/>
      <c r="O105" s="149"/>
      <c r="P105" s="149">
        <f ca="1">(1+P70)*SUM($J56:$S56)+P88+P98</f>
        <v>257.6093292425661</v>
      </c>
      <c r="Q105" s="149">
        <f t="shared" ref="Q105:T105" ca="1" si="24">(1+Q70)*SUM($J56:$S56)+Q88+Q98</f>
        <v>258.55914115975116</v>
      </c>
      <c r="R105" s="149">
        <f t="shared" ca="1" si="24"/>
        <v>261.31440292705759</v>
      </c>
      <c r="S105" s="149">
        <f t="shared" ca="1" si="24"/>
        <v>264.17868815145982</v>
      </c>
      <c r="T105" s="149">
        <f t="shared" ca="1" si="24"/>
        <v>267.6547777823564</v>
      </c>
    </row>
    <row r="106" spans="1:48" outlineLevel="1">
      <c r="C106" s="123" t="s">
        <v>108</v>
      </c>
      <c r="D106" s="126" t="s">
        <v>30</v>
      </c>
      <c r="E106" s="126" t="str">
        <f>$E$8</f>
        <v>$millions</v>
      </c>
      <c r="F106" s="172">
        <f t="shared" si="22"/>
        <v>44348</v>
      </c>
      <c r="J106" s="149"/>
      <c r="K106" s="149"/>
      <c r="L106" s="149"/>
      <c r="M106" s="149"/>
      <c r="N106" s="149"/>
      <c r="O106" s="149"/>
      <c r="P106" s="149">
        <f ca="1">P105+'Input|Step changes'!P40</f>
        <v>259.74374158940844</v>
      </c>
      <c r="Q106" s="149">
        <f ca="1">Q105+'Input|Step changes'!Q40</f>
        <v>260.74778133064706</v>
      </c>
      <c r="R106" s="149">
        <f ca="1">R105+'Input|Step changes'!R40</f>
        <v>263.58339508170172</v>
      </c>
      <c r="S106" s="149">
        <f ca="1">S105+'Input|Step changes'!S40</f>
        <v>266.48130211343283</v>
      </c>
      <c r="T106" s="149">
        <f ca="1">T105+'Input|Step changes'!T40</f>
        <v>269.96740881251719</v>
      </c>
    </row>
    <row r="107" spans="1:48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  <c r="T107" s="23"/>
    </row>
    <row r="108" spans="1:48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7"/>
      <c r="W108" s="98"/>
      <c r="X108" s="98"/>
      <c r="Y108" s="99"/>
      <c r="Z108" s="99"/>
      <c r="AA108" s="99"/>
      <c r="AB108" s="99"/>
      <c r="AC108" s="100"/>
      <c r="AD108" s="101"/>
      <c r="AE108" s="101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</row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/>
    <row r="116" spans="4:9" hidden="1"/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>
      <c r="D192" s="29"/>
      <c r="E192" s="29"/>
      <c r="F192" s="29"/>
      <c r="G192" s="29"/>
      <c r="H192" s="29"/>
      <c r="I192" s="29"/>
    </row>
    <row r="193" spans="4:9" hidden="1">
      <c r="D193" s="29"/>
      <c r="E193" s="29"/>
      <c r="F193" s="29"/>
      <c r="G193" s="29"/>
      <c r="H193" s="29"/>
      <c r="I193" s="29"/>
    </row>
    <row r="194" spans="4:9" hidden="1"/>
    <row r="195" spans="4:9" hidden="1"/>
    <row r="196" spans="4:9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94:T96 J76:T86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5:T106">
    <cfRule type="cellIs" dxfId="97" priority="110" operator="equal">
      <formula>0</formula>
    </cfRule>
  </conditionalFormatting>
  <conditionalFormatting sqref="J105:T106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4:T104">
    <cfRule type="cellIs" dxfId="71" priority="46" operator="equal">
      <formula>0</formula>
    </cfRule>
  </conditionalFormatting>
  <conditionalFormatting sqref="J104:T104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8:T98">
    <cfRule type="expression" dxfId="31" priority="140">
      <formula>J$92=J$4</formula>
    </cfRule>
    <cfRule type="cellIs" dxfId="30" priority="141" operator="equal">
      <formula>0</formula>
    </cfRule>
  </conditionalFormatting>
  <conditionalFormatting sqref="J88:T88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2:T92 P102:T102">
    <cfRule type="expression" dxfId="27" priority="144">
      <formula>J$60=J$4</formula>
    </cfRule>
  </conditionalFormatting>
  <conditionalFormatting sqref="J102:O102">
    <cfRule type="expression" dxfId="26" priority="147">
      <formula>J$102=J$4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9 F97 F107 F89">
      <formula1>"Real 2010,Real 2011,Real 2012,Real 2013,Real 2014,Real 2015,Nominal"</formula1>
    </dataValidation>
    <dataValidation type="list" allowBlank="1" showInputMessage="1" showErrorMessage="1" sqref="F87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>
      <selection activeCell="B10" sqref="B10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23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forecast'!C104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K13" s="178">
        <f>IF(K$11="",0,'Calc|Opex forecast'!K104*INDEX('Input|Rate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L13" s="178">
        <f>IF(L$11="",0,'Calc|Opex forecast'!L104*INDEX('Input|Rate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M13" s="178">
        <f>IF(M$11="",0,'Calc|Opex forecast'!M104*INDEX('Input|Rate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N13" s="178">
        <f>IF(N$11="",0,'Calc|Opex forecast'!N104*INDEX('Input|Rate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O13" s="178">
        <f>IF(O$11="",0,'Calc|Opex forecast'!O104*INDEX('Input|Rate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0</v>
      </c>
      <c r="P13" s="178">
        <f ca="1">IF(P$11="",0,'Calc|Opex forecast'!P104*INDEX('Input|Rate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255.00869606232976</v>
      </c>
      <c r="Q13" s="178">
        <f ca="1">IF(Q$11="",0,'Calc|Opex forecast'!Q104*INDEX('Input|Rate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255.95850797951482</v>
      </c>
      <c r="R13" s="178">
        <f ca="1">IF(R$11="",0,'Calc|Opex forecast'!R104*INDEX('Input|Rate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258.71376974682124</v>
      </c>
      <c r="S13" s="178">
        <f ca="1">IF(S$11="",0,'Calc|Opex forecast'!S104*INDEX('Input|Rate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261.57805497122348</v>
      </c>
      <c r="T13" s="178">
        <f ca="1">IF(T$11="",0,'Calc|Opex forecast'!T104*INDEX('Input|Rate of change'!$C$14:$P$22,MATCH('Calc|Opex forecast'!$F$104,'Input|Rate of change'!$C$14:$C$22,0),MATCH('Output|Models'!$F13,'Input|Rate of change'!$C$14:$P$14,0))*IF('Calc|Opex forecast'!$E$104="$millions",1000000,IF('Calc|Opex forecast'!$E$104="$000",1000,1))/IF($E13="$millions",1000000,IF($E13="$000",1000,1)))</f>
        <v>265.05414460212006</v>
      </c>
      <c r="U13" s="111"/>
      <c r="V13" s="150"/>
    </row>
    <row r="14" spans="1:27">
      <c r="C14" s="111" t="str">
        <f>'Input|Step changes'!C30</f>
        <v>GSLs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K14" s="178">
        <f>IF(K$11="",0,'Calc|Opex forecast'!K94*INDEX('Input|Rate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L14" s="178">
        <f>IF(L$11="",0,'Calc|Opex forecast'!L94*INDEX('Input|Rate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M14" s="178">
        <f>IF(M$11="",0,'Calc|Opex forecast'!M94*INDEX('Input|Rate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N14" s="178">
        <f>IF(N$11="",0,'Calc|Opex forecast'!N94*INDEX('Input|Rate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O14" s="178">
        <f>IF(O$11="",0,'Calc|Opex forecast'!O94*INDEX('Input|Rate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0</v>
      </c>
      <c r="P14" s="178">
        <f>IF(P$11="",0,'Calc|Opex forecast'!P94*INDEX('Input|Rate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2.6006331802363221</v>
      </c>
      <c r="Q14" s="178">
        <f>IF(Q$11="",0,'Calc|Opex forecast'!Q94*INDEX('Input|Rate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2.6006331802363221</v>
      </c>
      <c r="R14" s="178">
        <f>IF(R$11="",0,'Calc|Opex forecast'!R94*INDEX('Input|Rate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2.6006331802363221</v>
      </c>
      <c r="S14" s="178">
        <f>IF(S$11="",0,'Calc|Opex forecast'!S94*INDEX('Input|Rate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2.6006331802363221</v>
      </c>
      <c r="T14" s="178">
        <f>IF(T$11="",0,'Calc|Opex forecast'!T94*INDEX('Input|Rate of change'!$C$14:$P$22,MATCH('Calc|Opex forecast'!$F$94,'Input|Rate of change'!$C$14:$C$22,0),MATCH('Output|Models'!$F14,'Input|Rate of change'!$C$14:$P$14,0))*IF('Calc|Opex forecast'!$E$94="$millions",1000000,IF('Calc|Opex forecast'!$E$94="$000",1000,1))/IF($E14="$millions",1000000,IF($E14="$000",1000,1)))</f>
        <v>2.6006331802363221</v>
      </c>
      <c r="U14" s="111"/>
      <c r="V14" s="150"/>
    </row>
    <row r="15" spans="1:27">
      <c r="C15" s="111">
        <f>'Input|Step changes'!C31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K15" s="178">
        <f>IF(K$11="",0,'Calc|Opex forecast'!K95*INDEX('Input|Rate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L15" s="178">
        <f>IF(L$11="",0,'Calc|Opex forecast'!L95*INDEX('Input|Rate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M15" s="178">
        <f>IF(M$11="",0,'Calc|Opex forecast'!M95*INDEX('Input|Rate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N15" s="178">
        <f>IF(N$11="",0,'Calc|Opex forecast'!N95*INDEX('Input|Rate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O15" s="178">
        <f>IF(O$11="",0,'Calc|Opex forecast'!O95*INDEX('Input|Rate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P15" s="178">
        <f>IF(P$11="",0,'Calc|Opex forecast'!P95*INDEX('Input|Rate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Q15" s="178">
        <f>IF(Q$11="",0,'Calc|Opex forecast'!Q95*INDEX('Input|Rate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R15" s="178">
        <f>IF(R$11="",0,'Calc|Opex forecast'!R95*INDEX('Input|Rate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S15" s="178">
        <f>IF(S$11="",0,'Calc|Opex forecast'!S95*INDEX('Input|Rate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T15" s="178">
        <f>IF(T$11="",0,'Calc|Opex forecast'!T95*INDEX('Input|Rate of change'!$C$14:$P$22,MATCH('Calc|Opex forecast'!$F$94,'Input|Rate of change'!$C$14:$C$22,0),MATCH('Output|Models'!$F15,'Input|Rate of change'!$C$14:$P$14,0))*IF('Calc|Opex forecast'!$E$94="$millions",1000000,IF('Calc|Opex forecast'!$E$94="$000",1000,1))/IF($E15="$millions",1000000,IF($E15="$000",1000,1)))</f>
        <v>0</v>
      </c>
      <c r="U15" s="111"/>
      <c r="V15" s="150"/>
    </row>
    <row r="16" spans="1:27">
      <c r="C16" s="111">
        <f>'Input|Step changes'!C32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K16" s="178">
        <f>IF(K$11="",0,'Calc|Opex forecast'!K96*INDEX('Input|Rate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L16" s="178">
        <f>IF(L$11="",0,'Calc|Opex forecast'!L96*INDEX('Input|Rate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M16" s="178">
        <f>IF(M$11="",0,'Calc|Opex forecast'!M96*INDEX('Input|Rate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N16" s="178">
        <f>IF(N$11="",0,'Calc|Opex forecast'!N96*INDEX('Input|Rate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O16" s="178">
        <f>IF(O$11="",0,'Calc|Opex forecast'!O96*INDEX('Input|Rate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P16" s="178">
        <f>IF(P$11="",0,'Calc|Opex forecast'!P96*INDEX('Input|Rate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Q16" s="178">
        <f>IF(Q$11="",0,'Calc|Opex forecast'!Q96*INDEX('Input|Rate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R16" s="178">
        <f>IF(R$11="",0,'Calc|Opex forecast'!R96*INDEX('Input|Rate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S16" s="178">
        <f>IF(S$11="",0,'Calc|Opex forecast'!S96*INDEX('Input|Rate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T16" s="178">
        <f>IF(T$11="",0,'Calc|Opex forecast'!T96*INDEX('Input|Rate of change'!$C$14:$P$22,MATCH('Calc|Opex forecast'!$F$94,'Input|Rate of change'!$C$14:$C$22,0),MATCH('Output|Models'!$F16,'Input|Rate of change'!$C$14:$P$14,0))*IF('Calc|Opex forecast'!$E$94="$millions",1000000,IF('Calc|Opex forecast'!$E$94="$000",1000,1))/IF($E16="$millions",1000000,IF($E16="$000",1000,1)))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C5" sqref="C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117</v>
      </c>
    </row>
    <row r="65" spans="1:47">
      <c r="C65" s="15" t="s">
        <v>184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138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139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140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141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142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188</v>
      </c>
      <c r="D71" s="16" t="s">
        <v>97</v>
      </c>
      <c r="E71" s="16"/>
      <c r="F71" s="16"/>
      <c r="G71" s="181" t="s">
        <v>189</v>
      </c>
      <c r="H71" s="183">
        <f>DATE(YEAR(H70)+1,6,1)</f>
        <v>44348</v>
      </c>
    </row>
    <row r="72" spans="1:47">
      <c r="C72" s="15" t="s">
        <v>143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144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145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146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147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2"/>
    </row>
    <row r="81" spans="1:47">
      <c r="C81" s="15" t="s">
        <v>178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179</v>
      </c>
      <c r="D82" s="16" t="s">
        <v>68</v>
      </c>
      <c r="E82" s="16"/>
      <c r="F82" s="16"/>
      <c r="G82" s="182" t="s">
        <v>180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A28" sqref="A28:XFD2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2020-09-06T23:14:51Z</dcterms:created>
  <dcterms:modified xsi:type="dcterms:W3CDTF">2020-09-06T23:17:00Z</dcterms:modified>
</cp:coreProperties>
</file>