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/>
  <xr:revisionPtr revIDLastSave="0" documentId="13_ncr:1_{911F9FD4-6571-4B80-9543-7D5CC52E98E6}" xr6:coauthVersionLast="46" xr6:coauthVersionMax="46" xr10:uidLastSave="{00000000-0000-0000-0000-000000000000}"/>
  <bookViews>
    <workbookView xWindow="28680" yWindow="-120" windowWidth="29040" windowHeight="15840" activeTab="3" xr2:uid="{00000000-000D-0000-FFFF-FFFF00000000}"/>
  </bookViews>
  <sheets>
    <sheet name="Data" sheetId="7" r:id="rId1"/>
    <sheet name="Inputs" sheetId="5" r:id="rId2"/>
    <sheet name="Calculation" sheetId="2" r:id="rId3"/>
    <sheet name="Outputs" sheetId="4" r:id="rId4"/>
    <sheet name="Graphs" sheetId="3" r:id="rId5"/>
  </sheets>
  <definedNames>
    <definedName name="_xlnm._FilterDatabase" localSheetId="2" hidden="1">Calculation!$A$4:$CP$27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0" i="4" l="1"/>
  <c r="J49" i="4"/>
  <c r="I9" i="4" l="1"/>
  <c r="I10" i="4"/>
  <c r="I11" i="4"/>
  <c r="I12" i="4"/>
  <c r="I13" i="4"/>
  <c r="I14" i="4"/>
  <c r="I8" i="4"/>
  <c r="F4" i="2" l="1"/>
  <c r="K7" i="4" l="1"/>
  <c r="L7" i="4"/>
  <c r="M7" i="4"/>
  <c r="N7" i="4"/>
  <c r="O7" i="4"/>
  <c r="J7" i="4"/>
  <c r="G45" i="4"/>
  <c r="A26" i="4"/>
  <c r="I38" i="4" l="1"/>
  <c r="A38" i="4"/>
  <c r="G49" i="4" l="1"/>
  <c r="D49" i="4"/>
  <c r="A92" i="4" s="1"/>
  <c r="A49" i="4"/>
  <c r="G33" i="4" l="1"/>
  <c r="BG2" i="2"/>
  <c r="BN2" i="2"/>
  <c r="BU2" i="2"/>
  <c r="I37" i="5" l="1"/>
  <c r="J39" i="5"/>
  <c r="K39" i="5" s="1"/>
  <c r="L39" i="5" s="1"/>
  <c r="M39" i="5" s="1"/>
  <c r="N39" i="5" s="1"/>
  <c r="O39" i="5" s="1"/>
  <c r="J37" i="5"/>
  <c r="L37" i="5" l="1"/>
  <c r="M37" i="5"/>
  <c r="N37" i="5"/>
  <c r="O37" i="5"/>
  <c r="K37" i="5"/>
  <c r="A4" i="2" l="1"/>
  <c r="C4" i="2" l="1"/>
  <c r="A7" i="4" s="1"/>
  <c r="D4" i="2"/>
  <c r="A18" i="4" s="1"/>
  <c r="E4" i="2"/>
  <c r="A59" i="4" s="1"/>
  <c r="G4" i="2"/>
  <c r="AZ2" i="2" l="1"/>
  <c r="B4" i="2"/>
  <c r="F5" i="2" l="1"/>
  <c r="A5" i="2"/>
  <c r="H4" i="2"/>
  <c r="K4" i="2"/>
  <c r="J4" i="2"/>
  <c r="L4" i="2"/>
  <c r="I4" i="2"/>
  <c r="D5" i="2"/>
  <c r="E5" i="2"/>
  <c r="F6" i="2" l="1"/>
  <c r="CJ6" i="2" s="1"/>
  <c r="C5" i="2"/>
  <c r="CP5" i="2" s="1"/>
  <c r="A6" i="2"/>
  <c r="D6" i="2"/>
  <c r="E6" i="2"/>
  <c r="F7" i="2"/>
  <c r="CN6" i="2" l="1"/>
  <c r="CM6" i="2"/>
  <c r="CL6" i="2"/>
  <c r="CK6" i="2"/>
  <c r="G6" i="2"/>
  <c r="CP6" i="2"/>
  <c r="CK7" i="2"/>
  <c r="CN7" i="2"/>
  <c r="CM7" i="2"/>
  <c r="CP7" i="2"/>
  <c r="CL7" i="2"/>
  <c r="CJ7" i="2"/>
  <c r="C6" i="2"/>
  <c r="A60" i="4" a="1"/>
  <c r="A60" i="4" s="1"/>
  <c r="A8" i="4" a="1"/>
  <c r="A8" i="4" s="1"/>
  <c r="A7" i="2"/>
  <c r="A19" i="4" a="1"/>
  <c r="A19" i="4" s="1"/>
  <c r="D7" i="2"/>
  <c r="E7" i="2"/>
  <c r="F8" i="2"/>
  <c r="CO6" i="2" l="1"/>
  <c r="CO7" i="2"/>
  <c r="C7" i="2"/>
  <c r="I28" i="4"/>
  <c r="G7" i="2"/>
  <c r="AX7" i="2"/>
  <c r="AX6" i="2"/>
  <c r="AX5" i="2"/>
  <c r="G5" i="2"/>
  <c r="A8" i="2"/>
  <c r="C8" i="2"/>
  <c r="CP8" i="2" s="1"/>
  <c r="D8" i="2"/>
  <c r="E8" i="2"/>
  <c r="F9" i="2"/>
  <c r="AX8" i="2" l="1"/>
  <c r="G8" i="2"/>
  <c r="A9" i="2"/>
  <c r="C9" i="2"/>
  <c r="CP9" i="2" s="1"/>
  <c r="D9" i="2"/>
  <c r="E9" i="2"/>
  <c r="F10" i="2"/>
  <c r="F8" i="5"/>
  <c r="G8" i="5" l="1"/>
  <c r="G9" i="2"/>
  <c r="AX9" i="2"/>
  <c r="A10" i="2"/>
  <c r="A9" i="4" a="1"/>
  <c r="A9" i="4" s="1"/>
  <c r="F11" i="2"/>
  <c r="C10" i="2"/>
  <c r="CP10" i="2" s="1"/>
  <c r="D10" i="2"/>
  <c r="E10" i="2"/>
  <c r="K9" i="5"/>
  <c r="J15" i="5"/>
  <c r="L9" i="5" l="1"/>
  <c r="I5" i="2"/>
  <c r="K5" i="2"/>
  <c r="H5" i="2"/>
  <c r="L5" i="2"/>
  <c r="J5" i="2"/>
  <c r="L6" i="2"/>
  <c r="K6" i="2"/>
  <c r="J6" i="2"/>
  <c r="I6" i="2"/>
  <c r="H6" i="2"/>
  <c r="J7" i="2"/>
  <c r="I7" i="2"/>
  <c r="L7" i="2"/>
  <c r="H7" i="2"/>
  <c r="K7" i="2"/>
  <c r="I8" i="2"/>
  <c r="L8" i="2"/>
  <c r="J8" i="2"/>
  <c r="K8" i="2"/>
  <c r="H8" i="2"/>
  <c r="I9" i="2"/>
  <c r="L9" i="2"/>
  <c r="J9" i="2"/>
  <c r="H9" i="2"/>
  <c r="BG9" i="2" s="1"/>
  <c r="K9" i="2"/>
  <c r="BX9" i="2" s="1"/>
  <c r="K15" i="5"/>
  <c r="L10" i="2"/>
  <c r="BY10" i="2" s="1"/>
  <c r="K10" i="2"/>
  <c r="BX10" i="2" s="1"/>
  <c r="I10" i="2"/>
  <c r="BV10" i="2" s="1"/>
  <c r="H8" i="5"/>
  <c r="AX10" i="2"/>
  <c r="G10" i="2"/>
  <c r="J10" i="2"/>
  <c r="H10" i="2"/>
  <c r="I11" i="2"/>
  <c r="A11" i="2"/>
  <c r="L11" i="2"/>
  <c r="J11" i="2"/>
  <c r="F12" i="2"/>
  <c r="K11" i="2"/>
  <c r="C11" i="2"/>
  <c r="CP11" i="2" s="1"/>
  <c r="D11" i="2"/>
  <c r="E11" i="2"/>
  <c r="L15" i="5" l="1"/>
  <c r="M9" i="5"/>
  <c r="P10" i="2"/>
  <c r="AD10" i="2" s="1"/>
  <c r="AK10" i="2" s="1"/>
  <c r="BO10" i="2" s="1"/>
  <c r="R9" i="2"/>
  <c r="AF9" i="2" s="1"/>
  <c r="AM9" i="2" s="1"/>
  <c r="BQ9" i="2" s="1"/>
  <c r="BH10" i="2"/>
  <c r="BJ10" i="2"/>
  <c r="O9" i="2"/>
  <c r="AC9" i="2" s="1"/>
  <c r="AJ9" i="2" s="1"/>
  <c r="BN9" i="2" s="1"/>
  <c r="R10" i="2"/>
  <c r="AF10" i="2" s="1"/>
  <c r="AM10" i="2" s="1"/>
  <c r="BQ10" i="2" s="1"/>
  <c r="S10" i="2"/>
  <c r="AG10" i="2" s="1"/>
  <c r="AN10" i="2" s="1"/>
  <c r="BR10" i="2" s="1"/>
  <c r="BK10" i="2"/>
  <c r="BU9" i="2"/>
  <c r="BJ9" i="2"/>
  <c r="M9" i="2"/>
  <c r="I8" i="5"/>
  <c r="BW9" i="2"/>
  <c r="BI9" i="2"/>
  <c r="Q9" i="2"/>
  <c r="BK9" i="2"/>
  <c r="BY9" i="2"/>
  <c r="S9" i="2"/>
  <c r="BV9" i="2"/>
  <c r="BH9" i="2"/>
  <c r="P9" i="2"/>
  <c r="BU8" i="2"/>
  <c r="BG8" i="2"/>
  <c r="O8" i="2"/>
  <c r="M8" i="2"/>
  <c r="BX8" i="2"/>
  <c r="BJ8" i="2"/>
  <c r="R8" i="2"/>
  <c r="AF8" i="2" s="1"/>
  <c r="AM8" i="2" s="1"/>
  <c r="BQ8" i="2" s="1"/>
  <c r="BW8" i="2"/>
  <c r="BI8" i="2"/>
  <c r="Q8" i="2"/>
  <c r="AE8" i="2" s="1"/>
  <c r="AL8" i="2" s="1"/>
  <c r="BP8" i="2" s="1"/>
  <c r="BY8" i="2"/>
  <c r="BK8" i="2"/>
  <c r="S8" i="2"/>
  <c r="AG8" i="2" s="1"/>
  <c r="AN8" i="2" s="1"/>
  <c r="BR8" i="2" s="1"/>
  <c r="BH8" i="2"/>
  <c r="BV8" i="2"/>
  <c r="P8" i="2"/>
  <c r="AD8" i="2" s="1"/>
  <c r="AK8" i="2" s="1"/>
  <c r="BO8" i="2" s="1"/>
  <c r="BX7" i="2"/>
  <c r="BJ7" i="2"/>
  <c r="R7" i="2"/>
  <c r="AF7" i="2" s="1"/>
  <c r="AM7" i="2" s="1"/>
  <c r="BQ7" i="2" s="1"/>
  <c r="BU7" i="2"/>
  <c r="BG7" i="2"/>
  <c r="O7" i="2"/>
  <c r="V7" i="2" s="1"/>
  <c r="M7" i="2"/>
  <c r="BY7" i="2"/>
  <c r="BK7" i="2"/>
  <c r="S7" i="2"/>
  <c r="AG7" i="2" s="1"/>
  <c r="AN7" i="2" s="1"/>
  <c r="BR7" i="2" s="1"/>
  <c r="BV7" i="2"/>
  <c r="BH7" i="2"/>
  <c r="P7" i="2"/>
  <c r="W7" i="2" s="1"/>
  <c r="BI7" i="2"/>
  <c r="BW7" i="2"/>
  <c r="Q7" i="2"/>
  <c r="X7" i="2" s="1"/>
  <c r="M6" i="2"/>
  <c r="BU6" i="2"/>
  <c r="BG6" i="2"/>
  <c r="O6" i="2"/>
  <c r="BV6" i="2"/>
  <c r="BH6" i="2"/>
  <c r="P6" i="2"/>
  <c r="AD6" i="2" s="1"/>
  <c r="AK6" i="2" s="1"/>
  <c r="BW6" i="2"/>
  <c r="BI6" i="2"/>
  <c r="Q6" i="2"/>
  <c r="X6" i="2" s="1"/>
  <c r="BJ6" i="2"/>
  <c r="BX6" i="2"/>
  <c r="R6" i="2"/>
  <c r="Y6" i="2" s="1"/>
  <c r="BY6" i="2"/>
  <c r="BK6" i="2"/>
  <c r="S6" i="2"/>
  <c r="Z6" i="2" s="1"/>
  <c r="BW5" i="2"/>
  <c r="BI5" i="2"/>
  <c r="Q5" i="2"/>
  <c r="X5" i="2" s="1"/>
  <c r="BK5" i="2"/>
  <c r="BY5" i="2"/>
  <c r="S5" i="2"/>
  <c r="AG5" i="2" s="1"/>
  <c r="AN5" i="2" s="1"/>
  <c r="BR5" i="2" s="1"/>
  <c r="BU5" i="2"/>
  <c r="BG5" i="2"/>
  <c r="O5" i="2"/>
  <c r="AC5" i="2" s="1"/>
  <c r="AJ5" i="2" s="1"/>
  <c r="BN5" i="2" s="1"/>
  <c r="BX5" i="2"/>
  <c r="BJ5" i="2"/>
  <c r="R5" i="2"/>
  <c r="Y5" i="2" s="1"/>
  <c r="BV5" i="2"/>
  <c r="BH5" i="2"/>
  <c r="P5" i="2"/>
  <c r="W5" i="2" s="1"/>
  <c r="BV11" i="2"/>
  <c r="BH11" i="2"/>
  <c r="G11" i="2"/>
  <c r="AX11" i="2"/>
  <c r="BX11" i="2"/>
  <c r="BJ11" i="2"/>
  <c r="BI11" i="2"/>
  <c r="BW11" i="2"/>
  <c r="BU10" i="2"/>
  <c r="BG10" i="2"/>
  <c r="BY11" i="2"/>
  <c r="BK11" i="2"/>
  <c r="BW10" i="2"/>
  <c r="BI10" i="2"/>
  <c r="Q11" i="2"/>
  <c r="X11" i="2" s="1"/>
  <c r="Q10" i="2"/>
  <c r="AE10" i="2" s="1"/>
  <c r="AL10" i="2" s="1"/>
  <c r="BP10" i="2" s="1"/>
  <c r="R11" i="2"/>
  <c r="S11" i="2"/>
  <c r="P11" i="2"/>
  <c r="H11" i="2"/>
  <c r="O10" i="2"/>
  <c r="AC10" i="2" s="1"/>
  <c r="AJ10" i="2" s="1"/>
  <c r="BN10" i="2" s="1"/>
  <c r="M10" i="2"/>
  <c r="J12" i="2"/>
  <c r="A12" i="2"/>
  <c r="F13" i="2"/>
  <c r="L12" i="2"/>
  <c r="I12" i="2"/>
  <c r="K12" i="2"/>
  <c r="C12" i="2"/>
  <c r="CP12" i="2" s="1"/>
  <c r="D12" i="2"/>
  <c r="E12" i="2"/>
  <c r="AD4" i="2"/>
  <c r="AK4" i="2" s="1"/>
  <c r="AR4" i="2" s="1"/>
  <c r="BA4" i="2" s="1"/>
  <c r="BH4" i="2" s="1"/>
  <c r="BO4" i="2" s="1"/>
  <c r="BV4" i="2" s="1"/>
  <c r="CC4" i="2" s="1"/>
  <c r="CK4" i="2" s="1"/>
  <c r="AE4" i="2"/>
  <c r="AL4" i="2" s="1"/>
  <c r="AS4" i="2" s="1"/>
  <c r="BB4" i="2" s="1"/>
  <c r="BI4" i="2" s="1"/>
  <c r="BP4" i="2" s="1"/>
  <c r="BW4" i="2" s="1"/>
  <c r="CD4" i="2" s="1"/>
  <c r="CL4" i="2" s="1"/>
  <c r="AF4" i="2"/>
  <c r="AM4" i="2" s="1"/>
  <c r="AT4" i="2" s="1"/>
  <c r="BC4" i="2" s="1"/>
  <c r="BJ4" i="2" s="1"/>
  <c r="BQ4" i="2" s="1"/>
  <c r="BX4" i="2" s="1"/>
  <c r="CE4" i="2" s="1"/>
  <c r="CM4" i="2" s="1"/>
  <c r="AG4" i="2"/>
  <c r="AN4" i="2" s="1"/>
  <c r="AU4" i="2" s="1"/>
  <c r="BD4" i="2" s="1"/>
  <c r="BK4" i="2" s="1"/>
  <c r="BR4" i="2" s="1"/>
  <c r="BY4" i="2" s="1"/>
  <c r="CF4" i="2" s="1"/>
  <c r="CN4" i="2" s="1"/>
  <c r="AH4" i="2"/>
  <c r="AO4" i="2" s="1"/>
  <c r="AV4" i="2" s="1"/>
  <c r="BE4" i="2" s="1"/>
  <c r="BL4" i="2" s="1"/>
  <c r="BS4" i="2" s="1"/>
  <c r="BZ4" i="2" s="1"/>
  <c r="CG4" i="2" s="1"/>
  <c r="CO4" i="2" s="1"/>
  <c r="AC4" i="2"/>
  <c r="AJ4" i="2" s="1"/>
  <c r="AQ4" i="2" s="1"/>
  <c r="AZ4" i="2" s="1"/>
  <c r="BG4" i="2" s="1"/>
  <c r="BN4" i="2" s="1"/>
  <c r="BU4" i="2" s="1"/>
  <c r="CB4" i="2" s="1"/>
  <c r="CJ4" i="2" s="1"/>
  <c r="N9" i="5" l="1"/>
  <c r="M15" i="5"/>
  <c r="N15" i="5" s="1"/>
  <c r="W10" i="2"/>
  <c r="AR10" i="2" s="1"/>
  <c r="BC9" i="2"/>
  <c r="Y9" i="2"/>
  <c r="AT9" i="2" s="1"/>
  <c r="BA10" i="2"/>
  <c r="CC10" i="2" s="1"/>
  <c r="CK10" i="2" s="1"/>
  <c r="Y8" i="2"/>
  <c r="AT8" i="2" s="1"/>
  <c r="V9" i="2"/>
  <c r="AQ9" i="2" s="1"/>
  <c r="AZ9" i="2"/>
  <c r="CB9" i="2" s="1"/>
  <c r="CJ9" i="2" s="1"/>
  <c r="X10" i="2"/>
  <c r="AS10" i="2" s="1"/>
  <c r="Y10" i="2"/>
  <c r="AT10" i="2" s="1"/>
  <c r="Z10" i="2"/>
  <c r="AU10" i="2" s="1"/>
  <c r="BC10" i="2"/>
  <c r="CE10" i="2" s="1"/>
  <c r="CM10" i="2" s="1"/>
  <c r="AD11" i="2"/>
  <c r="AK11" i="2" s="1"/>
  <c r="BO11" i="2" s="1"/>
  <c r="AE11" i="2"/>
  <c r="AL11" i="2" s="1"/>
  <c r="BP11" i="2" s="1"/>
  <c r="AF5" i="2"/>
  <c r="AM5" i="2" s="1"/>
  <c r="BQ5" i="2" s="1"/>
  <c r="AG11" i="2"/>
  <c r="AN11" i="2" s="1"/>
  <c r="BR11" i="2" s="1"/>
  <c r="Y7" i="2"/>
  <c r="AT7" i="2" s="1"/>
  <c r="W8" i="2"/>
  <c r="AR8" i="2" s="1"/>
  <c r="AF11" i="2"/>
  <c r="AM11" i="2" s="1"/>
  <c r="BC11" i="2" s="1"/>
  <c r="AC6" i="2"/>
  <c r="AJ6" i="2" s="1"/>
  <c r="BN6" i="2" s="1"/>
  <c r="AD7" i="2"/>
  <c r="AK7" i="2" s="1"/>
  <c r="BO7" i="2" s="1"/>
  <c r="BA8" i="2"/>
  <c r="CC8" i="2" s="1"/>
  <c r="CK8" i="2" s="1"/>
  <c r="BC7" i="2"/>
  <c r="CE7" i="2" s="1"/>
  <c r="E92" i="4" s="1" a="1"/>
  <c r="E92" i="4" s="1"/>
  <c r="BB8" i="2"/>
  <c r="CD8" i="2" s="1"/>
  <c r="CL8" i="2" s="1"/>
  <c r="BC8" i="2"/>
  <c r="CE8" i="2" s="1"/>
  <c r="CM8" i="2" s="1"/>
  <c r="T9" i="2"/>
  <c r="AZ5" i="2"/>
  <c r="BD10" i="2"/>
  <c r="CF10" i="2" s="1"/>
  <c r="CN10" i="2" s="1"/>
  <c r="V5" i="2"/>
  <c r="AQ5" i="2" s="1"/>
  <c r="Z5" i="2"/>
  <c r="AU5" i="2" s="1"/>
  <c r="AG6" i="2"/>
  <c r="AN6" i="2" s="1"/>
  <c r="BR6" i="2" s="1"/>
  <c r="AE6" i="2"/>
  <c r="AL6" i="2" s="1"/>
  <c r="BP6" i="2" s="1"/>
  <c r="W6" i="2"/>
  <c r="AR6" i="2" s="1"/>
  <c r="BA6" i="2"/>
  <c r="BO6" i="2"/>
  <c r="BD5" i="2"/>
  <c r="BD7" i="2"/>
  <c r="CF7" i="2" s="1"/>
  <c r="F92" i="4" s="1" a="1"/>
  <c r="F92" i="4" s="1"/>
  <c r="AD5" i="2"/>
  <c r="AK5" i="2" s="1"/>
  <c r="AR5" i="2" s="1"/>
  <c r="AE5" i="2"/>
  <c r="AL5" i="2" s="1"/>
  <c r="AS5" i="2" s="1"/>
  <c r="Z7" i="2"/>
  <c r="AU7" i="2" s="1"/>
  <c r="Z8" i="2"/>
  <c r="AU8" i="2" s="1"/>
  <c r="W11" i="2"/>
  <c r="CE9" i="2"/>
  <c r="CM9" i="2" s="1"/>
  <c r="AF6" i="2"/>
  <c r="AM6" i="2" s="1"/>
  <c r="BQ6" i="2" s="1"/>
  <c r="AE7" i="2"/>
  <c r="AL7" i="2" s="1"/>
  <c r="BP7" i="2" s="1"/>
  <c r="BD8" i="2"/>
  <c r="CF8" i="2" s="1"/>
  <c r="CN8" i="2" s="1"/>
  <c r="X8" i="2"/>
  <c r="AS8" i="2" s="1"/>
  <c r="T5" i="2"/>
  <c r="V6" i="2"/>
  <c r="T6" i="2"/>
  <c r="AC7" i="2"/>
  <c r="T7" i="2"/>
  <c r="V8" i="2"/>
  <c r="T8" i="2"/>
  <c r="AC8" i="2"/>
  <c r="AD9" i="2"/>
  <c r="W9" i="2"/>
  <c r="AG9" i="2"/>
  <c r="AN9" i="2" s="1"/>
  <c r="BR9" i="2" s="1"/>
  <c r="Z9" i="2"/>
  <c r="AE9" i="2"/>
  <c r="AL9" i="2" s="1"/>
  <c r="BP9" i="2" s="1"/>
  <c r="X9" i="2"/>
  <c r="J8" i="5"/>
  <c r="K8" i="5" s="1"/>
  <c r="L8" i="5" s="1"/>
  <c r="M8" i="5" s="1"/>
  <c r="N8" i="5" s="1"/>
  <c r="O8" i="5" s="1"/>
  <c r="O11" i="2"/>
  <c r="V11" i="2" s="1"/>
  <c r="BU11" i="2"/>
  <c r="BG11" i="2"/>
  <c r="AZ10" i="2"/>
  <c r="CB10" i="2" s="1"/>
  <c r="CJ10" i="2" s="1"/>
  <c r="BH12" i="2"/>
  <c r="BV12" i="2"/>
  <c r="BW12" i="2"/>
  <c r="BI12" i="2"/>
  <c r="Z11" i="2"/>
  <c r="BB10" i="2"/>
  <c r="CD10" i="2" s="1"/>
  <c r="CL10" i="2" s="1"/>
  <c r="BX12" i="2"/>
  <c r="BJ12" i="2"/>
  <c r="BY12" i="2"/>
  <c r="BK12" i="2"/>
  <c r="AX12" i="2"/>
  <c r="G12" i="2"/>
  <c r="M11" i="2"/>
  <c r="Y11" i="2"/>
  <c r="R12" i="2"/>
  <c r="Y12" i="2" s="1"/>
  <c r="S12" i="2"/>
  <c r="Q12" i="2"/>
  <c r="X12" i="2" s="1"/>
  <c r="BL7" i="2"/>
  <c r="T10" i="2"/>
  <c r="P12" i="2"/>
  <c r="V10" i="2"/>
  <c r="AQ10" i="2" s="1"/>
  <c r="J13" i="2"/>
  <c r="H12" i="2"/>
  <c r="K13" i="2"/>
  <c r="A13" i="2"/>
  <c r="L13" i="2"/>
  <c r="I13" i="2"/>
  <c r="F14" i="2"/>
  <c r="C13" i="2"/>
  <c r="CP13" i="2" s="1"/>
  <c r="D13" i="2"/>
  <c r="E13" i="2"/>
  <c r="O9" i="5" l="1"/>
  <c r="O15" i="5" s="1"/>
  <c r="BA11" i="2"/>
  <c r="CC11" i="2" s="1"/>
  <c r="CK11" i="2" s="1"/>
  <c r="CO10" i="2"/>
  <c r="CF5" i="2"/>
  <c r="AC11" i="2"/>
  <c r="AJ11" i="2" s="1"/>
  <c r="AZ11" i="2" s="1"/>
  <c r="H15" i="5"/>
  <c r="AU11" i="2"/>
  <c r="BQ11" i="2"/>
  <c r="CE11" i="2" s="1"/>
  <c r="CM11" i="2" s="1"/>
  <c r="BD11" i="2"/>
  <c r="CF11" i="2" s="1"/>
  <c r="CN11" i="2" s="1"/>
  <c r="T11" i="2"/>
  <c r="BD9" i="2"/>
  <c r="CF9" i="2" s="1"/>
  <c r="CN9" i="2" s="1"/>
  <c r="AT11" i="2"/>
  <c r="AA9" i="2"/>
  <c r="BB6" i="2"/>
  <c r="CD6" i="2" s="1"/>
  <c r="AU9" i="2"/>
  <c r="BC5" i="2"/>
  <c r="AS9" i="2"/>
  <c r="AU6" i="2"/>
  <c r="BB11" i="2"/>
  <c r="CD11" i="2" s="1"/>
  <c r="CL11" i="2" s="1"/>
  <c r="BB9" i="2"/>
  <c r="CD9" i="2" s="1"/>
  <c r="CL9" i="2" s="1"/>
  <c r="AR7" i="2"/>
  <c r="AR11" i="2"/>
  <c r="BA7" i="2"/>
  <c r="CC7" i="2" s="1"/>
  <c r="C92" i="4" s="1" a="1"/>
  <c r="C92" i="4" s="1"/>
  <c r="AT5" i="2"/>
  <c r="AZ6" i="2"/>
  <c r="CB6" i="2" s="1"/>
  <c r="AS11" i="2"/>
  <c r="BB7" i="2"/>
  <c r="CD7" i="2" s="1"/>
  <c r="D92" i="4" s="1" a="1"/>
  <c r="D92" i="4" s="1"/>
  <c r="AS7" i="2"/>
  <c r="AS6" i="2"/>
  <c r="BD6" i="2"/>
  <c r="CF6" i="2" s="1"/>
  <c r="AT6" i="2"/>
  <c r="BC6" i="2"/>
  <c r="CE6" i="2" s="1"/>
  <c r="AH6" i="2"/>
  <c r="AO6" i="2"/>
  <c r="AD12" i="2"/>
  <c r="AK12" i="2" s="1"/>
  <c r="BO12" i="2" s="1"/>
  <c r="AG12" i="2"/>
  <c r="AN12" i="2" s="1"/>
  <c r="BR12" i="2" s="1"/>
  <c r="AA7" i="2"/>
  <c r="BP5" i="2"/>
  <c r="BB5" i="2"/>
  <c r="BO5" i="2"/>
  <c r="BA5" i="2"/>
  <c r="CC6" i="2"/>
  <c r="AE12" i="2"/>
  <c r="AL12" i="2" s="1"/>
  <c r="BP12" i="2" s="1"/>
  <c r="AK9" i="2"/>
  <c r="AH9" i="2"/>
  <c r="AJ8" i="2"/>
  <c r="AQ8" i="2" s="1"/>
  <c r="AH8" i="2"/>
  <c r="AA8" i="2"/>
  <c r="AJ7" i="2"/>
  <c r="AH7" i="2"/>
  <c r="AQ6" i="2"/>
  <c r="AA6" i="2"/>
  <c r="BX13" i="2"/>
  <c r="BJ13" i="2"/>
  <c r="AX13" i="2"/>
  <c r="G13" i="2"/>
  <c r="BU12" i="2"/>
  <c r="BG12" i="2"/>
  <c r="BV13" i="2"/>
  <c r="BH13" i="2"/>
  <c r="BK13" i="2"/>
  <c r="BY13" i="2"/>
  <c r="BW13" i="2"/>
  <c r="BI13" i="2"/>
  <c r="AF12" i="2"/>
  <c r="AM12" i="2" s="1"/>
  <c r="AT12" i="2" s="1"/>
  <c r="Z12" i="2"/>
  <c r="P13" i="2"/>
  <c r="R13" i="2"/>
  <c r="O12" i="2"/>
  <c r="AC12" i="2" s="1"/>
  <c r="AJ12" i="2" s="1"/>
  <c r="BN12" i="2" s="1"/>
  <c r="S13" i="2"/>
  <c r="Q13" i="2"/>
  <c r="BL9" i="2"/>
  <c r="BS6" i="2"/>
  <c r="BL8" i="2"/>
  <c r="H13" i="2"/>
  <c r="BZ7" i="2"/>
  <c r="AA11" i="2"/>
  <c r="W12" i="2"/>
  <c r="AA10" i="2"/>
  <c r="M12" i="2"/>
  <c r="A14" i="2"/>
  <c r="C14" i="2"/>
  <c r="CP14" i="2" s="1"/>
  <c r="D14" i="2"/>
  <c r="E14" i="2"/>
  <c r="J14" i="2"/>
  <c r="K14" i="2"/>
  <c r="I14" i="2"/>
  <c r="L14" i="2"/>
  <c r="F15" i="2"/>
  <c r="G18" i="4"/>
  <c r="G59" i="4" s="1"/>
  <c r="G80" i="4" s="1"/>
  <c r="G90" i="4" s="1"/>
  <c r="C18" i="4"/>
  <c r="C59" i="4" s="1"/>
  <c r="C80" i="4" s="1"/>
  <c r="C90" i="4" s="1"/>
  <c r="D18" i="4"/>
  <c r="D59" i="4" s="1"/>
  <c r="D80" i="4" s="1"/>
  <c r="D90" i="4" s="1"/>
  <c r="E18" i="4"/>
  <c r="E59" i="4" s="1"/>
  <c r="E80" i="4" s="1"/>
  <c r="E90" i="4" s="1"/>
  <c r="F18" i="4"/>
  <c r="F59" i="4" s="1"/>
  <c r="F80" i="4" s="1"/>
  <c r="F90" i="4" s="1"/>
  <c r="B18" i="4"/>
  <c r="B59" i="4" s="1"/>
  <c r="B80" i="4" s="1"/>
  <c r="B90" i="4" s="1"/>
  <c r="CN5" i="2" l="1"/>
  <c r="F91" i="4" a="1"/>
  <c r="F91" i="4" s="1"/>
  <c r="F93" i="4" s="1"/>
  <c r="G27" i="4"/>
  <c r="G39" i="4" s="1"/>
  <c r="O27" i="4"/>
  <c r="O39" i="4" s="1"/>
  <c r="K27" i="4"/>
  <c r="K39" i="4" s="1"/>
  <c r="N27" i="4"/>
  <c r="N39" i="4" s="1"/>
  <c r="M27" i="4"/>
  <c r="M39" i="4" s="1"/>
  <c r="J27" i="4"/>
  <c r="J39" i="4" s="1"/>
  <c r="L27" i="4"/>
  <c r="L39" i="4" s="1"/>
  <c r="CE5" i="2"/>
  <c r="AV8" i="2"/>
  <c r="G15" i="5"/>
  <c r="BN11" i="2"/>
  <c r="CB11" i="2" s="1"/>
  <c r="CJ11" i="2" s="1"/>
  <c r="CO11" i="2" s="1"/>
  <c r="AQ11" i="2"/>
  <c r="AH11" i="2"/>
  <c r="AS12" i="2"/>
  <c r="CD5" i="2"/>
  <c r="AR12" i="2"/>
  <c r="BB12" i="2"/>
  <c r="CD12" i="2" s="1"/>
  <c r="CL12" i="2" s="1"/>
  <c r="AF13" i="2"/>
  <c r="AM13" i="2" s="1"/>
  <c r="BQ13" i="2" s="1"/>
  <c r="AV6" i="2"/>
  <c r="V12" i="2"/>
  <c r="AQ12" i="2" s="1"/>
  <c r="T12" i="2"/>
  <c r="AE13" i="2"/>
  <c r="AL13" i="2" s="1"/>
  <c r="BP13" i="2" s="1"/>
  <c r="AD13" i="2"/>
  <c r="AK13" i="2" s="1"/>
  <c r="BO13" i="2" s="1"/>
  <c r="BE6" i="2"/>
  <c r="AG13" i="2"/>
  <c r="AN13" i="2" s="1"/>
  <c r="BR13" i="2" s="1"/>
  <c r="AU12" i="2"/>
  <c r="BA12" i="2"/>
  <c r="CC12" i="2" s="1"/>
  <c r="CK12" i="2" s="1"/>
  <c r="BD12" i="2"/>
  <c r="CC5" i="2"/>
  <c r="F27" i="4"/>
  <c r="F39" i="4" s="1"/>
  <c r="E27" i="4"/>
  <c r="E39" i="4" s="1"/>
  <c r="D27" i="4"/>
  <c r="D39" i="4" s="1"/>
  <c r="C27" i="4"/>
  <c r="C39" i="4" s="1"/>
  <c r="BN7" i="2"/>
  <c r="BS7" i="2" s="1"/>
  <c r="AZ7" i="2"/>
  <c r="AO7" i="2"/>
  <c r="AQ7" i="2"/>
  <c r="BN8" i="2"/>
  <c r="BS8" i="2" s="1"/>
  <c r="AZ8" i="2"/>
  <c r="AO8" i="2"/>
  <c r="BO9" i="2"/>
  <c r="BS9" i="2" s="1"/>
  <c r="BA9" i="2"/>
  <c r="AO9" i="2"/>
  <c r="AR9" i="2"/>
  <c r="BJ14" i="2"/>
  <c r="BX14" i="2"/>
  <c r="AX14" i="2"/>
  <c r="G14" i="2"/>
  <c r="BY14" i="2"/>
  <c r="BK14" i="2"/>
  <c r="BW14" i="2"/>
  <c r="BI14" i="2"/>
  <c r="BQ12" i="2"/>
  <c r="BC12" i="2"/>
  <c r="AZ12" i="2"/>
  <c r="CB12" i="2" s="1"/>
  <c r="CJ12" i="2" s="1"/>
  <c r="BV14" i="2"/>
  <c r="BH14" i="2"/>
  <c r="W13" i="2"/>
  <c r="O13" i="2"/>
  <c r="AC13" i="2" s="1"/>
  <c r="AJ13" i="2" s="1"/>
  <c r="BG13" i="2"/>
  <c r="BU13" i="2"/>
  <c r="M13" i="2"/>
  <c r="X13" i="2"/>
  <c r="Y13" i="2"/>
  <c r="CG6" i="2"/>
  <c r="BL6" i="2"/>
  <c r="Q14" i="2"/>
  <c r="Z13" i="2"/>
  <c r="S14" i="2"/>
  <c r="B27" i="4"/>
  <c r="B39" i="4" s="1"/>
  <c r="H14" i="2"/>
  <c r="AO12" i="2"/>
  <c r="BZ8" i="2"/>
  <c r="BZ9" i="2"/>
  <c r="BZ6" i="2"/>
  <c r="P14" i="2"/>
  <c r="R14" i="2"/>
  <c r="AH10" i="2"/>
  <c r="A15" i="2"/>
  <c r="AH12" i="2"/>
  <c r="AO11" i="2"/>
  <c r="C15" i="2"/>
  <c r="CP15" i="2" s="1"/>
  <c r="D15" i="2"/>
  <c r="E15" i="2"/>
  <c r="L15" i="2"/>
  <c r="I15" i="2"/>
  <c r="J15" i="2"/>
  <c r="K15" i="2"/>
  <c r="F16" i="2"/>
  <c r="CL5" i="2" l="1"/>
  <c r="D91" i="4" a="1"/>
  <c r="D91" i="4" s="1"/>
  <c r="D93" i="4" s="1"/>
  <c r="CM5" i="2"/>
  <c r="E91" i="4" a="1"/>
  <c r="E91" i="4" s="1"/>
  <c r="E93" i="4" s="1"/>
  <c r="CK5" i="2"/>
  <c r="C91" i="4" a="1"/>
  <c r="C91" i="4" s="1"/>
  <c r="C93" i="4" s="1"/>
  <c r="T13" i="2"/>
  <c r="B81" i="4" a="1"/>
  <c r="B81" i="4" s="1"/>
  <c r="C81" i="4" a="1"/>
  <c r="C81" i="4" s="1"/>
  <c r="D81" i="4" a="1"/>
  <c r="D81" i="4" s="1"/>
  <c r="CF12" i="2"/>
  <c r="CN12" i="2" s="1"/>
  <c r="F15" i="5"/>
  <c r="AV9" i="2"/>
  <c r="AV7" i="2"/>
  <c r="CI6" i="2"/>
  <c r="AT13" i="2"/>
  <c r="AS13" i="2"/>
  <c r="BC13" i="2"/>
  <c r="CE13" i="2" s="1"/>
  <c r="CM13" i="2" s="1"/>
  <c r="E82" i="4" s="1" a="1"/>
  <c r="E82" i="4" s="1"/>
  <c r="BD13" i="2"/>
  <c r="CF13" i="2" s="1"/>
  <c r="CN13" i="2" s="1"/>
  <c r="F82" i="4" s="1" a="1"/>
  <c r="F82" i="4" s="1"/>
  <c r="AU13" i="2"/>
  <c r="AG14" i="2"/>
  <c r="AN14" i="2" s="1"/>
  <c r="BR14" i="2" s="1"/>
  <c r="AA12" i="2"/>
  <c r="AF14" i="2"/>
  <c r="AM14" i="2" s="1"/>
  <c r="BQ14" i="2" s="1"/>
  <c r="AD14" i="2"/>
  <c r="AK14" i="2" s="1"/>
  <c r="BO14" i="2" s="1"/>
  <c r="AE14" i="2"/>
  <c r="AL14" i="2" s="1"/>
  <c r="BP14" i="2" s="1"/>
  <c r="CE12" i="2"/>
  <c r="CM12" i="2" s="1"/>
  <c r="BA13" i="2"/>
  <c r="CC13" i="2" s="1"/>
  <c r="CK13" i="2" s="1"/>
  <c r="V13" i="2"/>
  <c r="AQ13" i="2" s="1"/>
  <c r="BB13" i="2"/>
  <c r="AR13" i="2"/>
  <c r="CC9" i="2"/>
  <c r="BE9" i="2"/>
  <c r="CB8" i="2"/>
  <c r="BE8" i="2"/>
  <c r="CB7" i="2"/>
  <c r="BE7" i="2"/>
  <c r="BN13" i="2"/>
  <c r="AZ13" i="2"/>
  <c r="BI15" i="2"/>
  <c r="BW15" i="2"/>
  <c r="BU14" i="2"/>
  <c r="BG14" i="2"/>
  <c r="BV15" i="2"/>
  <c r="BH15" i="2"/>
  <c r="BX15" i="2"/>
  <c r="BJ15" i="2"/>
  <c r="BY15" i="2"/>
  <c r="BK15" i="2"/>
  <c r="G15" i="2"/>
  <c r="AX15" i="2"/>
  <c r="Z14" i="2"/>
  <c r="X14" i="2"/>
  <c r="O14" i="2"/>
  <c r="AC14" i="2" s="1"/>
  <c r="AJ14" i="2" s="1"/>
  <c r="BN14" i="2" s="1"/>
  <c r="R15" i="2"/>
  <c r="S15" i="2"/>
  <c r="Q15" i="2"/>
  <c r="P15" i="2"/>
  <c r="W15" i="2" s="1"/>
  <c r="M14" i="2"/>
  <c r="BZ12" i="2"/>
  <c r="BL12" i="2"/>
  <c r="BS11" i="2"/>
  <c r="BL11" i="2"/>
  <c r="H15" i="2"/>
  <c r="AV12" i="2"/>
  <c r="BE12" i="2"/>
  <c r="W14" i="2"/>
  <c r="Y14" i="2"/>
  <c r="AH13" i="2"/>
  <c r="AO13" i="2"/>
  <c r="AO10" i="2"/>
  <c r="A16" i="2"/>
  <c r="AV11" i="2"/>
  <c r="C16" i="2"/>
  <c r="CP16" i="2" s="1"/>
  <c r="D16" i="2"/>
  <c r="E16" i="2"/>
  <c r="K16" i="2"/>
  <c r="J16" i="2"/>
  <c r="I16" i="2"/>
  <c r="L16" i="2"/>
  <c r="F17" i="2"/>
  <c r="CG7" i="2" l="1"/>
  <c r="B92" i="4" a="1"/>
  <c r="B92" i="4" s="1"/>
  <c r="G92" i="4" s="1"/>
  <c r="C82" i="4" a="1"/>
  <c r="C82" i="4" s="1"/>
  <c r="E81" i="4" a="1"/>
  <c r="E81" i="4" s="1"/>
  <c r="CO12" i="2"/>
  <c r="F81" i="4" a="1"/>
  <c r="F81" i="4" s="1"/>
  <c r="E15" i="5"/>
  <c r="CG9" i="2"/>
  <c r="CI9" i="2" s="1"/>
  <c r="CK9" i="2"/>
  <c r="CG8" i="2"/>
  <c r="CI8" i="2" s="1"/>
  <c r="CJ8" i="2"/>
  <c r="CD13" i="2"/>
  <c r="CL13" i="2" s="1"/>
  <c r="CI7" i="2"/>
  <c r="AU14" i="2"/>
  <c r="BB14" i="2"/>
  <c r="CD14" i="2" s="1"/>
  <c r="CL14" i="2" s="1"/>
  <c r="D83" i="4" s="1" a="1"/>
  <c r="D83" i="4" s="1"/>
  <c r="CB13" i="2"/>
  <c r="CJ13" i="2" s="1"/>
  <c r="BD14" i="2"/>
  <c r="CF14" i="2" s="1"/>
  <c r="CN14" i="2" s="1"/>
  <c r="AS14" i="2"/>
  <c r="V14" i="2"/>
  <c r="AQ14" i="2" s="1"/>
  <c r="AR14" i="2"/>
  <c r="AT14" i="2"/>
  <c r="BC14" i="2"/>
  <c r="CE14" i="2" s="1"/>
  <c r="CM14" i="2" s="1"/>
  <c r="BA14" i="2"/>
  <c r="CC14" i="2" s="1"/>
  <c r="CK14" i="2" s="1"/>
  <c r="AV13" i="2"/>
  <c r="BE13" i="2"/>
  <c r="AG15" i="2"/>
  <c r="AN15" i="2" s="1"/>
  <c r="BD15" i="2" s="1"/>
  <c r="AA13" i="2"/>
  <c r="AF15" i="2"/>
  <c r="AM15" i="2" s="1"/>
  <c r="BQ15" i="2" s="1"/>
  <c r="T14" i="2"/>
  <c r="BH16" i="2"/>
  <c r="BV16" i="2"/>
  <c r="BX16" i="2"/>
  <c r="BJ16" i="2"/>
  <c r="G16" i="2"/>
  <c r="AX16" i="2"/>
  <c r="AD15" i="2"/>
  <c r="AK15" i="2" s="1"/>
  <c r="BO15" i="2" s="1"/>
  <c r="BU15" i="2"/>
  <c r="BG15" i="2"/>
  <c r="BW16" i="2"/>
  <c r="BI16" i="2"/>
  <c r="BY16" i="2"/>
  <c r="BK16" i="2"/>
  <c r="AE15" i="2"/>
  <c r="AL15" i="2" s="1"/>
  <c r="BP15" i="2" s="1"/>
  <c r="AZ14" i="2"/>
  <c r="CB14" i="2" s="1"/>
  <c r="CJ14" i="2" s="1"/>
  <c r="Z15" i="2"/>
  <c r="BZ13" i="2"/>
  <c r="BS13" i="2"/>
  <c r="CG12" i="2"/>
  <c r="CI12" i="2" s="1"/>
  <c r="M15" i="2"/>
  <c r="X15" i="2"/>
  <c r="P16" i="2"/>
  <c r="R16" i="2"/>
  <c r="Y16" i="2" s="1"/>
  <c r="Q16" i="2"/>
  <c r="X16" i="2" s="1"/>
  <c r="Y15" i="2"/>
  <c r="O15" i="2"/>
  <c r="V15" i="2" s="1"/>
  <c r="BL13" i="2"/>
  <c r="BS10" i="2"/>
  <c r="BL10" i="2"/>
  <c r="BE10" i="2"/>
  <c r="BE11" i="2"/>
  <c r="H16" i="2"/>
  <c r="BS12" i="2"/>
  <c r="AV10" i="2"/>
  <c r="CG11" i="2"/>
  <c r="CI11" i="2" s="1"/>
  <c r="BZ11" i="2"/>
  <c r="AO14" i="2"/>
  <c r="S16" i="2"/>
  <c r="AH14" i="2"/>
  <c r="A17" i="2"/>
  <c r="AO5" i="2"/>
  <c r="C17" i="2"/>
  <c r="CP17" i="2" s="1"/>
  <c r="D17" i="2"/>
  <c r="E17" i="2"/>
  <c r="F18" i="2"/>
  <c r="AH5" i="2"/>
  <c r="AA5" i="2"/>
  <c r="M5" i="2"/>
  <c r="G81" i="4" l="1"/>
  <c r="B83" i="4" a="1"/>
  <c r="B83" i="4" s="1"/>
  <c r="CO14" i="2"/>
  <c r="C83" i="4" a="1"/>
  <c r="C83" i="4" s="1"/>
  <c r="C84" i="4" s="1"/>
  <c r="E83" i="4" a="1"/>
  <c r="E83" i="4" s="1"/>
  <c r="E84" i="4" s="1"/>
  <c r="F83" i="4" a="1"/>
  <c r="F83" i="4" s="1"/>
  <c r="F84" i="4" s="1"/>
  <c r="B82" i="4" a="1"/>
  <c r="B82" i="4" s="1"/>
  <c r="CO13" i="2"/>
  <c r="D82" i="4" a="1"/>
  <c r="D82" i="4" s="1"/>
  <c r="D84" i="4" s="1"/>
  <c r="CO9" i="2"/>
  <c r="CO8" i="2"/>
  <c r="BC15" i="2"/>
  <c r="CE15" i="2" s="1"/>
  <c r="CM15" i="2" s="1"/>
  <c r="BR15" i="2"/>
  <c r="CF15" i="2" s="1"/>
  <c r="CN15" i="2" s="1"/>
  <c r="AA14" i="2"/>
  <c r="AT15" i="2"/>
  <c r="AV14" i="2"/>
  <c r="AG16" i="2"/>
  <c r="AN16" i="2" s="1"/>
  <c r="BR16" i="2" s="1"/>
  <c r="AD16" i="2"/>
  <c r="AK16" i="2" s="1"/>
  <c r="BO16" i="2" s="1"/>
  <c r="AU15" i="2"/>
  <c r="AF16" i="2"/>
  <c r="AM16" i="2" s="1"/>
  <c r="BQ16" i="2" s="1"/>
  <c r="BA15" i="2"/>
  <c r="CC15" i="2" s="1"/>
  <c r="CK15" i="2" s="1"/>
  <c r="W16" i="2"/>
  <c r="T15" i="2"/>
  <c r="AS15" i="2"/>
  <c r="AX17" i="2"/>
  <c r="G17" i="2"/>
  <c r="BB15" i="2"/>
  <c r="BU16" i="2"/>
  <c r="BG16" i="2"/>
  <c r="AR15" i="2"/>
  <c r="CG13" i="2"/>
  <c r="CI13" i="2" s="1"/>
  <c r="AC15" i="2"/>
  <c r="AJ15" i="2" s="1"/>
  <c r="AE16" i="2"/>
  <c r="CG10" i="2"/>
  <c r="CI10" i="2" s="1"/>
  <c r="O16" i="2"/>
  <c r="T16" i="2" s="1"/>
  <c r="AA15" i="2"/>
  <c r="M16" i="2"/>
  <c r="Z16" i="2"/>
  <c r="BZ14" i="2"/>
  <c r="BZ10" i="2"/>
  <c r="BL14" i="2"/>
  <c r="BS14" i="2"/>
  <c r="BE14" i="2"/>
  <c r="AV5" i="2"/>
  <c r="F19" i="2"/>
  <c r="A18" i="2"/>
  <c r="C18" i="2"/>
  <c r="CP18" i="2" s="1"/>
  <c r="D18" i="2"/>
  <c r="E18" i="2"/>
  <c r="J18" i="2"/>
  <c r="I18" i="2"/>
  <c r="K18" i="2"/>
  <c r="L18" i="2"/>
  <c r="G82" i="4" l="1"/>
  <c r="B84" i="4"/>
  <c r="G83" i="4"/>
  <c r="CD15" i="2"/>
  <c r="CL15" i="2" s="1"/>
  <c r="BC16" i="2"/>
  <c r="CE16" i="2" s="1"/>
  <c r="CM16" i="2" s="1"/>
  <c r="AR16" i="2"/>
  <c r="AU16" i="2"/>
  <c r="BD16" i="2"/>
  <c r="CF16" i="2" s="1"/>
  <c r="CN16" i="2" s="1"/>
  <c r="BA16" i="2"/>
  <c r="CC16" i="2" s="1"/>
  <c r="CK16" i="2" s="1"/>
  <c r="AT16" i="2"/>
  <c r="V16" i="2"/>
  <c r="AA16" i="2" s="1"/>
  <c r="AC16" i="2"/>
  <c r="AJ16" i="2" s="1"/>
  <c r="BN16" i="2" s="1"/>
  <c r="BN15" i="2"/>
  <c r="AQ15" i="2"/>
  <c r="BJ18" i="2"/>
  <c r="BX18" i="2"/>
  <c r="BY18" i="2"/>
  <c r="BK18" i="2"/>
  <c r="BV18" i="2"/>
  <c r="BH18" i="2"/>
  <c r="BW18" i="2"/>
  <c r="BI18" i="2"/>
  <c r="AZ15" i="2"/>
  <c r="AX18" i="2"/>
  <c r="G18" i="2"/>
  <c r="AL16" i="2"/>
  <c r="CB5" i="2"/>
  <c r="B91" i="4" s="1" a="1"/>
  <c r="B91" i="4" s="1"/>
  <c r="AH15" i="2"/>
  <c r="Q18" i="2"/>
  <c r="X18" i="2" s="1"/>
  <c r="S18" i="2"/>
  <c r="Z18" i="2" s="1"/>
  <c r="AO15" i="2"/>
  <c r="BS5" i="2"/>
  <c r="BE5" i="2"/>
  <c r="BZ5" i="2"/>
  <c r="H18" i="2"/>
  <c r="BL5" i="2"/>
  <c r="CG14" i="2"/>
  <c r="CI14" i="2" s="1"/>
  <c r="R18" i="2"/>
  <c r="P18" i="2"/>
  <c r="A19" i="2"/>
  <c r="E19" i="2"/>
  <c r="C19" i="2"/>
  <c r="CP19" i="2" s="1"/>
  <c r="F20" i="2"/>
  <c r="D19" i="2"/>
  <c r="I19" i="2"/>
  <c r="B93" i="4" l="1"/>
  <c r="G91" i="4"/>
  <c r="G93" i="4" s="1"/>
  <c r="G84" i="4"/>
  <c r="CG5" i="2"/>
  <c r="CJ5" i="2"/>
  <c r="AE18" i="2"/>
  <c r="AL18" i="2" s="1"/>
  <c r="BP18" i="2" s="1"/>
  <c r="AD18" i="2"/>
  <c r="AK18" i="2" s="1"/>
  <c r="BO18" i="2" s="1"/>
  <c r="AF18" i="2"/>
  <c r="AM18" i="2" s="1"/>
  <c r="BQ18" i="2" s="1"/>
  <c r="CB15" i="2"/>
  <c r="CJ15" i="2" s="1"/>
  <c r="AQ16" i="2"/>
  <c r="AZ16" i="2"/>
  <c r="CB16" i="2" s="1"/>
  <c r="CJ16" i="2" s="1"/>
  <c r="AH16" i="2"/>
  <c r="AO16" i="2"/>
  <c r="AG18" i="2"/>
  <c r="AN18" i="2" s="1"/>
  <c r="BR18" i="2" s="1"/>
  <c r="J19" i="2"/>
  <c r="BI19" i="2" s="1"/>
  <c r="BP16" i="2"/>
  <c r="BS16" i="2" s="1"/>
  <c r="AS16" i="2"/>
  <c r="BB16" i="2"/>
  <c r="G19" i="2"/>
  <c r="AX19" i="2"/>
  <c r="BV19" i="2"/>
  <c r="BH19" i="2"/>
  <c r="BU18" i="2"/>
  <c r="BG18" i="2"/>
  <c r="P19" i="2"/>
  <c r="M18" i="2"/>
  <c r="BS15" i="2"/>
  <c r="BL15" i="2"/>
  <c r="AV15" i="2"/>
  <c r="BE15" i="2"/>
  <c r="O18" i="2"/>
  <c r="V18" i="2" s="1"/>
  <c r="BZ16" i="2"/>
  <c r="H19" i="2"/>
  <c r="W18" i="2"/>
  <c r="Y18" i="2"/>
  <c r="A20" i="2"/>
  <c r="L20" i="2"/>
  <c r="K20" i="2"/>
  <c r="I20" i="2"/>
  <c r="J20" i="2"/>
  <c r="E20" i="2"/>
  <c r="D20" i="2"/>
  <c r="C20" i="2"/>
  <c r="CP20" i="2" s="1"/>
  <c r="F21" i="2"/>
  <c r="BA18" i="2" l="1"/>
  <c r="CO5" i="2"/>
  <c r="CI5" i="2"/>
  <c r="CO15" i="2"/>
  <c r="AR18" i="2"/>
  <c r="BC18" i="2"/>
  <c r="CE18" i="2" s="1"/>
  <c r="CM18" i="2" s="1"/>
  <c r="AV16" i="2"/>
  <c r="AS18" i="2"/>
  <c r="CC18" i="2"/>
  <c r="CK18" i="2" s="1"/>
  <c r="AT18" i="2"/>
  <c r="BB18" i="2"/>
  <c r="CD18" i="2" s="1"/>
  <c r="CL18" i="2" s="1"/>
  <c r="BW19" i="2"/>
  <c r="Q19" i="2"/>
  <c r="X19" i="2" s="1"/>
  <c r="BD18" i="2"/>
  <c r="CF18" i="2" s="1"/>
  <c r="CN18" i="2" s="1"/>
  <c r="AU18" i="2"/>
  <c r="T18" i="2"/>
  <c r="L19" i="2"/>
  <c r="BX20" i="2"/>
  <c r="BJ20" i="2"/>
  <c r="AX20" i="2"/>
  <c r="G20" i="2"/>
  <c r="BU19" i="2"/>
  <c r="BG19" i="2"/>
  <c r="BY20" i="2"/>
  <c r="BK20" i="2"/>
  <c r="AD19" i="2"/>
  <c r="AK19" i="2" s="1"/>
  <c r="BO19" i="2" s="1"/>
  <c r="CD16" i="2"/>
  <c r="BH20" i="2"/>
  <c r="BV20" i="2"/>
  <c r="BW20" i="2"/>
  <c r="BI20" i="2"/>
  <c r="CG15" i="2"/>
  <c r="W19" i="2"/>
  <c r="O19" i="2"/>
  <c r="AC19" i="2" s="1"/>
  <c r="AJ19" i="2" s="1"/>
  <c r="BN19" i="2" s="1"/>
  <c r="BZ15" i="2"/>
  <c r="AC18" i="2"/>
  <c r="AJ18" i="2" s="1"/>
  <c r="BN18" i="2" s="1"/>
  <c r="P20" i="2"/>
  <c r="R20" i="2"/>
  <c r="Y20" i="2" s="1"/>
  <c r="BL16" i="2"/>
  <c r="BE16" i="2"/>
  <c r="AA18" i="2"/>
  <c r="H20" i="2"/>
  <c r="S20" i="2"/>
  <c r="Q20" i="2"/>
  <c r="A21" i="2"/>
  <c r="I21" i="2"/>
  <c r="E21" i="2"/>
  <c r="D21" i="2"/>
  <c r="C21" i="2"/>
  <c r="CP21" i="2" s="1"/>
  <c r="F22" i="2"/>
  <c r="CI15" i="2" l="1"/>
  <c r="CG16" i="2"/>
  <c r="CL16" i="2"/>
  <c r="AE19" i="2"/>
  <c r="AL19" i="2" s="1"/>
  <c r="BP19" i="2" s="1"/>
  <c r="AF20" i="2"/>
  <c r="AM20" i="2" s="1"/>
  <c r="BC20" i="2" s="1"/>
  <c r="AE20" i="2"/>
  <c r="AL20" i="2" s="1"/>
  <c r="BP20" i="2" s="1"/>
  <c r="K19" i="2"/>
  <c r="BY19" i="2"/>
  <c r="BK19" i="2"/>
  <c r="S19" i="2"/>
  <c r="AZ19" i="2"/>
  <c r="CB19" i="2" s="1"/>
  <c r="CJ19" i="2" s="1"/>
  <c r="BU20" i="2"/>
  <c r="BG20" i="2"/>
  <c r="AX21" i="2"/>
  <c r="G21" i="2"/>
  <c r="BV21" i="2"/>
  <c r="BH21" i="2"/>
  <c r="AG20" i="2"/>
  <c r="AN20" i="2" s="1"/>
  <c r="BA19" i="2"/>
  <c r="CC19" i="2" s="1"/>
  <c r="CK19" i="2" s="1"/>
  <c r="V19" i="2"/>
  <c r="AQ19" i="2" s="1"/>
  <c r="AD20" i="2"/>
  <c r="AK20" i="2" s="1"/>
  <c r="AR19" i="2"/>
  <c r="AQ18" i="2"/>
  <c r="AZ18" i="2"/>
  <c r="CB18" i="2" s="1"/>
  <c r="CJ18" i="2" s="1"/>
  <c r="AH18" i="2"/>
  <c r="O20" i="2"/>
  <c r="AC20" i="2" s="1"/>
  <c r="AJ20" i="2" s="1"/>
  <c r="BN20" i="2" s="1"/>
  <c r="P21" i="2"/>
  <c r="W21" i="2" s="1"/>
  <c r="W20" i="2"/>
  <c r="M20" i="2"/>
  <c r="H21" i="2"/>
  <c r="X20" i="2"/>
  <c r="Z20" i="2"/>
  <c r="A22" i="2"/>
  <c r="F23" i="2"/>
  <c r="D22" i="2"/>
  <c r="C22" i="2"/>
  <c r="CP22" i="2" s="1"/>
  <c r="E22" i="2"/>
  <c r="CO18" i="2" l="1"/>
  <c r="CO16" i="2"/>
  <c r="CI16" i="2"/>
  <c r="BQ20" i="2"/>
  <c r="CE20" i="2" s="1"/>
  <c r="CM20" i="2" s="1"/>
  <c r="AT20" i="2"/>
  <c r="BB19" i="2"/>
  <c r="CD19" i="2" s="1"/>
  <c r="CL19" i="2" s="1"/>
  <c r="AS19" i="2"/>
  <c r="AU20" i="2"/>
  <c r="J17" i="2"/>
  <c r="BB20" i="2"/>
  <c r="CD20" i="2" s="1"/>
  <c r="CL20" i="2" s="1"/>
  <c r="AS20" i="2"/>
  <c r="AG19" i="2"/>
  <c r="AN19" i="2" s="1"/>
  <c r="BR19" i="2" s="1"/>
  <c r="Z19" i="2"/>
  <c r="BX19" i="2"/>
  <c r="BZ19" i="2" s="1"/>
  <c r="BJ19" i="2"/>
  <c r="R19" i="2"/>
  <c r="T19" i="2" s="1"/>
  <c r="M19" i="2"/>
  <c r="AD21" i="2"/>
  <c r="AK21" i="2" s="1"/>
  <c r="BO21" i="2" s="1"/>
  <c r="BG21" i="2"/>
  <c r="BU21" i="2"/>
  <c r="BA20" i="2"/>
  <c r="BO20" i="2"/>
  <c r="AR20" i="2"/>
  <c r="BR20" i="2"/>
  <c r="BD20" i="2"/>
  <c r="AZ20" i="2"/>
  <c r="CB20" i="2" s="1"/>
  <c r="CJ20" i="2" s="1"/>
  <c r="AX22" i="2"/>
  <c r="G22" i="2"/>
  <c r="T20" i="2"/>
  <c r="V20" i="2"/>
  <c r="AQ20" i="2" s="1"/>
  <c r="AO18" i="2"/>
  <c r="O21" i="2"/>
  <c r="AC21" i="2" s="1"/>
  <c r="AJ21" i="2" s="1"/>
  <c r="BN21" i="2" s="1"/>
  <c r="AH20" i="2"/>
  <c r="A23" i="2"/>
  <c r="D23" i="2"/>
  <c r="J23" i="2"/>
  <c r="L23" i="2"/>
  <c r="C23" i="2"/>
  <c r="CP23" i="2" s="1"/>
  <c r="K23" i="2"/>
  <c r="E23" i="2"/>
  <c r="I23" i="2"/>
  <c r="F24" i="2"/>
  <c r="AA20" i="2" l="1"/>
  <c r="K17" i="2"/>
  <c r="K21" i="2"/>
  <c r="L17" i="2"/>
  <c r="BY17" i="2" s="1"/>
  <c r="L21" i="2"/>
  <c r="J21" i="2"/>
  <c r="BD19" i="2"/>
  <c r="CF19" i="2" s="1"/>
  <c r="CN19" i="2" s="1"/>
  <c r="AU19" i="2"/>
  <c r="V21" i="2"/>
  <c r="AQ21" i="2" s="1"/>
  <c r="BA21" i="2"/>
  <c r="CC21" i="2" s="1"/>
  <c r="CK21" i="2" s="1"/>
  <c r="Y19" i="2"/>
  <c r="AA19" i="2" s="1"/>
  <c r="AR21" i="2"/>
  <c r="AF19" i="2"/>
  <c r="AH19" i="2" s="1"/>
  <c r="BW17" i="2"/>
  <c r="BI17" i="2"/>
  <c r="Q17" i="2"/>
  <c r="X17" i="2" s="1"/>
  <c r="AV20" i="2"/>
  <c r="BY23" i="2"/>
  <c r="BK23" i="2"/>
  <c r="BI23" i="2"/>
  <c r="BW23" i="2"/>
  <c r="BX23" i="2"/>
  <c r="BJ23" i="2"/>
  <c r="CC20" i="2"/>
  <c r="CK20" i="2" s="1"/>
  <c r="BV23" i="2"/>
  <c r="BH23" i="2"/>
  <c r="CF20" i="2"/>
  <c r="CN20" i="2" s="1"/>
  <c r="AZ21" i="2"/>
  <c r="CB21" i="2" s="1"/>
  <c r="CJ21" i="2" s="1"/>
  <c r="G23" i="2"/>
  <c r="AX23" i="2"/>
  <c r="AO20" i="2"/>
  <c r="BL19" i="2"/>
  <c r="S23" i="2"/>
  <c r="Z23" i="2" s="1"/>
  <c r="Q23" i="2"/>
  <c r="R23" i="2"/>
  <c r="Y23" i="2" s="1"/>
  <c r="BL18" i="2"/>
  <c r="AV18" i="2"/>
  <c r="BS18" i="2"/>
  <c r="BE18" i="2"/>
  <c r="H23" i="2"/>
  <c r="O23" i="2" s="1"/>
  <c r="BL20" i="2"/>
  <c r="BS20" i="2"/>
  <c r="BE20" i="2"/>
  <c r="BZ20" i="2"/>
  <c r="P23" i="2"/>
  <c r="W23" i="2" s="1"/>
  <c r="F25" i="2"/>
  <c r="A24" i="2"/>
  <c r="K24" i="2"/>
  <c r="E24" i="2"/>
  <c r="D24" i="2"/>
  <c r="L24" i="2"/>
  <c r="I24" i="2"/>
  <c r="J24" i="2"/>
  <c r="C24" i="2"/>
  <c r="CP24" i="2" s="1"/>
  <c r="CO20" i="2" l="1"/>
  <c r="M23" i="2"/>
  <c r="BK17" i="2"/>
  <c r="S17" i="2"/>
  <c r="AG17" i="2" s="1"/>
  <c r="AN17" i="2" s="1"/>
  <c r="BR17" i="2" s="1"/>
  <c r="BW21" i="2"/>
  <c r="BI21" i="2"/>
  <c r="Q21" i="2"/>
  <c r="X21" i="2" s="1"/>
  <c r="M21" i="2"/>
  <c r="BK21" i="2"/>
  <c r="BY21" i="2"/>
  <c r="S21" i="2"/>
  <c r="AG21" i="2" s="1"/>
  <c r="AN21" i="2" s="1"/>
  <c r="BR21" i="2" s="1"/>
  <c r="BX21" i="2"/>
  <c r="BJ21" i="2"/>
  <c r="R21" i="2"/>
  <c r="Y21" i="2" s="1"/>
  <c r="AE23" i="2"/>
  <c r="AL23" i="2" s="1"/>
  <c r="BP23" i="2" s="1"/>
  <c r="AM19" i="2"/>
  <c r="BQ19" i="2" s="1"/>
  <c r="BS19" i="2" s="1"/>
  <c r="AG23" i="2"/>
  <c r="AN23" i="2" s="1"/>
  <c r="BR23" i="2" s="1"/>
  <c r="AE17" i="2"/>
  <c r="BX17" i="2"/>
  <c r="BJ17" i="2"/>
  <c r="R17" i="2"/>
  <c r="Y17" i="2" s="1"/>
  <c r="X23" i="2"/>
  <c r="AF23" i="2"/>
  <c r="AM23" i="2" s="1"/>
  <c r="BQ23" i="2" s="1"/>
  <c r="BH24" i="2"/>
  <c r="BV24" i="2"/>
  <c r="BW24" i="2"/>
  <c r="BI24" i="2"/>
  <c r="BY24" i="2"/>
  <c r="BK24" i="2"/>
  <c r="BU23" i="2"/>
  <c r="BG23" i="2"/>
  <c r="BX24" i="2"/>
  <c r="BJ24" i="2"/>
  <c r="AX24" i="2"/>
  <c r="G24" i="2"/>
  <c r="CG18" i="2"/>
  <c r="CI18" i="2" s="1"/>
  <c r="AD23" i="2"/>
  <c r="P24" i="2"/>
  <c r="W24" i="2" s="1"/>
  <c r="Q24" i="2"/>
  <c r="AC23" i="2"/>
  <c r="AJ23" i="2" s="1"/>
  <c r="BN23" i="2" s="1"/>
  <c r="R24" i="2"/>
  <c r="Y24" i="2" s="1"/>
  <c r="BZ18" i="2"/>
  <c r="H24" i="2"/>
  <c r="CG20" i="2"/>
  <c r="CI20" i="2" s="1"/>
  <c r="T23" i="2"/>
  <c r="V23" i="2"/>
  <c r="S24" i="2"/>
  <c r="F26" i="2"/>
  <c r="A25" i="2"/>
  <c r="I25" i="2"/>
  <c r="J25" i="2"/>
  <c r="E25" i="2"/>
  <c r="D25" i="2"/>
  <c r="C25" i="2"/>
  <c r="CP25" i="2" s="1"/>
  <c r="K25" i="2"/>
  <c r="L25" i="2"/>
  <c r="E52" i="4" l="1"/>
  <c r="E53" i="4"/>
  <c r="E51" i="4"/>
  <c r="H50" i="4"/>
  <c r="H52" i="4"/>
  <c r="H51" i="4"/>
  <c r="H53" i="4"/>
  <c r="B53" i="4"/>
  <c r="BC19" i="2"/>
  <c r="CE19" i="2" s="1"/>
  <c r="BL21" i="2"/>
  <c r="BD17" i="2"/>
  <c r="CF17" i="2" s="1"/>
  <c r="CN17" i="2" s="1"/>
  <c r="AS23" i="2"/>
  <c r="AT19" i="2"/>
  <c r="AV19" i="2" s="1"/>
  <c r="AF21" i="2"/>
  <c r="AM21" i="2" s="1"/>
  <c r="BQ21" i="2" s="1"/>
  <c r="Z17" i="2"/>
  <c r="AU17" i="2" s="1"/>
  <c r="AO19" i="2"/>
  <c r="AE21" i="2"/>
  <c r="AL21" i="2" s="1"/>
  <c r="BB21" i="2" s="1"/>
  <c r="BZ21" i="2"/>
  <c r="BB23" i="2"/>
  <c r="CD23" i="2" s="1"/>
  <c r="CL23" i="2" s="1"/>
  <c r="Z21" i="2"/>
  <c r="AU21" i="2" s="1"/>
  <c r="A61" i="4" a="1"/>
  <c r="A61" i="4" s="1"/>
  <c r="BD21" i="2"/>
  <c r="CF21" i="2" s="1"/>
  <c r="CN21" i="2" s="1"/>
  <c r="T21" i="2"/>
  <c r="AF24" i="2"/>
  <c r="AM24" i="2" s="1"/>
  <c r="BQ24" i="2" s="1"/>
  <c r="BD23" i="2"/>
  <c r="CF23" i="2" s="1"/>
  <c r="CN23" i="2" s="1"/>
  <c r="AQ23" i="2"/>
  <c r="AE24" i="2"/>
  <c r="AL24" i="2" s="1"/>
  <c r="BP24" i="2" s="1"/>
  <c r="BC23" i="2"/>
  <c r="CE23" i="2" s="1"/>
  <c r="CM23" i="2" s="1"/>
  <c r="AT23" i="2"/>
  <c r="AU23" i="2"/>
  <c r="AG24" i="2"/>
  <c r="AN24" i="2" s="1"/>
  <c r="BR24" i="2" s="1"/>
  <c r="AF17" i="2"/>
  <c r="AM17" i="2" s="1"/>
  <c r="AL17" i="2"/>
  <c r="X24" i="2"/>
  <c r="AD24" i="2"/>
  <c r="AK24" i="2" s="1"/>
  <c r="BO24" i="2" s="1"/>
  <c r="AZ23" i="2"/>
  <c r="CB23" i="2" s="1"/>
  <c r="CJ23" i="2" s="1"/>
  <c r="G25" i="2"/>
  <c r="AX25" i="2"/>
  <c r="O24" i="2"/>
  <c r="AC24" i="2" s="1"/>
  <c r="AJ24" i="2" s="1"/>
  <c r="BN24" i="2" s="1"/>
  <c r="BU24" i="2"/>
  <c r="BG24" i="2"/>
  <c r="BX25" i="2"/>
  <c r="BJ25" i="2"/>
  <c r="BW25" i="2"/>
  <c r="BI25" i="2"/>
  <c r="BV25" i="2"/>
  <c r="BH25" i="2"/>
  <c r="BK25" i="2"/>
  <c r="BY25" i="2"/>
  <c r="AK23" i="2"/>
  <c r="M24" i="2"/>
  <c r="R25" i="2"/>
  <c r="Y25" i="2" s="1"/>
  <c r="P25" i="2"/>
  <c r="H25" i="2"/>
  <c r="M25" i="2" s="1"/>
  <c r="Z24" i="2"/>
  <c r="Q25" i="2"/>
  <c r="AA23" i="2"/>
  <c r="S25" i="2"/>
  <c r="F27" i="2"/>
  <c r="A10" i="4" a="1"/>
  <c r="A10" i="4" s="1"/>
  <c r="L26" i="2"/>
  <c r="C26" i="2"/>
  <c r="CP26" i="2" s="1"/>
  <c r="J26" i="2"/>
  <c r="D26" i="2"/>
  <c r="H26" i="2"/>
  <c r="E26" i="2"/>
  <c r="I26" i="2"/>
  <c r="K26" i="2"/>
  <c r="A26" i="2"/>
  <c r="A20" i="4" a="1"/>
  <c r="A20" i="4" s="1"/>
  <c r="B51" i="4" l="1"/>
  <c r="I29" i="4"/>
  <c r="CG19" i="2"/>
  <c r="CI19" i="2" s="1"/>
  <c r="CM19" i="2"/>
  <c r="CK27" i="2"/>
  <c r="CN27" i="2"/>
  <c r="CJ27" i="2"/>
  <c r="CP27" i="2"/>
  <c r="CM27" i="2"/>
  <c r="CL27" i="2"/>
  <c r="G26" i="2"/>
  <c r="AX26" i="2"/>
  <c r="O26" i="2"/>
  <c r="V26" i="2" s="1"/>
  <c r="BU26" i="2"/>
  <c r="M26" i="2"/>
  <c r="BG26" i="2"/>
  <c r="BJ26" i="2"/>
  <c r="R26" i="2"/>
  <c r="Y26" i="2" s="1"/>
  <c r="BX26" i="2"/>
  <c r="BY26" i="2"/>
  <c r="S26" i="2"/>
  <c r="Z26" i="2" s="1"/>
  <c r="BK26" i="2"/>
  <c r="BV26" i="2"/>
  <c r="P26" i="2"/>
  <c r="BH26" i="2"/>
  <c r="BI26" i="2"/>
  <c r="Q26" i="2"/>
  <c r="AE26" i="2" s="1"/>
  <c r="AL26" i="2" s="1"/>
  <c r="BW26" i="2"/>
  <c r="A62" i="4" a="1"/>
  <c r="A62" i="4" s="1"/>
  <c r="BE19" i="2"/>
  <c r="BC21" i="2"/>
  <c r="CE21" i="2" s="1"/>
  <c r="CM21" i="2" s="1"/>
  <c r="AH21" i="2"/>
  <c r="AT21" i="2"/>
  <c r="AA21" i="2"/>
  <c r="BP21" i="2"/>
  <c r="AO21" i="2"/>
  <c r="AS21" i="2"/>
  <c r="H54" i="4"/>
  <c r="AG25" i="2"/>
  <c r="AN25" i="2" s="1"/>
  <c r="BD25" i="2" s="1"/>
  <c r="BB24" i="2"/>
  <c r="CD24" i="2" s="1"/>
  <c r="CL24" i="2" s="1"/>
  <c r="AT24" i="2"/>
  <c r="BC24" i="2"/>
  <c r="CE24" i="2" s="1"/>
  <c r="CM24" i="2" s="1"/>
  <c r="BD24" i="2"/>
  <c r="CF24" i="2" s="1"/>
  <c r="CN24" i="2" s="1"/>
  <c r="AE25" i="2"/>
  <c r="AL25" i="2" s="1"/>
  <c r="BP25" i="2" s="1"/>
  <c r="AD25" i="2"/>
  <c r="AK25" i="2" s="1"/>
  <c r="BA25" i="2" s="1"/>
  <c r="AS24" i="2"/>
  <c r="AR24" i="2"/>
  <c r="AU24" i="2"/>
  <c r="T24" i="2"/>
  <c r="AF25" i="2"/>
  <c r="AM25" i="2" s="1"/>
  <c r="BQ25" i="2" s="1"/>
  <c r="BP17" i="2"/>
  <c r="BB17" i="2"/>
  <c r="AS17" i="2"/>
  <c r="BQ17" i="2"/>
  <c r="BC17" i="2"/>
  <c r="AT17" i="2"/>
  <c r="BA24" i="2"/>
  <c r="CC24" i="2" s="1"/>
  <c r="CK24" i="2" s="1"/>
  <c r="I27" i="2"/>
  <c r="V24" i="2"/>
  <c r="AQ24" i="2" s="1"/>
  <c r="BO23" i="2"/>
  <c r="AR23" i="2"/>
  <c r="BA23" i="2"/>
  <c r="AZ24" i="2"/>
  <c r="CB24" i="2" s="1"/>
  <c r="CJ24" i="2" s="1"/>
  <c r="BG25" i="2"/>
  <c r="BU25" i="2"/>
  <c r="W25" i="2"/>
  <c r="O25" i="2"/>
  <c r="T25" i="2" s="1"/>
  <c r="X25" i="2"/>
  <c r="Z25" i="2"/>
  <c r="AO24" i="2"/>
  <c r="AH24" i="2"/>
  <c r="AH23" i="2"/>
  <c r="L27" i="2"/>
  <c r="C27" i="2"/>
  <c r="A27" i="2"/>
  <c r="A11" i="4" a="1"/>
  <c r="A11" i="4" s="1"/>
  <c r="B27" i="2"/>
  <c r="K27" i="2"/>
  <c r="H27" i="2"/>
  <c r="D27" i="2"/>
  <c r="A21" i="4" s="1" a="1"/>
  <c r="A21" i="4" s="1"/>
  <c r="J27" i="2"/>
  <c r="E27" i="2"/>
  <c r="M10" i="4" l="1"/>
  <c r="F60" i="4"/>
  <c r="N28" i="4" s="1"/>
  <c r="E60" i="4"/>
  <c r="M28" i="4" s="1"/>
  <c r="D60" i="4"/>
  <c r="L28" i="4" s="1"/>
  <c r="C60" i="4"/>
  <c r="K28" i="4" s="1"/>
  <c r="B60" i="4"/>
  <c r="J28" i="4" s="1"/>
  <c r="B61" i="4"/>
  <c r="C61" i="4"/>
  <c r="K29" i="4" s="1"/>
  <c r="D61" i="4"/>
  <c r="L29" i="4" s="1"/>
  <c r="E61" i="4"/>
  <c r="M29" i="4" s="1"/>
  <c r="F61" i="4"/>
  <c r="N29" i="4" s="1"/>
  <c r="I30" i="4"/>
  <c r="B62" i="4"/>
  <c r="J30" i="4" s="1"/>
  <c r="C62" i="4"/>
  <c r="K30" i="4" s="1"/>
  <c r="D62" i="4"/>
  <c r="L30" i="4" s="1"/>
  <c r="E62" i="4"/>
  <c r="M30" i="4" s="1"/>
  <c r="F62" i="4"/>
  <c r="N30" i="4" s="1"/>
  <c r="K11" i="4"/>
  <c r="L11" i="4"/>
  <c r="M11" i="4"/>
  <c r="N11" i="4"/>
  <c r="J11" i="4"/>
  <c r="J8" i="4"/>
  <c r="K8" i="4"/>
  <c r="J9" i="4"/>
  <c r="L9" i="4"/>
  <c r="M9" i="4"/>
  <c r="L8" i="4"/>
  <c r="J10" i="4"/>
  <c r="N9" i="4"/>
  <c r="K9" i="4"/>
  <c r="K10" i="4"/>
  <c r="N8" i="4"/>
  <c r="J12" i="4"/>
  <c r="M12" i="4"/>
  <c r="N12" i="4"/>
  <c r="N10" i="4"/>
  <c r="L12" i="4"/>
  <c r="CO19" i="2"/>
  <c r="M8" i="4"/>
  <c r="CO24" i="2"/>
  <c r="CO27" i="2"/>
  <c r="X26" i="2"/>
  <c r="AS26" i="2" s="1"/>
  <c r="AD26" i="2"/>
  <c r="AK26" i="2" s="1"/>
  <c r="BO26" i="2" s="1"/>
  <c r="AG26" i="2"/>
  <c r="AN26" i="2" s="1"/>
  <c r="BR26" i="2" s="1"/>
  <c r="AF26" i="2"/>
  <c r="AM26" i="2" s="1"/>
  <c r="BQ26" i="2" s="1"/>
  <c r="AC26" i="2"/>
  <c r="AJ26" i="2" s="1"/>
  <c r="AQ26" i="2" s="1"/>
  <c r="F19" i="4"/>
  <c r="C8" i="4"/>
  <c r="B8" i="4"/>
  <c r="F8" i="4"/>
  <c r="B10" i="4"/>
  <c r="C10" i="4"/>
  <c r="D10" i="4"/>
  <c r="E10" i="4"/>
  <c r="F10" i="4"/>
  <c r="G27" i="2"/>
  <c r="AX27" i="2"/>
  <c r="E8" i="4"/>
  <c r="BL26" i="2"/>
  <c r="BB26" i="2"/>
  <c r="BP26" i="2"/>
  <c r="BK27" i="2"/>
  <c r="F29" i="4" s="1"/>
  <c r="BY27" i="2"/>
  <c r="F31" i="4" s="1"/>
  <c r="S27" i="2"/>
  <c r="Z27" i="2" s="1"/>
  <c r="BI27" i="2"/>
  <c r="D29" i="4" s="1"/>
  <c r="Q27" i="2"/>
  <c r="X27" i="2" s="1"/>
  <c r="BW27" i="2"/>
  <c r="D31" i="4" s="1"/>
  <c r="BH27" i="2"/>
  <c r="P27" i="2"/>
  <c r="BV27" i="2"/>
  <c r="M27" i="2"/>
  <c r="O27" i="2"/>
  <c r="V27" i="2" s="1"/>
  <c r="BG27" i="2"/>
  <c r="BU27" i="2"/>
  <c r="W26" i="2"/>
  <c r="BZ26" i="2"/>
  <c r="R27" i="2"/>
  <c r="Y27" i="2" s="1"/>
  <c r="BX27" i="2"/>
  <c r="E31" i="4" s="1"/>
  <c r="BJ27" i="2"/>
  <c r="E29" i="4" s="1"/>
  <c r="T26" i="2"/>
  <c r="A63" i="4" a="1"/>
  <c r="A63" i="4" s="1"/>
  <c r="A12" i="4" a="1"/>
  <c r="A12" i="4" s="1"/>
  <c r="B11" i="4"/>
  <c r="C11" i="4"/>
  <c r="D11" i="4"/>
  <c r="E11" i="4"/>
  <c r="F11" i="4"/>
  <c r="D8" i="4"/>
  <c r="AV21" i="2"/>
  <c r="BE21" i="2"/>
  <c r="BC25" i="2"/>
  <c r="CE25" i="2" s="1"/>
  <c r="CM25" i="2" s="1"/>
  <c r="AT25" i="2"/>
  <c r="BS21" i="2"/>
  <c r="CD21" i="2"/>
  <c r="BO25" i="2"/>
  <c r="CC25" i="2" s="1"/>
  <c r="CK25" i="2" s="1"/>
  <c r="AU25" i="2"/>
  <c r="BB25" i="2"/>
  <c r="CD25" i="2" s="1"/>
  <c r="CL25" i="2" s="1"/>
  <c r="BR25" i="2"/>
  <c r="AS25" i="2"/>
  <c r="AR25" i="2"/>
  <c r="E19" i="4"/>
  <c r="CE17" i="2"/>
  <c r="CM17" i="2" s="1"/>
  <c r="AA24" i="2"/>
  <c r="CD17" i="2"/>
  <c r="CL17" i="2" s="1"/>
  <c r="AC25" i="2"/>
  <c r="AJ25" i="2" s="1"/>
  <c r="BN25" i="2" s="1"/>
  <c r="CC23" i="2"/>
  <c r="CK23" i="2" s="1"/>
  <c r="BS24" i="2"/>
  <c r="V25" i="2"/>
  <c r="AV24" i="2"/>
  <c r="BL24" i="2"/>
  <c r="BE24" i="2"/>
  <c r="D19" i="4"/>
  <c r="AO23" i="2"/>
  <c r="A22" i="4" a="1"/>
  <c r="A22" i="4" s="1"/>
  <c r="A23" i="4" s="1" a="1"/>
  <c r="A23" i="4" s="1"/>
  <c r="CO23" i="2" l="1"/>
  <c r="K12" i="4"/>
  <c r="B50" i="4"/>
  <c r="B63" i="4"/>
  <c r="C63" i="4"/>
  <c r="K31" i="4" s="1"/>
  <c r="D63" i="4"/>
  <c r="L31" i="4" s="1"/>
  <c r="E63" i="4"/>
  <c r="M31" i="4" s="1"/>
  <c r="F63" i="4"/>
  <c r="N31" i="4" s="1"/>
  <c r="B52" i="4"/>
  <c r="AR26" i="2"/>
  <c r="BA26" i="2"/>
  <c r="O8" i="4"/>
  <c r="O11" i="4"/>
  <c r="CG21" i="2"/>
  <c r="CI21" i="2" s="1"/>
  <c r="CL21" i="2"/>
  <c r="L10" i="4" s="1"/>
  <c r="O9" i="4"/>
  <c r="A13" i="4" a="1"/>
  <c r="A13" i="4" s="1"/>
  <c r="AF27" i="2"/>
  <c r="AM27" i="2" s="1"/>
  <c r="BQ27" i="2" s="1"/>
  <c r="E30" i="4" s="1"/>
  <c r="BD26" i="2"/>
  <c r="AU26" i="2"/>
  <c r="F9" i="4" s="1"/>
  <c r="AG27" i="2"/>
  <c r="AN27" i="2" s="1"/>
  <c r="BR27" i="2" s="1"/>
  <c r="F30" i="4" s="1"/>
  <c r="AT26" i="2"/>
  <c r="BC26" i="2"/>
  <c r="CE26" i="2" s="1"/>
  <c r="CM26" i="2" s="1"/>
  <c r="M14" i="4" s="1"/>
  <c r="AD27" i="2"/>
  <c r="AK27" i="2" s="1"/>
  <c r="BO27" i="2" s="1"/>
  <c r="AH26" i="2"/>
  <c r="AC27" i="2"/>
  <c r="AJ27" i="2" s="1"/>
  <c r="AA26" i="2"/>
  <c r="O28" i="4"/>
  <c r="O30" i="4"/>
  <c r="A64" i="4" a="1"/>
  <c r="A64" i="4" s="1"/>
  <c r="I31" i="4"/>
  <c r="BZ27" i="2"/>
  <c r="BL27" i="2"/>
  <c r="W27" i="2"/>
  <c r="AE27" i="2"/>
  <c r="AL27" i="2" s="1"/>
  <c r="BP27" i="2" s="1"/>
  <c r="D30" i="4" s="1"/>
  <c r="CD26" i="2"/>
  <c r="CL26" i="2" s="1"/>
  <c r="L14" i="4" s="1"/>
  <c r="T27" i="2"/>
  <c r="G62" i="4"/>
  <c r="AO26" i="2"/>
  <c r="BN26" i="2"/>
  <c r="BS26" i="2" s="1"/>
  <c r="AZ26" i="2"/>
  <c r="D9" i="4"/>
  <c r="G60" i="4"/>
  <c r="CF25" i="2"/>
  <c r="CN25" i="2" s="1"/>
  <c r="AH25" i="2"/>
  <c r="AZ25" i="2"/>
  <c r="AA25" i="2"/>
  <c r="AQ25" i="2"/>
  <c r="CG24" i="2"/>
  <c r="CI24" i="2" s="1"/>
  <c r="BZ24" i="2"/>
  <c r="BS23" i="2"/>
  <c r="BL23" i="2"/>
  <c r="BE23" i="2"/>
  <c r="AV23" i="2"/>
  <c r="AO25" i="2"/>
  <c r="B54" i="4" l="1"/>
  <c r="B64" i="4"/>
  <c r="J32" i="4" s="1"/>
  <c r="C64" i="4"/>
  <c r="K32" i="4" s="1"/>
  <c r="D64" i="4"/>
  <c r="L32" i="4" s="1"/>
  <c r="E64" i="4"/>
  <c r="M32" i="4" s="1"/>
  <c r="F64" i="4"/>
  <c r="N32" i="4" s="1"/>
  <c r="O12" i="4"/>
  <c r="O10" i="4"/>
  <c r="CC26" i="2"/>
  <c r="CK26" i="2" s="1"/>
  <c r="BC27" i="2"/>
  <c r="CE27" i="2" s="1"/>
  <c r="E9" i="4"/>
  <c r="CF26" i="2"/>
  <c r="CN26" i="2" s="1"/>
  <c r="N14" i="4" s="1"/>
  <c r="AT27" i="2"/>
  <c r="E23" i="4" s="1"/>
  <c r="AU27" i="2"/>
  <c r="F21" i="4" s="1"/>
  <c r="BD27" i="2"/>
  <c r="CF27" i="2" s="1"/>
  <c r="AR27" i="2"/>
  <c r="C23" i="4" s="1"/>
  <c r="BA27" i="2"/>
  <c r="AH27" i="2"/>
  <c r="AV26" i="2"/>
  <c r="CO21" i="2"/>
  <c r="B13" i="4"/>
  <c r="F13" i="4"/>
  <c r="C13" i="4"/>
  <c r="E13" i="4"/>
  <c r="D13" i="4"/>
  <c r="E22" i="4"/>
  <c r="CB25" i="2"/>
  <c r="CJ25" i="2" s="1"/>
  <c r="F28" i="4"/>
  <c r="I32" i="4"/>
  <c r="E28" i="4"/>
  <c r="A65" i="4" a="1"/>
  <c r="A65" i="4" s="1"/>
  <c r="AO27" i="2"/>
  <c r="AZ27" i="2"/>
  <c r="BN27" i="2"/>
  <c r="CB26" i="2"/>
  <c r="BE26" i="2"/>
  <c r="AA27" i="2"/>
  <c r="BB27" i="2"/>
  <c r="AS27" i="2"/>
  <c r="AQ27" i="2"/>
  <c r="B21" i="4" s="1"/>
  <c r="CG23" i="2"/>
  <c r="G10" i="4"/>
  <c r="BL25" i="2"/>
  <c r="BZ23" i="2"/>
  <c r="AV25" i="2"/>
  <c r="J29" i="4"/>
  <c r="CC27" i="2" l="1"/>
  <c r="CI23" i="2"/>
  <c r="B65" i="4"/>
  <c r="C65" i="4"/>
  <c r="K33" i="4" s="1"/>
  <c r="D65" i="4"/>
  <c r="L33" i="4" s="1"/>
  <c r="E65" i="4"/>
  <c r="M33" i="4" s="1"/>
  <c r="F65" i="4"/>
  <c r="N33" i="4" s="1"/>
  <c r="E21" i="4"/>
  <c r="CG26" i="2"/>
  <c r="CJ26" i="2"/>
  <c r="C22" i="4"/>
  <c r="F22" i="4"/>
  <c r="F23" i="4"/>
  <c r="C21" i="4"/>
  <c r="B22" i="4"/>
  <c r="B23" i="4"/>
  <c r="CO25" i="2"/>
  <c r="G64" i="4"/>
  <c r="O29" i="4"/>
  <c r="D23" i="4"/>
  <c r="D21" i="4"/>
  <c r="D22" i="4"/>
  <c r="CD27" i="2"/>
  <c r="D28" i="4"/>
  <c r="BS27" i="2"/>
  <c r="A66" i="4" a="1"/>
  <c r="A66" i="4" s="1"/>
  <c r="I33" i="4"/>
  <c r="G63" i="4"/>
  <c r="J31" i="4"/>
  <c r="O32" i="4"/>
  <c r="AV27" i="2"/>
  <c r="CB27" i="2"/>
  <c r="BE27" i="2"/>
  <c r="AD2" i="4"/>
  <c r="AA2" i="4"/>
  <c r="AC2" i="4"/>
  <c r="BE25" i="2"/>
  <c r="BS25" i="2"/>
  <c r="BZ25" i="2"/>
  <c r="G8" i="4"/>
  <c r="G11" i="4"/>
  <c r="G61" i="4"/>
  <c r="G13" i="4"/>
  <c r="D66" i="4" l="1"/>
  <c r="L34" i="4" s="1"/>
  <c r="E66" i="4"/>
  <c r="M34" i="4" s="1"/>
  <c r="F66" i="4"/>
  <c r="N34" i="4" s="1"/>
  <c r="CO26" i="2"/>
  <c r="E50" i="4"/>
  <c r="E54" i="4" s="1"/>
  <c r="G21" i="4"/>
  <c r="G22" i="4"/>
  <c r="G23" i="4"/>
  <c r="Z2" i="4"/>
  <c r="AB2" i="4"/>
  <c r="CG27" i="2"/>
  <c r="J33" i="4"/>
  <c r="G65" i="4"/>
  <c r="O31" i="4"/>
  <c r="A67" i="4" a="1"/>
  <c r="A67" i="4" s="1"/>
  <c r="I34" i="4"/>
  <c r="CG25" i="2"/>
  <c r="A68" i="4" l="1" a="1"/>
  <c r="A68" i="4" s="1"/>
  <c r="I36" i="4" s="1"/>
  <c r="B67" i="4"/>
  <c r="C67" i="4"/>
  <c r="K35" i="4" s="1"/>
  <c r="D67" i="4"/>
  <c r="L35" i="4" s="1"/>
  <c r="E67" i="4"/>
  <c r="M35" i="4" s="1"/>
  <c r="F67" i="4"/>
  <c r="N35" i="4" s="1"/>
  <c r="AE2" i="4"/>
  <c r="O33" i="4"/>
  <c r="I35" i="4"/>
  <c r="CI25" i="2"/>
  <c r="A69" i="4" l="1" a="1"/>
  <c r="A69" i="4" s="1"/>
  <c r="I40" i="4" s="1"/>
  <c r="B68" i="4"/>
  <c r="J36" i="4" s="1"/>
  <c r="C68" i="4"/>
  <c r="K36" i="4" s="1"/>
  <c r="D68" i="4"/>
  <c r="L36" i="4" s="1"/>
  <c r="E68" i="4"/>
  <c r="M36" i="4" s="1"/>
  <c r="F68" i="4"/>
  <c r="N36" i="4" s="1"/>
  <c r="J35" i="4"/>
  <c r="G67" i="4"/>
  <c r="A70" i="4" l="1" a="1"/>
  <c r="A70" i="4" s="1"/>
  <c r="E70" i="4" s="1"/>
  <c r="M41" i="4" s="1"/>
  <c r="G68" i="4"/>
  <c r="O36" i="4"/>
  <c r="O35" i="4"/>
  <c r="A71" i="4" l="1" a="1"/>
  <c r="A71" i="4" s="1"/>
  <c r="E71" i="4" s="1"/>
  <c r="M42" i="4" s="1"/>
  <c r="C70" i="4"/>
  <c r="K41" i="4" s="1"/>
  <c r="I41" i="4"/>
  <c r="F70" i="4"/>
  <c r="N41" i="4" s="1"/>
  <c r="B70" i="4"/>
  <c r="D70" i="4"/>
  <c r="L41" i="4" s="1"/>
  <c r="G70" i="4" l="1"/>
  <c r="D71" i="4"/>
  <c r="L42" i="4" s="1"/>
  <c r="I42" i="4"/>
  <c r="C71" i="4"/>
  <c r="K42" i="4" s="1"/>
  <c r="A72" i="4" a="1"/>
  <c r="A72" i="4" s="1"/>
  <c r="B72" i="4" s="1"/>
  <c r="F71" i="4"/>
  <c r="N42" i="4" s="1"/>
  <c r="B71" i="4"/>
  <c r="J41" i="4"/>
  <c r="O41" i="4" s="1"/>
  <c r="G71" i="4" l="1"/>
  <c r="J42" i="4"/>
  <c r="O42" i="4" s="1"/>
  <c r="D72" i="4"/>
  <c r="L43" i="4" s="1"/>
  <c r="A73" i="4" a="1"/>
  <c r="A73" i="4" s="1"/>
  <c r="C73" i="4" s="1"/>
  <c r="C72" i="4"/>
  <c r="K43" i="4" s="1"/>
  <c r="I43" i="4"/>
  <c r="E72" i="4"/>
  <c r="M43" i="4" s="1"/>
  <c r="F72" i="4"/>
  <c r="N43" i="4" s="1"/>
  <c r="J43" i="4"/>
  <c r="G72" i="4" l="1"/>
  <c r="D73" i="4"/>
  <c r="F73" i="4"/>
  <c r="B73" i="4"/>
  <c r="A74" i="4" a="1"/>
  <c r="A74" i="4" s="1"/>
  <c r="D74" i="4" s="1"/>
  <c r="E73" i="4"/>
  <c r="O43" i="4"/>
  <c r="G73" i="4" l="1"/>
  <c r="F74" i="4"/>
  <c r="B74" i="4"/>
  <c r="E74" i="4"/>
  <c r="C74" i="4"/>
  <c r="G74" i="4" l="1"/>
  <c r="H17" i="2" l="1"/>
  <c r="I17" i="2"/>
  <c r="BV17" i="2" l="1"/>
  <c r="C31" i="4" s="1"/>
  <c r="BH17" i="2"/>
  <c r="C29" i="4" s="1"/>
  <c r="P17" i="2"/>
  <c r="AD17" i="2" s="1"/>
  <c r="AK17" i="2" s="1"/>
  <c r="BO17" i="2" s="1"/>
  <c r="C30" i="4" s="1"/>
  <c r="O17" i="2"/>
  <c r="AC17" i="2" s="1"/>
  <c r="BG17" i="2"/>
  <c r="BU17" i="2"/>
  <c r="M17" i="2"/>
  <c r="F2" i="7" l="1"/>
  <c r="K22" i="2"/>
  <c r="W17" i="2"/>
  <c r="AR17" i="2" s="1"/>
  <c r="C66" i="4" s="1"/>
  <c r="K34" i="4" s="1"/>
  <c r="V17" i="2"/>
  <c r="T17" i="2"/>
  <c r="BZ17" i="2"/>
  <c r="B31" i="4"/>
  <c r="G31" i="4" s="1"/>
  <c r="BL17" i="2"/>
  <c r="B29" i="4"/>
  <c r="G29" i="4" s="1"/>
  <c r="AJ17" i="2"/>
  <c r="AH17" i="2"/>
  <c r="BA17" i="2"/>
  <c r="C19" i="4" l="1"/>
  <c r="C9" i="4"/>
  <c r="E2" i="7"/>
  <c r="J22" i="2"/>
  <c r="H22" i="2"/>
  <c r="C2" i="7"/>
  <c r="I22" i="2"/>
  <c r="D2" i="7"/>
  <c r="BJ22" i="2"/>
  <c r="E41" i="4" s="1"/>
  <c r="BX22" i="2"/>
  <c r="E43" i="4" s="1"/>
  <c r="R22" i="2"/>
  <c r="AF22" i="2" s="1"/>
  <c r="AM22" i="2" s="1"/>
  <c r="BQ22" i="2" s="1"/>
  <c r="E42" i="4" s="1"/>
  <c r="G2" i="7"/>
  <c r="L22" i="2"/>
  <c r="CC17" i="2"/>
  <c r="CK17" i="2" s="1"/>
  <c r="K14" i="4" s="1"/>
  <c r="C28" i="4"/>
  <c r="AO17" i="2"/>
  <c r="AZ17" i="2"/>
  <c r="BN17" i="2"/>
  <c r="AQ17" i="2"/>
  <c r="AA17" i="2"/>
  <c r="O22" i="2" l="1"/>
  <c r="AC22" i="2" s="1"/>
  <c r="BG22" i="2"/>
  <c r="M22" i="2"/>
  <c r="M2" i="2" s="1"/>
  <c r="BU22" i="2"/>
  <c r="BI22" i="2"/>
  <c r="D41" i="4" s="1"/>
  <c r="BW22" i="2"/>
  <c r="D43" i="4" s="1"/>
  <c r="Q22" i="2"/>
  <c r="X22" i="2" s="1"/>
  <c r="BY22" i="2"/>
  <c r="F43" i="4" s="1"/>
  <c r="BK22" i="2"/>
  <c r="F41" i="4" s="1"/>
  <c r="S22" i="2"/>
  <c r="AG22" i="2" s="1"/>
  <c r="AN22" i="2" s="1"/>
  <c r="BD22" i="2" s="1"/>
  <c r="Y22" i="2"/>
  <c r="AT22" i="2" s="1"/>
  <c r="BC22" i="2"/>
  <c r="H2" i="7"/>
  <c r="P22" i="2"/>
  <c r="W22" i="2" s="1"/>
  <c r="BV22" i="2"/>
  <c r="C43" i="4" s="1"/>
  <c r="BH22" i="2"/>
  <c r="C41" i="4" s="1"/>
  <c r="AV17" i="2"/>
  <c r="B19" i="4"/>
  <c r="B9" i="4"/>
  <c r="B66" i="4"/>
  <c r="BS17" i="2"/>
  <c r="B30" i="4"/>
  <c r="G30" i="4" s="1"/>
  <c r="CB17" i="2"/>
  <c r="BE17" i="2"/>
  <c r="B28" i="4"/>
  <c r="G28" i="4" s="1"/>
  <c r="G19" i="4" l="1"/>
  <c r="AE22" i="2"/>
  <c r="AL22" i="2" s="1"/>
  <c r="BP22" i="2" s="1"/>
  <c r="D42" i="4" s="1"/>
  <c r="F40" i="4"/>
  <c r="E40" i="4"/>
  <c r="CE22" i="2"/>
  <c r="CM22" i="2" s="1"/>
  <c r="M13" i="4" s="1"/>
  <c r="AS22" i="2"/>
  <c r="B43" i="4"/>
  <c r="G43" i="4" s="1"/>
  <c r="BZ22" i="2"/>
  <c r="E69" i="4"/>
  <c r="M40" i="4" s="1"/>
  <c r="E12" i="4"/>
  <c r="E2" i="4" s="1"/>
  <c r="E20" i="4"/>
  <c r="E24" i="4" s="1"/>
  <c r="Z22" i="2"/>
  <c r="AU22" i="2" s="1"/>
  <c r="AD22" i="2"/>
  <c r="AK22" i="2" s="1"/>
  <c r="BR22" i="2"/>
  <c r="F42" i="4" s="1"/>
  <c r="BB22" i="2"/>
  <c r="B41" i="4"/>
  <c r="G41" i="4" s="1"/>
  <c r="BL22" i="2"/>
  <c r="AJ22" i="2"/>
  <c r="AZ22" i="2" s="1"/>
  <c r="V22" i="2"/>
  <c r="T22" i="2"/>
  <c r="T2" i="2" s="1"/>
  <c r="CJ17" i="2"/>
  <c r="CG17" i="2"/>
  <c r="J34" i="4"/>
  <c r="O34" i="4" s="1"/>
  <c r="G66" i="4"/>
  <c r="G9" i="4"/>
  <c r="BZ2" i="2" l="1"/>
  <c r="K53" i="4"/>
  <c r="BL2" i="2"/>
  <c r="K51" i="4"/>
  <c r="E14" i="4"/>
  <c r="M15" i="4"/>
  <c r="M2" i="4"/>
  <c r="AH22" i="2"/>
  <c r="AH2" i="2" s="1"/>
  <c r="AR22" i="2"/>
  <c r="BA22" i="2"/>
  <c r="BE22" i="2" s="1"/>
  <c r="BO22" i="2"/>
  <c r="C42" i="4" s="1"/>
  <c r="D69" i="4"/>
  <c r="L40" i="4" s="1"/>
  <c r="D12" i="4"/>
  <c r="D2" i="4" s="1"/>
  <c r="D20" i="4"/>
  <c r="D24" i="4" s="1"/>
  <c r="AA22" i="2"/>
  <c r="AA2" i="2" s="1"/>
  <c r="AQ22" i="2"/>
  <c r="CD22" i="2"/>
  <c r="CL22" i="2" s="1"/>
  <c r="L13" i="4" s="1"/>
  <c r="D40" i="4"/>
  <c r="F12" i="4"/>
  <c r="F2" i="4" s="1"/>
  <c r="F20" i="4"/>
  <c r="F24" i="4" s="1"/>
  <c r="F69" i="4"/>
  <c r="N40" i="4" s="1"/>
  <c r="B40" i="4"/>
  <c r="AO22" i="2"/>
  <c r="AO2" i="2" s="1"/>
  <c r="BN22" i="2"/>
  <c r="CB22" i="2" s="1"/>
  <c r="CF22" i="2"/>
  <c r="CN22" i="2" s="1"/>
  <c r="N13" i="4" s="1"/>
  <c r="CO17" i="2"/>
  <c r="J14" i="4"/>
  <c r="CI17" i="2"/>
  <c r="N15" i="4" l="1"/>
  <c r="N2" i="4"/>
  <c r="L15" i="4"/>
  <c r="L2" i="4"/>
  <c r="D14" i="4"/>
  <c r="F14" i="4"/>
  <c r="BE2" i="2"/>
  <c r="K50" i="4"/>
  <c r="CC22" i="2"/>
  <c r="CK22" i="2" s="1"/>
  <c r="K13" i="4" s="1"/>
  <c r="K2" i="4" s="1"/>
  <c r="C40" i="4"/>
  <c r="G40" i="4" s="1"/>
  <c r="C12" i="4"/>
  <c r="C2" i="4" s="1"/>
  <c r="C69" i="4"/>
  <c r="K40" i="4" s="1"/>
  <c r="C20" i="4"/>
  <c r="C24" i="4" s="1"/>
  <c r="CJ22" i="2"/>
  <c r="BS22" i="2"/>
  <c r="B42" i="4"/>
  <c r="G42" i="4" s="1"/>
  <c r="B69" i="4"/>
  <c r="AV22" i="2"/>
  <c r="AV2" i="2" s="1"/>
  <c r="B12" i="4"/>
  <c r="B20" i="4"/>
  <c r="B24" i="4" s="1"/>
  <c r="O14" i="4"/>
  <c r="B14" i="4" l="1"/>
  <c r="B2" i="4"/>
  <c r="BS2" i="2"/>
  <c r="K52" i="4"/>
  <c r="K54" i="4" s="1"/>
  <c r="C14" i="4"/>
  <c r="G20" i="4"/>
  <c r="G24" i="4" s="1"/>
  <c r="CO22" i="2"/>
  <c r="CO2" i="2" s="1"/>
  <c r="J13" i="4"/>
  <c r="J2" i="4" s="1"/>
  <c r="G12" i="4"/>
  <c r="G14" i="4" s="1"/>
  <c r="AE1" i="4"/>
  <c r="K15" i="4"/>
  <c r="J40" i="4"/>
  <c r="O40" i="4" s="1"/>
  <c r="G69" i="4"/>
  <c r="CG22" i="2"/>
  <c r="G2" i="4" l="1"/>
  <c r="G1" i="4" s="1"/>
  <c r="C46" i="3"/>
  <c r="B46" i="3" s="1" a="1"/>
  <c r="B46" i="3" s="1"/>
  <c r="C43" i="3"/>
  <c r="B43" i="3" s="1" a="1"/>
  <c r="B43" i="3" s="1"/>
  <c r="C41" i="3"/>
  <c r="B41" i="3" s="1" a="1"/>
  <c r="B41" i="3" s="1"/>
  <c r="C50" i="3"/>
  <c r="B50" i="3" s="1" a="1"/>
  <c r="B50" i="3" s="1"/>
  <c r="C47" i="3"/>
  <c r="B47" i="3" s="1" a="1"/>
  <c r="B47" i="3" s="1"/>
  <c r="C45" i="3"/>
  <c r="B45" i="3" s="1" a="1"/>
  <c r="B45" i="3" s="1"/>
  <c r="C51" i="3"/>
  <c r="B51" i="3" s="1" a="1"/>
  <c r="B51" i="3" s="1"/>
  <c r="C44" i="3"/>
  <c r="B44" i="3" s="1" a="1"/>
  <c r="B44" i="3" s="1"/>
  <c r="C38" i="3"/>
  <c r="B38" i="3" s="1" a="1"/>
  <c r="B38" i="3" s="1"/>
  <c r="C49" i="3"/>
  <c r="B49" i="3" s="1" a="1"/>
  <c r="B49" i="3" s="1"/>
  <c r="C39" i="3"/>
  <c r="B39" i="3" s="1" a="1"/>
  <c r="B39" i="3" s="1"/>
  <c r="C48" i="3"/>
  <c r="B48" i="3" s="1" a="1"/>
  <c r="B48" i="3" s="1"/>
  <c r="C42" i="3"/>
  <c r="B42" i="3" s="1" a="1"/>
  <c r="B42" i="3" s="1"/>
  <c r="C40" i="3"/>
  <c r="B40" i="3" s="1" a="1"/>
  <c r="B40" i="3" s="1"/>
  <c r="CI22" i="2"/>
  <c r="CG2" i="2"/>
  <c r="O13" i="4"/>
  <c r="O15" i="4" s="1"/>
  <c r="J15" i="4"/>
  <c r="O2" i="4" s="1"/>
</calcChain>
</file>

<file path=xl/sharedStrings.xml><?xml version="1.0" encoding="utf-8"?>
<sst xmlns="http://schemas.openxmlformats.org/spreadsheetml/2006/main" count="439" uniqueCount="107">
  <si>
    <t>Labour</t>
  </si>
  <si>
    <t>Materials</t>
  </si>
  <si>
    <t>Contractor</t>
  </si>
  <si>
    <t>Other</t>
  </si>
  <si>
    <t>Asset Class</t>
  </si>
  <si>
    <t>Driver</t>
  </si>
  <si>
    <t>Program</t>
  </si>
  <si>
    <t>No</t>
  </si>
  <si>
    <t>Replacement</t>
  </si>
  <si>
    <t>Pipeline Integrity</t>
  </si>
  <si>
    <t>Yes</t>
  </si>
  <si>
    <t>Pipelines</t>
  </si>
  <si>
    <t>Supply Security Project</t>
  </si>
  <si>
    <t>SCADA Hardware Lifecycle Management</t>
  </si>
  <si>
    <t xml:space="preserve">Compressors </t>
  </si>
  <si>
    <t>Battery Charger Replacement</t>
  </si>
  <si>
    <t>Liquids Removal</t>
  </si>
  <si>
    <t>Valve Upgrade</t>
  </si>
  <si>
    <t>Dalby Communication Relocation</t>
  </si>
  <si>
    <t>Pipeline Relocation</t>
  </si>
  <si>
    <t>Minor Projects</t>
  </si>
  <si>
    <t>SIB Capex</t>
  </si>
  <si>
    <t>Rich Gas Segregation</t>
  </si>
  <si>
    <t>Group IT</t>
  </si>
  <si>
    <t>Access Arrangement</t>
  </si>
  <si>
    <t>$FY21</t>
  </si>
  <si>
    <t>$FY22</t>
  </si>
  <si>
    <t>Non-network</t>
  </si>
  <si>
    <t>Capitalised AA costs</t>
  </si>
  <si>
    <t>Property Leases</t>
  </si>
  <si>
    <t>Vehicle Leases</t>
  </si>
  <si>
    <t>Project</t>
  </si>
  <si>
    <t>dollars</t>
  </si>
  <si>
    <t>Imnmediately deductible</t>
  </si>
  <si>
    <t>Indirect HCC</t>
  </si>
  <si>
    <t>Total</t>
  </si>
  <si>
    <t>HCC Uplift</t>
  </si>
  <si>
    <t>Inflation</t>
  </si>
  <si>
    <t>FY 17</t>
  </si>
  <si>
    <t>FY 18</t>
  </si>
  <si>
    <t>FY 19</t>
  </si>
  <si>
    <t>FY 20</t>
  </si>
  <si>
    <t>FY 21</t>
  </si>
  <si>
    <t>FY22</t>
  </si>
  <si>
    <t>FY23</t>
  </si>
  <si>
    <t>FY24</t>
  </si>
  <si>
    <t>FY25</t>
  </si>
  <si>
    <t>FY26</t>
  </si>
  <si>
    <t>FY27</t>
  </si>
  <si>
    <t>CPI</t>
  </si>
  <si>
    <t>Index</t>
  </si>
  <si>
    <t>Categorisation</t>
  </si>
  <si>
    <t>Original Pipeline</t>
  </si>
  <si>
    <t>Cathodic Protection</t>
  </si>
  <si>
    <t>Regulators and meters</t>
  </si>
  <si>
    <t>Gas Measurement Upgrade</t>
  </si>
  <si>
    <t xml:space="preserve">Easements </t>
  </si>
  <si>
    <t>Labour cost escalation</t>
  </si>
  <si>
    <t>WPI</t>
  </si>
  <si>
    <t>Labour Index</t>
  </si>
  <si>
    <t>Indirect HCC cost</t>
  </si>
  <si>
    <t>Subtotal</t>
  </si>
  <si>
    <t>Labour Component</t>
  </si>
  <si>
    <t>Labour Escalation</t>
  </si>
  <si>
    <t>Total Cost</t>
  </si>
  <si>
    <t>Internal labour as a portion of Labour</t>
  </si>
  <si>
    <t>Instant Expense</t>
  </si>
  <si>
    <t>Capex by Type</t>
  </si>
  <si>
    <t>Totals</t>
  </si>
  <si>
    <t>PTRM Inputs</t>
  </si>
  <si>
    <t>Forecast Capex</t>
  </si>
  <si>
    <t>Instant Expensing Capex</t>
  </si>
  <si>
    <t>RIN Schedules</t>
  </si>
  <si>
    <t>Business Cases</t>
  </si>
  <si>
    <t>Total ($M)</t>
  </si>
  <si>
    <t>Direct labour</t>
  </si>
  <si>
    <t>Direct materials</t>
  </si>
  <si>
    <t>Direct contractor</t>
  </si>
  <si>
    <t>Other direct expenditure</t>
  </si>
  <si>
    <t>Battery Chargers</t>
  </si>
  <si>
    <t>Gatton - Battery Charger Replacement</t>
  </si>
  <si>
    <t>Kogan - Battery Charger Replacement</t>
  </si>
  <si>
    <t>Oakey - Battery Charger Replacement</t>
  </si>
  <si>
    <t>DN250 Expenditure</t>
  </si>
  <si>
    <t>DN250 Validation and repair Dig ILI (MFL)</t>
  </si>
  <si>
    <t>DN250 - Supply Security Project</t>
  </si>
  <si>
    <t>Validation and Repair Digs</t>
  </si>
  <si>
    <t>Property leases</t>
  </si>
  <si>
    <t>Motor vehicle leases</t>
  </si>
  <si>
    <t>Expansion</t>
  </si>
  <si>
    <t>Capitalised network overheads</t>
  </si>
  <si>
    <t>Capitalised corporate overheads</t>
  </si>
  <si>
    <t>Other capex</t>
  </si>
  <si>
    <t>Capital contributions included in the above</t>
  </si>
  <si>
    <t>Overheads</t>
  </si>
  <si>
    <t>CP Augmentation</t>
  </si>
  <si>
    <t>DN300 Metro - ILI - MFL + EMAT</t>
  </si>
  <si>
    <t>DN300 Metro Validation dig ILI</t>
  </si>
  <si>
    <t>DN200 Lytton Lateral - ILI - MFL</t>
  </si>
  <si>
    <t>Peat Lateral Liquid Removal upgrades</t>
  </si>
  <si>
    <t>Underground valves upgrades</t>
  </si>
  <si>
    <t>Dalby CS Comms Relocation</t>
  </si>
  <si>
    <t>DN400 Metro Loop - ILI - MFL</t>
  </si>
  <si>
    <t>Warrego Highway upgrade pipeline protection</t>
  </si>
  <si>
    <t>Oakey &amp; Kogan Decommissioning</t>
  </si>
  <si>
    <t>Gas Measurement Upgrade - including shades - FEED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</si>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</sst>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_-;\-* #,##0.00_-;_-* &quot;-&quot;_-;_-@_-"/>
    <numFmt numFmtId="167" formatCode="_-* #,##0.0_-;\-* #,##0.0_-;_-* &quot;-&quot;??_-;_-@_-"/>
    <numFmt numFmtId="168" formatCode="_-* #,##0.0_-;\-* #,##0.0_-;_-* &quot;-&quot;_-;_-@_-"/>
    <numFmt numFmtId="169" formatCode="_(#,##0_);\(#,##0\);_(&quot;-&quot;_)"/>
  </numFmts>
  <fonts count="15" x14ac:knownFonts="1">
    <font>
      <sz val="8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 tint="0.34998626667073579"/>
      <name val="Century Gothic"/>
      <family val="2"/>
    </font>
    <font>
      <sz val="8"/>
      <color theme="1" tint="0.24994659260841701"/>
      <name val="Calibri"/>
      <family val="2"/>
      <scheme val="minor"/>
    </font>
    <font>
      <sz val="8"/>
      <color theme="1" tint="0.24994659260841701"/>
      <name val="Century Gothic"/>
      <family val="2"/>
    </font>
    <font>
      <b/>
      <sz val="8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9C0006"/>
      <name val="Century Gothic"/>
      <family val="2"/>
    </font>
    <font>
      <sz val="8"/>
      <color theme="2" tint="-0.749961851863155"/>
      <name val="Century Gothic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7">
    <xf numFmtId="0" fontId="0" fillId="4" borderId="0"/>
    <xf numFmtId="0" fontId="1" fillId="0" borderId="1" applyNumberFormat="0" applyFill="0" applyAlignment="0" applyProtection="0"/>
    <xf numFmtId="0" fontId="4" fillId="0" borderId="2" applyNumberFormat="0" applyAlignment="0" applyProtection="0"/>
    <xf numFmtId="0" fontId="10" fillId="3" borderId="6" applyNumberFormat="0" applyAlignment="0" applyProtection="0"/>
    <xf numFmtId="0" fontId="5" fillId="3" borderId="5" applyNumberFormat="0" applyAlignment="0" applyProtection="0"/>
    <xf numFmtId="0" fontId="3" fillId="0" borderId="3" applyNumberFormat="0" applyFill="0" applyAlignment="0" applyProtection="0"/>
    <xf numFmtId="0" fontId="7" fillId="2" borderId="4" applyNumberFormat="0" applyAlignment="0" applyProtection="0"/>
    <xf numFmtId="41" fontId="6" fillId="3" borderId="6" applyAlignment="0" applyProtection="0"/>
    <xf numFmtId="41" fontId="4" fillId="0" borderId="2" applyAlignment="0" applyProtection="0"/>
    <xf numFmtId="9" fontId="8" fillId="0" borderId="0" applyFont="0" applyFill="0" applyBorder="0" applyAlignment="0" applyProtection="0"/>
    <xf numFmtId="0" fontId="9" fillId="5" borderId="0" applyNumberFormat="0" applyBorder="0" applyAlignment="0" applyProtection="0"/>
    <xf numFmtId="43" fontId="8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4" fillId="0" borderId="12">
      <alignment horizontal="right" vertical="center"/>
      <protection locked="0"/>
    </xf>
  </cellStyleXfs>
  <cellXfs count="37">
    <xf numFmtId="0" fontId="0" fillId="4" borderId="0" xfId="0"/>
    <xf numFmtId="0" fontId="4" fillId="0" borderId="2" xfId="2"/>
    <xf numFmtId="0" fontId="1" fillId="0" borderId="1" xfId="1"/>
    <xf numFmtId="0" fontId="5" fillId="3" borderId="5" xfId="4"/>
    <xf numFmtId="0" fontId="2" fillId="4" borderId="0" xfId="0" applyFont="1"/>
    <xf numFmtId="0" fontId="3" fillId="0" borderId="3" xfId="5"/>
    <xf numFmtId="164" fontId="7" fillId="2" borderId="4" xfId="6" applyNumberFormat="1"/>
    <xf numFmtId="41" fontId="6" fillId="3" borderId="6" xfId="7"/>
    <xf numFmtId="165" fontId="4" fillId="0" borderId="2" xfId="2" applyNumberFormat="1"/>
    <xf numFmtId="41" fontId="4" fillId="0" borderId="2" xfId="8"/>
    <xf numFmtId="0" fontId="7" fillId="2" borderId="4" xfId="6"/>
    <xf numFmtId="0" fontId="3" fillId="4" borderId="3" xfId="5" applyFill="1"/>
    <xf numFmtId="10" fontId="4" fillId="0" borderId="2" xfId="2" applyNumberFormat="1"/>
    <xf numFmtId="166" fontId="6" fillId="3" borderId="6" xfId="7" applyNumberFormat="1"/>
    <xf numFmtId="14" fontId="0" fillId="4" borderId="0" xfId="0" applyNumberFormat="1"/>
    <xf numFmtId="164" fontId="10" fillId="3" borderId="6" xfId="3" applyNumberFormat="1"/>
    <xf numFmtId="10" fontId="5" fillId="3" borderId="5" xfId="9" applyNumberFormat="1" applyFont="1" applyFill="1" applyBorder="1"/>
    <xf numFmtId="0" fontId="1" fillId="4" borderId="1" xfId="1" applyFill="1"/>
    <xf numFmtId="41" fontId="0" fillId="4" borderId="0" xfId="0" applyNumberFormat="1"/>
    <xf numFmtId="0" fontId="4" fillId="0" borderId="7" xfId="2" applyBorder="1"/>
    <xf numFmtId="9" fontId="4" fillId="0" borderId="2" xfId="9" applyFont="1" applyBorder="1"/>
    <xf numFmtId="9" fontId="3" fillId="0" borderId="3" xfId="5" applyNumberFormat="1"/>
    <xf numFmtId="9" fontId="5" fillId="3" borderId="5" xfId="4" applyNumberFormat="1"/>
    <xf numFmtId="10" fontId="0" fillId="4" borderId="0" xfId="0" applyNumberFormat="1"/>
    <xf numFmtId="0" fontId="3" fillId="0" borderId="0" xfId="5" applyFill="1" applyBorder="1"/>
    <xf numFmtId="0" fontId="7" fillId="2" borderId="8" xfId="6" applyBorder="1"/>
    <xf numFmtId="164" fontId="7" fillId="2" borderId="9" xfId="6" applyNumberFormat="1" applyBorder="1"/>
    <xf numFmtId="9" fontId="10" fillId="3" borderId="6" xfId="3" applyNumberFormat="1"/>
    <xf numFmtId="167" fontId="7" fillId="2" borderId="4" xfId="6" applyNumberFormat="1"/>
    <xf numFmtId="168" fontId="7" fillId="2" borderId="4" xfId="6" applyNumberFormat="1"/>
    <xf numFmtId="168" fontId="6" fillId="3" borderId="6" xfId="7" applyNumberFormat="1"/>
    <xf numFmtId="41" fontId="4" fillId="0" borderId="2" xfId="2" quotePrefix="1" applyNumberFormat="1"/>
    <xf numFmtId="0" fontId="12" fillId="4" borderId="11" xfId="12" applyFill="1"/>
    <xf numFmtId="0" fontId="1" fillId="0" borderId="1" xfId="1" applyFill="1"/>
    <xf numFmtId="167" fontId="0" fillId="4" borderId="0" xfId="11" applyNumberFormat="1" applyFont="1" applyFill="1"/>
    <xf numFmtId="9" fontId="3" fillId="0" borderId="0" xfId="5" applyNumberFormat="1" applyBorder="1" applyAlignment="1">
      <alignment horizontal="left"/>
    </xf>
    <xf numFmtId="9" fontId="3" fillId="0" borderId="10" xfId="5" applyNumberFormat="1" applyBorder="1" applyAlignment="1">
      <alignment horizontal="left"/>
    </xf>
  </cellXfs>
  <cellStyles count="17">
    <cellStyle name="Assumptions Right Number" xfId="16" xr:uid="{00000000-0005-0000-0000-000000000000}"/>
    <cellStyle name="Bad" xfId="10" builtinId="27" customBuiltin="1"/>
    <cellStyle name="Calculation" xfId="3" builtinId="22" customBuiltin="1"/>
    <cellStyle name="Calculation #" xfId="7" xr:uid="{00000000-0005-0000-0000-000003000000}"/>
    <cellStyle name="Comma" xfId="11" builtinId="3"/>
    <cellStyle name="Comma 2" xfId="14" xr:uid="{00000000-0005-0000-0000-000005000000}"/>
    <cellStyle name="Heading 1" xfId="12" builtinId="16"/>
    <cellStyle name="Heading 2" xfId="1" builtinId="17"/>
    <cellStyle name="Heading 3" xfId="5" builtinId="18"/>
    <cellStyle name="Input" xfId="2" builtinId="20" customBuiltin="1"/>
    <cellStyle name="Input #" xfId="8" xr:uid="{00000000-0005-0000-0000-00000A000000}"/>
    <cellStyle name="Linked Cell" xfId="4" builtinId="24" customBuiltin="1"/>
    <cellStyle name="Normal" xfId="0" builtinId="0" customBuiltin="1"/>
    <cellStyle name="Normal 2" xfId="13" xr:uid="{00000000-0005-0000-0000-00000D000000}"/>
    <cellStyle name="Output" xfId="6" builtinId="21" customBuiltin="1"/>
    <cellStyle name="Percent" xfId="9" builtinId="5"/>
    <cellStyle name="Percent 2" xfId="15" xr:uid="{00000000-0005-0000-0000-000010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Assets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Outputs!$G$7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1-4D1F-8B56-A30C08B65EE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D1-4D1F-8B56-A30C08B65E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0-45E1-91AF-68FED73BC0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D3-4E65-A171-942EE7F08630}"/>
              </c:ext>
            </c:extLst>
          </c:dPt>
          <c:dPt>
            <c:idx val="4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D3-4E65-A171-942EE7F08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043-47D8-B1C7-539CEDF003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CA-48B5-BF6E-9A8E8BF9C78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043-47D8-B1C7-539CEDF0035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43-47D8-B1C7-539CEDF0035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4B-4159-91CD-5D5D4E9AF2A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3CA-48B5-BF6E-9A8E8BF9C78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3CA-48B5-BF6E-9A8E8BF9C78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BF-4B5C-AC1B-7DFA3A9222E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BF-4B5C-AC1B-7DFA3A9222E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BF-4B5C-AC1B-7DFA3A9222E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BF-4B5C-AC1B-7DFA3A9222E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B6-408C-AB04-16ABFB2103B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B6-408C-AB04-16ABFB2103B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B6-408C-AB04-16ABFB2103B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8B6-408C-AB04-16ABFB2103B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5F7-436B-BB82-CC668274722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5F7-436B-BB82-CC668274722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5F7-436B-BB82-CC668274722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5F7-436B-BB82-CC668274722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994-4CD6-B4F0-74792D4D6E59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994-4CD6-B4F0-74792D4D6E59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994-4CD6-B4F0-74792D4D6E59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994-4CD6-B4F0-74792D4D6E59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7F-4A4E-B8A5-E21556A9E43B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7F-4A4E-B8A5-E21556A9E43B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7F-4A4E-B8A5-E21556A9E43B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B7F-4A4E-B8A5-E21556A9E43B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65-4A78-9278-C454D38E7EF1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65-4A78-9278-C454D38E7EF1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65-4A78-9278-C454D38E7EF1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D65-4A78-9278-C454D38E7EF1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2F-46B9-8B55-95EBCA73913E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2F-46B9-8B55-95EBCA73913E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F2F-46B9-8B55-95EBCA73913E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F2F-46B9-8B55-95EBCA73913E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BD-4F36-AD96-4B699D7223EE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BD-4F36-AD96-4B699D7223EE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BD-4F36-AD96-4B699D7223EE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1BD-4F36-AD96-4B699D7223EE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412-4BBF-A09E-35D799425406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412-4BBF-A09E-35D799425406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412-4BBF-A09E-35D799425406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412-4BBF-A09E-35D799425406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1B-4D1D-9ED6-0812922A9460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1B-4D1D-9ED6-0812922A9460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1B-4D1D-9ED6-0812922A9460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B1B-4D1D-9ED6-0812922A9460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34-4B48-8B44-097A6B3195BD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34-4B48-8B44-097A6B3195BD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34-4B48-8B44-097A6B3195BD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34-4B48-8B44-097A6B3195BD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22-49CC-9633-233E5A9A143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Outputs!$A$8:$A$16</c15:sqref>
                  </c15:fullRef>
                </c:ext>
              </c:extLst>
              <c:f>(Outputs!$A$8:$A$12,Outputs!$A$14)</c:f>
              <c:strCache>
                <c:ptCount val="6"/>
                <c:pt idx="0">
                  <c:v>Pipelines</c:v>
                </c:pt>
                <c:pt idx="1">
                  <c:v>SIB Capex</c:v>
                </c:pt>
                <c:pt idx="2">
                  <c:v>Compressors </c:v>
                </c:pt>
                <c:pt idx="3">
                  <c:v>Regulators and meters</c:v>
                </c:pt>
                <c:pt idx="4">
                  <c:v>Group IT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Outputs!$G$8:$G$16</c15:sqref>
                  </c15:fullRef>
                </c:ext>
              </c:extLst>
              <c:f>(Outputs!$G$8:$G$12,Outputs!$G$14)</c:f>
              <c:numCache>
                <c:formatCode>_-* #,##0.0_-;\-* #,##0.0_-;_-* "-"_-;_-@_-</c:formatCode>
                <c:ptCount val="6"/>
                <c:pt idx="0">
                  <c:v>19.423941706738574</c:v>
                </c:pt>
                <c:pt idx="1">
                  <c:v>5.4331499284364781</c:v>
                </c:pt>
                <c:pt idx="2">
                  <c:v>0.24900771970596658</c:v>
                </c:pt>
                <c:pt idx="3">
                  <c:v>0</c:v>
                </c:pt>
                <c:pt idx="4">
                  <c:v>3.3037781794800378</c:v>
                </c:pt>
                <c:pt idx="5">
                  <c:v>29.189406650895272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FB6-4BA9-B870-61210B700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Driver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6-43AA-955C-17831B25F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6-43AA-955C-17831B25F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B4-4900-9E5B-C9777E4A46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B4-4900-9E5B-C9777E4A46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B4-4900-9E5B-C9777E4A46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EB4-4900-9E5B-C9777E4A46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EB4-4900-9E5B-C9777E4A463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EB4-4900-9E5B-C9777E4A463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EB4-4900-9E5B-C9777E4A463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4B-4A20-9C18-A132D66B1CD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4B-4A20-9C18-A132D66B1CD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4B-4A20-9C18-A132D66B1CD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4B-4A20-9C18-A132D66B1CD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4B-4A20-9C18-A132D66B1CD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64B-4A20-9C18-A132D66B1CD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64B-4A20-9C18-A132D66B1CD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FD-4B87-9134-7C865CD7CAD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FD-4B87-9134-7C865CD7CAD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FD-4B87-9134-7C865CD7CAD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FD-4B87-9134-7C865CD7CAD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FD-4B87-9134-7C865CD7CAD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FD-4B87-9134-7C865CD7CAD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FD-4B87-9134-7C865CD7CAD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CC-43B7-9CA9-E7716EAAFE9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CC-43B7-9CA9-E7716EAAFE9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CC-43B7-9CA9-E7716EAAFE9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CC-43B7-9CA9-E7716EAAFE9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CC-43B7-9CA9-E7716EAAFE97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CC-43B7-9CA9-E7716EAAFE97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CC-43B7-9CA9-E7716EAAFE97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DC-4413-BC7D-9C895185D38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DC-4413-BC7D-9C895185D38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DC-4413-BC7D-9C895185D38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DC-4413-BC7D-9C895185D38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DC-4413-BC7D-9C895185D38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8DC-4413-BC7D-9C895185D38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8DC-4413-BC7D-9C895185D38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69-4D6A-BBE9-20468CA4770E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69-4D6A-BBE9-20468CA4770E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69-4D6A-BBE9-20468CA4770E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769-4D6A-BBE9-20468CA4770E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769-4D6A-BBE9-20468CA4770E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769-4D6A-BBE9-20468CA4770E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769-4D6A-BBE9-20468CA4770E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B8-4FC0-87FA-1AC5DE7DFA1A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B8-4FC0-87FA-1AC5DE7DFA1A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B8-4FC0-87FA-1AC5DE7DFA1A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B8-4FC0-87FA-1AC5DE7DFA1A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B8-4FC0-87FA-1AC5DE7DFA1A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3B8-4FC0-87FA-1AC5DE7DFA1A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3B8-4FC0-87FA-1AC5DE7DFA1A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BC-4ACB-A87E-7E3E3B1D78E8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BC-4ACB-A87E-7E3E3B1D78E8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BC-4ACB-A87E-7E3E3B1D78E8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3BC-4ACB-A87E-7E3E3B1D78E8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3BC-4ACB-A87E-7E3E3B1D78E8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3BC-4ACB-A87E-7E3E3B1D78E8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3BC-4ACB-A87E-7E3E3B1D78E8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4E-490E-ABBC-D27132704F2D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4E-490E-ABBC-D27132704F2D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4E-490E-ABBC-D27132704F2D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4E-490E-ABBC-D27132704F2D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4E-490E-ABBC-D27132704F2D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14E-490E-ABBC-D27132704F2D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14E-490E-ABBC-D27132704F2D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4-4FB0-9859-76204065C6EF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64-4FB0-9859-76204065C6EF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64-4FB0-9859-76204065C6EF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64-4FB0-9859-76204065C6EF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C64-4FB0-9859-76204065C6EF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C64-4FB0-9859-76204065C6EF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C64-4FB0-9859-76204065C6EF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13-4D9A-86B6-D814CBD64E14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13-4D9A-86B6-D814CBD64E14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13-4D9A-86B6-D814CBD64E14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13-4D9A-86B6-D814CBD64E14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13-4D9A-86B6-D814CBD64E14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13-4D9A-86B6-D814CBD64E14}"/>
              </c:ext>
            </c:extLst>
          </c:dPt>
          <c:dPt>
            <c:idx val="7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713-4D9A-86B6-D814CBD64E14}"/>
              </c:ext>
            </c:extLst>
          </c:dPt>
          <c:dPt>
            <c:idx val="7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55-4319-8ECF-2F3ACA8DF416}"/>
              </c:ext>
            </c:extLst>
          </c:dPt>
          <c:dPt>
            <c:idx val="8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55-4319-8ECF-2F3ACA8DF416}"/>
              </c:ext>
            </c:extLst>
          </c:dPt>
          <c:dPt>
            <c:idx val="8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55-4319-8ECF-2F3ACA8DF416}"/>
              </c:ext>
            </c:extLst>
          </c:dPt>
          <c:dPt>
            <c:idx val="8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55-4319-8ECF-2F3ACA8DF416}"/>
              </c:ext>
            </c:extLst>
          </c:dPt>
          <c:dPt>
            <c:idx val="8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55-4319-8ECF-2F3ACA8DF416}"/>
              </c:ext>
            </c:extLst>
          </c:dPt>
          <c:dPt>
            <c:idx val="8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55-4319-8ECF-2F3ACA8DF416}"/>
              </c:ext>
            </c:extLst>
          </c:dPt>
          <c:dPt>
            <c:idx val="8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F55-4319-8ECF-2F3ACA8DF416}"/>
              </c:ext>
            </c:extLst>
          </c:dPt>
          <c:dPt>
            <c:idx val="8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02-434F-BA5D-4B01799A3D39}"/>
              </c:ext>
            </c:extLst>
          </c:dPt>
          <c:dPt>
            <c:idx val="87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02-434F-BA5D-4B01799A3D39}"/>
              </c:ext>
            </c:extLst>
          </c:dPt>
          <c:dPt>
            <c:idx val="88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02-434F-BA5D-4B01799A3D39}"/>
              </c:ext>
            </c:extLst>
          </c:dPt>
          <c:cat>
            <c:strRef>
              <c:f>Outputs!$A$19:$A$20</c:f>
              <c:strCache>
                <c:ptCount val="2"/>
                <c:pt idx="0">
                  <c:v>Replacement</c:v>
                </c:pt>
                <c:pt idx="1">
                  <c:v>Non-network</c:v>
                </c:pt>
              </c:strCache>
            </c:strRef>
          </c:cat>
          <c:val>
            <c:numRef>
              <c:f>Outputs!$G$19:$G$20</c:f>
              <c:numCache>
                <c:formatCode>_-* #,##0_-;\-* #,##0_-;_-* "-"??_-;_-@_-</c:formatCode>
                <c:ptCount val="2"/>
                <c:pt idx="0">
                  <c:v>22494336.940503806</c:v>
                </c:pt>
                <c:pt idx="1">
                  <c:v>6695069.7103914656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6-43AA-955C-17831B25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Program</a:t>
            </a:r>
          </a:p>
        </c:rich>
      </c:tx>
      <c:layout>
        <c:manualLayout>
          <c:xMode val="edge"/>
          <c:yMode val="edge"/>
          <c:x val="0.76710473551607827"/>
          <c:y val="1.411111111111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962313452466551"/>
          <c:y val="2.1523333333333332E-2"/>
          <c:w val="0.55736691042795594"/>
          <c:h val="0.66214027777777773"/>
        </c:manualLayout>
      </c:layout>
      <c:pieChart>
        <c:varyColors val="1"/>
        <c:ser>
          <c:idx val="0"/>
          <c:order val="0"/>
          <c:tx>
            <c:strRef>
              <c:f>Graphs!$C$37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9B-403D-94E3-8F9F286CBE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9B-403D-94E3-8F9F286CBE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6F-4213-97FA-B7B8C4D485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6F-4213-97FA-B7B8C4D485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6F-4213-97FA-B7B8C4D485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07-4705-961A-7C2696B318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07-4705-961A-7C2696B318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07-4705-961A-7C2696B318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07-4705-961A-7C2696B3181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28-43F8-AE1C-71F415244D8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28-43F8-AE1C-71F415244D8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231-4FD4-B071-153CD718483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231-4FD4-B071-153CD718483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231-4FD4-B071-153CD718483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02D-48D0-B62A-3C53B93D8C9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02D-48D0-B62A-3C53B93D8C9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02D-48D0-B62A-3C53B93D8C9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09A-42A8-9524-4A008A3A14A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09A-42A8-9524-4A008A3A14A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09A-42A8-9524-4A008A3A14A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A89-4C61-8D84-3B7259FFF73E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A89-4C61-8D84-3B7259FFF73E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A89-4C61-8D84-3B7259FFF73E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F38-48A0-8D7C-2FDEFA0A385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F38-48A0-8D7C-2FDEFA0A385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F38-48A0-8D7C-2FDEFA0A3851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6FD-4AB4-A8DC-1BB233F80A4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6FD-4AB4-A8DC-1BB233F80A4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6FD-4AB4-A8DC-1BB233F80A4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18E-4E81-8B7A-59A9C00CE3AF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18E-4E81-8B7A-59A9C00CE3AF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3B79-4DA2-AC2A-369AB9CFC2F9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103-4D88-A31E-C75E871AF29D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D8F-40AC-9D6A-44E29724F04D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D8F-40AC-9D6A-44E29724F04D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EB-42D4-BD63-FA3804A76DF8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1EB-42D4-BD63-FA3804A76DF8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AB9-4082-BFD0-BA1B79BA4D36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AB9-4082-BFD0-BA1B79BA4D36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1E6-434D-AD81-638EE26D9C6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1E6-434D-AD81-638EE26D9C6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A66-46F3-AD70-D8954E4C8341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A66-46F3-AD70-D8954E4C834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Graphs!$B$38:$B$51</c15:sqref>
                  </c15:fullRef>
                </c:ext>
              </c:extLst>
              <c:f>Graphs!$B$38:$B$48</c:f>
              <c:strCache>
                <c:ptCount val="11"/>
                <c:pt idx="0">
                  <c:v>Pipeline Integrity</c:v>
                </c:pt>
                <c:pt idx="1">
                  <c:v>Supply Security Project</c:v>
                </c:pt>
                <c:pt idx="2">
                  <c:v>Group IT</c:v>
                </c:pt>
                <c:pt idx="3">
                  <c:v>Property Leases</c:v>
                </c:pt>
                <c:pt idx="4">
                  <c:v>Minor Projects</c:v>
                </c:pt>
                <c:pt idx="5">
                  <c:v>Liquids Removal</c:v>
                </c:pt>
                <c:pt idx="6">
                  <c:v>Access Arrangement</c:v>
                </c:pt>
                <c:pt idx="7">
                  <c:v>SCADA Hardware Lifecycle Management</c:v>
                </c:pt>
                <c:pt idx="8">
                  <c:v>Vehicle Leases</c:v>
                </c:pt>
                <c:pt idx="9">
                  <c:v>Pipeline Relocation</c:v>
                </c:pt>
                <c:pt idx="10">
                  <c:v>Battery Charger Replacement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Graphs!$C$38:$C$51</c15:sqref>
                  </c15:fullRef>
                </c:ext>
              </c:extLst>
              <c:f>Graphs!$C$38:$C$48</c:f>
              <c:numCache>
                <c:formatCode>_-* #,##0.0_-;\-* #,##0.0_-;_-* "-"??_-;_-@_-</c:formatCode>
                <c:ptCount val="11"/>
                <c:pt idx="0">
                  <c:v>13.065946886058557</c:v>
                </c:pt>
                <c:pt idx="1">
                  <c:v>4.7352942738946462</c:v>
                </c:pt>
                <c:pt idx="2">
                  <c:v>3.3037781794800378</c:v>
                </c:pt>
                <c:pt idx="3">
                  <c:v>2.0237570640852129</c:v>
                </c:pt>
                <c:pt idx="4">
                  <c:v>2.0141214210407306</c:v>
                </c:pt>
                <c:pt idx="5">
                  <c:v>1.0434887848388235</c:v>
                </c:pt>
                <c:pt idx="6">
                  <c:v>0.77952911653421553</c:v>
                </c:pt>
                <c:pt idx="7">
                  <c:v>0.75172608459446799</c:v>
                </c:pt>
                <c:pt idx="8">
                  <c:v>0.5880053502919983</c:v>
                </c:pt>
                <c:pt idx="9">
                  <c:v>0.33219846936428521</c:v>
                </c:pt>
                <c:pt idx="10">
                  <c:v>0.24900771970596658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D29B-403D-94E3-8F9F286C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84441950324138E-3"/>
          <c:y val="0.71236170191369752"/>
          <c:w val="0.99651555804967584"/>
          <c:h val="0.287638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38100</xdr:rowOff>
    </xdr:from>
    <xdr:to>
      <xdr:col>9</xdr:col>
      <xdr:colOff>76200</xdr:colOff>
      <xdr:row>24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7</xdr:row>
      <xdr:rowOff>47625</xdr:rowOff>
    </xdr:from>
    <xdr:to>
      <xdr:col>17</xdr:col>
      <xdr:colOff>371475</xdr:colOff>
      <xdr:row>24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466725</xdr:colOff>
      <xdr:row>7</xdr:row>
      <xdr:rowOff>38098</xdr:rowOff>
    </xdr:from>
    <xdr:to>
      <xdr:col>26</xdr:col>
      <xdr:colOff>476250</xdr:colOff>
      <xdr:row>32</xdr:row>
      <xdr:rowOff>66223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Q50"/>
  <sheetViews>
    <sheetView workbookViewId="0">
      <selection activeCell="E24" sqref="E24"/>
    </sheetView>
  </sheetViews>
  <sheetFormatPr defaultRowHeight="10.5" x14ac:dyDescent="0.25"/>
  <cols>
    <col min="1" max="1" width="43.125" bestFit="1" customWidth="1"/>
    <col min="2" max="2" width="6.625" bestFit="1" customWidth="1"/>
    <col min="3" max="7" width="12.125" bestFit="1" customWidth="1"/>
    <col min="8" max="8" width="24.125" bestFit="1" customWidth="1"/>
    <col min="9" max="13" width="24.125" customWidth="1"/>
    <col min="14" max="14" width="19.375" bestFit="1" customWidth="1"/>
    <col min="15" max="15" width="13.875" bestFit="1" customWidth="1"/>
    <col min="16" max="16" width="24.875" bestFit="1" customWidth="1"/>
  </cols>
  <sheetData>
    <row r="2" spans="1:17" x14ac:dyDescent="0.25">
      <c r="C2" s="18">
        <f>SUM(C5:C50)</f>
        <v>14596460.217897648</v>
      </c>
      <c r="D2" s="18">
        <f>SUM(D5:D50)</f>
        <v>2984493.1986756623</v>
      </c>
      <c r="E2" s="18">
        <f>SUM(E5:E50)</f>
        <v>2395947.0377131151</v>
      </c>
      <c r="F2" s="18">
        <f>SUM(F5:F50)</f>
        <v>1750399.2718414955</v>
      </c>
      <c r="G2" s="18">
        <f>SUM(G5:G50)</f>
        <v>4410302.1179964067</v>
      </c>
      <c r="H2" s="18">
        <f>SUM(C2:G2)</f>
        <v>26137601.844124325</v>
      </c>
      <c r="J2" s="18"/>
      <c r="K2" s="18"/>
      <c r="L2" s="18"/>
      <c r="M2" s="18"/>
    </row>
    <row r="4" spans="1:17" ht="15" thickBot="1" x14ac:dyDescent="0.4">
      <c r="A4" s="11" t="s">
        <v>31</v>
      </c>
      <c r="B4" s="11" t="s">
        <v>32</v>
      </c>
      <c r="C4" s="11" t="s">
        <v>44</v>
      </c>
      <c r="D4" s="11" t="s">
        <v>45</v>
      </c>
      <c r="E4" s="11" t="s">
        <v>46</v>
      </c>
      <c r="F4" s="11" t="s">
        <v>47</v>
      </c>
      <c r="G4" s="11" t="s">
        <v>48</v>
      </c>
      <c r="H4" s="21" t="s">
        <v>0</v>
      </c>
      <c r="I4" s="21" t="s">
        <v>1</v>
      </c>
      <c r="J4" s="21" t="s">
        <v>2</v>
      </c>
      <c r="K4" s="21" t="s">
        <v>3</v>
      </c>
      <c r="L4" s="21" t="s">
        <v>34</v>
      </c>
      <c r="M4" s="21" t="s">
        <v>35</v>
      </c>
      <c r="N4" s="11" t="s">
        <v>4</v>
      </c>
      <c r="O4" s="11" t="s">
        <v>5</v>
      </c>
      <c r="P4" s="11" t="s">
        <v>6</v>
      </c>
      <c r="Q4" s="11" t="s">
        <v>33</v>
      </c>
    </row>
    <row r="5" spans="1:17" ht="11.5" x14ac:dyDescent="0.3">
      <c r="A5" s="1" t="s">
        <v>84</v>
      </c>
      <c r="B5" s="1" t="s">
        <v>25</v>
      </c>
      <c r="C5" s="9">
        <v>1877600</v>
      </c>
      <c r="D5" s="9">
        <v>0</v>
      </c>
      <c r="E5" s="9">
        <v>0</v>
      </c>
      <c r="F5" s="9">
        <v>0</v>
      </c>
      <c r="G5" s="9">
        <v>0</v>
      </c>
      <c r="H5" s="20">
        <v>0.30432522214287383</v>
      </c>
      <c r="I5" s="20">
        <v>6.1537716452556061E-2</v>
      </c>
      <c r="J5" s="20">
        <v>0.62654768947962014</v>
      </c>
      <c r="K5" s="20">
        <v>7.5893719249499874E-3</v>
      </c>
      <c r="L5" s="20">
        <v>8.1430493120896216E-2</v>
      </c>
      <c r="M5" s="20">
        <v>1.0814304931208962</v>
      </c>
      <c r="N5" s="1" t="s">
        <v>11</v>
      </c>
      <c r="O5" s="1" t="s">
        <v>8</v>
      </c>
      <c r="P5" s="1" t="s">
        <v>9</v>
      </c>
      <c r="Q5" s="1" t="s">
        <v>10</v>
      </c>
    </row>
    <row r="6" spans="1:17" ht="11.5" x14ac:dyDescent="0.3">
      <c r="A6" s="1" t="s">
        <v>95</v>
      </c>
      <c r="B6" s="1" t="s">
        <v>25</v>
      </c>
      <c r="C6" s="9">
        <v>3600000</v>
      </c>
      <c r="D6" s="9">
        <v>1200000</v>
      </c>
      <c r="E6" s="9">
        <v>1000000</v>
      </c>
      <c r="F6" s="9">
        <v>900000</v>
      </c>
      <c r="G6" s="9">
        <v>1100000</v>
      </c>
      <c r="H6" s="20">
        <v>0.20100000000000001</v>
      </c>
      <c r="I6" s="20">
        <v>0.26633333333333331</v>
      </c>
      <c r="J6" s="20">
        <v>0.26633333333333331</v>
      </c>
      <c r="K6" s="20">
        <v>0.26633333333333331</v>
      </c>
      <c r="L6" s="20">
        <v>8.1430493120896216E-2</v>
      </c>
      <c r="M6" s="20">
        <v>1.0814304931208962</v>
      </c>
      <c r="N6" s="1" t="s">
        <v>11</v>
      </c>
      <c r="O6" s="1" t="s">
        <v>8</v>
      </c>
      <c r="P6" s="1" t="s">
        <v>9</v>
      </c>
      <c r="Q6" s="1" t="s">
        <v>7</v>
      </c>
    </row>
    <row r="7" spans="1:17" ht="11.5" x14ac:dyDescent="0.3">
      <c r="A7" s="1" t="s">
        <v>85</v>
      </c>
      <c r="B7" s="1" t="s">
        <v>25</v>
      </c>
      <c r="C7" s="9">
        <v>4255000</v>
      </c>
      <c r="D7" s="9">
        <v>0</v>
      </c>
      <c r="E7" s="9">
        <v>0</v>
      </c>
      <c r="F7" s="9">
        <v>0</v>
      </c>
      <c r="G7" s="9">
        <v>0</v>
      </c>
      <c r="H7" s="20">
        <v>0.19070000000000001</v>
      </c>
      <c r="I7" s="20">
        <v>0.4531</v>
      </c>
      <c r="J7" s="20">
        <v>0.34439999999999998</v>
      </c>
      <c r="K7" s="20">
        <v>1.18E-2</v>
      </c>
      <c r="L7" s="20">
        <v>8.1430493120896216E-2</v>
      </c>
      <c r="M7" s="20">
        <v>1.0814304931208962</v>
      </c>
      <c r="N7" s="1" t="s">
        <v>11</v>
      </c>
      <c r="O7" s="1" t="s">
        <v>8</v>
      </c>
      <c r="P7" s="1" t="s">
        <v>12</v>
      </c>
      <c r="Q7" s="1" t="s">
        <v>7</v>
      </c>
    </row>
    <row r="8" spans="1:17" ht="11.5" x14ac:dyDescent="0.3">
      <c r="A8" s="1" t="s">
        <v>13</v>
      </c>
      <c r="B8" s="1" t="s">
        <v>25</v>
      </c>
      <c r="C8" s="9">
        <v>673030</v>
      </c>
      <c r="D8" s="9">
        <v>0</v>
      </c>
      <c r="E8" s="9">
        <v>0</v>
      </c>
      <c r="F8" s="9">
        <v>0</v>
      </c>
      <c r="G8" s="9">
        <v>0</v>
      </c>
      <c r="H8" s="20">
        <v>0.82899999999999996</v>
      </c>
      <c r="I8" s="20">
        <v>5.7000000000000016E-2</v>
      </c>
      <c r="J8" s="20">
        <v>5.7000000000000016E-2</v>
      </c>
      <c r="K8" s="20">
        <v>5.7000000000000016E-2</v>
      </c>
      <c r="L8" s="20">
        <v>8.1430493120896216E-2</v>
      </c>
      <c r="M8" s="20">
        <v>1.0814304931208962</v>
      </c>
      <c r="N8" s="1" t="s">
        <v>21</v>
      </c>
      <c r="O8" s="1" t="s">
        <v>8</v>
      </c>
      <c r="P8" s="1" t="s">
        <v>13</v>
      </c>
      <c r="Q8" s="1" t="s">
        <v>7</v>
      </c>
    </row>
    <row r="9" spans="1:17" ht="11.5" x14ac:dyDescent="0.3">
      <c r="A9" s="1" t="s">
        <v>96</v>
      </c>
      <c r="B9" s="1" t="s">
        <v>25</v>
      </c>
      <c r="C9" s="9">
        <v>0</v>
      </c>
      <c r="D9" s="9">
        <v>0</v>
      </c>
      <c r="E9" s="9">
        <v>0</v>
      </c>
      <c r="F9" s="9">
        <v>0</v>
      </c>
      <c r="G9" s="9">
        <v>1000000</v>
      </c>
      <c r="H9" s="20">
        <v>0.39471952746670791</v>
      </c>
      <c r="I9" s="20">
        <v>3.268678242468747E-2</v>
      </c>
      <c r="J9" s="20">
        <v>0.5725936901086045</v>
      </c>
      <c r="K9" s="20">
        <v>0</v>
      </c>
      <c r="L9" s="20">
        <v>8.1430493120896216E-2</v>
      </c>
      <c r="M9" s="20">
        <v>1.081430493120896</v>
      </c>
      <c r="N9" s="1" t="s">
        <v>11</v>
      </c>
      <c r="O9" s="1" t="s">
        <v>8</v>
      </c>
      <c r="P9" s="1" t="s">
        <v>9</v>
      </c>
      <c r="Q9" s="1" t="s">
        <v>10</v>
      </c>
    </row>
    <row r="10" spans="1:17" ht="11.5" x14ac:dyDescent="0.3">
      <c r="A10" s="1" t="s">
        <v>97</v>
      </c>
      <c r="B10" s="1" t="s">
        <v>25</v>
      </c>
      <c r="C10" s="9">
        <v>760000</v>
      </c>
      <c r="D10" s="9">
        <v>0</v>
      </c>
      <c r="E10" s="9">
        <v>0</v>
      </c>
      <c r="F10" s="9">
        <v>0</v>
      </c>
      <c r="G10" s="9">
        <v>0</v>
      </c>
      <c r="H10" s="20">
        <v>0.30432522214287383</v>
      </c>
      <c r="I10" s="20">
        <v>6.1537716452556061E-2</v>
      </c>
      <c r="J10" s="20">
        <v>0.62654768947962014</v>
      </c>
      <c r="K10" s="20">
        <v>7.5893719249499874E-3</v>
      </c>
      <c r="L10" s="20">
        <v>8.1430493120896216E-2</v>
      </c>
      <c r="M10" s="20">
        <v>1.0814304931208962</v>
      </c>
      <c r="N10" s="1" t="s">
        <v>11</v>
      </c>
      <c r="O10" s="1" t="s">
        <v>8</v>
      </c>
      <c r="P10" s="1" t="s">
        <v>9</v>
      </c>
      <c r="Q10" s="1" t="s">
        <v>10</v>
      </c>
    </row>
    <row r="11" spans="1:17" ht="11.5" x14ac:dyDescent="0.3">
      <c r="A11" s="1" t="s">
        <v>98</v>
      </c>
      <c r="B11" s="1" t="s">
        <v>25</v>
      </c>
      <c r="C11" s="9">
        <v>0</v>
      </c>
      <c r="D11" s="9">
        <v>0</v>
      </c>
      <c r="E11" s="9">
        <v>0</v>
      </c>
      <c r="F11" s="9">
        <v>0</v>
      </c>
      <c r="G11" s="9">
        <v>210000</v>
      </c>
      <c r="H11" s="20">
        <v>0.39471952746670791</v>
      </c>
      <c r="I11" s="20">
        <v>3.268678242468747E-2</v>
      </c>
      <c r="J11" s="20">
        <v>0.5725936901086045</v>
      </c>
      <c r="K11" s="20">
        <v>0</v>
      </c>
      <c r="L11" s="20">
        <v>8.1430493120896216E-2</v>
      </c>
      <c r="M11" s="20">
        <v>1.081430493120896</v>
      </c>
      <c r="N11" s="1" t="s">
        <v>11</v>
      </c>
      <c r="O11" s="1" t="s">
        <v>8</v>
      </c>
      <c r="P11" s="1" t="s">
        <v>9</v>
      </c>
      <c r="Q11" s="1" t="s">
        <v>10</v>
      </c>
    </row>
    <row r="12" spans="1:17" ht="11.5" x14ac:dyDescent="0.3">
      <c r="A12" s="1" t="s">
        <v>80</v>
      </c>
      <c r="B12" s="1" t="s">
        <v>25</v>
      </c>
      <c r="C12" s="9">
        <v>75000</v>
      </c>
      <c r="D12" s="9">
        <v>0</v>
      </c>
      <c r="E12" s="9">
        <v>0</v>
      </c>
      <c r="F12" s="9">
        <v>0</v>
      </c>
      <c r="G12" s="9">
        <v>0</v>
      </c>
      <c r="H12" s="20">
        <v>0</v>
      </c>
      <c r="I12" s="20">
        <v>1</v>
      </c>
      <c r="J12" s="20">
        <v>0</v>
      </c>
      <c r="K12" s="20">
        <v>0</v>
      </c>
      <c r="L12" s="20">
        <v>8.1430493120896216E-2</v>
      </c>
      <c r="M12" s="20">
        <v>1.0814304931208962</v>
      </c>
      <c r="N12" s="1" t="s">
        <v>14</v>
      </c>
      <c r="O12" s="1" t="s">
        <v>8</v>
      </c>
      <c r="P12" s="1" t="s">
        <v>15</v>
      </c>
      <c r="Q12" s="1" t="s">
        <v>10</v>
      </c>
    </row>
    <row r="13" spans="1:17" ht="11.5" x14ac:dyDescent="0.3">
      <c r="A13" s="1" t="s">
        <v>81</v>
      </c>
      <c r="B13" s="1" t="s">
        <v>25</v>
      </c>
      <c r="C13" s="9">
        <v>75000</v>
      </c>
      <c r="D13" s="9">
        <v>0</v>
      </c>
      <c r="E13" s="9">
        <v>0</v>
      </c>
      <c r="F13" s="9">
        <v>0</v>
      </c>
      <c r="G13" s="9">
        <v>0</v>
      </c>
      <c r="H13" s="20">
        <v>0</v>
      </c>
      <c r="I13" s="20">
        <v>1</v>
      </c>
      <c r="J13" s="20">
        <v>0</v>
      </c>
      <c r="K13" s="20">
        <v>0</v>
      </c>
      <c r="L13" s="20">
        <v>8.1430493120896216E-2</v>
      </c>
      <c r="M13" s="20">
        <v>1.0814304931208962</v>
      </c>
      <c r="N13" s="1" t="s">
        <v>14</v>
      </c>
      <c r="O13" s="1" t="s">
        <v>8</v>
      </c>
      <c r="P13" s="1" t="s">
        <v>15</v>
      </c>
      <c r="Q13" s="1" t="s">
        <v>10</v>
      </c>
    </row>
    <row r="14" spans="1:17" ht="11.5" x14ac:dyDescent="0.3">
      <c r="A14" s="1" t="s">
        <v>82</v>
      </c>
      <c r="B14" s="1" t="s">
        <v>25</v>
      </c>
      <c r="C14" s="9">
        <v>75000</v>
      </c>
      <c r="D14" s="9">
        <v>0</v>
      </c>
      <c r="E14" s="9">
        <v>0</v>
      </c>
      <c r="F14" s="9">
        <v>0</v>
      </c>
      <c r="G14" s="9">
        <v>0</v>
      </c>
      <c r="H14" s="20">
        <v>0</v>
      </c>
      <c r="I14" s="20">
        <v>1</v>
      </c>
      <c r="J14" s="20">
        <v>0</v>
      </c>
      <c r="K14" s="20">
        <v>0</v>
      </c>
      <c r="L14" s="20">
        <v>8.1430493120896216E-2</v>
      </c>
      <c r="M14" s="20">
        <v>1.0814304931208962</v>
      </c>
      <c r="N14" s="1" t="s">
        <v>14</v>
      </c>
      <c r="O14" s="1" t="s">
        <v>8</v>
      </c>
      <c r="P14" s="1" t="s">
        <v>15</v>
      </c>
      <c r="Q14" s="1" t="s">
        <v>10</v>
      </c>
    </row>
    <row r="15" spans="1:17" ht="11.5" x14ac:dyDescent="0.3">
      <c r="A15" s="1" t="s">
        <v>99</v>
      </c>
      <c r="B15" s="1" t="s">
        <v>25</v>
      </c>
      <c r="C15" s="9">
        <v>937893.35</v>
      </c>
      <c r="D15" s="9">
        <v>0</v>
      </c>
      <c r="E15" s="9">
        <v>0</v>
      </c>
      <c r="F15" s="9">
        <v>0</v>
      </c>
      <c r="G15" s="9">
        <v>0</v>
      </c>
      <c r="H15" s="20">
        <v>0.23</v>
      </c>
      <c r="I15" s="20">
        <v>0.48</v>
      </c>
      <c r="J15" s="20">
        <v>0.28000000000000003</v>
      </c>
      <c r="K15" s="20">
        <v>0.01</v>
      </c>
      <c r="L15" s="20">
        <v>8.1430493120896216E-2</v>
      </c>
      <c r="M15" s="20">
        <v>1.0814304931208962</v>
      </c>
      <c r="N15" s="1" t="s">
        <v>11</v>
      </c>
      <c r="O15" s="1" t="s">
        <v>8</v>
      </c>
      <c r="P15" s="1" t="s">
        <v>16</v>
      </c>
      <c r="Q15" s="1" t="s">
        <v>7</v>
      </c>
    </row>
    <row r="16" spans="1:17" ht="11.5" x14ac:dyDescent="0.3">
      <c r="A16" s="1" t="s">
        <v>100</v>
      </c>
      <c r="B16" s="1" t="s">
        <v>25</v>
      </c>
      <c r="C16" s="9">
        <v>100000</v>
      </c>
      <c r="D16" s="9">
        <v>120000</v>
      </c>
      <c r="E16" s="9">
        <v>0</v>
      </c>
      <c r="F16" s="9">
        <v>0</v>
      </c>
      <c r="G16" s="9">
        <v>0</v>
      </c>
      <c r="H16" s="20">
        <v>1</v>
      </c>
      <c r="I16" s="20">
        <v>0</v>
      </c>
      <c r="J16" s="20">
        <v>0</v>
      </c>
      <c r="K16" s="20">
        <v>0</v>
      </c>
      <c r="L16" s="20">
        <v>8.1430493120896216E-2</v>
      </c>
      <c r="M16" s="20">
        <v>1.0814304931208962</v>
      </c>
      <c r="N16" s="1" t="s">
        <v>11</v>
      </c>
      <c r="O16" s="1" t="s">
        <v>8</v>
      </c>
      <c r="P16" s="1" t="s">
        <v>17</v>
      </c>
      <c r="Q16" s="1" t="s">
        <v>10</v>
      </c>
    </row>
    <row r="17" spans="1:17" ht="11.5" x14ac:dyDescent="0.3">
      <c r="A17" s="1" t="s">
        <v>101</v>
      </c>
      <c r="B17" s="1" t="s">
        <v>25</v>
      </c>
      <c r="C17" s="9">
        <v>50000</v>
      </c>
      <c r="D17" s="9">
        <v>0</v>
      </c>
      <c r="E17" s="9">
        <v>0</v>
      </c>
      <c r="F17" s="9">
        <v>0</v>
      </c>
      <c r="G17" s="9">
        <v>0</v>
      </c>
      <c r="H17" s="20">
        <v>3.268678242468747E-2</v>
      </c>
      <c r="I17" s="20">
        <v>0.32243773919177082</v>
      </c>
      <c r="J17" s="20">
        <v>0.32243773919177082</v>
      </c>
      <c r="K17" s="20">
        <v>0.32243773919177082</v>
      </c>
      <c r="L17" s="20">
        <v>8.1430493120896216E-2</v>
      </c>
      <c r="M17" s="20">
        <v>1.0814304931208962</v>
      </c>
      <c r="N17" s="1" t="s">
        <v>21</v>
      </c>
      <c r="O17" s="1" t="s">
        <v>8</v>
      </c>
      <c r="P17" s="1" t="s">
        <v>18</v>
      </c>
      <c r="Q17" s="1" t="s">
        <v>10</v>
      </c>
    </row>
    <row r="18" spans="1:17" ht="11.5" x14ac:dyDescent="0.3">
      <c r="A18" s="1" t="s">
        <v>102</v>
      </c>
      <c r="B18" s="1" t="s">
        <v>25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20">
        <v>0.39471952746670791</v>
      </c>
      <c r="I18" s="20">
        <v>3.268678242468747E-2</v>
      </c>
      <c r="J18" s="20">
        <v>0.5725936901086045</v>
      </c>
      <c r="K18" s="20">
        <v>0</v>
      </c>
      <c r="L18" s="20">
        <v>0</v>
      </c>
      <c r="M18" s="20">
        <v>0.99999999999999989</v>
      </c>
      <c r="N18" s="1" t="s">
        <v>11</v>
      </c>
      <c r="O18" s="1" t="s">
        <v>8</v>
      </c>
      <c r="P18" s="1" t="s">
        <v>9</v>
      </c>
      <c r="Q18" s="1" t="s">
        <v>10</v>
      </c>
    </row>
    <row r="19" spans="1:17" ht="11.5" x14ac:dyDescent="0.3">
      <c r="A19" s="1" t="s">
        <v>103</v>
      </c>
      <c r="B19" s="1" t="s">
        <v>25</v>
      </c>
      <c r="C19" s="9">
        <v>0</v>
      </c>
      <c r="D19" s="9">
        <v>300000</v>
      </c>
      <c r="E19" s="9">
        <v>0</v>
      </c>
      <c r="F19" s="9">
        <v>0</v>
      </c>
      <c r="G19" s="9">
        <v>0</v>
      </c>
      <c r="H19" s="20">
        <v>0</v>
      </c>
      <c r="I19" s="20">
        <v>1</v>
      </c>
      <c r="J19" s="20">
        <v>0</v>
      </c>
      <c r="K19" s="20">
        <v>0</v>
      </c>
      <c r="L19" s="20">
        <v>8.1430493120896216E-2</v>
      </c>
      <c r="M19" s="20">
        <v>1.0814304931208962</v>
      </c>
      <c r="N19" s="1" t="s">
        <v>11</v>
      </c>
      <c r="O19" s="1" t="s">
        <v>8</v>
      </c>
      <c r="P19" s="1" t="s">
        <v>19</v>
      </c>
      <c r="Q19" s="1" t="s">
        <v>10</v>
      </c>
    </row>
    <row r="20" spans="1:17" ht="11.5" x14ac:dyDescent="0.3">
      <c r="A20" s="1" t="s">
        <v>104</v>
      </c>
      <c r="B20" s="1" t="s">
        <v>25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20">
        <v>0</v>
      </c>
      <c r="I20" s="20">
        <v>1</v>
      </c>
      <c r="J20" s="20">
        <v>0</v>
      </c>
      <c r="K20" s="20">
        <v>0</v>
      </c>
      <c r="L20" s="20">
        <v>0</v>
      </c>
      <c r="M20" s="20">
        <v>1</v>
      </c>
      <c r="N20" s="1" t="s">
        <v>14</v>
      </c>
      <c r="O20" s="1" t="s">
        <v>8</v>
      </c>
      <c r="P20" s="1" t="s">
        <v>20</v>
      </c>
      <c r="Q20" s="1" t="s">
        <v>10</v>
      </c>
    </row>
    <row r="21" spans="1:17" ht="11.5" x14ac:dyDescent="0.3">
      <c r="A21" s="1" t="s">
        <v>105</v>
      </c>
      <c r="B21" s="1" t="s">
        <v>25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20">
        <v>0</v>
      </c>
      <c r="I21" s="20">
        <v>1</v>
      </c>
      <c r="J21" s="20">
        <v>0</v>
      </c>
      <c r="K21" s="20">
        <v>0</v>
      </c>
      <c r="L21" s="20">
        <v>0</v>
      </c>
      <c r="M21" s="20">
        <v>1</v>
      </c>
      <c r="N21" s="1" t="s">
        <v>54</v>
      </c>
      <c r="O21" s="1" t="s">
        <v>8</v>
      </c>
      <c r="P21" s="1" t="s">
        <v>20</v>
      </c>
      <c r="Q21" s="1" t="s">
        <v>10</v>
      </c>
    </row>
    <row r="22" spans="1:17" ht="11.5" x14ac:dyDescent="0.3">
      <c r="A22" s="1" t="s">
        <v>23</v>
      </c>
      <c r="B22" s="1" t="s">
        <v>26</v>
      </c>
      <c r="C22" s="9">
        <v>1001491.5143078561</v>
      </c>
      <c r="D22" s="9">
        <v>854193.25755520433</v>
      </c>
      <c r="E22" s="9">
        <v>402320.79225724982</v>
      </c>
      <c r="F22" s="9">
        <v>385408.42636935017</v>
      </c>
      <c r="G22" s="9">
        <v>339217.39218653966</v>
      </c>
      <c r="H22" s="20">
        <v>0</v>
      </c>
      <c r="I22" s="20">
        <v>1</v>
      </c>
      <c r="J22" s="20">
        <v>0</v>
      </c>
      <c r="K22" s="20">
        <v>0</v>
      </c>
      <c r="L22" s="20">
        <v>8.1430493120896216E-2</v>
      </c>
      <c r="M22" s="20">
        <v>1.0814304931208962</v>
      </c>
      <c r="N22" s="1" t="s">
        <v>23</v>
      </c>
      <c r="O22" s="1" t="s">
        <v>27</v>
      </c>
      <c r="P22" s="1" t="s">
        <v>23</v>
      </c>
      <c r="Q22" s="1" t="s">
        <v>10</v>
      </c>
    </row>
    <row r="23" spans="1:17" ht="11.5" x14ac:dyDescent="0.3">
      <c r="A23" s="1" t="s">
        <v>24</v>
      </c>
      <c r="B23" s="1" t="s">
        <v>25</v>
      </c>
      <c r="C23" s="9">
        <v>651454.50811764714</v>
      </c>
      <c r="D23" s="9">
        <v>45309.095648312657</v>
      </c>
      <c r="E23" s="9">
        <v>0</v>
      </c>
      <c r="F23" s="9">
        <v>0</v>
      </c>
      <c r="G23" s="9">
        <v>0</v>
      </c>
      <c r="H23" s="20">
        <v>1</v>
      </c>
      <c r="I23" s="20">
        <v>0</v>
      </c>
      <c r="J23" s="20">
        <v>0</v>
      </c>
      <c r="K23" s="20">
        <v>0</v>
      </c>
      <c r="L23" s="20">
        <v>8.1430493120896216E-2</v>
      </c>
      <c r="M23" s="20">
        <v>1.0814304931208962</v>
      </c>
      <c r="N23" s="1" t="s">
        <v>28</v>
      </c>
      <c r="O23" s="1" t="s">
        <v>27</v>
      </c>
      <c r="P23" s="1" t="s">
        <v>24</v>
      </c>
      <c r="Q23" s="1" t="s">
        <v>10</v>
      </c>
    </row>
    <row r="24" spans="1:17" ht="11.5" x14ac:dyDescent="0.3">
      <c r="A24" s="1" t="s">
        <v>20</v>
      </c>
      <c r="B24" s="1" t="s">
        <v>25</v>
      </c>
      <c r="C24" s="9">
        <v>358862.81559787411</v>
      </c>
      <c r="D24" s="9">
        <v>358862.81559787411</v>
      </c>
      <c r="E24" s="9">
        <v>358862.81559787411</v>
      </c>
      <c r="F24" s="9">
        <v>358862.81559787411</v>
      </c>
      <c r="G24" s="9">
        <v>358862.81559787411</v>
      </c>
      <c r="H24" s="20">
        <v>0.25</v>
      </c>
      <c r="I24" s="20">
        <v>0.25</v>
      </c>
      <c r="J24" s="20">
        <v>0.25</v>
      </c>
      <c r="K24" s="20">
        <v>0.25</v>
      </c>
      <c r="L24" s="20">
        <v>8.1430493120896216E-2</v>
      </c>
      <c r="M24" s="20">
        <v>1.0814304931208962</v>
      </c>
      <c r="N24" s="1" t="s">
        <v>21</v>
      </c>
      <c r="O24" s="1" t="s">
        <v>8</v>
      </c>
      <c r="P24" s="1" t="s">
        <v>20</v>
      </c>
      <c r="Q24" s="1" t="s">
        <v>10</v>
      </c>
    </row>
    <row r="25" spans="1:17" ht="11.5" x14ac:dyDescent="0.3">
      <c r="A25" s="1" t="s">
        <v>87</v>
      </c>
      <c r="B25" s="1" t="s">
        <v>25</v>
      </c>
      <c r="C25" s="9">
        <v>0</v>
      </c>
      <c r="D25" s="9">
        <v>0</v>
      </c>
      <c r="E25" s="9">
        <v>528635.39998372004</v>
      </c>
      <c r="F25" s="9">
        <v>0</v>
      </c>
      <c r="G25" s="9">
        <v>1296093.8803377212</v>
      </c>
      <c r="H25" s="20">
        <v>0</v>
      </c>
      <c r="I25" s="20">
        <v>1</v>
      </c>
      <c r="J25" s="20">
        <v>0</v>
      </c>
      <c r="K25" s="20">
        <v>0</v>
      </c>
      <c r="L25" s="20">
        <v>8.1430493120896216E-2</v>
      </c>
      <c r="M25" s="20">
        <v>1.0814304931208962</v>
      </c>
      <c r="N25" s="1" t="s">
        <v>21</v>
      </c>
      <c r="O25" s="1" t="s">
        <v>27</v>
      </c>
      <c r="P25" s="1" t="s">
        <v>29</v>
      </c>
      <c r="Q25" s="1" t="s">
        <v>10</v>
      </c>
    </row>
    <row r="26" spans="1:17" ht="11.5" x14ac:dyDescent="0.3">
      <c r="A26" s="1" t="s">
        <v>88</v>
      </c>
      <c r="B26" s="1" t="s">
        <v>25</v>
      </c>
      <c r="C26" s="9">
        <v>106128.02987427135</v>
      </c>
      <c r="D26" s="9">
        <v>106128.02987427135</v>
      </c>
      <c r="E26" s="9">
        <v>106128.02987427135</v>
      </c>
      <c r="F26" s="9">
        <v>106128.02987427135</v>
      </c>
      <c r="G26" s="9">
        <v>106128.02987427135</v>
      </c>
      <c r="H26" s="20">
        <v>0</v>
      </c>
      <c r="I26" s="20">
        <v>1</v>
      </c>
      <c r="J26" s="20">
        <v>0</v>
      </c>
      <c r="K26" s="20">
        <v>0</v>
      </c>
      <c r="L26" s="20">
        <v>8.1430493120896216E-2</v>
      </c>
      <c r="M26" s="20">
        <v>1.0814304931208962</v>
      </c>
      <c r="N26" s="1" t="s">
        <v>21</v>
      </c>
      <c r="O26" s="1" t="s">
        <v>27</v>
      </c>
      <c r="P26" s="1" t="s">
        <v>30</v>
      </c>
      <c r="Q26" s="1" t="s">
        <v>10</v>
      </c>
    </row>
    <row r="27" spans="1:17" ht="11.5" x14ac:dyDescent="0.3">
      <c r="A27" s="1" t="s">
        <v>106</v>
      </c>
      <c r="B27" s="1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" t="s">
        <v>106</v>
      </c>
      <c r="O27" s="1" t="s">
        <v>106</v>
      </c>
      <c r="P27" s="1" t="s">
        <v>106</v>
      </c>
      <c r="Q27" s="1" t="s">
        <v>106</v>
      </c>
    </row>
    <row r="28" spans="1:17" ht="11.5" x14ac:dyDescent="0.3">
      <c r="A28" s="1" t="s">
        <v>106</v>
      </c>
      <c r="B28" s="1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1" t="s">
        <v>106</v>
      </c>
      <c r="O28" s="1" t="s">
        <v>106</v>
      </c>
      <c r="P28" s="1" t="s">
        <v>106</v>
      </c>
      <c r="Q28" s="1" t="s">
        <v>106</v>
      </c>
    </row>
    <row r="29" spans="1:17" ht="11.5" x14ac:dyDescent="0.3">
      <c r="A29" s="1" t="s">
        <v>106</v>
      </c>
      <c r="B29" s="1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1" t="s">
        <v>106</v>
      </c>
      <c r="O29" s="1" t="s">
        <v>106</v>
      </c>
      <c r="P29" s="1" t="s">
        <v>106</v>
      </c>
      <c r="Q29" s="1" t="s">
        <v>106</v>
      </c>
    </row>
    <row r="30" spans="1:17" ht="11.5" x14ac:dyDescent="0.3">
      <c r="A30" s="1" t="s">
        <v>106</v>
      </c>
      <c r="B30" s="1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" t="s">
        <v>106</v>
      </c>
      <c r="O30" s="1" t="s">
        <v>106</v>
      </c>
      <c r="P30" s="1" t="s">
        <v>106</v>
      </c>
      <c r="Q30" s="1" t="s">
        <v>106</v>
      </c>
    </row>
    <row r="31" spans="1:17" ht="11.5" x14ac:dyDescent="0.3">
      <c r="A31" s="1" t="s">
        <v>106</v>
      </c>
      <c r="B31" s="1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" t="s">
        <v>106</v>
      </c>
      <c r="O31" s="1" t="s">
        <v>106</v>
      </c>
      <c r="P31" s="1" t="s">
        <v>106</v>
      </c>
      <c r="Q31" s="1" t="s">
        <v>106</v>
      </c>
    </row>
    <row r="32" spans="1:17" ht="11.5" x14ac:dyDescent="0.3">
      <c r="A32" s="1" t="s">
        <v>106</v>
      </c>
      <c r="B32" s="1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1" t="s">
        <v>106</v>
      </c>
      <c r="O32" s="1" t="s">
        <v>106</v>
      </c>
      <c r="P32" s="1" t="s">
        <v>106</v>
      </c>
      <c r="Q32" s="1" t="s">
        <v>106</v>
      </c>
    </row>
    <row r="33" spans="1:17" ht="11.5" x14ac:dyDescent="0.3">
      <c r="A33" s="1" t="s">
        <v>106</v>
      </c>
      <c r="B33" s="1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1" t="s">
        <v>106</v>
      </c>
      <c r="O33" s="1" t="s">
        <v>106</v>
      </c>
      <c r="P33" s="1" t="s">
        <v>106</v>
      </c>
      <c r="Q33" s="1" t="s">
        <v>106</v>
      </c>
    </row>
    <row r="34" spans="1:17" ht="11.5" x14ac:dyDescent="0.3">
      <c r="A34" s="1" t="s">
        <v>106</v>
      </c>
      <c r="B34" s="1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1" t="s">
        <v>106</v>
      </c>
      <c r="O34" s="1" t="s">
        <v>106</v>
      </c>
      <c r="P34" s="1" t="s">
        <v>106</v>
      </c>
      <c r="Q34" s="1" t="s">
        <v>106</v>
      </c>
    </row>
    <row r="35" spans="1:17" ht="11.5" x14ac:dyDescent="0.3">
      <c r="A35" s="1" t="s">
        <v>106</v>
      </c>
      <c r="B35" s="1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1" t="s">
        <v>106</v>
      </c>
      <c r="O35" s="1" t="s">
        <v>106</v>
      </c>
      <c r="P35" s="1" t="s">
        <v>106</v>
      </c>
      <c r="Q35" s="1" t="s">
        <v>106</v>
      </c>
    </row>
    <row r="36" spans="1:17" ht="11.5" x14ac:dyDescent="0.3">
      <c r="A36" s="1" t="s">
        <v>106</v>
      </c>
      <c r="B36" s="1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1" t="s">
        <v>106</v>
      </c>
      <c r="O36" s="1" t="s">
        <v>106</v>
      </c>
      <c r="P36" s="1" t="s">
        <v>106</v>
      </c>
      <c r="Q36" s="1" t="s">
        <v>106</v>
      </c>
    </row>
    <row r="37" spans="1:17" ht="11.5" x14ac:dyDescent="0.3">
      <c r="A37" s="1" t="s">
        <v>106</v>
      </c>
      <c r="B37" s="1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" t="s">
        <v>106</v>
      </c>
      <c r="O37" s="1" t="s">
        <v>106</v>
      </c>
      <c r="P37" s="1" t="s">
        <v>106</v>
      </c>
      <c r="Q37" s="1" t="s">
        <v>106</v>
      </c>
    </row>
    <row r="38" spans="1:17" ht="11.5" x14ac:dyDescent="0.3">
      <c r="A38" s="1" t="s">
        <v>106</v>
      </c>
      <c r="B38" s="1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1" t="s">
        <v>106</v>
      </c>
      <c r="O38" s="1" t="s">
        <v>106</v>
      </c>
      <c r="P38" s="1" t="s">
        <v>106</v>
      </c>
      <c r="Q38" s="1" t="s">
        <v>106</v>
      </c>
    </row>
    <row r="39" spans="1:17" ht="11.5" x14ac:dyDescent="0.3">
      <c r="A39" s="1" t="s">
        <v>106</v>
      </c>
      <c r="B39" s="1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1" t="s">
        <v>106</v>
      </c>
      <c r="O39" s="1" t="s">
        <v>106</v>
      </c>
      <c r="P39" s="1" t="s">
        <v>106</v>
      </c>
      <c r="Q39" s="1" t="s">
        <v>106</v>
      </c>
    </row>
    <row r="40" spans="1:17" ht="11.5" x14ac:dyDescent="0.3">
      <c r="A40" s="1" t="s">
        <v>106</v>
      </c>
      <c r="B40" s="1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" t="s">
        <v>106</v>
      </c>
      <c r="O40" s="1" t="s">
        <v>106</v>
      </c>
      <c r="P40" s="1" t="s">
        <v>106</v>
      </c>
      <c r="Q40" s="1" t="s">
        <v>106</v>
      </c>
    </row>
    <row r="41" spans="1:17" ht="11.5" x14ac:dyDescent="0.3">
      <c r="A41" s="1" t="s">
        <v>106</v>
      </c>
      <c r="B41" s="1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1" t="s">
        <v>106</v>
      </c>
      <c r="O41" s="1" t="s">
        <v>106</v>
      </c>
      <c r="P41" s="1" t="s">
        <v>106</v>
      </c>
      <c r="Q41" s="1" t="s">
        <v>106</v>
      </c>
    </row>
    <row r="42" spans="1:17" ht="11.5" x14ac:dyDescent="0.3">
      <c r="A42" s="1" t="s">
        <v>106</v>
      </c>
      <c r="B42" s="1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1" t="s">
        <v>106</v>
      </c>
      <c r="O42" s="1" t="s">
        <v>106</v>
      </c>
      <c r="P42" s="1" t="s">
        <v>106</v>
      </c>
      <c r="Q42" s="1" t="s">
        <v>106</v>
      </c>
    </row>
    <row r="43" spans="1:17" ht="11.5" x14ac:dyDescent="0.3">
      <c r="A43" s="1" t="s">
        <v>106</v>
      </c>
      <c r="B43" s="1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1" t="s">
        <v>106</v>
      </c>
      <c r="O43" s="1" t="s">
        <v>106</v>
      </c>
      <c r="P43" s="1" t="s">
        <v>106</v>
      </c>
      <c r="Q43" s="1" t="s">
        <v>106</v>
      </c>
    </row>
    <row r="44" spans="1:17" ht="11.5" x14ac:dyDescent="0.3">
      <c r="A44" s="1" t="s">
        <v>106</v>
      </c>
      <c r="B44" s="1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1" t="s">
        <v>106</v>
      </c>
      <c r="O44" s="1" t="s">
        <v>106</v>
      </c>
      <c r="P44" s="1" t="s">
        <v>106</v>
      </c>
      <c r="Q44" s="1" t="s">
        <v>106</v>
      </c>
    </row>
    <row r="45" spans="1:17" ht="11.5" x14ac:dyDescent="0.3">
      <c r="A45" s="1" t="s">
        <v>106</v>
      </c>
      <c r="B45" s="1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1" t="s">
        <v>106</v>
      </c>
      <c r="O45" s="1" t="s">
        <v>106</v>
      </c>
      <c r="P45" s="1" t="s">
        <v>106</v>
      </c>
      <c r="Q45" s="1" t="s">
        <v>106</v>
      </c>
    </row>
    <row r="46" spans="1:17" ht="11.5" x14ac:dyDescent="0.3">
      <c r="A46" s="1" t="s">
        <v>106</v>
      </c>
      <c r="B46" s="1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1" t="s">
        <v>106</v>
      </c>
      <c r="O46" s="1" t="s">
        <v>106</v>
      </c>
      <c r="P46" s="1" t="s">
        <v>106</v>
      </c>
      <c r="Q46" s="1" t="s">
        <v>106</v>
      </c>
    </row>
    <row r="47" spans="1:17" ht="11.5" x14ac:dyDescent="0.3">
      <c r="A47" s="1" t="s">
        <v>106</v>
      </c>
      <c r="B47" s="1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1" t="s">
        <v>106</v>
      </c>
      <c r="O47" s="1" t="s">
        <v>106</v>
      </c>
      <c r="P47" s="1" t="s">
        <v>106</v>
      </c>
      <c r="Q47" s="1" t="s">
        <v>106</v>
      </c>
    </row>
    <row r="48" spans="1:17" ht="11.5" x14ac:dyDescent="0.3">
      <c r="A48" s="1" t="s">
        <v>106</v>
      </c>
      <c r="B48" s="1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" t="s">
        <v>106</v>
      </c>
      <c r="O48" s="1" t="s">
        <v>106</v>
      </c>
      <c r="P48" s="1" t="s">
        <v>106</v>
      </c>
      <c r="Q48" s="1" t="s">
        <v>106</v>
      </c>
    </row>
    <row r="49" spans="1:17" ht="11.5" x14ac:dyDescent="0.3">
      <c r="A49" s="1" t="s">
        <v>106</v>
      </c>
      <c r="B49" s="1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1" t="s">
        <v>106</v>
      </c>
      <c r="O49" s="1" t="s">
        <v>106</v>
      </c>
      <c r="P49" s="1" t="s">
        <v>106</v>
      </c>
      <c r="Q49" s="1" t="s">
        <v>106</v>
      </c>
    </row>
    <row r="50" spans="1:17" ht="11.5" x14ac:dyDescent="0.3">
      <c r="A50" s="1" t="s">
        <v>106</v>
      </c>
      <c r="B50" s="1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1" t="s">
        <v>106</v>
      </c>
      <c r="O50" s="1" t="s">
        <v>106</v>
      </c>
      <c r="P50" s="1" t="s">
        <v>106</v>
      </c>
      <c r="Q50" s="1" t="s">
        <v>106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3:O39"/>
  <sheetViews>
    <sheetView workbookViewId="0">
      <selection activeCell="G44" sqref="G44"/>
    </sheetView>
  </sheetViews>
  <sheetFormatPr defaultRowHeight="10.5" x14ac:dyDescent="0.25"/>
  <sheetData>
    <row r="3" spans="2:15" ht="11.5" x14ac:dyDescent="0.3">
      <c r="B3" t="s">
        <v>36</v>
      </c>
      <c r="C3" s="8">
        <v>8.1430493120896216E-2</v>
      </c>
    </row>
    <row r="6" spans="2:15" ht="15" thickBot="1" x14ac:dyDescent="0.4">
      <c r="B6" s="11" t="s">
        <v>37</v>
      </c>
      <c r="C6" s="11"/>
      <c r="D6" s="11"/>
      <c r="E6" s="11" t="s">
        <v>38</v>
      </c>
      <c r="F6" s="11" t="s">
        <v>39</v>
      </c>
      <c r="G6" s="11" t="s">
        <v>40</v>
      </c>
      <c r="H6" s="11" t="s">
        <v>41</v>
      </c>
      <c r="I6" s="11" t="s">
        <v>42</v>
      </c>
      <c r="J6" s="11" t="s">
        <v>43</v>
      </c>
      <c r="K6" s="11" t="s">
        <v>44</v>
      </c>
      <c r="L6" s="11" t="s">
        <v>45</v>
      </c>
      <c r="M6" s="11" t="s">
        <v>46</v>
      </c>
      <c r="N6" s="11" t="s">
        <v>47</v>
      </c>
      <c r="O6" s="11" t="s">
        <v>48</v>
      </c>
    </row>
    <row r="8" spans="2:15" x14ac:dyDescent="0.25">
      <c r="E8" s="14">
        <v>42795</v>
      </c>
      <c r="F8" s="14">
        <f>DATE(YEAR(E8)+1,MONTH(E8),DAY(E8))</f>
        <v>43160</v>
      </c>
      <c r="G8" s="14">
        <f t="shared" ref="G8:O8" si="0">DATE(YEAR(F8)+1,MONTH(F8),DAY(F8))</f>
        <v>43525</v>
      </c>
      <c r="H8" s="14">
        <f t="shared" si="0"/>
        <v>43891</v>
      </c>
      <c r="I8" s="14">
        <f t="shared" si="0"/>
        <v>44256</v>
      </c>
      <c r="J8" s="14">
        <f t="shared" si="0"/>
        <v>44621</v>
      </c>
      <c r="K8" s="14">
        <f t="shared" si="0"/>
        <v>44986</v>
      </c>
      <c r="L8" s="14">
        <f t="shared" si="0"/>
        <v>45352</v>
      </c>
      <c r="M8" s="14">
        <f t="shared" si="0"/>
        <v>45717</v>
      </c>
      <c r="N8" s="14">
        <f t="shared" si="0"/>
        <v>46082</v>
      </c>
      <c r="O8" s="14">
        <f t="shared" si="0"/>
        <v>46447</v>
      </c>
    </row>
    <row r="9" spans="2:15" ht="11.5" x14ac:dyDescent="0.3">
      <c r="B9" t="s">
        <v>49</v>
      </c>
      <c r="E9" s="16">
        <v>2.1256931608133023E-2</v>
      </c>
      <c r="F9" s="16">
        <v>1.9004524886877761E-2</v>
      </c>
      <c r="G9" s="16">
        <v>1.3321492007104752E-2</v>
      </c>
      <c r="H9" s="16">
        <v>2.1910604732690686E-2</v>
      </c>
      <c r="I9" s="16">
        <v>1.1149228130360234E-2</v>
      </c>
      <c r="J9" s="12">
        <v>2.2498471879899999E-2</v>
      </c>
      <c r="K9" s="12">
        <f>J9</f>
        <v>2.2498471879899999E-2</v>
      </c>
      <c r="L9" s="12">
        <f>K9</f>
        <v>2.2498471879899999E-2</v>
      </c>
      <c r="M9" s="12">
        <f>L9</f>
        <v>2.2498471879899999E-2</v>
      </c>
      <c r="N9" s="12">
        <f>M9</f>
        <v>2.2498471879899999E-2</v>
      </c>
      <c r="O9" s="12">
        <f>N9</f>
        <v>2.2498471879899999E-2</v>
      </c>
    </row>
    <row r="15" spans="2:15" ht="11.5" x14ac:dyDescent="0.3">
      <c r="B15" t="s">
        <v>50</v>
      </c>
      <c r="E15" s="13">
        <f>F15/(1+F$9)</f>
        <v>0.93723494486853265</v>
      </c>
      <c r="F15" s="13">
        <f>G15/(1+G$9)</f>
        <v>0.95504664970313824</v>
      </c>
      <c r="G15" s="13">
        <f>H15/(1+H$9)</f>
        <v>0.96776929601357076</v>
      </c>
      <c r="H15" s="13">
        <f>I15/(1+I$9)</f>
        <v>0.9889737065309584</v>
      </c>
      <c r="I15" s="9">
        <v>1</v>
      </c>
      <c r="J15" s="13">
        <f t="shared" ref="J15:O15" si="1">I15*(1+J$9)</f>
        <v>1.0224984718799</v>
      </c>
      <c r="K15" s="13">
        <f t="shared" si="1"/>
        <v>1.0455031249967306</v>
      </c>
      <c r="L15" s="13">
        <f t="shared" si="1"/>
        <v>1.069025347654817</v>
      </c>
      <c r="M15" s="13">
        <f t="shared" si="1"/>
        <v>1.0930767843779292</v>
      </c>
      <c r="N15" s="13">
        <f t="shared" si="1"/>
        <v>1.1176693416738275</v>
      </c>
      <c r="O15" s="13">
        <f t="shared" si="1"/>
        <v>1.1428151939285023</v>
      </c>
    </row>
    <row r="18" spans="2:15" ht="15" thickBot="1" x14ac:dyDescent="0.4">
      <c r="B18" s="11" t="s">
        <v>51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20" spans="2:15" ht="11.5" x14ac:dyDescent="0.3">
      <c r="B20" s="1" t="s">
        <v>52</v>
      </c>
      <c r="C20" s="1" t="s">
        <v>8</v>
      </c>
      <c r="D20" s="1" t="s">
        <v>53</v>
      </c>
    </row>
    <row r="21" spans="2:15" ht="11.5" x14ac:dyDescent="0.3">
      <c r="B21" s="1" t="s">
        <v>11</v>
      </c>
      <c r="C21" s="1" t="s">
        <v>89</v>
      </c>
      <c r="D21" s="1" t="s">
        <v>9</v>
      </c>
    </row>
    <row r="22" spans="2:15" ht="11.5" x14ac:dyDescent="0.3">
      <c r="B22" s="1" t="s">
        <v>14</v>
      </c>
      <c r="C22" s="1" t="s">
        <v>27</v>
      </c>
      <c r="D22" s="1" t="s">
        <v>18</v>
      </c>
    </row>
    <row r="23" spans="2:15" ht="11.5" x14ac:dyDescent="0.3">
      <c r="B23" s="1" t="s">
        <v>54</v>
      </c>
      <c r="C23" s="1" t="s">
        <v>90</v>
      </c>
      <c r="D23" s="1" t="s">
        <v>55</v>
      </c>
    </row>
    <row r="24" spans="2:15" ht="11.5" x14ac:dyDescent="0.3">
      <c r="B24" s="1" t="s">
        <v>56</v>
      </c>
      <c r="C24" s="1" t="s">
        <v>91</v>
      </c>
      <c r="D24" s="1" t="s">
        <v>15</v>
      </c>
    </row>
    <row r="25" spans="2:15" ht="11.5" x14ac:dyDescent="0.3">
      <c r="B25" s="1" t="s">
        <v>28</v>
      </c>
      <c r="C25" s="1" t="s">
        <v>92</v>
      </c>
      <c r="D25" s="1" t="s">
        <v>12</v>
      </c>
    </row>
    <row r="26" spans="2:15" ht="11.5" x14ac:dyDescent="0.3">
      <c r="B26" s="1" t="s">
        <v>23</v>
      </c>
      <c r="C26" s="1" t="s">
        <v>93</v>
      </c>
      <c r="D26" s="1" t="s">
        <v>17</v>
      </c>
    </row>
    <row r="27" spans="2:15" ht="11.5" x14ac:dyDescent="0.3">
      <c r="B27" s="1" t="s">
        <v>21</v>
      </c>
      <c r="C27" s="1"/>
      <c r="D27" s="1" t="s">
        <v>22</v>
      </c>
    </row>
    <row r="28" spans="2:15" ht="11.5" x14ac:dyDescent="0.3">
      <c r="B28" s="1"/>
      <c r="C28" s="1"/>
      <c r="D28" s="1" t="s">
        <v>19</v>
      </c>
    </row>
    <row r="29" spans="2:15" ht="11.5" x14ac:dyDescent="0.3">
      <c r="D29" s="19" t="s">
        <v>23</v>
      </c>
    </row>
    <row r="30" spans="2:15" ht="11.5" x14ac:dyDescent="0.3">
      <c r="D30" s="19" t="s">
        <v>24</v>
      </c>
    </row>
    <row r="31" spans="2:15" ht="11.5" x14ac:dyDescent="0.3">
      <c r="D31" s="19" t="s">
        <v>20</v>
      </c>
    </row>
    <row r="32" spans="2:15" ht="11.5" x14ac:dyDescent="0.3">
      <c r="D32" s="19" t="s">
        <v>13</v>
      </c>
    </row>
    <row r="33" spans="2:15" ht="11.5" x14ac:dyDescent="0.3">
      <c r="D33" s="19" t="s">
        <v>29</v>
      </c>
    </row>
    <row r="34" spans="2:15" ht="11.5" x14ac:dyDescent="0.3">
      <c r="D34" s="19" t="s">
        <v>30</v>
      </c>
    </row>
    <row r="35" spans="2:15" ht="11.5" x14ac:dyDescent="0.3">
      <c r="D35" s="19" t="s">
        <v>16</v>
      </c>
    </row>
    <row r="37" spans="2:15" ht="15" thickBot="1" x14ac:dyDescent="0.4">
      <c r="B37" s="11" t="s">
        <v>57</v>
      </c>
      <c r="C37" s="11"/>
      <c r="D37" s="11"/>
      <c r="E37" s="11"/>
      <c r="F37" s="11"/>
      <c r="G37" s="11"/>
      <c r="H37" s="11"/>
      <c r="I37" s="11" t="str">
        <f t="shared" ref="I37:O37" si="2">I6</f>
        <v>FY 21</v>
      </c>
      <c r="J37" s="11" t="str">
        <f t="shared" si="2"/>
        <v>FY22</v>
      </c>
      <c r="K37" s="11" t="str">
        <f t="shared" si="2"/>
        <v>FY23</v>
      </c>
      <c r="L37" s="11" t="str">
        <f t="shared" si="2"/>
        <v>FY24</v>
      </c>
      <c r="M37" s="11" t="str">
        <f t="shared" si="2"/>
        <v>FY25</v>
      </c>
      <c r="N37" s="11" t="str">
        <f t="shared" si="2"/>
        <v>FY26</v>
      </c>
      <c r="O37" s="11" t="str">
        <f t="shared" si="2"/>
        <v>FY27</v>
      </c>
    </row>
    <row r="38" spans="2:15" x14ac:dyDescent="0.25">
      <c r="B38" t="s">
        <v>58</v>
      </c>
      <c r="J38" s="23">
        <v>3.8591635585873904E-3</v>
      </c>
      <c r="K38" s="23">
        <v>7.4012597129280364E-3</v>
      </c>
      <c r="L38" s="23">
        <v>7.4493596879058807E-3</v>
      </c>
      <c r="M38" s="23">
        <v>9.2289679700553393E-3</v>
      </c>
      <c r="N38" s="23">
        <v>9.4870074534676371E-3</v>
      </c>
      <c r="O38" s="23">
        <v>6.2630661400701572E-3</v>
      </c>
    </row>
    <row r="39" spans="2:15" x14ac:dyDescent="0.25">
      <c r="B39" t="s">
        <v>59</v>
      </c>
      <c r="I39">
        <v>1</v>
      </c>
      <c r="J39">
        <f t="shared" ref="J39:O39" si="3">I39*(1+J38)</f>
        <v>1.0038591635585874</v>
      </c>
      <c r="K39">
        <f t="shared" si="3"/>
        <v>1.0112889859432872</v>
      </c>
      <c r="L39">
        <f t="shared" si="3"/>
        <v>1.0188224413479965</v>
      </c>
      <c r="M39">
        <f t="shared" si="3"/>
        <v>1.0282251210263706</v>
      </c>
      <c r="N39">
        <f t="shared" si="3"/>
        <v>1.0379799004133905</v>
      </c>
      <c r="O39">
        <f t="shared" si="3"/>
        <v>1.0444808371817431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CP27"/>
  <sheetViews>
    <sheetView workbookViewId="0">
      <pane xSplit="5" ySplit="4" topLeftCell="AL5" activePane="bottomRight" state="frozen"/>
      <selection pane="topRight" activeCell="H5" sqref="H5:K5"/>
      <selection pane="bottomLeft" activeCell="H5" sqref="H5:K5"/>
      <selection pane="bottomRight" activeCell="AS37" sqref="AS37"/>
    </sheetView>
  </sheetViews>
  <sheetFormatPr defaultRowHeight="10.5" x14ac:dyDescent="0.25"/>
  <cols>
    <col min="1" max="1" width="43.125" bestFit="1" customWidth="1"/>
    <col min="2" max="2" width="7.5" customWidth="1"/>
    <col min="3" max="3" width="30.625" customWidth="1"/>
    <col min="4" max="4" width="21.375" bestFit="1" customWidth="1"/>
    <col min="5" max="5" width="19.625" bestFit="1" customWidth="1"/>
    <col min="6" max="7" width="19.625" customWidth="1"/>
    <col min="8" max="12" width="14.125" customWidth="1"/>
    <col min="13" max="13" width="22.875" bestFit="1" customWidth="1"/>
    <col min="14" max="21" width="11.625" customWidth="1"/>
    <col min="22" max="24" width="13.625" bestFit="1" customWidth="1"/>
    <col min="25" max="26" width="12.375" bestFit="1" customWidth="1"/>
    <col min="27" max="27" width="13.625" bestFit="1" customWidth="1"/>
    <col min="29" max="29" width="11.5" bestFit="1" customWidth="1"/>
    <col min="30" max="31" width="11.125" bestFit="1" customWidth="1"/>
    <col min="32" max="33" width="10.125" bestFit="1" customWidth="1"/>
    <col min="34" max="34" width="13.625" bestFit="1" customWidth="1"/>
    <col min="36" max="36" width="15.375" bestFit="1" customWidth="1"/>
    <col min="37" max="40" width="10.5" bestFit="1" customWidth="1"/>
    <col min="41" max="41" width="11.125" bestFit="1" customWidth="1"/>
    <col min="43" max="45" width="11.5" bestFit="1" customWidth="1"/>
    <col min="46" max="47" width="10.5" bestFit="1" customWidth="1"/>
    <col min="48" max="48" width="11.5" bestFit="1" customWidth="1"/>
    <col min="52" max="52" width="11.5" bestFit="1" customWidth="1"/>
    <col min="57" max="57" width="11.125" bestFit="1" customWidth="1"/>
    <col min="59" max="59" width="11.5" bestFit="1" customWidth="1"/>
    <col min="60" max="63" width="10.5" bestFit="1" customWidth="1"/>
    <col min="64" max="64" width="11.125" bestFit="1" customWidth="1"/>
    <col min="66" max="66" width="10.5" bestFit="1" customWidth="1"/>
    <col min="70" max="71" width="10.5" bestFit="1" customWidth="1"/>
    <col min="73" max="73" width="10.5" bestFit="1" customWidth="1"/>
    <col min="78" max="78" width="10.5" bestFit="1" customWidth="1"/>
    <col min="80" max="84" width="10.5" bestFit="1" customWidth="1"/>
    <col min="85" max="85" width="11.125" bestFit="1" customWidth="1"/>
    <col min="87" max="87" width="10.125" bestFit="1" customWidth="1"/>
    <col min="88" max="92" width="10.5" bestFit="1" customWidth="1"/>
    <col min="93" max="93" width="11.125" bestFit="1" customWidth="1"/>
    <col min="94" max="94" width="23" bestFit="1" customWidth="1"/>
  </cols>
  <sheetData>
    <row r="2" spans="1:94" ht="17.5" thickBot="1" x14ac:dyDescent="0.45">
      <c r="H2" s="2" t="s">
        <v>26</v>
      </c>
      <c r="L2" s="2" t="s">
        <v>35</v>
      </c>
      <c r="M2" s="6">
        <f>SUM(M5:M27)</f>
        <v>26725657.944222387</v>
      </c>
      <c r="O2" s="2" t="s">
        <v>60</v>
      </c>
      <c r="S2" s="2" t="s">
        <v>35</v>
      </c>
      <c r="T2" s="6">
        <f>SUM(T5:T27)</f>
        <v>2176283.5053784261</v>
      </c>
      <c r="V2" s="2" t="s">
        <v>61</v>
      </c>
      <c r="Z2" s="2" t="s">
        <v>35</v>
      </c>
      <c r="AA2" s="6">
        <f>SUM(AA5:AA27)</f>
        <v>28901941.449600805</v>
      </c>
      <c r="AC2" s="5" t="s">
        <v>62</v>
      </c>
      <c r="AG2" s="2" t="s">
        <v>35</v>
      </c>
      <c r="AH2" s="6">
        <f>SUM(AH5:AH27)</f>
        <v>14910558.147558028</v>
      </c>
      <c r="AJ2" s="5" t="s">
        <v>63</v>
      </c>
      <c r="AO2" s="6">
        <f>SUM(AO5:AO27)</f>
        <v>287465.20129446557</v>
      </c>
      <c r="AQ2" s="5" t="s">
        <v>64</v>
      </c>
      <c r="AV2" s="6">
        <f>SUM(AV5:AV27)</f>
        <v>29189406.650895268</v>
      </c>
      <c r="AX2" s="5" t="s">
        <v>65</v>
      </c>
      <c r="AZ2" s="21" t="str">
        <f>Data!H4</f>
        <v>Labour</v>
      </c>
      <c r="BE2" s="6">
        <f>SUM(BE5:BE27)</f>
        <v>8231269.3916995404</v>
      </c>
      <c r="BG2" s="21" t="str">
        <f>Data!I4</f>
        <v>Materials</v>
      </c>
      <c r="BL2" s="6">
        <f>SUM(BL5:BL27)</f>
        <v>11271467.042110875</v>
      </c>
      <c r="BN2" s="21" t="str">
        <f>Data!J4</f>
        <v>Contractor</v>
      </c>
      <c r="BS2" s="6">
        <f>SUM(BS5:BS27)</f>
        <v>6966753.9571529524</v>
      </c>
      <c r="BU2" s="21" t="str">
        <f>Data!K4</f>
        <v>Other</v>
      </c>
      <c r="BZ2" s="6">
        <f>SUM(BZ5:BZ27)</f>
        <v>2719916.2599319015</v>
      </c>
      <c r="CB2" s="21" t="s">
        <v>35</v>
      </c>
      <c r="CG2" s="6">
        <f>SUM(CG5:CG27)</f>
        <v>29189406.650895271</v>
      </c>
      <c r="CJ2" s="35" t="s">
        <v>66</v>
      </c>
      <c r="CK2" s="35"/>
      <c r="CL2" s="35"/>
      <c r="CM2" s="35"/>
      <c r="CN2" s="36"/>
      <c r="CO2" s="6">
        <f>SUM(CO5:CO27)</f>
        <v>13936012.294525346</v>
      </c>
    </row>
    <row r="3" spans="1:94" ht="11" thickTop="1" x14ac:dyDescent="0.25"/>
    <row r="4" spans="1:94" ht="15" thickBot="1" x14ac:dyDescent="0.4">
      <c r="A4" s="5" t="str">
        <f>Data!A4</f>
        <v>Project</v>
      </c>
      <c r="B4" s="5" t="str">
        <f>Data!B4</f>
        <v>dollars</v>
      </c>
      <c r="C4" s="5" t="str">
        <f>Data!N4</f>
        <v>Asset Class</v>
      </c>
      <c r="D4" s="5" t="str">
        <f>Data!O4</f>
        <v>Driver</v>
      </c>
      <c r="E4" s="5" t="str">
        <f>Data!P4</f>
        <v>Program</v>
      </c>
      <c r="F4" s="5" t="str">
        <f>Data!Q4</f>
        <v>Imnmediately deductible</v>
      </c>
      <c r="G4" s="21" t="str">
        <f>Data!H4</f>
        <v>Labour</v>
      </c>
      <c r="H4" s="5" t="e">
        <f>#REF!</f>
        <v>#REF!</v>
      </c>
      <c r="I4" s="5" t="e">
        <f>#REF!</f>
        <v>#REF!</v>
      </c>
      <c r="J4" s="5" t="e">
        <f>#REF!</f>
        <v>#REF!</v>
      </c>
      <c r="K4" s="5" t="e">
        <f>#REF!</f>
        <v>#REF!</v>
      </c>
      <c r="L4" s="5" t="e">
        <f>#REF!</f>
        <v>#REF!</v>
      </c>
      <c r="M4" s="5" t="s">
        <v>35</v>
      </c>
      <c r="O4" s="5" t="s">
        <v>44</v>
      </c>
      <c r="P4" s="5" t="s">
        <v>45</v>
      </c>
      <c r="Q4" s="5" t="s">
        <v>46</v>
      </c>
      <c r="R4" s="5" t="s">
        <v>47</v>
      </c>
      <c r="S4" s="5" t="s">
        <v>48</v>
      </c>
      <c r="T4" s="5" t="s">
        <v>35</v>
      </c>
      <c r="V4" s="5" t="s">
        <v>44</v>
      </c>
      <c r="W4" s="5" t="s">
        <v>45</v>
      </c>
      <c r="X4" s="5" t="s">
        <v>46</v>
      </c>
      <c r="Y4" s="5" t="s">
        <v>47</v>
      </c>
      <c r="Z4" s="5" t="s">
        <v>48</v>
      </c>
      <c r="AA4" s="5" t="s">
        <v>35</v>
      </c>
      <c r="AC4" s="5" t="str">
        <f t="shared" ref="AC4:AH4" si="0">V4</f>
        <v>FY23</v>
      </c>
      <c r="AD4" s="5" t="str">
        <f t="shared" si="0"/>
        <v>FY24</v>
      </c>
      <c r="AE4" s="5" t="str">
        <f t="shared" si="0"/>
        <v>FY25</v>
      </c>
      <c r="AF4" s="5" t="str">
        <f t="shared" si="0"/>
        <v>FY26</v>
      </c>
      <c r="AG4" s="5" t="str">
        <f t="shared" si="0"/>
        <v>FY27</v>
      </c>
      <c r="AH4" s="5" t="str">
        <f t="shared" si="0"/>
        <v>Total</v>
      </c>
      <c r="AJ4" s="24" t="str">
        <f t="shared" ref="AJ4:AO4" si="1">AC4</f>
        <v>FY23</v>
      </c>
      <c r="AK4" s="24" t="str">
        <f t="shared" si="1"/>
        <v>FY24</v>
      </c>
      <c r="AL4" s="24" t="str">
        <f t="shared" si="1"/>
        <v>FY25</v>
      </c>
      <c r="AM4" s="24" t="str">
        <f t="shared" si="1"/>
        <v>FY26</v>
      </c>
      <c r="AN4" s="24" t="str">
        <f t="shared" si="1"/>
        <v>FY27</v>
      </c>
      <c r="AO4" s="24" t="str">
        <f t="shared" si="1"/>
        <v>Total</v>
      </c>
      <c r="AQ4" s="24" t="str">
        <f t="shared" ref="AQ4:AV4" si="2">AJ4</f>
        <v>FY23</v>
      </c>
      <c r="AR4" s="24" t="str">
        <f t="shared" si="2"/>
        <v>FY24</v>
      </c>
      <c r="AS4" s="24" t="str">
        <f t="shared" si="2"/>
        <v>FY25</v>
      </c>
      <c r="AT4" s="24" t="str">
        <f t="shared" si="2"/>
        <v>FY26</v>
      </c>
      <c r="AU4" s="24" t="str">
        <f t="shared" si="2"/>
        <v>FY27</v>
      </c>
      <c r="AV4" s="24" t="str">
        <f t="shared" si="2"/>
        <v>Total</v>
      </c>
      <c r="AZ4" s="24" t="str">
        <f t="shared" ref="AZ4:BE4" si="3">AQ4</f>
        <v>FY23</v>
      </c>
      <c r="BA4" s="24" t="str">
        <f t="shared" si="3"/>
        <v>FY24</v>
      </c>
      <c r="BB4" s="24" t="str">
        <f t="shared" si="3"/>
        <v>FY25</v>
      </c>
      <c r="BC4" s="24" t="str">
        <f t="shared" si="3"/>
        <v>FY26</v>
      </c>
      <c r="BD4" s="24" t="str">
        <f t="shared" si="3"/>
        <v>FY27</v>
      </c>
      <c r="BE4" s="24" t="str">
        <f t="shared" si="3"/>
        <v>Total</v>
      </c>
      <c r="BG4" s="24" t="str">
        <f t="shared" ref="BG4:BL4" si="4">AZ4</f>
        <v>FY23</v>
      </c>
      <c r="BH4" s="24" t="str">
        <f t="shared" si="4"/>
        <v>FY24</v>
      </c>
      <c r="BI4" s="24" t="str">
        <f t="shared" si="4"/>
        <v>FY25</v>
      </c>
      <c r="BJ4" s="24" t="str">
        <f t="shared" si="4"/>
        <v>FY26</v>
      </c>
      <c r="BK4" s="24" t="str">
        <f t="shared" si="4"/>
        <v>FY27</v>
      </c>
      <c r="BL4" s="24" t="str">
        <f t="shared" si="4"/>
        <v>Total</v>
      </c>
      <c r="BN4" s="24" t="str">
        <f t="shared" ref="BN4:BS4" si="5">BG4</f>
        <v>FY23</v>
      </c>
      <c r="BO4" s="24" t="str">
        <f t="shared" si="5"/>
        <v>FY24</v>
      </c>
      <c r="BP4" s="24" t="str">
        <f t="shared" si="5"/>
        <v>FY25</v>
      </c>
      <c r="BQ4" s="24" t="str">
        <f t="shared" si="5"/>
        <v>FY26</v>
      </c>
      <c r="BR4" s="24" t="str">
        <f t="shared" si="5"/>
        <v>FY27</v>
      </c>
      <c r="BS4" s="24" t="str">
        <f t="shared" si="5"/>
        <v>Total</v>
      </c>
      <c r="BU4" s="24" t="str">
        <f t="shared" ref="BU4:BZ4" si="6">BN4</f>
        <v>FY23</v>
      </c>
      <c r="BV4" s="24" t="str">
        <f t="shared" si="6"/>
        <v>FY24</v>
      </c>
      <c r="BW4" s="24" t="str">
        <f t="shared" si="6"/>
        <v>FY25</v>
      </c>
      <c r="BX4" s="24" t="str">
        <f t="shared" si="6"/>
        <v>FY26</v>
      </c>
      <c r="BY4" s="24" t="str">
        <f t="shared" si="6"/>
        <v>FY27</v>
      </c>
      <c r="BZ4" s="24" t="str">
        <f t="shared" si="6"/>
        <v>Total</v>
      </c>
      <c r="CB4" s="24" t="str">
        <f t="shared" ref="CB4:CG4" si="7">BU4</f>
        <v>FY23</v>
      </c>
      <c r="CC4" s="24" t="str">
        <f t="shared" si="7"/>
        <v>FY24</v>
      </c>
      <c r="CD4" s="24" t="str">
        <f t="shared" si="7"/>
        <v>FY25</v>
      </c>
      <c r="CE4" s="24" t="str">
        <f t="shared" si="7"/>
        <v>FY26</v>
      </c>
      <c r="CF4" s="24" t="str">
        <f t="shared" si="7"/>
        <v>FY27</v>
      </c>
      <c r="CG4" s="24" t="str">
        <f t="shared" si="7"/>
        <v>Total</v>
      </c>
      <c r="CJ4" s="24" t="str">
        <f t="shared" ref="CJ4:CO4" si="8">CB4</f>
        <v>FY23</v>
      </c>
      <c r="CK4" s="24" t="str">
        <f t="shared" si="8"/>
        <v>FY24</v>
      </c>
      <c r="CL4" s="24" t="str">
        <f t="shared" si="8"/>
        <v>FY25</v>
      </c>
      <c r="CM4" s="24" t="str">
        <f t="shared" si="8"/>
        <v>FY26</v>
      </c>
      <c r="CN4" s="24" t="str">
        <f t="shared" si="8"/>
        <v>FY27</v>
      </c>
      <c r="CO4" s="24" t="str">
        <f t="shared" si="8"/>
        <v>Total</v>
      </c>
    </row>
    <row r="5" spans="1:94" ht="11.5" x14ac:dyDescent="0.3">
      <c r="A5" s="3" t="str">
        <f>Data!A5</f>
        <v>DN250 Validation and repair Dig ILI (MFL)</v>
      </c>
      <c r="B5" s="31" t="s">
        <v>26</v>
      </c>
      <c r="C5" s="3" t="str">
        <f>Data!N5</f>
        <v>Pipelines</v>
      </c>
      <c r="D5" s="3" t="str">
        <f>Data!O5</f>
        <v>Replacement</v>
      </c>
      <c r="E5" s="3" t="str">
        <f>Data!P5</f>
        <v>Pipeline Integrity</v>
      </c>
      <c r="F5" s="3" t="str">
        <f>Data!Q5</f>
        <v>Yes</v>
      </c>
      <c r="G5" s="22">
        <f>Data!H5+Data!J5</f>
        <v>0.93087291162249397</v>
      </c>
      <c r="H5" s="7">
        <f>Data!C5*Inputs!$J$15</f>
        <v>1919843.1308017001</v>
      </c>
      <c r="I5" s="7">
        <f>Data!D5*Inputs!$J$15</f>
        <v>0</v>
      </c>
      <c r="J5" s="7">
        <f>Data!E5*Inputs!$J$15</f>
        <v>0</v>
      </c>
      <c r="K5" s="7">
        <f>Data!F5*Inputs!$J$15</f>
        <v>0</v>
      </c>
      <c r="L5" s="7">
        <f>Data!G5*Inputs!$J$15</f>
        <v>0</v>
      </c>
      <c r="M5" s="7">
        <f>SUM(H5:L5)</f>
        <v>1919843.1308017001</v>
      </c>
      <c r="O5" s="7">
        <f>H5*Inputs!$C$3</f>
        <v>156333.7728559477</v>
      </c>
      <c r="P5" s="7">
        <f>I5*Inputs!$C$3</f>
        <v>0</v>
      </c>
      <c r="Q5" s="7">
        <f>J5*Inputs!$C$3</f>
        <v>0</v>
      </c>
      <c r="R5" s="7">
        <f>K5*Inputs!$C$3</f>
        <v>0</v>
      </c>
      <c r="S5" s="7">
        <f>L5*Inputs!$C$3</f>
        <v>0</v>
      </c>
      <c r="T5" s="7">
        <f>SUM(O5:S5)</f>
        <v>156333.7728559477</v>
      </c>
      <c r="V5" s="7">
        <f>H5+O5</f>
        <v>2076176.9036576478</v>
      </c>
      <c r="W5" s="7">
        <f>I5+P5</f>
        <v>0</v>
      </c>
      <c r="X5" s="7">
        <f>J5+Q5</f>
        <v>0</v>
      </c>
      <c r="Y5" s="7">
        <f>K5+R5</f>
        <v>0</v>
      </c>
      <c r="Z5" s="7">
        <f>L5+S5</f>
        <v>0</v>
      </c>
      <c r="AA5" s="7">
        <f>SUM(V5:Z5)</f>
        <v>2076176.9036576478</v>
      </c>
      <c r="AC5" s="7">
        <f>IFERROR(H5*$G5+O5,0)</f>
        <v>1943463.7378837708</v>
      </c>
      <c r="AD5" s="7">
        <f>IFERROR(I5*$G5+P5,0)</f>
        <v>0</v>
      </c>
      <c r="AE5" s="7">
        <f>IFERROR(J5*$G5+Q5,0)</f>
        <v>0</v>
      </c>
      <c r="AF5" s="7">
        <f>IFERROR(K5*$G5+R5,0)</f>
        <v>0</v>
      </c>
      <c r="AG5" s="7">
        <f>IFERROR(L5*$G5+S5,0)</f>
        <v>0</v>
      </c>
      <c r="AH5" s="7">
        <f>SUM(AC5:AG5)</f>
        <v>1943463.7378837708</v>
      </c>
      <c r="AJ5" s="7">
        <f>AC5*(Inputs!K$39-1)</f>
        <v>21939.734818258286</v>
      </c>
      <c r="AK5" s="7">
        <f>AD5*(Inputs!L$39-1)</f>
        <v>0</v>
      </c>
      <c r="AL5" s="7">
        <f>AE5*(Inputs!M$39-1)</f>
        <v>0</v>
      </c>
      <c r="AM5" s="7">
        <f>AF5*(Inputs!N$39-1)</f>
        <v>0</v>
      </c>
      <c r="AN5" s="7">
        <f>AG5*(Inputs!O$39-1)</f>
        <v>0</v>
      </c>
      <c r="AO5" s="7">
        <f>SUM(AJ5:AN5)</f>
        <v>21939.734818258286</v>
      </c>
      <c r="AQ5" s="7">
        <f>V5+AJ5</f>
        <v>2098116.6384759061</v>
      </c>
      <c r="AR5" s="7">
        <f>W5+AK5</f>
        <v>0</v>
      </c>
      <c r="AS5" s="7">
        <f>X5+AL5</f>
        <v>0</v>
      </c>
      <c r="AT5" s="7">
        <f>Y5+AM5</f>
        <v>0</v>
      </c>
      <c r="AU5" s="7">
        <f>Z5+AN5</f>
        <v>0</v>
      </c>
      <c r="AV5" s="7">
        <f>SUM(AQ5:AU5)</f>
        <v>2098116.6384759061</v>
      </c>
      <c r="AX5" s="27">
        <f>IFERROR(Data!H5/(Data!H5+Data!J5),0)</f>
        <v>0.32692456547311133</v>
      </c>
      <c r="AZ5" s="15">
        <f>(H5*Data!$H5)+O5+(AJ5*$AX5)</f>
        <v>747763.09838869981</v>
      </c>
      <c r="BA5" s="15">
        <f>(I5*Data!$H5)+P5+(AK5*$AX5)</f>
        <v>0</v>
      </c>
      <c r="BB5" s="15">
        <f>(J5*Data!$H5)+Q5+(AL5*$AX5)</f>
        <v>0</v>
      </c>
      <c r="BC5" s="15">
        <f>(K5*Data!$H5)+R5+(AM5*$AX5)</f>
        <v>0</v>
      </c>
      <c r="BD5" s="15">
        <f>(L5*Data!$H5)+S5+(AN5*$AX5)</f>
        <v>0</v>
      </c>
      <c r="BE5" s="7">
        <f>SUM(AZ5:BD5)</f>
        <v>747763.09838869981</v>
      </c>
      <c r="BG5" s="15">
        <f>H5*Data!$I5</f>
        <v>118142.76221666252</v>
      </c>
      <c r="BH5" s="15">
        <f>I5*Data!$I5</f>
        <v>0</v>
      </c>
      <c r="BI5" s="15">
        <f>J5*Data!$I5</f>
        <v>0</v>
      </c>
      <c r="BJ5" s="15">
        <f>K5*Data!$I5</f>
        <v>0</v>
      </c>
      <c r="BK5" s="15">
        <f>L5*Data!$I5</f>
        <v>0</v>
      </c>
      <c r="BL5" s="7">
        <f>SUM(BG5:BK5)</f>
        <v>118142.76221666252</v>
      </c>
      <c r="BN5" s="15">
        <f>H5*Data!$J5+(AJ5*(1-$AX5))</f>
        <v>1217640.3743133291</v>
      </c>
      <c r="BO5" s="15">
        <f>I5*Data!$J5+(AK5*(1-$AX5))</f>
        <v>0</v>
      </c>
      <c r="BP5" s="15">
        <f>J5*Data!$J5+(AL5*(1-$AX5))</f>
        <v>0</v>
      </c>
      <c r="BQ5" s="15">
        <f>K5*Data!$J5+(AM5*(1-$AX5))</f>
        <v>0</v>
      </c>
      <c r="BR5" s="15">
        <f>L5*Data!$J5+(AN5*(1-$AX5))</f>
        <v>0</v>
      </c>
      <c r="BS5" s="7">
        <f>SUM(BN5:BR5)</f>
        <v>1217640.3743133291</v>
      </c>
      <c r="BU5" s="15">
        <f>H5*Data!$K5</f>
        <v>14570.403557214509</v>
      </c>
      <c r="BV5" s="15">
        <f>I5*Data!$K5</f>
        <v>0</v>
      </c>
      <c r="BW5" s="15">
        <f>J5*Data!$K5</f>
        <v>0</v>
      </c>
      <c r="BX5" s="15">
        <f>K5*Data!$K5</f>
        <v>0</v>
      </c>
      <c r="BY5" s="15">
        <f>L5*Data!$K5</f>
        <v>0</v>
      </c>
      <c r="BZ5" s="7">
        <f>SUM(BU5:BY5)</f>
        <v>14570.403557214509</v>
      </c>
      <c r="CB5" s="15">
        <f>AZ5+BG5+BN5+BU5</f>
        <v>2098116.6384759061</v>
      </c>
      <c r="CC5" s="15">
        <f>BA5+BH5+BO5+BV5</f>
        <v>0</v>
      </c>
      <c r="CD5" s="15">
        <f>BB5+BI5+BP5+BW5</f>
        <v>0</v>
      </c>
      <c r="CE5" s="15">
        <f>BC5+BJ5+BQ5+BX5</f>
        <v>0</v>
      </c>
      <c r="CF5" s="15">
        <f>BD5+BK5+BR5+BY5</f>
        <v>0</v>
      </c>
      <c r="CG5" s="7">
        <f>SUM(CB5:CF5)</f>
        <v>2098116.6384759061</v>
      </c>
      <c r="CI5" s="18">
        <f>CG5-AV5</f>
        <v>0</v>
      </c>
      <c r="CJ5" s="15">
        <f>IF($F5="Yes",CB5,0)</f>
        <v>2098116.6384759061</v>
      </c>
      <c r="CK5" s="15">
        <f>IF($F5="Yes",CC5,0)</f>
        <v>0</v>
      </c>
      <c r="CL5" s="15">
        <f>IF($F5="Yes",CD5,0)</f>
        <v>0</v>
      </c>
      <c r="CM5" s="15">
        <f>IF($F5="Yes",CE5,0)</f>
        <v>0</v>
      </c>
      <c r="CN5" s="15">
        <f>IF($F5="Yes",CF5,0)</f>
        <v>0</v>
      </c>
      <c r="CO5" s="7">
        <f>SUM(CJ5:CN5)</f>
        <v>2098116.6384759061</v>
      </c>
      <c r="CP5" s="15" t="str">
        <f>IF($F5="Yes",C5,"")</f>
        <v>Pipelines</v>
      </c>
    </row>
    <row r="6" spans="1:94" ht="11.5" x14ac:dyDescent="0.3">
      <c r="A6" s="3" t="str">
        <f>Data!A6</f>
        <v>CP Augmentation</v>
      </c>
      <c r="B6" s="31" t="s">
        <v>26</v>
      </c>
      <c r="C6" s="3" t="str">
        <f>Data!N6</f>
        <v>Pipelines</v>
      </c>
      <c r="D6" s="3" t="str">
        <f>Data!O6</f>
        <v>Replacement</v>
      </c>
      <c r="E6" s="3" t="str">
        <f>Data!P6</f>
        <v>Pipeline Integrity</v>
      </c>
      <c r="F6" s="3" t="str">
        <f>Data!Q6</f>
        <v>No</v>
      </c>
      <c r="G6" s="22">
        <f>Data!H6+Data!J6</f>
        <v>0.46733333333333332</v>
      </c>
      <c r="H6" s="7">
        <f>Data!C6*Inputs!$J$15</f>
        <v>3680994.49876764</v>
      </c>
      <c r="I6" s="7">
        <f>Data!D6*Inputs!$J$15</f>
        <v>1226998.1662558799</v>
      </c>
      <c r="J6" s="7">
        <f>Data!E6*Inputs!$J$15</f>
        <v>1022498.4718799</v>
      </c>
      <c r="K6" s="7">
        <f>Data!F6*Inputs!$J$15</f>
        <v>920248.62469190999</v>
      </c>
      <c r="L6" s="7">
        <f>Data!G6*Inputs!$J$15</f>
        <v>1124748.3190678901</v>
      </c>
      <c r="M6" s="7">
        <f t="shared" ref="M6:M25" si="9">SUM(H6:L6)</f>
        <v>7975488.08066322</v>
      </c>
      <c r="O6" s="7">
        <f>H6*Inputs!$C$3</f>
        <v>299745.19720995513</v>
      </c>
      <c r="P6" s="7">
        <f>I6*Inputs!$C$3</f>
        <v>99915.065736651697</v>
      </c>
      <c r="Q6" s="7">
        <f>J6*Inputs!$C$3</f>
        <v>83262.554780543083</v>
      </c>
      <c r="R6" s="7">
        <f>K6*Inputs!$C$3</f>
        <v>74936.299302488784</v>
      </c>
      <c r="S6" s="7">
        <f>L6*Inputs!$C$3</f>
        <v>91588.810258597397</v>
      </c>
      <c r="T6" s="7">
        <f t="shared" ref="T6:T25" si="10">SUM(O6:S6)</f>
        <v>649447.9272882361</v>
      </c>
      <c r="V6" s="7">
        <f t="shared" ref="V6:V25" si="11">H6+O6</f>
        <v>3980739.6959775952</v>
      </c>
      <c r="W6" s="7">
        <f t="shared" ref="W6:W25" si="12">I6+P6</f>
        <v>1326913.2319925316</v>
      </c>
      <c r="X6" s="7">
        <f t="shared" ref="X6:X25" si="13">J6+Q6</f>
        <v>1105761.0266604431</v>
      </c>
      <c r="Y6" s="7">
        <f t="shared" ref="Y6:Y25" si="14">K6+R6</f>
        <v>995184.92399439879</v>
      </c>
      <c r="Z6" s="7">
        <f t="shared" ref="Z6:Z25" si="15">L6+S6</f>
        <v>1216337.1293264874</v>
      </c>
      <c r="AA6" s="7">
        <f t="shared" ref="AA6:AA25" si="16">SUM(V6:Z6)</f>
        <v>8624936.0079514552</v>
      </c>
      <c r="AC6" s="7">
        <f t="shared" ref="AC6:AC25" si="17">IFERROR(H6*$G6+O6,0)</f>
        <v>2019996.6263006988</v>
      </c>
      <c r="AD6" s="7">
        <f t="shared" ref="AD6:AD25" si="18">IFERROR(I6*$G6+P6,0)</f>
        <v>673332.20876689954</v>
      </c>
      <c r="AE6" s="7">
        <f t="shared" ref="AE6:AE25" si="19">IFERROR(J6*$G6+Q6,0)</f>
        <v>561110.17397241632</v>
      </c>
      <c r="AF6" s="7">
        <f t="shared" ref="AF6:AF25" si="20">IFERROR(K6*$G6+R6,0)</f>
        <v>504999.15657517471</v>
      </c>
      <c r="AG6" s="7">
        <f t="shared" ref="AG6:AG25" si="21">IFERROR(L6*$G6+S6,0)</f>
        <v>617221.19136965799</v>
      </c>
      <c r="AH6" s="7">
        <f t="shared" ref="AH6:AH25" si="22">SUM(AC6:AG6)</f>
        <v>4376659.3569848472</v>
      </c>
      <c r="AJ6" s="7">
        <f>AC6*(Inputs!K$39-1)</f>
        <v>22803.713519796154</v>
      </c>
      <c r="AK6" s="7">
        <f>AD6*(Inputs!L$39-1)</f>
        <v>12673.756007231894</v>
      </c>
      <c r="AL6" s="7">
        <f>AE6*(Inputs!M$39-1)</f>
        <v>15837.40256949934</v>
      </c>
      <c r="AM6" s="7">
        <f>AF6*(Inputs!N$39-1)</f>
        <v>19179.817675571332</v>
      </c>
      <c r="AN6" s="7">
        <f>AG6*(Inputs!O$39-1)</f>
        <v>27454.515318435268</v>
      </c>
      <c r="AO6" s="7">
        <f t="shared" ref="AO6:AO25" si="23">SUM(AJ6:AN6)</f>
        <v>97949.205090533986</v>
      </c>
      <c r="AQ6" s="7">
        <f t="shared" ref="AQ6:AQ25" si="24">V6+AJ6</f>
        <v>4003543.4094973914</v>
      </c>
      <c r="AR6" s="7">
        <f t="shared" ref="AR6:AR25" si="25">W6+AK6</f>
        <v>1339586.9879997636</v>
      </c>
      <c r="AS6" s="7">
        <f t="shared" ref="AS6:AS25" si="26">X6+AL6</f>
        <v>1121598.4292299424</v>
      </c>
      <c r="AT6" s="7">
        <f t="shared" ref="AT6:AT25" si="27">Y6+AM6</f>
        <v>1014364.7416699701</v>
      </c>
      <c r="AU6" s="7">
        <f t="shared" ref="AU6:AU25" si="28">Z6+AN6</f>
        <v>1243791.6446449226</v>
      </c>
      <c r="AV6" s="7">
        <f t="shared" ref="AV6:AV25" si="29">SUM(AQ6:AU6)</f>
        <v>8722885.213041991</v>
      </c>
      <c r="AX6" s="27">
        <f>IFERROR(Data!H6/(Data!H6+Data!J6),0)</f>
        <v>0.43009985734664768</v>
      </c>
      <c r="AZ6" s="15">
        <f>(H6*Data!$H6)+O6+(AJ6*$AX6)</f>
        <v>1049432.965394089</v>
      </c>
      <c r="BA6" s="15">
        <f>(I6*Data!$H6)+P6+(AK6*$AX6)</f>
        <v>351992.67780484026</v>
      </c>
      <c r="BB6" s="15">
        <f>(J6*Data!$H6)+Q6+(AL6*$AX6)</f>
        <v>295596.4122142861</v>
      </c>
      <c r="BC6" s="15">
        <f>(K6*Data!$H6)+R6+(AM6*$AX6)</f>
        <v>268155.50971176062</v>
      </c>
      <c r="BD6" s="15">
        <f>(L6*Data!$H6)+S6+(AN6*$AX6)</f>
        <v>329471.40551322367</v>
      </c>
      <c r="BE6" s="7">
        <f t="shared" ref="BE6:BE25" si="30">SUM(AZ6:BD6)</f>
        <v>2294648.9706381997</v>
      </c>
      <c r="BG6" s="15">
        <f>H6*Data!$I6</f>
        <v>980371.53483844805</v>
      </c>
      <c r="BH6" s="15">
        <f>I6*Data!$I6</f>
        <v>326790.51161281602</v>
      </c>
      <c r="BI6" s="15">
        <f>J6*Data!$I6</f>
        <v>272325.42634401331</v>
      </c>
      <c r="BJ6" s="15">
        <f>K6*Data!$I6</f>
        <v>245092.88370961201</v>
      </c>
      <c r="BK6" s="15">
        <f>L6*Data!$I6</f>
        <v>299557.96897841472</v>
      </c>
      <c r="BL6" s="7">
        <f t="shared" ref="BL6:BL25" si="31">SUM(BG6:BK6)</f>
        <v>2124138.325483304</v>
      </c>
      <c r="BN6" s="15">
        <f>H6*Data!$J6+(AJ6*(1-$AX6))</f>
        <v>993367.37442640611</v>
      </c>
      <c r="BO6" s="15">
        <f>I6*Data!$J6+(AK6*(1-$AX6))</f>
        <v>334013.28696929128</v>
      </c>
      <c r="BP6" s="15">
        <f>J6*Data!$J6+(AL6*(1-$AX6))</f>
        <v>281351.16432762955</v>
      </c>
      <c r="BQ6" s="15">
        <f>K6*Data!$J6+(AM6*(1-$AX6))</f>
        <v>256023.4645389854</v>
      </c>
      <c r="BR6" s="15">
        <f>L6*Data!$J6+(AN6*(1-$AX6))</f>
        <v>315204.30117486964</v>
      </c>
      <c r="BS6" s="7">
        <f t="shared" ref="BS6:BS25" si="32">SUM(BN6:BR6)</f>
        <v>2179959.5914371819</v>
      </c>
      <c r="BU6" s="15">
        <f>H6*Data!$K6</f>
        <v>980371.53483844805</v>
      </c>
      <c r="BV6" s="15">
        <f>I6*Data!$K6</f>
        <v>326790.51161281602</v>
      </c>
      <c r="BW6" s="15">
        <f>J6*Data!$K6</f>
        <v>272325.42634401331</v>
      </c>
      <c r="BX6" s="15">
        <f>K6*Data!$K6</f>
        <v>245092.88370961201</v>
      </c>
      <c r="BY6" s="15">
        <f>L6*Data!$K6</f>
        <v>299557.96897841472</v>
      </c>
      <c r="BZ6" s="7">
        <f t="shared" ref="BZ6:BZ25" si="33">SUM(BU6:BY6)</f>
        <v>2124138.325483304</v>
      </c>
      <c r="CB6" s="15">
        <f t="shared" ref="CB6:CB25" si="34">AZ6+BG6+BN6+BU6</f>
        <v>4003543.4094973914</v>
      </c>
      <c r="CC6" s="15">
        <f t="shared" ref="CC6:CC25" si="35">BA6+BH6+BO6+BV6</f>
        <v>1339586.9879997636</v>
      </c>
      <c r="CD6" s="15">
        <f t="shared" ref="CD6:CD25" si="36">BB6+BI6+BP6+BW6</f>
        <v>1121598.4292299424</v>
      </c>
      <c r="CE6" s="15">
        <f t="shared" ref="CE6:CE25" si="37">BC6+BJ6+BQ6+BX6</f>
        <v>1014364.7416699701</v>
      </c>
      <c r="CF6" s="15">
        <f t="shared" ref="CF6:CF25" si="38">BD6+BK6+BR6+BY6</f>
        <v>1243791.6446449228</v>
      </c>
      <c r="CG6" s="7">
        <f t="shared" ref="CG6:CG25" si="39">SUM(CB6:CF6)</f>
        <v>8722885.213041991</v>
      </c>
      <c r="CI6" s="18">
        <f t="shared" ref="CI6:CI25" si="40">CG6-AV6</f>
        <v>0</v>
      </c>
      <c r="CJ6" s="15">
        <f t="shared" ref="CJ6:CJ27" si="41">IF($F6="Yes",CB6,0)</f>
        <v>0</v>
      </c>
      <c r="CK6" s="15">
        <f t="shared" ref="CK6:CK27" si="42">IF($F6="Yes",CC6,0)</f>
        <v>0</v>
      </c>
      <c r="CL6" s="15">
        <f t="shared" ref="CL6:CL27" si="43">IF($F6="Yes",CD6,0)</f>
        <v>0</v>
      </c>
      <c r="CM6" s="15">
        <f t="shared" ref="CM6:CM27" si="44">IF($F6="Yes",CE6,0)</f>
        <v>0</v>
      </c>
      <c r="CN6" s="15">
        <f t="shared" ref="CN6:CN27" si="45">IF($F6="Yes",CF6,0)</f>
        <v>0</v>
      </c>
      <c r="CO6" s="7">
        <f t="shared" ref="CO6:CO27" si="46">SUM(CJ6:CN6)</f>
        <v>0</v>
      </c>
      <c r="CP6" s="15" t="str">
        <f t="shared" ref="CP6:CP27" si="47">IF($F6="Yes",C6,"")</f>
        <v/>
      </c>
    </row>
    <row r="7" spans="1:94" ht="11.5" x14ac:dyDescent="0.3">
      <c r="A7" s="3" t="str">
        <f>Data!A7</f>
        <v>DN250 - Supply Security Project</v>
      </c>
      <c r="B7" s="31" t="s">
        <v>26</v>
      </c>
      <c r="C7" s="3" t="str">
        <f>Data!N7</f>
        <v>Pipelines</v>
      </c>
      <c r="D7" s="3" t="str">
        <f>Data!O7</f>
        <v>Replacement</v>
      </c>
      <c r="E7" s="3" t="str">
        <f>Data!P7</f>
        <v>Supply Security Project</v>
      </c>
      <c r="F7" s="3" t="str">
        <f>Data!Q7</f>
        <v>No</v>
      </c>
      <c r="G7" s="22">
        <f>Data!H7+Data!J7</f>
        <v>0.53510000000000002</v>
      </c>
      <c r="H7" s="7">
        <f>Data!C7*Inputs!$J$15</f>
        <v>4350730.9978489745</v>
      </c>
      <c r="I7" s="7">
        <f>Data!D7*Inputs!$J$15</f>
        <v>0</v>
      </c>
      <c r="J7" s="7">
        <f>Data!E7*Inputs!$J$15</f>
        <v>0</v>
      </c>
      <c r="K7" s="7">
        <f>Data!F7*Inputs!$J$15</f>
        <v>0</v>
      </c>
      <c r="L7" s="7">
        <f>Data!G7*Inputs!$J$15</f>
        <v>0</v>
      </c>
      <c r="M7" s="7">
        <f t="shared" si="9"/>
        <v>4350730.9978489745</v>
      </c>
      <c r="O7" s="7">
        <f>H7*Inputs!$C$3</f>
        <v>354282.17059121083</v>
      </c>
      <c r="P7" s="7">
        <f>I7*Inputs!$C$3</f>
        <v>0</v>
      </c>
      <c r="Q7" s="7">
        <f>J7*Inputs!$C$3</f>
        <v>0</v>
      </c>
      <c r="R7" s="7">
        <f>K7*Inputs!$C$3</f>
        <v>0</v>
      </c>
      <c r="S7" s="7">
        <f>L7*Inputs!$C$3</f>
        <v>0</v>
      </c>
      <c r="T7" s="7">
        <f t="shared" si="10"/>
        <v>354282.17059121083</v>
      </c>
      <c r="V7" s="7">
        <f t="shared" si="11"/>
        <v>4705013.1684401855</v>
      </c>
      <c r="W7" s="7">
        <f t="shared" si="12"/>
        <v>0</v>
      </c>
      <c r="X7" s="7">
        <f t="shared" si="13"/>
        <v>0</v>
      </c>
      <c r="Y7" s="7">
        <f t="shared" si="14"/>
        <v>0</v>
      </c>
      <c r="Z7" s="7">
        <f t="shared" si="15"/>
        <v>0</v>
      </c>
      <c r="AA7" s="7">
        <f t="shared" si="16"/>
        <v>4705013.1684401855</v>
      </c>
      <c r="AC7" s="7">
        <f t="shared" si="17"/>
        <v>2682358.3275401974</v>
      </c>
      <c r="AD7" s="7">
        <f t="shared" si="18"/>
        <v>0</v>
      </c>
      <c r="AE7" s="7">
        <f t="shared" si="19"/>
        <v>0</v>
      </c>
      <c r="AF7" s="7">
        <f t="shared" si="20"/>
        <v>0</v>
      </c>
      <c r="AG7" s="7">
        <f t="shared" si="21"/>
        <v>0</v>
      </c>
      <c r="AH7" s="7">
        <f t="shared" si="22"/>
        <v>2682358.3275401974</v>
      </c>
      <c r="AJ7" s="7">
        <f>AC7*(Inputs!K$39-1)</f>
        <v>30281.105454460652</v>
      </c>
      <c r="AK7" s="7">
        <f>AD7*(Inputs!L$39-1)</f>
        <v>0</v>
      </c>
      <c r="AL7" s="7">
        <f>AE7*(Inputs!M$39-1)</f>
        <v>0</v>
      </c>
      <c r="AM7" s="7">
        <f>AF7*(Inputs!N$39-1)</f>
        <v>0</v>
      </c>
      <c r="AN7" s="7">
        <f>AG7*(Inputs!O$39-1)</f>
        <v>0</v>
      </c>
      <c r="AO7" s="7">
        <f t="shared" si="23"/>
        <v>30281.105454460652</v>
      </c>
      <c r="AQ7" s="7">
        <f t="shared" si="24"/>
        <v>4735294.2738946462</v>
      </c>
      <c r="AR7" s="7">
        <f t="shared" si="25"/>
        <v>0</v>
      </c>
      <c r="AS7" s="7">
        <f t="shared" si="26"/>
        <v>0</v>
      </c>
      <c r="AT7" s="7">
        <f t="shared" si="27"/>
        <v>0</v>
      </c>
      <c r="AU7" s="7">
        <f t="shared" si="28"/>
        <v>0</v>
      </c>
      <c r="AV7" s="7">
        <f t="shared" si="29"/>
        <v>4735294.2738946462</v>
      </c>
      <c r="AX7" s="27">
        <f>IFERROR(Data!H7/(Data!H7+Data!J7),0)</f>
        <v>0.35638198467576154</v>
      </c>
      <c r="AZ7" s="15">
        <f>(H7*Data!$H7)+O7+(AJ7*$AX7)</f>
        <v>1194758.2123410469</v>
      </c>
      <c r="BA7" s="15">
        <f>(I7*Data!$H7)+P7+(AK7*$AX7)</f>
        <v>0</v>
      </c>
      <c r="BB7" s="15">
        <f>(J7*Data!$H7)+Q7+(AL7*$AX7)</f>
        <v>0</v>
      </c>
      <c r="BC7" s="15">
        <f>(K7*Data!$H7)+R7+(AM7*$AX7)</f>
        <v>0</v>
      </c>
      <c r="BD7" s="15">
        <f>(L7*Data!$H7)+S7+(AN7*$AX7)</f>
        <v>0</v>
      </c>
      <c r="BE7" s="7">
        <f t="shared" si="30"/>
        <v>1194758.2123410469</v>
      </c>
      <c r="BG7" s="15">
        <f>H7*Data!$I7</f>
        <v>1971316.2151253703</v>
      </c>
      <c r="BH7" s="15">
        <f>I7*Data!$I7</f>
        <v>0</v>
      </c>
      <c r="BI7" s="15">
        <f>J7*Data!$I7</f>
        <v>0</v>
      </c>
      <c r="BJ7" s="15">
        <f>K7*Data!$I7</f>
        <v>0</v>
      </c>
      <c r="BK7" s="15">
        <f>L7*Data!$I7</f>
        <v>0</v>
      </c>
      <c r="BL7" s="7">
        <f t="shared" si="31"/>
        <v>1971316.2151253703</v>
      </c>
      <c r="BN7" s="15">
        <f>H7*Data!$J7+(AJ7*(1-$AX7))</f>
        <v>1517881.2206536108</v>
      </c>
      <c r="BO7" s="15">
        <f>I7*Data!$J7+(AK7*(1-$AX7))</f>
        <v>0</v>
      </c>
      <c r="BP7" s="15">
        <f>J7*Data!$J7+(AL7*(1-$AX7))</f>
        <v>0</v>
      </c>
      <c r="BQ7" s="15">
        <f>K7*Data!$J7+(AM7*(1-$AX7))</f>
        <v>0</v>
      </c>
      <c r="BR7" s="15">
        <f>L7*Data!$J7+(AN7*(1-$AX7))</f>
        <v>0</v>
      </c>
      <c r="BS7" s="7">
        <f t="shared" si="32"/>
        <v>1517881.2206536108</v>
      </c>
      <c r="BU7" s="15">
        <f>H7*Data!$K7</f>
        <v>51338.625774617896</v>
      </c>
      <c r="BV7" s="15">
        <f>I7*Data!$K7</f>
        <v>0</v>
      </c>
      <c r="BW7" s="15">
        <f>J7*Data!$K7</f>
        <v>0</v>
      </c>
      <c r="BX7" s="15">
        <f>K7*Data!$K7</f>
        <v>0</v>
      </c>
      <c r="BY7" s="15">
        <f>L7*Data!$K7</f>
        <v>0</v>
      </c>
      <c r="BZ7" s="7">
        <f t="shared" si="33"/>
        <v>51338.625774617896</v>
      </c>
      <c r="CB7" s="15">
        <f t="shared" si="34"/>
        <v>4735294.2738946462</v>
      </c>
      <c r="CC7" s="15">
        <f t="shared" si="35"/>
        <v>0</v>
      </c>
      <c r="CD7" s="15">
        <f t="shared" si="36"/>
        <v>0</v>
      </c>
      <c r="CE7" s="15">
        <f t="shared" si="37"/>
        <v>0</v>
      </c>
      <c r="CF7" s="15">
        <f t="shared" si="38"/>
        <v>0</v>
      </c>
      <c r="CG7" s="7">
        <f t="shared" si="39"/>
        <v>4735294.2738946462</v>
      </c>
      <c r="CI7" s="18">
        <f t="shared" si="40"/>
        <v>0</v>
      </c>
      <c r="CJ7" s="15">
        <f t="shared" si="41"/>
        <v>0</v>
      </c>
      <c r="CK7" s="15">
        <f t="shared" si="42"/>
        <v>0</v>
      </c>
      <c r="CL7" s="15">
        <f t="shared" si="43"/>
        <v>0</v>
      </c>
      <c r="CM7" s="15">
        <f t="shared" si="44"/>
        <v>0</v>
      </c>
      <c r="CN7" s="15">
        <f t="shared" si="45"/>
        <v>0</v>
      </c>
      <c r="CO7" s="7">
        <f t="shared" si="46"/>
        <v>0</v>
      </c>
      <c r="CP7" s="15" t="str">
        <f t="shared" si="47"/>
        <v/>
      </c>
    </row>
    <row r="8" spans="1:94" ht="11.5" x14ac:dyDescent="0.3">
      <c r="A8" s="3" t="str">
        <f>Data!A8</f>
        <v>SCADA Hardware Lifecycle Management</v>
      </c>
      <c r="B8" s="31" t="s">
        <v>26</v>
      </c>
      <c r="C8" s="3" t="str">
        <f>Data!N8</f>
        <v>SIB Capex</v>
      </c>
      <c r="D8" s="3" t="str">
        <f>Data!O8</f>
        <v>Replacement</v>
      </c>
      <c r="E8" s="3" t="str">
        <f>Data!P8</f>
        <v>SCADA Hardware Lifecycle Management</v>
      </c>
      <c r="F8" s="3" t="str">
        <f>Data!Q8</f>
        <v>No</v>
      </c>
      <c r="G8" s="22">
        <f>Data!H8+Data!J8</f>
        <v>0.88600000000000001</v>
      </c>
      <c r="H8" s="7">
        <f>Data!C8*Inputs!$J$15</f>
        <v>688172.14652932901</v>
      </c>
      <c r="I8" s="7">
        <f>Data!D8*Inputs!$J$15</f>
        <v>0</v>
      </c>
      <c r="J8" s="7">
        <f>Data!E8*Inputs!$J$15</f>
        <v>0</v>
      </c>
      <c r="K8" s="7">
        <f>Data!F8*Inputs!$J$15</f>
        <v>0</v>
      </c>
      <c r="L8" s="7">
        <f>Data!G8*Inputs!$J$15</f>
        <v>0</v>
      </c>
      <c r="M8" s="7">
        <f t="shared" si="9"/>
        <v>688172.14652932901</v>
      </c>
      <c r="O8" s="7">
        <f>H8*Inputs!$C$3</f>
        <v>56038.197243948911</v>
      </c>
      <c r="P8" s="7">
        <f>I8*Inputs!$C$3</f>
        <v>0</v>
      </c>
      <c r="Q8" s="7">
        <f>J8*Inputs!$C$3</f>
        <v>0</v>
      </c>
      <c r="R8" s="7">
        <f>K8*Inputs!$C$3</f>
        <v>0</v>
      </c>
      <c r="S8" s="7">
        <f>L8*Inputs!$C$3</f>
        <v>0</v>
      </c>
      <c r="T8" s="7">
        <f t="shared" si="10"/>
        <v>56038.197243948911</v>
      </c>
      <c r="V8" s="7">
        <f t="shared" si="11"/>
        <v>744210.34377327794</v>
      </c>
      <c r="W8" s="7">
        <f t="shared" si="12"/>
        <v>0</v>
      </c>
      <c r="X8" s="7">
        <f t="shared" si="13"/>
        <v>0</v>
      </c>
      <c r="Y8" s="7">
        <f t="shared" si="14"/>
        <v>0</v>
      </c>
      <c r="Z8" s="7">
        <f t="shared" si="15"/>
        <v>0</v>
      </c>
      <c r="AA8" s="7">
        <f t="shared" si="16"/>
        <v>744210.34377327794</v>
      </c>
      <c r="AC8" s="7">
        <f t="shared" si="17"/>
        <v>665758.71906893444</v>
      </c>
      <c r="AD8" s="7">
        <f t="shared" si="18"/>
        <v>0</v>
      </c>
      <c r="AE8" s="7">
        <f t="shared" si="19"/>
        <v>0</v>
      </c>
      <c r="AF8" s="7">
        <f t="shared" si="20"/>
        <v>0</v>
      </c>
      <c r="AG8" s="7">
        <f t="shared" si="21"/>
        <v>0</v>
      </c>
      <c r="AH8" s="7">
        <f t="shared" si="22"/>
        <v>665758.71906893444</v>
      </c>
      <c r="AJ8" s="7">
        <f>AC8*(Inputs!K$39-1)</f>
        <v>7515.7408211900929</v>
      </c>
      <c r="AK8" s="7">
        <f>AD8*(Inputs!L$39-1)</f>
        <v>0</v>
      </c>
      <c r="AL8" s="7">
        <f>AE8*(Inputs!M$39-1)</f>
        <v>0</v>
      </c>
      <c r="AM8" s="7">
        <f>AF8*(Inputs!N$39-1)</f>
        <v>0</v>
      </c>
      <c r="AN8" s="7">
        <f>AG8*(Inputs!O$39-1)</f>
        <v>0</v>
      </c>
      <c r="AO8" s="7">
        <f t="shared" si="23"/>
        <v>7515.7408211900929</v>
      </c>
      <c r="AQ8" s="7">
        <f t="shared" si="24"/>
        <v>751726.084594468</v>
      </c>
      <c r="AR8" s="7">
        <f t="shared" si="25"/>
        <v>0</v>
      </c>
      <c r="AS8" s="7">
        <f t="shared" si="26"/>
        <v>0</v>
      </c>
      <c r="AT8" s="7">
        <f t="shared" si="27"/>
        <v>0</v>
      </c>
      <c r="AU8" s="7">
        <f t="shared" si="28"/>
        <v>0</v>
      </c>
      <c r="AV8" s="7">
        <f t="shared" si="29"/>
        <v>751726.084594468</v>
      </c>
      <c r="AX8" s="27">
        <f>IFERROR(Data!H8/(Data!H8+Data!J8),0)</f>
        <v>0.93566591422121892</v>
      </c>
      <c r="AZ8" s="15">
        <f>(H8*Data!$H8)+O8+(AJ8*$AX8)</f>
        <v>633565.12922327127</v>
      </c>
      <c r="BA8" s="15">
        <f>(I8*Data!$H8)+P8+(AK8*$AX8)</f>
        <v>0</v>
      </c>
      <c r="BB8" s="15">
        <f>(J8*Data!$H8)+Q8+(AL8*$AX8)</f>
        <v>0</v>
      </c>
      <c r="BC8" s="15">
        <f>(K8*Data!$H8)+R8+(AM8*$AX8)</f>
        <v>0</v>
      </c>
      <c r="BD8" s="15">
        <f>(L8*Data!$H8)+S8+(AN8*$AX8)</f>
        <v>0</v>
      </c>
      <c r="BE8" s="7">
        <f t="shared" si="30"/>
        <v>633565.12922327127</v>
      </c>
      <c r="BG8" s="15">
        <f>H8*Data!$I8</f>
        <v>39225.812352171764</v>
      </c>
      <c r="BH8" s="15">
        <f>I8*Data!$I8</f>
        <v>0</v>
      </c>
      <c r="BI8" s="15">
        <f>J8*Data!$I8</f>
        <v>0</v>
      </c>
      <c r="BJ8" s="15">
        <f>K8*Data!$I8</f>
        <v>0</v>
      </c>
      <c r="BK8" s="15">
        <f>L8*Data!$I8</f>
        <v>0</v>
      </c>
      <c r="BL8" s="7">
        <f t="shared" si="31"/>
        <v>39225.812352171764</v>
      </c>
      <c r="BN8" s="15">
        <f>H8*Data!$J8+(AJ8*(1-$AX8))</f>
        <v>39709.330666853297</v>
      </c>
      <c r="BO8" s="15">
        <f>I8*Data!$J8+(AK8*(1-$AX8))</f>
        <v>0</v>
      </c>
      <c r="BP8" s="15">
        <f>J8*Data!$J8+(AL8*(1-$AX8))</f>
        <v>0</v>
      </c>
      <c r="BQ8" s="15">
        <f>K8*Data!$J8+(AM8*(1-$AX8))</f>
        <v>0</v>
      </c>
      <c r="BR8" s="15">
        <f>L8*Data!$J8+(AN8*(1-$AX8))</f>
        <v>0</v>
      </c>
      <c r="BS8" s="7">
        <f t="shared" si="32"/>
        <v>39709.330666853297</v>
      </c>
      <c r="BU8" s="15">
        <f>H8*Data!$K8</f>
        <v>39225.812352171764</v>
      </c>
      <c r="BV8" s="15">
        <f>I8*Data!$K8</f>
        <v>0</v>
      </c>
      <c r="BW8" s="15">
        <f>J8*Data!$K8</f>
        <v>0</v>
      </c>
      <c r="BX8" s="15">
        <f>K8*Data!$K8</f>
        <v>0</v>
      </c>
      <c r="BY8" s="15">
        <f>L8*Data!$K8</f>
        <v>0</v>
      </c>
      <c r="BZ8" s="7">
        <f t="shared" si="33"/>
        <v>39225.812352171764</v>
      </c>
      <c r="CB8" s="15">
        <f t="shared" si="34"/>
        <v>751726.08459446812</v>
      </c>
      <c r="CC8" s="15">
        <f t="shared" si="35"/>
        <v>0</v>
      </c>
      <c r="CD8" s="15">
        <f t="shared" si="36"/>
        <v>0</v>
      </c>
      <c r="CE8" s="15">
        <f t="shared" si="37"/>
        <v>0</v>
      </c>
      <c r="CF8" s="15">
        <f t="shared" si="38"/>
        <v>0</v>
      </c>
      <c r="CG8" s="7">
        <f t="shared" si="39"/>
        <v>751726.08459446812</v>
      </c>
      <c r="CI8" s="18">
        <f t="shared" si="40"/>
        <v>0</v>
      </c>
      <c r="CJ8" s="15">
        <f t="shared" si="41"/>
        <v>0</v>
      </c>
      <c r="CK8" s="15">
        <f t="shared" si="42"/>
        <v>0</v>
      </c>
      <c r="CL8" s="15">
        <f t="shared" si="43"/>
        <v>0</v>
      </c>
      <c r="CM8" s="15">
        <f t="shared" si="44"/>
        <v>0</v>
      </c>
      <c r="CN8" s="15">
        <f t="shared" si="45"/>
        <v>0</v>
      </c>
      <c r="CO8" s="7">
        <f t="shared" si="46"/>
        <v>0</v>
      </c>
      <c r="CP8" s="15" t="str">
        <f t="shared" si="47"/>
        <v/>
      </c>
    </row>
    <row r="9" spans="1:94" ht="11.5" x14ac:dyDescent="0.3">
      <c r="A9" s="3" t="str">
        <f>Data!A9</f>
        <v>DN300 Metro - ILI - MFL + EMAT</v>
      </c>
      <c r="B9" s="31" t="s">
        <v>26</v>
      </c>
      <c r="C9" s="3" t="str">
        <f>Data!N9</f>
        <v>Pipelines</v>
      </c>
      <c r="D9" s="3" t="str">
        <f>Data!O9</f>
        <v>Replacement</v>
      </c>
      <c r="E9" s="3" t="str">
        <f>Data!P9</f>
        <v>Pipeline Integrity</v>
      </c>
      <c r="F9" s="3" t="str">
        <f>Data!Q9</f>
        <v>Yes</v>
      </c>
      <c r="G9" s="22">
        <f>Data!H9+Data!J9</f>
        <v>0.96731321757531241</v>
      </c>
      <c r="H9" s="7">
        <f>Data!C9*Inputs!$J$15</f>
        <v>0</v>
      </c>
      <c r="I9" s="7">
        <f>Data!D9*Inputs!$J$15</f>
        <v>0</v>
      </c>
      <c r="J9" s="7">
        <f>Data!E9*Inputs!$J$15</f>
        <v>0</v>
      </c>
      <c r="K9" s="7">
        <f>Data!F9*Inputs!$J$15</f>
        <v>0</v>
      </c>
      <c r="L9" s="7">
        <f>Data!G9*Inputs!$J$15</f>
        <v>1022498.4718799</v>
      </c>
      <c r="M9" s="7">
        <f t="shared" si="9"/>
        <v>1022498.4718799</v>
      </c>
      <c r="O9" s="7">
        <f>H9*Inputs!$C$3</f>
        <v>0</v>
      </c>
      <c r="P9" s="7">
        <f>I9*Inputs!$C$3</f>
        <v>0</v>
      </c>
      <c r="Q9" s="7">
        <f>J9*Inputs!$C$3</f>
        <v>0</v>
      </c>
      <c r="R9" s="7">
        <f>K9*Inputs!$C$3</f>
        <v>0</v>
      </c>
      <c r="S9" s="7">
        <f>L9*Inputs!$C$3</f>
        <v>83262.554780543083</v>
      </c>
      <c r="T9" s="7">
        <f t="shared" si="10"/>
        <v>83262.554780543083</v>
      </c>
      <c r="V9" s="7">
        <f t="shared" si="11"/>
        <v>0</v>
      </c>
      <c r="W9" s="7">
        <f t="shared" si="12"/>
        <v>0</v>
      </c>
      <c r="X9" s="7">
        <f t="shared" si="13"/>
        <v>0</v>
      </c>
      <c r="Y9" s="7">
        <f t="shared" si="14"/>
        <v>0</v>
      </c>
      <c r="Z9" s="7">
        <f t="shared" si="15"/>
        <v>1105761.0266604431</v>
      </c>
      <c r="AA9" s="7">
        <f t="shared" si="16"/>
        <v>1105761.0266604431</v>
      </c>
      <c r="AC9" s="7">
        <f t="shared" si="17"/>
        <v>0</v>
      </c>
      <c r="AD9" s="7">
        <f t="shared" si="18"/>
        <v>0</v>
      </c>
      <c r="AE9" s="7">
        <f t="shared" si="19"/>
        <v>0</v>
      </c>
      <c r="AF9" s="7">
        <f t="shared" si="20"/>
        <v>0</v>
      </c>
      <c r="AG9" s="7">
        <f t="shared" si="21"/>
        <v>1072338.8415805292</v>
      </c>
      <c r="AH9" s="7">
        <f t="shared" si="22"/>
        <v>1072338.8415805292</v>
      </c>
      <c r="AJ9" s="7">
        <f>AC9*(Inputs!K$39-1)</f>
        <v>0</v>
      </c>
      <c r="AK9" s="7">
        <f>AD9*(Inputs!L$39-1)</f>
        <v>0</v>
      </c>
      <c r="AL9" s="7">
        <f>AE9*(Inputs!M$39-1)</f>
        <v>0</v>
      </c>
      <c r="AM9" s="7">
        <f>AF9*(Inputs!N$39-1)</f>
        <v>0</v>
      </c>
      <c r="AN9" s="7">
        <f>AG9*(Inputs!O$39-1)</f>
        <v>47698.529416002544</v>
      </c>
      <c r="AO9" s="7">
        <f t="shared" si="23"/>
        <v>47698.529416002544</v>
      </c>
      <c r="AQ9" s="7">
        <f t="shared" si="24"/>
        <v>0</v>
      </c>
      <c r="AR9" s="7">
        <f t="shared" si="25"/>
        <v>0</v>
      </c>
      <c r="AS9" s="7">
        <f t="shared" si="26"/>
        <v>0</v>
      </c>
      <c r="AT9" s="7">
        <f t="shared" si="27"/>
        <v>0</v>
      </c>
      <c r="AU9" s="7">
        <f t="shared" si="28"/>
        <v>1153459.5560764456</v>
      </c>
      <c r="AV9" s="7">
        <f t="shared" si="29"/>
        <v>1153459.5560764456</v>
      </c>
      <c r="AX9" s="27">
        <f>IFERROR(Data!H9/(Data!H9+Data!J9),0)</f>
        <v>0.40805761804446355</v>
      </c>
      <c r="AZ9" s="15">
        <f>(H9*Data!$H9)+O9+(AJ9*$AX9)</f>
        <v>0</v>
      </c>
      <c r="BA9" s="15">
        <f>(I9*Data!$H9)+P9+(AK9*$AX9)</f>
        <v>0</v>
      </c>
      <c r="BB9" s="15">
        <f>(J9*Data!$H9)+Q9+(AL9*$AX9)</f>
        <v>0</v>
      </c>
      <c r="BC9" s="15">
        <f>(K9*Data!$H9)+R9+(AM9*$AX9)</f>
        <v>0</v>
      </c>
      <c r="BD9" s="15">
        <f>(L9*Data!$H9)+S9+(AN9*$AX9)</f>
        <v>506326.41673412587</v>
      </c>
      <c r="BE9" s="7">
        <f t="shared" si="30"/>
        <v>506326.41673412587</v>
      </c>
      <c r="BG9" s="15">
        <f>H9*Data!$I9</f>
        <v>0</v>
      </c>
      <c r="BH9" s="15">
        <f>I9*Data!$I9</f>
        <v>0</v>
      </c>
      <c r="BI9" s="15">
        <f>J9*Data!$I9</f>
        <v>0</v>
      </c>
      <c r="BJ9" s="15">
        <f>K9*Data!$I9</f>
        <v>0</v>
      </c>
      <c r="BK9" s="15">
        <f>L9*Data!$I9</f>
        <v>33422.18507991371</v>
      </c>
      <c r="BL9" s="7">
        <f t="shared" si="31"/>
        <v>33422.18507991371</v>
      </c>
      <c r="BN9" s="15">
        <f>H9*Data!$J9+(AJ9*(1-$AX9))</f>
        <v>0</v>
      </c>
      <c r="BO9" s="15">
        <f>I9*Data!$J9+(AK9*(1-$AX9))</f>
        <v>0</v>
      </c>
      <c r="BP9" s="15">
        <f>J9*Data!$J9+(AL9*(1-$AX9))</f>
        <v>0</v>
      </c>
      <c r="BQ9" s="15">
        <f>K9*Data!$J9+(AM9*(1-$AX9))</f>
        <v>0</v>
      </c>
      <c r="BR9" s="15">
        <f>L9*Data!$J9+(AN9*(1-$AX9))</f>
        <v>613710.95426240587</v>
      </c>
      <c r="BS9" s="7">
        <f t="shared" si="32"/>
        <v>613710.95426240587</v>
      </c>
      <c r="BU9" s="15">
        <f>H9*Data!$K9</f>
        <v>0</v>
      </c>
      <c r="BV9" s="15">
        <f>I9*Data!$K9</f>
        <v>0</v>
      </c>
      <c r="BW9" s="15">
        <f>J9*Data!$K9</f>
        <v>0</v>
      </c>
      <c r="BX9" s="15">
        <f>K9*Data!$K9</f>
        <v>0</v>
      </c>
      <c r="BY9" s="15">
        <f>L9*Data!$K9</f>
        <v>0</v>
      </c>
      <c r="BZ9" s="7">
        <f t="shared" si="33"/>
        <v>0</v>
      </c>
      <c r="CB9" s="15">
        <f t="shared" si="34"/>
        <v>0</v>
      </c>
      <c r="CC9" s="15">
        <f t="shared" si="35"/>
        <v>0</v>
      </c>
      <c r="CD9" s="15">
        <f t="shared" si="36"/>
        <v>0</v>
      </c>
      <c r="CE9" s="15">
        <f t="shared" si="37"/>
        <v>0</v>
      </c>
      <c r="CF9" s="15">
        <f t="shared" si="38"/>
        <v>1153459.5560764456</v>
      </c>
      <c r="CG9" s="7">
        <f t="shared" si="39"/>
        <v>1153459.5560764456</v>
      </c>
      <c r="CI9" s="18">
        <f t="shared" si="40"/>
        <v>0</v>
      </c>
      <c r="CJ9" s="15">
        <f t="shared" si="41"/>
        <v>0</v>
      </c>
      <c r="CK9" s="15">
        <f t="shared" si="42"/>
        <v>0</v>
      </c>
      <c r="CL9" s="15">
        <f t="shared" si="43"/>
        <v>0</v>
      </c>
      <c r="CM9" s="15">
        <f t="shared" si="44"/>
        <v>0</v>
      </c>
      <c r="CN9" s="15">
        <f t="shared" si="45"/>
        <v>1153459.5560764456</v>
      </c>
      <c r="CO9" s="7">
        <f t="shared" si="46"/>
        <v>1153459.5560764456</v>
      </c>
      <c r="CP9" s="15" t="str">
        <f t="shared" si="47"/>
        <v>Pipelines</v>
      </c>
    </row>
    <row r="10" spans="1:94" ht="11.5" x14ac:dyDescent="0.3">
      <c r="A10" s="3" t="str">
        <f>Data!A10</f>
        <v>DN300 Metro Validation dig ILI</v>
      </c>
      <c r="B10" s="31" t="s">
        <v>26</v>
      </c>
      <c r="C10" s="3" t="str">
        <f>Data!N10</f>
        <v>Pipelines</v>
      </c>
      <c r="D10" s="3" t="str">
        <f>Data!O10</f>
        <v>Replacement</v>
      </c>
      <c r="E10" s="3" t="str">
        <f>Data!P10</f>
        <v>Pipeline Integrity</v>
      </c>
      <c r="F10" s="3" t="str">
        <f>Data!Q10</f>
        <v>Yes</v>
      </c>
      <c r="G10" s="22">
        <f>Data!H10+Data!J10</f>
        <v>0.93087291162249397</v>
      </c>
      <c r="H10" s="7">
        <f>Data!C10*Inputs!$J$15</f>
        <v>777098.83862872398</v>
      </c>
      <c r="I10" s="7">
        <f>Data!D10*Inputs!$J$15</f>
        <v>0</v>
      </c>
      <c r="J10" s="7">
        <f>Data!E10*Inputs!$J$15</f>
        <v>0</v>
      </c>
      <c r="K10" s="7">
        <f>Data!F10*Inputs!$J$15</f>
        <v>0</v>
      </c>
      <c r="L10" s="7">
        <f>Data!G10*Inputs!$J$15</f>
        <v>0</v>
      </c>
      <c r="M10" s="7">
        <f t="shared" si="9"/>
        <v>777098.83862872398</v>
      </c>
      <c r="O10" s="7">
        <f>H10*Inputs!$C$3</f>
        <v>63279.54163321275</v>
      </c>
      <c r="P10" s="7">
        <f>I10*Inputs!$C$3</f>
        <v>0</v>
      </c>
      <c r="Q10" s="7">
        <f>J10*Inputs!$C$3</f>
        <v>0</v>
      </c>
      <c r="R10" s="7">
        <f>K10*Inputs!$C$3</f>
        <v>0</v>
      </c>
      <c r="S10" s="7">
        <f>L10*Inputs!$C$3</f>
        <v>0</v>
      </c>
      <c r="T10" s="7">
        <f t="shared" si="10"/>
        <v>63279.54163321275</v>
      </c>
      <c r="V10" s="7">
        <f t="shared" si="11"/>
        <v>840378.38026193669</v>
      </c>
      <c r="W10" s="7">
        <f t="shared" si="12"/>
        <v>0</v>
      </c>
      <c r="X10" s="7">
        <f t="shared" si="13"/>
        <v>0</v>
      </c>
      <c r="Y10" s="7">
        <f t="shared" si="14"/>
        <v>0</v>
      </c>
      <c r="Z10" s="7">
        <f t="shared" si="15"/>
        <v>0</v>
      </c>
      <c r="AA10" s="7">
        <f t="shared" si="16"/>
        <v>840378.38026193669</v>
      </c>
      <c r="AC10" s="7">
        <f t="shared" si="17"/>
        <v>786659.80016599165</v>
      </c>
      <c r="AD10" s="7">
        <f t="shared" si="18"/>
        <v>0</v>
      </c>
      <c r="AE10" s="7">
        <f t="shared" si="19"/>
        <v>0</v>
      </c>
      <c r="AF10" s="7">
        <f t="shared" si="20"/>
        <v>0</v>
      </c>
      <c r="AG10" s="7">
        <f t="shared" si="21"/>
        <v>0</v>
      </c>
      <c r="AH10" s="7">
        <f t="shared" si="22"/>
        <v>786659.80016599165</v>
      </c>
      <c r="AJ10" s="7">
        <f>AC10*(Inputs!K$39-1)</f>
        <v>8880.5914262229981</v>
      </c>
      <c r="AK10" s="7">
        <f>AD10*(Inputs!L$39-1)</f>
        <v>0</v>
      </c>
      <c r="AL10" s="7">
        <f>AE10*(Inputs!M$39-1)</f>
        <v>0</v>
      </c>
      <c r="AM10" s="7">
        <f>AF10*(Inputs!N$39-1)</f>
        <v>0</v>
      </c>
      <c r="AN10" s="7">
        <f>AG10*(Inputs!O$39-1)</f>
        <v>0</v>
      </c>
      <c r="AO10" s="7">
        <f t="shared" si="23"/>
        <v>8880.5914262229981</v>
      </c>
      <c r="AQ10" s="7">
        <f t="shared" si="24"/>
        <v>849258.97168815974</v>
      </c>
      <c r="AR10" s="7">
        <f t="shared" si="25"/>
        <v>0</v>
      </c>
      <c r="AS10" s="7">
        <f t="shared" si="26"/>
        <v>0</v>
      </c>
      <c r="AT10" s="7">
        <f t="shared" si="27"/>
        <v>0</v>
      </c>
      <c r="AU10" s="7">
        <f t="shared" si="28"/>
        <v>0</v>
      </c>
      <c r="AV10" s="7">
        <f t="shared" si="29"/>
        <v>849258.97168815974</v>
      </c>
      <c r="AX10" s="27">
        <f>IFERROR(Data!H10/(Data!H10+Data!J10),0)</f>
        <v>0.32692456547311133</v>
      </c>
      <c r="AZ10" s="15">
        <f>(H10*Data!$H10)+O10+(AJ10*$AX10)</f>
        <v>302673.60181903065</v>
      </c>
      <c r="BA10" s="15">
        <f>(I10*Data!$H10)+P10+(AK10*$AX10)</f>
        <v>0</v>
      </c>
      <c r="BB10" s="15">
        <f>(J10*Data!$H10)+Q10+(AL10*$AX10)</f>
        <v>0</v>
      </c>
      <c r="BC10" s="15">
        <f>(K10*Data!$H10)+R10+(AM10*$AX10)</f>
        <v>0</v>
      </c>
      <c r="BD10" s="15">
        <f>(L10*Data!$H10)+S10+(AN10*$AX10)</f>
        <v>0</v>
      </c>
      <c r="BE10" s="7">
        <f t="shared" si="30"/>
        <v>302673.60181903065</v>
      </c>
      <c r="BG10" s="15">
        <f>H10*Data!$I10</f>
        <v>47820.887987145034</v>
      </c>
      <c r="BH10" s="15">
        <f>I10*Data!$I10</f>
        <v>0</v>
      </c>
      <c r="BI10" s="15">
        <f>J10*Data!$I10</f>
        <v>0</v>
      </c>
      <c r="BJ10" s="15">
        <f>K10*Data!$I10</f>
        <v>0</v>
      </c>
      <c r="BK10" s="15">
        <f>L10*Data!$I10</f>
        <v>0</v>
      </c>
      <c r="BL10" s="7">
        <f t="shared" si="31"/>
        <v>47820.887987145034</v>
      </c>
      <c r="BN10" s="15">
        <f>H10*Data!$J10+(AJ10*(1-$AX10))</f>
        <v>492866.78977318399</v>
      </c>
      <c r="BO10" s="15">
        <f>I10*Data!$J10+(AK10*(1-$AX10))</f>
        <v>0</v>
      </c>
      <c r="BP10" s="15">
        <f>J10*Data!$J10+(AL10*(1-$AX10))</f>
        <v>0</v>
      </c>
      <c r="BQ10" s="15">
        <f>K10*Data!$J10+(AM10*(1-$AX10))</f>
        <v>0</v>
      </c>
      <c r="BR10" s="15">
        <f>L10*Data!$J10+(AN10*(1-$AX10))</f>
        <v>0</v>
      </c>
      <c r="BS10" s="7">
        <f t="shared" si="32"/>
        <v>492866.78977318399</v>
      </c>
      <c r="BU10" s="15">
        <f>H10*Data!$K10</f>
        <v>5897.6921088000781</v>
      </c>
      <c r="BV10" s="15">
        <f>I10*Data!$K10</f>
        <v>0</v>
      </c>
      <c r="BW10" s="15">
        <f>J10*Data!$K10</f>
        <v>0</v>
      </c>
      <c r="BX10" s="15">
        <f>K10*Data!$K10</f>
        <v>0</v>
      </c>
      <c r="BY10" s="15">
        <f>L10*Data!$K10</f>
        <v>0</v>
      </c>
      <c r="BZ10" s="7">
        <f t="shared" si="33"/>
        <v>5897.6921088000781</v>
      </c>
      <c r="CB10" s="15">
        <f t="shared" si="34"/>
        <v>849258.97168815974</v>
      </c>
      <c r="CC10" s="15">
        <f t="shared" si="35"/>
        <v>0</v>
      </c>
      <c r="CD10" s="15">
        <f t="shared" si="36"/>
        <v>0</v>
      </c>
      <c r="CE10" s="15">
        <f t="shared" si="37"/>
        <v>0</v>
      </c>
      <c r="CF10" s="15">
        <f t="shared" si="38"/>
        <v>0</v>
      </c>
      <c r="CG10" s="7">
        <f t="shared" si="39"/>
        <v>849258.97168815974</v>
      </c>
      <c r="CI10" s="18">
        <f t="shared" si="40"/>
        <v>0</v>
      </c>
      <c r="CJ10" s="15">
        <f t="shared" si="41"/>
        <v>849258.97168815974</v>
      </c>
      <c r="CK10" s="15">
        <f t="shared" si="42"/>
        <v>0</v>
      </c>
      <c r="CL10" s="15">
        <f t="shared" si="43"/>
        <v>0</v>
      </c>
      <c r="CM10" s="15">
        <f t="shared" si="44"/>
        <v>0</v>
      </c>
      <c r="CN10" s="15">
        <f t="shared" si="45"/>
        <v>0</v>
      </c>
      <c r="CO10" s="7">
        <f t="shared" si="46"/>
        <v>849258.97168815974</v>
      </c>
      <c r="CP10" s="15" t="str">
        <f t="shared" si="47"/>
        <v>Pipelines</v>
      </c>
    </row>
    <row r="11" spans="1:94" ht="11.5" x14ac:dyDescent="0.3">
      <c r="A11" s="3" t="str">
        <f>Data!A11</f>
        <v>DN200 Lytton Lateral - ILI - MFL</v>
      </c>
      <c r="B11" s="31" t="s">
        <v>26</v>
      </c>
      <c r="C11" s="3" t="str">
        <f>Data!N11</f>
        <v>Pipelines</v>
      </c>
      <c r="D11" s="3" t="str">
        <f>Data!O11</f>
        <v>Replacement</v>
      </c>
      <c r="E11" s="3" t="str">
        <f>Data!P11</f>
        <v>Pipeline Integrity</v>
      </c>
      <c r="F11" s="3" t="str">
        <f>Data!Q11</f>
        <v>Yes</v>
      </c>
      <c r="G11" s="22">
        <f>Data!H11+Data!J11</f>
        <v>0.96731321757531241</v>
      </c>
      <c r="H11" s="7">
        <f>Data!C11*Inputs!$J$15</f>
        <v>0</v>
      </c>
      <c r="I11" s="7">
        <f>Data!D11*Inputs!$J$15</f>
        <v>0</v>
      </c>
      <c r="J11" s="7">
        <f>Data!E11*Inputs!$J$15</f>
        <v>0</v>
      </c>
      <c r="K11" s="7">
        <f>Data!F11*Inputs!$J$15</f>
        <v>0</v>
      </c>
      <c r="L11" s="7">
        <f>Data!G11*Inputs!$J$15</f>
        <v>214724.67909477899</v>
      </c>
      <c r="M11" s="7">
        <f t="shared" si="9"/>
        <v>214724.67909477899</v>
      </c>
      <c r="O11" s="7">
        <f>H11*Inputs!$C$3</f>
        <v>0</v>
      </c>
      <c r="P11" s="7">
        <f>I11*Inputs!$C$3</f>
        <v>0</v>
      </c>
      <c r="Q11" s="7">
        <f>J11*Inputs!$C$3</f>
        <v>0</v>
      </c>
      <c r="R11" s="7">
        <f>K11*Inputs!$C$3</f>
        <v>0</v>
      </c>
      <c r="S11" s="7">
        <f>L11*Inputs!$C$3</f>
        <v>17485.136503914047</v>
      </c>
      <c r="T11" s="7">
        <f t="shared" si="10"/>
        <v>17485.136503914047</v>
      </c>
      <c r="V11" s="7">
        <f t="shared" si="11"/>
        <v>0</v>
      </c>
      <c r="W11" s="7">
        <f t="shared" si="12"/>
        <v>0</v>
      </c>
      <c r="X11" s="7">
        <f t="shared" si="13"/>
        <v>0</v>
      </c>
      <c r="Y11" s="7">
        <f t="shared" si="14"/>
        <v>0</v>
      </c>
      <c r="Z11" s="7">
        <f t="shared" si="15"/>
        <v>232209.81559869304</v>
      </c>
      <c r="AA11" s="7">
        <f t="shared" si="16"/>
        <v>232209.81559869304</v>
      </c>
      <c r="AC11" s="7">
        <f t="shared" si="17"/>
        <v>0</v>
      </c>
      <c r="AD11" s="7">
        <f t="shared" si="18"/>
        <v>0</v>
      </c>
      <c r="AE11" s="7">
        <f t="shared" si="19"/>
        <v>0</v>
      </c>
      <c r="AF11" s="7">
        <f t="shared" si="20"/>
        <v>0</v>
      </c>
      <c r="AG11" s="7">
        <f t="shared" si="21"/>
        <v>225191.15673191112</v>
      </c>
      <c r="AH11" s="7">
        <f t="shared" si="22"/>
        <v>225191.15673191112</v>
      </c>
      <c r="AJ11" s="7">
        <f>AC11*(Inputs!K$39-1)</f>
        <v>0</v>
      </c>
      <c r="AK11" s="7">
        <f>AD11*(Inputs!L$39-1)</f>
        <v>0</v>
      </c>
      <c r="AL11" s="7">
        <f>AE11*(Inputs!M$39-1)</f>
        <v>0</v>
      </c>
      <c r="AM11" s="7">
        <f>AF11*(Inputs!N$39-1)</f>
        <v>0</v>
      </c>
      <c r="AN11" s="7">
        <f>AG11*(Inputs!O$39-1)</f>
        <v>10016.691177360533</v>
      </c>
      <c r="AO11" s="7">
        <f t="shared" si="23"/>
        <v>10016.691177360533</v>
      </c>
      <c r="AQ11" s="7">
        <f t="shared" si="24"/>
        <v>0</v>
      </c>
      <c r="AR11" s="7">
        <f t="shared" si="25"/>
        <v>0</v>
      </c>
      <c r="AS11" s="7">
        <f t="shared" si="26"/>
        <v>0</v>
      </c>
      <c r="AT11" s="7">
        <f t="shared" si="27"/>
        <v>0</v>
      </c>
      <c r="AU11" s="7">
        <f t="shared" si="28"/>
        <v>242226.50677605357</v>
      </c>
      <c r="AV11" s="7">
        <f t="shared" si="29"/>
        <v>242226.50677605357</v>
      </c>
      <c r="AX11" s="27">
        <f>IFERROR(Data!H11/(Data!H11+Data!J11),0)</f>
        <v>0.40805761804446355</v>
      </c>
      <c r="AZ11" s="15">
        <f>(H11*Data!$H11)+O11+(AJ11*$AX11)</f>
        <v>0</v>
      </c>
      <c r="BA11" s="15">
        <f>(I11*Data!$H11)+P11+(AK11*$AX11)</f>
        <v>0</v>
      </c>
      <c r="BB11" s="15">
        <f>(J11*Data!$H11)+Q11+(AL11*$AX11)</f>
        <v>0</v>
      </c>
      <c r="BC11" s="15">
        <f>(K11*Data!$H11)+R11+(AM11*$AX11)</f>
        <v>0</v>
      </c>
      <c r="BD11" s="15">
        <f>(L11*Data!$H11)+S11+(AN11*$AX11)</f>
        <v>106328.54751416644</v>
      </c>
      <c r="BE11" s="7">
        <f t="shared" si="30"/>
        <v>106328.54751416644</v>
      </c>
      <c r="BG11" s="15">
        <f>H11*Data!$I11</f>
        <v>0</v>
      </c>
      <c r="BH11" s="15">
        <f>I11*Data!$I11</f>
        <v>0</v>
      </c>
      <c r="BI11" s="15">
        <f>J11*Data!$I11</f>
        <v>0</v>
      </c>
      <c r="BJ11" s="15">
        <f>K11*Data!$I11</f>
        <v>0</v>
      </c>
      <c r="BK11" s="15">
        <f>L11*Data!$I11</f>
        <v>7018.6588667818787</v>
      </c>
      <c r="BL11" s="7">
        <f t="shared" si="31"/>
        <v>7018.6588667818787</v>
      </c>
      <c r="BN11" s="15">
        <f>H11*Data!$J11+(AJ11*(1-$AX11))</f>
        <v>0</v>
      </c>
      <c r="BO11" s="15">
        <f>I11*Data!$J11+(AK11*(1-$AX11))</f>
        <v>0</v>
      </c>
      <c r="BP11" s="15">
        <f>J11*Data!$J11+(AL11*(1-$AX11))</f>
        <v>0</v>
      </c>
      <c r="BQ11" s="15">
        <f>K11*Data!$J11+(AM11*(1-$AX11))</f>
        <v>0</v>
      </c>
      <c r="BR11" s="15">
        <f>L11*Data!$J11+(AN11*(1-$AX11))</f>
        <v>128879.30039510524</v>
      </c>
      <c r="BS11" s="7">
        <f t="shared" si="32"/>
        <v>128879.30039510524</v>
      </c>
      <c r="BU11" s="15">
        <f>H11*Data!$K11</f>
        <v>0</v>
      </c>
      <c r="BV11" s="15">
        <f>I11*Data!$K11</f>
        <v>0</v>
      </c>
      <c r="BW11" s="15">
        <f>J11*Data!$K11</f>
        <v>0</v>
      </c>
      <c r="BX11" s="15">
        <f>K11*Data!$K11</f>
        <v>0</v>
      </c>
      <c r="BY11" s="15">
        <f>L11*Data!$K11</f>
        <v>0</v>
      </c>
      <c r="BZ11" s="7">
        <f t="shared" si="33"/>
        <v>0</v>
      </c>
      <c r="CB11" s="15">
        <f t="shared" si="34"/>
        <v>0</v>
      </c>
      <c r="CC11" s="15">
        <f t="shared" si="35"/>
        <v>0</v>
      </c>
      <c r="CD11" s="15">
        <f t="shared" si="36"/>
        <v>0</v>
      </c>
      <c r="CE11" s="15">
        <f t="shared" si="37"/>
        <v>0</v>
      </c>
      <c r="CF11" s="15">
        <f t="shared" si="38"/>
        <v>242226.50677605355</v>
      </c>
      <c r="CG11" s="7">
        <f t="shared" si="39"/>
        <v>242226.50677605355</v>
      </c>
      <c r="CI11" s="18">
        <f t="shared" si="40"/>
        <v>0</v>
      </c>
      <c r="CJ11" s="15">
        <f t="shared" si="41"/>
        <v>0</v>
      </c>
      <c r="CK11" s="15">
        <f t="shared" si="42"/>
        <v>0</v>
      </c>
      <c r="CL11" s="15">
        <f t="shared" si="43"/>
        <v>0</v>
      </c>
      <c r="CM11" s="15">
        <f t="shared" si="44"/>
        <v>0</v>
      </c>
      <c r="CN11" s="15">
        <f t="shared" si="45"/>
        <v>242226.50677605355</v>
      </c>
      <c r="CO11" s="7">
        <f t="shared" si="46"/>
        <v>242226.50677605355</v>
      </c>
      <c r="CP11" s="15" t="str">
        <f t="shared" si="47"/>
        <v>Pipelines</v>
      </c>
    </row>
    <row r="12" spans="1:94" ht="11.5" x14ac:dyDescent="0.3">
      <c r="A12" s="3" t="str">
        <f>Data!A12</f>
        <v>Gatton - Battery Charger Replacement</v>
      </c>
      <c r="B12" s="31" t="s">
        <v>26</v>
      </c>
      <c r="C12" s="3" t="str">
        <f>Data!N12</f>
        <v xml:space="preserve">Compressors </v>
      </c>
      <c r="D12" s="3" t="str">
        <f>Data!O12</f>
        <v>Replacement</v>
      </c>
      <c r="E12" s="3" t="str">
        <f>Data!P12</f>
        <v>Battery Charger Replacement</v>
      </c>
      <c r="F12" s="3" t="str">
        <f>Data!Q12</f>
        <v>Yes</v>
      </c>
      <c r="G12" s="22">
        <f>Data!H12+Data!J12</f>
        <v>0</v>
      </c>
      <c r="H12" s="7">
        <f>Data!C12*Inputs!$J$15</f>
        <v>76687.385390992495</v>
      </c>
      <c r="I12" s="7">
        <f>Data!D12*Inputs!$J$15</f>
        <v>0</v>
      </c>
      <c r="J12" s="7">
        <f>Data!E12*Inputs!$J$15</f>
        <v>0</v>
      </c>
      <c r="K12" s="7">
        <f>Data!F12*Inputs!$J$15</f>
        <v>0</v>
      </c>
      <c r="L12" s="7">
        <f>Data!G12*Inputs!$J$15</f>
        <v>0</v>
      </c>
      <c r="M12" s="7">
        <f t="shared" si="9"/>
        <v>76687.385390992495</v>
      </c>
      <c r="O12" s="7">
        <f>H12*Inputs!$C$3</f>
        <v>6244.6916085407311</v>
      </c>
      <c r="P12" s="7">
        <f>I12*Inputs!$C$3</f>
        <v>0</v>
      </c>
      <c r="Q12" s="7">
        <f>J12*Inputs!$C$3</f>
        <v>0</v>
      </c>
      <c r="R12" s="7">
        <f>K12*Inputs!$C$3</f>
        <v>0</v>
      </c>
      <c r="S12" s="7">
        <f>L12*Inputs!$C$3</f>
        <v>0</v>
      </c>
      <c r="T12" s="7">
        <f t="shared" si="10"/>
        <v>6244.6916085407311</v>
      </c>
      <c r="V12" s="7">
        <f t="shared" si="11"/>
        <v>82932.076999533223</v>
      </c>
      <c r="W12" s="7">
        <f t="shared" si="12"/>
        <v>0</v>
      </c>
      <c r="X12" s="7">
        <f t="shared" si="13"/>
        <v>0</v>
      </c>
      <c r="Y12" s="7">
        <f t="shared" si="14"/>
        <v>0</v>
      </c>
      <c r="Z12" s="7">
        <f t="shared" si="15"/>
        <v>0</v>
      </c>
      <c r="AA12" s="7">
        <f t="shared" si="16"/>
        <v>82932.076999533223</v>
      </c>
      <c r="AC12" s="7">
        <f t="shared" si="17"/>
        <v>6244.6916085407311</v>
      </c>
      <c r="AD12" s="7">
        <f t="shared" si="18"/>
        <v>0</v>
      </c>
      <c r="AE12" s="7">
        <f t="shared" si="19"/>
        <v>0</v>
      </c>
      <c r="AF12" s="7">
        <f t="shared" si="20"/>
        <v>0</v>
      </c>
      <c r="AG12" s="7">
        <f t="shared" si="21"/>
        <v>0</v>
      </c>
      <c r="AH12" s="7">
        <f t="shared" si="22"/>
        <v>6244.6916085407311</v>
      </c>
      <c r="AJ12" s="7">
        <f>AC12*(Inputs!K$39-1)</f>
        <v>70.496235788979845</v>
      </c>
      <c r="AK12" s="7">
        <f>AD12*(Inputs!L$39-1)</f>
        <v>0</v>
      </c>
      <c r="AL12" s="7">
        <f>AE12*(Inputs!M$39-1)</f>
        <v>0</v>
      </c>
      <c r="AM12" s="7">
        <f>AF12*(Inputs!N$39-1)</f>
        <v>0</v>
      </c>
      <c r="AN12" s="7">
        <f>AG12*(Inputs!O$39-1)</f>
        <v>0</v>
      </c>
      <c r="AO12" s="7">
        <f t="shared" si="23"/>
        <v>70.496235788979845</v>
      </c>
      <c r="AQ12" s="7">
        <f t="shared" si="24"/>
        <v>83002.573235322197</v>
      </c>
      <c r="AR12" s="7">
        <f t="shared" si="25"/>
        <v>0</v>
      </c>
      <c r="AS12" s="7">
        <f t="shared" si="26"/>
        <v>0</v>
      </c>
      <c r="AT12" s="7">
        <f t="shared" si="27"/>
        <v>0</v>
      </c>
      <c r="AU12" s="7">
        <f t="shared" si="28"/>
        <v>0</v>
      </c>
      <c r="AV12" s="7">
        <f t="shared" si="29"/>
        <v>83002.573235322197</v>
      </c>
      <c r="AX12" s="27">
        <f>IFERROR(Data!H12/(Data!H12+Data!J12),0)</f>
        <v>0</v>
      </c>
      <c r="AZ12" s="15">
        <f>(H12*Data!$H12)+O12+(AJ12*$AX12)</f>
        <v>6244.6916085407311</v>
      </c>
      <c r="BA12" s="15">
        <f>(I12*Data!$H12)+P12+(AK12*$AX12)</f>
        <v>0</v>
      </c>
      <c r="BB12" s="15">
        <f>(J12*Data!$H12)+Q12+(AL12*$AX12)</f>
        <v>0</v>
      </c>
      <c r="BC12" s="15">
        <f>(K12*Data!$H12)+R12+(AM12*$AX12)</f>
        <v>0</v>
      </c>
      <c r="BD12" s="15">
        <f>(L12*Data!$H12)+S12+(AN12*$AX12)</f>
        <v>0</v>
      </c>
      <c r="BE12" s="7">
        <f t="shared" si="30"/>
        <v>6244.6916085407311</v>
      </c>
      <c r="BG12" s="15">
        <f>H12*Data!$I12</f>
        <v>76687.385390992495</v>
      </c>
      <c r="BH12" s="15">
        <f>I12*Data!$I12</f>
        <v>0</v>
      </c>
      <c r="BI12" s="15">
        <f>J12*Data!$I12</f>
        <v>0</v>
      </c>
      <c r="BJ12" s="15">
        <f>K12*Data!$I12</f>
        <v>0</v>
      </c>
      <c r="BK12" s="15">
        <f>L12*Data!$I12</f>
        <v>0</v>
      </c>
      <c r="BL12" s="7">
        <f t="shared" si="31"/>
        <v>76687.385390992495</v>
      </c>
      <c r="BN12" s="15">
        <f>H12*Data!$J12+(AJ12*(1-$AX12))</f>
        <v>70.496235788979845</v>
      </c>
      <c r="BO12" s="15">
        <f>I12*Data!$J12+(AK12*(1-$AX12))</f>
        <v>0</v>
      </c>
      <c r="BP12" s="15">
        <f>J12*Data!$J12+(AL12*(1-$AX12))</f>
        <v>0</v>
      </c>
      <c r="BQ12" s="15">
        <f>K12*Data!$J12+(AM12*(1-$AX12))</f>
        <v>0</v>
      </c>
      <c r="BR12" s="15">
        <f>L12*Data!$J12+(AN12*(1-$AX12))</f>
        <v>0</v>
      </c>
      <c r="BS12" s="7">
        <f t="shared" si="32"/>
        <v>70.496235788979845</v>
      </c>
      <c r="BU12" s="15">
        <f>H12*Data!$K12</f>
        <v>0</v>
      </c>
      <c r="BV12" s="15">
        <f>I12*Data!$K12</f>
        <v>0</v>
      </c>
      <c r="BW12" s="15">
        <f>J12*Data!$K12</f>
        <v>0</v>
      </c>
      <c r="BX12" s="15">
        <f>K12*Data!$K12</f>
        <v>0</v>
      </c>
      <c r="BY12" s="15">
        <f>L12*Data!$K12</f>
        <v>0</v>
      </c>
      <c r="BZ12" s="7">
        <f t="shared" si="33"/>
        <v>0</v>
      </c>
      <c r="CB12" s="15">
        <f t="shared" si="34"/>
        <v>83002.573235322197</v>
      </c>
      <c r="CC12" s="15">
        <f t="shared" si="35"/>
        <v>0</v>
      </c>
      <c r="CD12" s="15">
        <f t="shared" si="36"/>
        <v>0</v>
      </c>
      <c r="CE12" s="15">
        <f t="shared" si="37"/>
        <v>0</v>
      </c>
      <c r="CF12" s="15">
        <f t="shared" si="38"/>
        <v>0</v>
      </c>
      <c r="CG12" s="7">
        <f t="shared" si="39"/>
        <v>83002.573235322197</v>
      </c>
      <c r="CI12" s="18">
        <f t="shared" si="40"/>
        <v>0</v>
      </c>
      <c r="CJ12" s="15">
        <f t="shared" si="41"/>
        <v>83002.573235322197</v>
      </c>
      <c r="CK12" s="15">
        <f t="shared" si="42"/>
        <v>0</v>
      </c>
      <c r="CL12" s="15">
        <f t="shared" si="43"/>
        <v>0</v>
      </c>
      <c r="CM12" s="15">
        <f t="shared" si="44"/>
        <v>0</v>
      </c>
      <c r="CN12" s="15">
        <f t="shared" si="45"/>
        <v>0</v>
      </c>
      <c r="CO12" s="7">
        <f t="shared" si="46"/>
        <v>83002.573235322197</v>
      </c>
      <c r="CP12" s="15" t="str">
        <f t="shared" si="47"/>
        <v xml:space="preserve">Compressors </v>
      </c>
    </row>
    <row r="13" spans="1:94" ht="11.5" x14ac:dyDescent="0.3">
      <c r="A13" s="3" t="str">
        <f>Data!A13</f>
        <v>Kogan - Battery Charger Replacement</v>
      </c>
      <c r="B13" s="31" t="s">
        <v>26</v>
      </c>
      <c r="C13" s="3" t="str">
        <f>Data!N13</f>
        <v xml:space="preserve">Compressors </v>
      </c>
      <c r="D13" s="3" t="str">
        <f>Data!O13</f>
        <v>Replacement</v>
      </c>
      <c r="E13" s="3" t="str">
        <f>Data!P13</f>
        <v>Battery Charger Replacement</v>
      </c>
      <c r="F13" s="3" t="str">
        <f>Data!Q13</f>
        <v>Yes</v>
      </c>
      <c r="G13" s="22">
        <f>Data!H13+Data!J13</f>
        <v>0</v>
      </c>
      <c r="H13" s="7">
        <f>Data!C13*Inputs!$J$15</f>
        <v>76687.385390992495</v>
      </c>
      <c r="I13" s="7">
        <f>Data!D13*Inputs!$J$15</f>
        <v>0</v>
      </c>
      <c r="J13" s="7">
        <f>Data!E13*Inputs!$J$15</f>
        <v>0</v>
      </c>
      <c r="K13" s="7">
        <f>Data!F13*Inputs!$J$15</f>
        <v>0</v>
      </c>
      <c r="L13" s="7">
        <f>Data!G13*Inputs!$J$15</f>
        <v>0</v>
      </c>
      <c r="M13" s="7">
        <f t="shared" si="9"/>
        <v>76687.385390992495</v>
      </c>
      <c r="O13" s="7">
        <f>H13*Inputs!$C$3</f>
        <v>6244.6916085407311</v>
      </c>
      <c r="P13" s="7">
        <f>I13*Inputs!$C$3</f>
        <v>0</v>
      </c>
      <c r="Q13" s="7">
        <f>J13*Inputs!$C$3</f>
        <v>0</v>
      </c>
      <c r="R13" s="7">
        <f>K13*Inputs!$C$3</f>
        <v>0</v>
      </c>
      <c r="S13" s="7">
        <f>L13*Inputs!$C$3</f>
        <v>0</v>
      </c>
      <c r="T13" s="7">
        <f t="shared" si="10"/>
        <v>6244.6916085407311</v>
      </c>
      <c r="V13" s="7">
        <f t="shared" si="11"/>
        <v>82932.076999533223</v>
      </c>
      <c r="W13" s="7">
        <f t="shared" si="12"/>
        <v>0</v>
      </c>
      <c r="X13" s="7">
        <f t="shared" si="13"/>
        <v>0</v>
      </c>
      <c r="Y13" s="7">
        <f t="shared" si="14"/>
        <v>0</v>
      </c>
      <c r="Z13" s="7">
        <f t="shared" si="15"/>
        <v>0</v>
      </c>
      <c r="AA13" s="7">
        <f t="shared" si="16"/>
        <v>82932.076999533223</v>
      </c>
      <c r="AC13" s="7">
        <f t="shared" si="17"/>
        <v>6244.6916085407311</v>
      </c>
      <c r="AD13" s="7">
        <f t="shared" si="18"/>
        <v>0</v>
      </c>
      <c r="AE13" s="7">
        <f t="shared" si="19"/>
        <v>0</v>
      </c>
      <c r="AF13" s="7">
        <f t="shared" si="20"/>
        <v>0</v>
      </c>
      <c r="AG13" s="7">
        <f t="shared" si="21"/>
        <v>0</v>
      </c>
      <c r="AH13" s="7">
        <f t="shared" si="22"/>
        <v>6244.6916085407311</v>
      </c>
      <c r="AJ13" s="7">
        <f>AC13*(Inputs!K$39-1)</f>
        <v>70.496235788979845</v>
      </c>
      <c r="AK13" s="7">
        <f>AD13*(Inputs!L$39-1)</f>
        <v>0</v>
      </c>
      <c r="AL13" s="7">
        <f>AE13*(Inputs!M$39-1)</f>
        <v>0</v>
      </c>
      <c r="AM13" s="7">
        <f>AF13*(Inputs!N$39-1)</f>
        <v>0</v>
      </c>
      <c r="AN13" s="7">
        <f>AG13*(Inputs!O$39-1)</f>
        <v>0</v>
      </c>
      <c r="AO13" s="7">
        <f t="shared" si="23"/>
        <v>70.496235788979845</v>
      </c>
      <c r="AQ13" s="7">
        <f t="shared" si="24"/>
        <v>83002.573235322197</v>
      </c>
      <c r="AR13" s="7">
        <f t="shared" si="25"/>
        <v>0</v>
      </c>
      <c r="AS13" s="7">
        <f t="shared" si="26"/>
        <v>0</v>
      </c>
      <c r="AT13" s="7">
        <f t="shared" si="27"/>
        <v>0</v>
      </c>
      <c r="AU13" s="7">
        <f t="shared" si="28"/>
        <v>0</v>
      </c>
      <c r="AV13" s="7">
        <f t="shared" si="29"/>
        <v>83002.573235322197</v>
      </c>
      <c r="AX13" s="27">
        <f>IFERROR(Data!H13/(Data!H13+Data!J13),0)</f>
        <v>0</v>
      </c>
      <c r="AZ13" s="15">
        <f>(H13*Data!$H13)+O13+(AJ13*$AX13)</f>
        <v>6244.6916085407311</v>
      </c>
      <c r="BA13" s="15">
        <f>(I13*Data!$H13)+P13+(AK13*$AX13)</f>
        <v>0</v>
      </c>
      <c r="BB13" s="15">
        <f>(J13*Data!$H13)+Q13+(AL13*$AX13)</f>
        <v>0</v>
      </c>
      <c r="BC13" s="15">
        <f>(K13*Data!$H13)+R13+(AM13*$AX13)</f>
        <v>0</v>
      </c>
      <c r="BD13" s="15">
        <f>(L13*Data!$H13)+S13+(AN13*$AX13)</f>
        <v>0</v>
      </c>
      <c r="BE13" s="7">
        <f t="shared" si="30"/>
        <v>6244.6916085407311</v>
      </c>
      <c r="BG13" s="15">
        <f>H13*Data!$I13</f>
        <v>76687.385390992495</v>
      </c>
      <c r="BH13" s="15">
        <f>I13*Data!$I13</f>
        <v>0</v>
      </c>
      <c r="BI13" s="15">
        <f>J13*Data!$I13</f>
        <v>0</v>
      </c>
      <c r="BJ13" s="15">
        <f>K13*Data!$I13</f>
        <v>0</v>
      </c>
      <c r="BK13" s="15">
        <f>L13*Data!$I13</f>
        <v>0</v>
      </c>
      <c r="BL13" s="7">
        <f t="shared" si="31"/>
        <v>76687.385390992495</v>
      </c>
      <c r="BN13" s="15">
        <f>H13*Data!$J13+(AJ13*(1-$AX13))</f>
        <v>70.496235788979845</v>
      </c>
      <c r="BO13" s="15">
        <f>I13*Data!$J13+(AK13*(1-$AX13))</f>
        <v>0</v>
      </c>
      <c r="BP13" s="15">
        <f>J13*Data!$J13+(AL13*(1-$AX13))</f>
        <v>0</v>
      </c>
      <c r="BQ13" s="15">
        <f>K13*Data!$J13+(AM13*(1-$AX13))</f>
        <v>0</v>
      </c>
      <c r="BR13" s="15">
        <f>L13*Data!$J13+(AN13*(1-$AX13))</f>
        <v>0</v>
      </c>
      <c r="BS13" s="7">
        <f t="shared" si="32"/>
        <v>70.496235788979845</v>
      </c>
      <c r="BU13" s="15">
        <f>H13*Data!$K13</f>
        <v>0</v>
      </c>
      <c r="BV13" s="15">
        <f>I13*Data!$K13</f>
        <v>0</v>
      </c>
      <c r="BW13" s="15">
        <f>J13*Data!$K13</f>
        <v>0</v>
      </c>
      <c r="BX13" s="15">
        <f>K13*Data!$K13</f>
        <v>0</v>
      </c>
      <c r="BY13" s="15">
        <f>L13*Data!$K13</f>
        <v>0</v>
      </c>
      <c r="BZ13" s="7">
        <f t="shared" si="33"/>
        <v>0</v>
      </c>
      <c r="CB13" s="15">
        <f t="shared" si="34"/>
        <v>83002.573235322197</v>
      </c>
      <c r="CC13" s="15">
        <f t="shared" si="35"/>
        <v>0</v>
      </c>
      <c r="CD13" s="15">
        <f t="shared" si="36"/>
        <v>0</v>
      </c>
      <c r="CE13" s="15">
        <f t="shared" si="37"/>
        <v>0</v>
      </c>
      <c r="CF13" s="15">
        <f t="shared" si="38"/>
        <v>0</v>
      </c>
      <c r="CG13" s="7">
        <f t="shared" si="39"/>
        <v>83002.573235322197</v>
      </c>
      <c r="CI13" s="18">
        <f t="shared" si="40"/>
        <v>0</v>
      </c>
      <c r="CJ13" s="15">
        <f t="shared" si="41"/>
        <v>83002.573235322197</v>
      </c>
      <c r="CK13" s="15">
        <f t="shared" si="42"/>
        <v>0</v>
      </c>
      <c r="CL13" s="15">
        <f t="shared" si="43"/>
        <v>0</v>
      </c>
      <c r="CM13" s="15">
        <f t="shared" si="44"/>
        <v>0</v>
      </c>
      <c r="CN13" s="15">
        <f t="shared" si="45"/>
        <v>0</v>
      </c>
      <c r="CO13" s="7">
        <f t="shared" si="46"/>
        <v>83002.573235322197</v>
      </c>
      <c r="CP13" s="15" t="str">
        <f t="shared" si="47"/>
        <v xml:space="preserve">Compressors </v>
      </c>
    </row>
    <row r="14" spans="1:94" ht="11.5" x14ac:dyDescent="0.3">
      <c r="A14" s="3" t="str">
        <f>Data!A14</f>
        <v>Oakey - Battery Charger Replacement</v>
      </c>
      <c r="B14" s="31" t="s">
        <v>26</v>
      </c>
      <c r="C14" s="3" t="str">
        <f>Data!N14</f>
        <v xml:space="preserve">Compressors </v>
      </c>
      <c r="D14" s="3" t="str">
        <f>Data!O14</f>
        <v>Replacement</v>
      </c>
      <c r="E14" s="3" t="str">
        <f>Data!P14</f>
        <v>Battery Charger Replacement</v>
      </c>
      <c r="F14" s="3" t="str">
        <f>Data!Q14</f>
        <v>Yes</v>
      </c>
      <c r="G14" s="22">
        <f>Data!H14+Data!J14</f>
        <v>0</v>
      </c>
      <c r="H14" s="7">
        <f>Data!C14*Inputs!$J$15</f>
        <v>76687.385390992495</v>
      </c>
      <c r="I14" s="7">
        <f>Data!D14*Inputs!$J$15</f>
        <v>0</v>
      </c>
      <c r="J14" s="7">
        <f>Data!E14*Inputs!$J$15</f>
        <v>0</v>
      </c>
      <c r="K14" s="7">
        <f>Data!F14*Inputs!$J$15</f>
        <v>0</v>
      </c>
      <c r="L14" s="7">
        <f>Data!G14*Inputs!$J$15</f>
        <v>0</v>
      </c>
      <c r="M14" s="7">
        <f t="shared" si="9"/>
        <v>76687.385390992495</v>
      </c>
      <c r="O14" s="7">
        <f>H14*Inputs!$C$3</f>
        <v>6244.6916085407311</v>
      </c>
      <c r="P14" s="7">
        <f>I14*Inputs!$C$3</f>
        <v>0</v>
      </c>
      <c r="Q14" s="7">
        <f>J14*Inputs!$C$3</f>
        <v>0</v>
      </c>
      <c r="R14" s="7">
        <f>K14*Inputs!$C$3</f>
        <v>0</v>
      </c>
      <c r="S14" s="7">
        <f>L14*Inputs!$C$3</f>
        <v>0</v>
      </c>
      <c r="T14" s="7">
        <f t="shared" si="10"/>
        <v>6244.6916085407311</v>
      </c>
      <c r="V14" s="7">
        <f t="shared" si="11"/>
        <v>82932.076999533223</v>
      </c>
      <c r="W14" s="7">
        <f t="shared" si="12"/>
        <v>0</v>
      </c>
      <c r="X14" s="7">
        <f t="shared" si="13"/>
        <v>0</v>
      </c>
      <c r="Y14" s="7">
        <f t="shared" si="14"/>
        <v>0</v>
      </c>
      <c r="Z14" s="7">
        <f t="shared" si="15"/>
        <v>0</v>
      </c>
      <c r="AA14" s="7">
        <f t="shared" si="16"/>
        <v>82932.076999533223</v>
      </c>
      <c r="AC14" s="7">
        <f t="shared" si="17"/>
        <v>6244.6916085407311</v>
      </c>
      <c r="AD14" s="7">
        <f t="shared" si="18"/>
        <v>0</v>
      </c>
      <c r="AE14" s="7">
        <f t="shared" si="19"/>
        <v>0</v>
      </c>
      <c r="AF14" s="7">
        <f t="shared" si="20"/>
        <v>0</v>
      </c>
      <c r="AG14" s="7">
        <f t="shared" si="21"/>
        <v>0</v>
      </c>
      <c r="AH14" s="7">
        <f t="shared" si="22"/>
        <v>6244.6916085407311</v>
      </c>
      <c r="AJ14" s="7">
        <f>AC14*(Inputs!K$39-1)</f>
        <v>70.496235788979845</v>
      </c>
      <c r="AK14" s="7">
        <f>AD14*(Inputs!L$39-1)</f>
        <v>0</v>
      </c>
      <c r="AL14" s="7">
        <f>AE14*(Inputs!M$39-1)</f>
        <v>0</v>
      </c>
      <c r="AM14" s="7">
        <f>AF14*(Inputs!N$39-1)</f>
        <v>0</v>
      </c>
      <c r="AN14" s="7">
        <f>AG14*(Inputs!O$39-1)</f>
        <v>0</v>
      </c>
      <c r="AO14" s="7">
        <f t="shared" si="23"/>
        <v>70.496235788979845</v>
      </c>
      <c r="AQ14" s="7">
        <f t="shared" si="24"/>
        <v>83002.573235322197</v>
      </c>
      <c r="AR14" s="7">
        <f t="shared" si="25"/>
        <v>0</v>
      </c>
      <c r="AS14" s="7">
        <f t="shared" si="26"/>
        <v>0</v>
      </c>
      <c r="AT14" s="7">
        <f t="shared" si="27"/>
        <v>0</v>
      </c>
      <c r="AU14" s="7">
        <f t="shared" si="28"/>
        <v>0</v>
      </c>
      <c r="AV14" s="7">
        <f t="shared" si="29"/>
        <v>83002.573235322197</v>
      </c>
      <c r="AX14" s="27">
        <f>IFERROR(Data!H14/(Data!H14+Data!J14),0)</f>
        <v>0</v>
      </c>
      <c r="AZ14" s="15">
        <f>(H14*Data!$H14)+O14+(AJ14*$AX14)</f>
        <v>6244.6916085407311</v>
      </c>
      <c r="BA14" s="15">
        <f>(I14*Data!$H14)+P14+(AK14*$AX14)</f>
        <v>0</v>
      </c>
      <c r="BB14" s="15">
        <f>(J14*Data!$H14)+Q14+(AL14*$AX14)</f>
        <v>0</v>
      </c>
      <c r="BC14" s="15">
        <f>(K14*Data!$H14)+R14+(AM14*$AX14)</f>
        <v>0</v>
      </c>
      <c r="BD14" s="15">
        <f>(L14*Data!$H14)+S14+(AN14*$AX14)</f>
        <v>0</v>
      </c>
      <c r="BE14" s="7">
        <f t="shared" si="30"/>
        <v>6244.6916085407311</v>
      </c>
      <c r="BG14" s="15">
        <f>H14*Data!$I14</f>
        <v>76687.385390992495</v>
      </c>
      <c r="BH14" s="15">
        <f>I14*Data!$I14</f>
        <v>0</v>
      </c>
      <c r="BI14" s="15">
        <f>J14*Data!$I14</f>
        <v>0</v>
      </c>
      <c r="BJ14" s="15">
        <f>K14*Data!$I14</f>
        <v>0</v>
      </c>
      <c r="BK14" s="15">
        <f>L14*Data!$I14</f>
        <v>0</v>
      </c>
      <c r="BL14" s="7">
        <f t="shared" si="31"/>
        <v>76687.385390992495</v>
      </c>
      <c r="BN14" s="15">
        <f>H14*Data!$J14+(AJ14*(1-$AX14))</f>
        <v>70.496235788979845</v>
      </c>
      <c r="BO14" s="15">
        <f>I14*Data!$J14+(AK14*(1-$AX14))</f>
        <v>0</v>
      </c>
      <c r="BP14" s="15">
        <f>J14*Data!$J14+(AL14*(1-$AX14))</f>
        <v>0</v>
      </c>
      <c r="BQ14" s="15">
        <f>K14*Data!$J14+(AM14*(1-$AX14))</f>
        <v>0</v>
      </c>
      <c r="BR14" s="15">
        <f>L14*Data!$J14+(AN14*(1-$AX14))</f>
        <v>0</v>
      </c>
      <c r="BS14" s="7">
        <f t="shared" si="32"/>
        <v>70.496235788979845</v>
      </c>
      <c r="BU14" s="15">
        <f>H14*Data!$K14</f>
        <v>0</v>
      </c>
      <c r="BV14" s="15">
        <f>I14*Data!$K14</f>
        <v>0</v>
      </c>
      <c r="BW14" s="15">
        <f>J14*Data!$K14</f>
        <v>0</v>
      </c>
      <c r="BX14" s="15">
        <f>K14*Data!$K14</f>
        <v>0</v>
      </c>
      <c r="BY14" s="15">
        <f>L14*Data!$K14</f>
        <v>0</v>
      </c>
      <c r="BZ14" s="7">
        <f t="shared" si="33"/>
        <v>0</v>
      </c>
      <c r="CB14" s="15">
        <f t="shared" si="34"/>
        <v>83002.573235322197</v>
      </c>
      <c r="CC14" s="15">
        <f t="shared" si="35"/>
        <v>0</v>
      </c>
      <c r="CD14" s="15">
        <f t="shared" si="36"/>
        <v>0</v>
      </c>
      <c r="CE14" s="15">
        <f t="shared" si="37"/>
        <v>0</v>
      </c>
      <c r="CF14" s="15">
        <f t="shared" si="38"/>
        <v>0</v>
      </c>
      <c r="CG14" s="7">
        <f t="shared" si="39"/>
        <v>83002.573235322197</v>
      </c>
      <c r="CI14" s="18">
        <f t="shared" si="40"/>
        <v>0</v>
      </c>
      <c r="CJ14" s="15">
        <f t="shared" si="41"/>
        <v>83002.573235322197</v>
      </c>
      <c r="CK14" s="15">
        <f t="shared" si="42"/>
        <v>0</v>
      </c>
      <c r="CL14" s="15">
        <f t="shared" si="43"/>
        <v>0</v>
      </c>
      <c r="CM14" s="15">
        <f t="shared" si="44"/>
        <v>0</v>
      </c>
      <c r="CN14" s="15">
        <f t="shared" si="45"/>
        <v>0</v>
      </c>
      <c r="CO14" s="7">
        <f t="shared" si="46"/>
        <v>83002.573235322197</v>
      </c>
      <c r="CP14" s="15" t="str">
        <f t="shared" si="47"/>
        <v xml:space="preserve">Compressors </v>
      </c>
    </row>
    <row r="15" spans="1:94" ht="11.5" x14ac:dyDescent="0.3">
      <c r="A15" s="3" t="str">
        <f>Data!A15</f>
        <v>Peat Lateral Liquid Removal upgrades</v>
      </c>
      <c r="B15" s="31" t="s">
        <v>26</v>
      </c>
      <c r="C15" s="3" t="str">
        <f>Data!N15</f>
        <v>Pipelines</v>
      </c>
      <c r="D15" s="3" t="str">
        <f>Data!O15</f>
        <v>Replacement</v>
      </c>
      <c r="E15" s="3" t="str">
        <f>Data!P15</f>
        <v>Liquids Removal</v>
      </c>
      <c r="F15" s="3" t="str">
        <f>Data!Q15</f>
        <v>No</v>
      </c>
      <c r="G15" s="22">
        <f>Data!H15+Data!J15</f>
        <v>0.51</v>
      </c>
      <c r="H15" s="7">
        <f>Data!C15*Inputs!$J$15</f>
        <v>958994.5171613202</v>
      </c>
      <c r="I15" s="7">
        <f>Data!D15*Inputs!$J$15</f>
        <v>0</v>
      </c>
      <c r="J15" s="7">
        <f>Data!E15*Inputs!$J$15</f>
        <v>0</v>
      </c>
      <c r="K15" s="7">
        <f>Data!F15*Inputs!$J$15</f>
        <v>0</v>
      </c>
      <c r="L15" s="7">
        <f>Data!G15*Inputs!$J$15</f>
        <v>0</v>
      </c>
      <c r="M15" s="7">
        <f t="shared" si="9"/>
        <v>958994.5171613202</v>
      </c>
      <c r="O15" s="7">
        <f>H15*Inputs!$C$3</f>
        <v>78091.396432682071</v>
      </c>
      <c r="P15" s="7">
        <f>I15*Inputs!$C$3</f>
        <v>0</v>
      </c>
      <c r="Q15" s="7">
        <f>J15*Inputs!$C$3</f>
        <v>0</v>
      </c>
      <c r="R15" s="7">
        <f>K15*Inputs!$C$3</f>
        <v>0</v>
      </c>
      <c r="S15" s="7">
        <f>L15*Inputs!$C$3</f>
        <v>0</v>
      </c>
      <c r="T15" s="7">
        <f t="shared" si="10"/>
        <v>78091.396432682071</v>
      </c>
      <c r="V15" s="7">
        <f t="shared" si="11"/>
        <v>1037085.9135940023</v>
      </c>
      <c r="W15" s="7">
        <f t="shared" si="12"/>
        <v>0</v>
      </c>
      <c r="X15" s="7">
        <f t="shared" si="13"/>
        <v>0</v>
      </c>
      <c r="Y15" s="7">
        <f t="shared" si="14"/>
        <v>0</v>
      </c>
      <c r="Z15" s="7">
        <f t="shared" si="15"/>
        <v>0</v>
      </c>
      <c r="AA15" s="7">
        <f t="shared" si="16"/>
        <v>1037085.9135940023</v>
      </c>
      <c r="AC15" s="7">
        <f t="shared" si="17"/>
        <v>567178.6001849554</v>
      </c>
      <c r="AD15" s="7">
        <f t="shared" si="18"/>
        <v>0</v>
      </c>
      <c r="AE15" s="7">
        <f t="shared" si="19"/>
        <v>0</v>
      </c>
      <c r="AF15" s="7">
        <f t="shared" si="20"/>
        <v>0</v>
      </c>
      <c r="AG15" s="7">
        <f t="shared" si="21"/>
        <v>0</v>
      </c>
      <c r="AH15" s="7">
        <f t="shared" si="22"/>
        <v>567178.6001849554</v>
      </c>
      <c r="AJ15" s="7">
        <f>AC15*(Inputs!K$39-1)</f>
        <v>6402.8712448212718</v>
      </c>
      <c r="AK15" s="7">
        <f>AD15*(Inputs!L$39-1)</f>
        <v>0</v>
      </c>
      <c r="AL15" s="7">
        <f>AE15*(Inputs!M$39-1)</f>
        <v>0</v>
      </c>
      <c r="AM15" s="7">
        <f>AF15*(Inputs!N$39-1)</f>
        <v>0</v>
      </c>
      <c r="AN15" s="7">
        <f>AG15*(Inputs!O$39-1)</f>
        <v>0</v>
      </c>
      <c r="AO15" s="7">
        <f t="shared" si="23"/>
        <v>6402.8712448212718</v>
      </c>
      <c r="AQ15" s="7">
        <f t="shared" si="24"/>
        <v>1043488.7848388235</v>
      </c>
      <c r="AR15" s="7">
        <f t="shared" si="25"/>
        <v>0</v>
      </c>
      <c r="AS15" s="7">
        <f t="shared" si="26"/>
        <v>0</v>
      </c>
      <c r="AT15" s="7">
        <f t="shared" si="27"/>
        <v>0</v>
      </c>
      <c r="AU15" s="7">
        <f t="shared" si="28"/>
        <v>0</v>
      </c>
      <c r="AV15" s="7">
        <f t="shared" si="29"/>
        <v>1043488.7848388235</v>
      </c>
      <c r="AX15" s="27">
        <f>IFERROR(Data!H15/(Data!H15+Data!J15),0)</f>
        <v>0.45098039215686275</v>
      </c>
      <c r="AZ15" s="15">
        <f>(H15*Data!$H15)+O15+(AJ15*$AX15)</f>
        <v>301547.70476470515</v>
      </c>
      <c r="BA15" s="15">
        <f>(I15*Data!$H15)+P15+(AK15*$AX15)</f>
        <v>0</v>
      </c>
      <c r="BB15" s="15">
        <f>(J15*Data!$H15)+Q15+(AL15*$AX15)</f>
        <v>0</v>
      </c>
      <c r="BC15" s="15">
        <f>(K15*Data!$H15)+R15+(AM15*$AX15)</f>
        <v>0</v>
      </c>
      <c r="BD15" s="15">
        <f>(L15*Data!$H15)+S15+(AN15*$AX15)</f>
        <v>0</v>
      </c>
      <c r="BE15" s="7">
        <f t="shared" si="30"/>
        <v>301547.70476470515</v>
      </c>
      <c r="BG15" s="15">
        <f>H15*Data!$I15</f>
        <v>460317.36823743366</v>
      </c>
      <c r="BH15" s="15">
        <f>I15*Data!$I15</f>
        <v>0</v>
      </c>
      <c r="BI15" s="15">
        <f>J15*Data!$I15</f>
        <v>0</v>
      </c>
      <c r="BJ15" s="15">
        <f>K15*Data!$I15</f>
        <v>0</v>
      </c>
      <c r="BK15" s="15">
        <f>L15*Data!$I15</f>
        <v>0</v>
      </c>
      <c r="BL15" s="7">
        <f t="shared" si="31"/>
        <v>460317.36823743366</v>
      </c>
      <c r="BN15" s="15">
        <f>H15*Data!$J15+(AJ15*(1-$AX15))</f>
        <v>272033.76666507154</v>
      </c>
      <c r="BO15" s="15">
        <f>I15*Data!$J15+(AK15*(1-$AX15))</f>
        <v>0</v>
      </c>
      <c r="BP15" s="15">
        <f>J15*Data!$J15+(AL15*(1-$AX15))</f>
        <v>0</v>
      </c>
      <c r="BQ15" s="15">
        <f>K15*Data!$J15+(AM15*(1-$AX15))</f>
        <v>0</v>
      </c>
      <c r="BR15" s="15">
        <f>L15*Data!$J15+(AN15*(1-$AX15))</f>
        <v>0</v>
      </c>
      <c r="BS15" s="7">
        <f t="shared" si="32"/>
        <v>272033.76666507154</v>
      </c>
      <c r="BU15" s="15">
        <f>H15*Data!$K15</f>
        <v>9589.9451716132025</v>
      </c>
      <c r="BV15" s="15">
        <f>I15*Data!$K15</f>
        <v>0</v>
      </c>
      <c r="BW15" s="15">
        <f>J15*Data!$K15</f>
        <v>0</v>
      </c>
      <c r="BX15" s="15">
        <f>K15*Data!$K15</f>
        <v>0</v>
      </c>
      <c r="BY15" s="15">
        <f>L15*Data!$K15</f>
        <v>0</v>
      </c>
      <c r="BZ15" s="7">
        <f t="shared" si="33"/>
        <v>9589.9451716132025</v>
      </c>
      <c r="CB15" s="15">
        <f t="shared" si="34"/>
        <v>1043488.7848388236</v>
      </c>
      <c r="CC15" s="15">
        <f t="shared" si="35"/>
        <v>0</v>
      </c>
      <c r="CD15" s="15">
        <f t="shared" si="36"/>
        <v>0</v>
      </c>
      <c r="CE15" s="15">
        <f t="shared" si="37"/>
        <v>0</v>
      </c>
      <c r="CF15" s="15">
        <f t="shared" si="38"/>
        <v>0</v>
      </c>
      <c r="CG15" s="7">
        <f t="shared" si="39"/>
        <v>1043488.7848388236</v>
      </c>
      <c r="CI15" s="18">
        <f t="shared" si="40"/>
        <v>0</v>
      </c>
      <c r="CJ15" s="15">
        <f t="shared" si="41"/>
        <v>0</v>
      </c>
      <c r="CK15" s="15">
        <f t="shared" si="42"/>
        <v>0</v>
      </c>
      <c r="CL15" s="15">
        <f t="shared" si="43"/>
        <v>0</v>
      </c>
      <c r="CM15" s="15">
        <f t="shared" si="44"/>
        <v>0</v>
      </c>
      <c r="CN15" s="15">
        <f t="shared" si="45"/>
        <v>0</v>
      </c>
      <c r="CO15" s="7">
        <f t="shared" si="46"/>
        <v>0</v>
      </c>
      <c r="CP15" s="15" t="str">
        <f t="shared" si="47"/>
        <v/>
      </c>
    </row>
    <row r="16" spans="1:94" ht="11.5" x14ac:dyDescent="0.3">
      <c r="A16" s="3" t="str">
        <f>Data!A16</f>
        <v>Underground valves upgrades</v>
      </c>
      <c r="B16" s="31" t="s">
        <v>26</v>
      </c>
      <c r="C16" s="3" t="str">
        <f>Data!N16</f>
        <v>Pipelines</v>
      </c>
      <c r="D16" s="3" t="str">
        <f>Data!O16</f>
        <v>Replacement</v>
      </c>
      <c r="E16" s="3" t="str">
        <f>Data!P16</f>
        <v>Valve Upgrade</v>
      </c>
      <c r="F16" s="3" t="str">
        <f>Data!Q16</f>
        <v>Yes</v>
      </c>
      <c r="G16" s="22">
        <f>Data!H16+Data!J16</f>
        <v>1</v>
      </c>
      <c r="H16" s="7">
        <f>Data!C16*Inputs!$J$15</f>
        <v>102249.84718798999</v>
      </c>
      <c r="I16" s="7">
        <f>Data!D16*Inputs!$J$15</f>
        <v>122699.81662558799</v>
      </c>
      <c r="J16" s="7">
        <f>Data!E16*Inputs!$J$15</f>
        <v>0</v>
      </c>
      <c r="K16" s="7">
        <f>Data!F16*Inputs!$J$15</f>
        <v>0</v>
      </c>
      <c r="L16" s="7">
        <f>Data!G16*Inputs!$J$15</f>
        <v>0</v>
      </c>
      <c r="M16" s="7">
        <f t="shared" si="9"/>
        <v>224949.66381357796</v>
      </c>
      <c r="O16" s="7">
        <f>H16*Inputs!$C$3</f>
        <v>8326.2554780543087</v>
      </c>
      <c r="P16" s="7">
        <f>I16*Inputs!$C$3</f>
        <v>9991.5065736651704</v>
      </c>
      <c r="Q16" s="7">
        <f>J16*Inputs!$C$3</f>
        <v>0</v>
      </c>
      <c r="R16" s="7">
        <f>K16*Inputs!$C$3</f>
        <v>0</v>
      </c>
      <c r="S16" s="7">
        <f>L16*Inputs!$C$3</f>
        <v>0</v>
      </c>
      <c r="T16" s="7">
        <f t="shared" si="10"/>
        <v>18317.762051719481</v>
      </c>
      <c r="V16" s="7">
        <f t="shared" si="11"/>
        <v>110576.1026660443</v>
      </c>
      <c r="W16" s="7">
        <f t="shared" si="12"/>
        <v>132691.32319925315</v>
      </c>
      <c r="X16" s="7">
        <f t="shared" si="13"/>
        <v>0</v>
      </c>
      <c r="Y16" s="7">
        <f t="shared" si="14"/>
        <v>0</v>
      </c>
      <c r="Z16" s="7">
        <f t="shared" si="15"/>
        <v>0</v>
      </c>
      <c r="AA16" s="7">
        <f t="shared" si="16"/>
        <v>243267.42586529744</v>
      </c>
      <c r="AC16" s="7">
        <f t="shared" si="17"/>
        <v>110576.1026660443</v>
      </c>
      <c r="AD16" s="7">
        <f t="shared" si="18"/>
        <v>132691.32319925315</v>
      </c>
      <c r="AE16" s="7">
        <f t="shared" si="19"/>
        <v>0</v>
      </c>
      <c r="AF16" s="7">
        <f t="shared" si="20"/>
        <v>0</v>
      </c>
      <c r="AG16" s="7">
        <f t="shared" si="21"/>
        <v>0</v>
      </c>
      <c r="AH16" s="7">
        <f t="shared" si="22"/>
        <v>243267.42586529744</v>
      </c>
      <c r="AJ16" s="7">
        <f>AC16*(Inputs!K$39-1)</f>
        <v>1248.2920686604564</v>
      </c>
      <c r="AK16" s="7">
        <f>AD16*(Inputs!L$39-1)</f>
        <v>2497.5746483059879</v>
      </c>
      <c r="AL16" s="7">
        <f>AE16*(Inputs!M$39-1)</f>
        <v>0</v>
      </c>
      <c r="AM16" s="7">
        <f>AF16*(Inputs!N$39-1)</f>
        <v>0</v>
      </c>
      <c r="AN16" s="7">
        <f>AG16*(Inputs!O$39-1)</f>
        <v>0</v>
      </c>
      <c r="AO16" s="7">
        <f t="shared" si="23"/>
        <v>3745.8667169664441</v>
      </c>
      <c r="AQ16" s="7">
        <f t="shared" si="24"/>
        <v>111824.39473470477</v>
      </c>
      <c r="AR16" s="7">
        <f t="shared" si="25"/>
        <v>135188.89784755913</v>
      </c>
      <c r="AS16" s="7">
        <f t="shared" si="26"/>
        <v>0</v>
      </c>
      <c r="AT16" s="7">
        <f t="shared" si="27"/>
        <v>0</v>
      </c>
      <c r="AU16" s="7">
        <f t="shared" si="28"/>
        <v>0</v>
      </c>
      <c r="AV16" s="7">
        <f t="shared" si="29"/>
        <v>247013.29258226388</v>
      </c>
      <c r="AX16" s="27">
        <f>IFERROR(Data!H16/(Data!H16+Data!J16),0)</f>
        <v>1</v>
      </c>
      <c r="AZ16" s="15">
        <f>(H16*Data!$H16)+O16+(AJ16*$AX16)</f>
        <v>111824.39473470477</v>
      </c>
      <c r="BA16" s="15">
        <f>(I16*Data!$H16)+P16+(AK16*$AX16)</f>
        <v>135188.89784755913</v>
      </c>
      <c r="BB16" s="15">
        <f>(J16*Data!$H16)+Q16+(AL16*$AX16)</f>
        <v>0</v>
      </c>
      <c r="BC16" s="15">
        <f>(K16*Data!$H16)+R16+(AM16*$AX16)</f>
        <v>0</v>
      </c>
      <c r="BD16" s="15">
        <f>(L16*Data!$H16)+S16+(AN16*$AX16)</f>
        <v>0</v>
      </c>
      <c r="BE16" s="7">
        <f t="shared" si="30"/>
        <v>247013.29258226388</v>
      </c>
      <c r="BG16" s="15">
        <f>H16*Data!$I16</f>
        <v>0</v>
      </c>
      <c r="BH16" s="15">
        <f>I16*Data!$I16</f>
        <v>0</v>
      </c>
      <c r="BI16" s="15">
        <f>J16*Data!$I16</f>
        <v>0</v>
      </c>
      <c r="BJ16" s="15">
        <f>K16*Data!$I16</f>
        <v>0</v>
      </c>
      <c r="BK16" s="15">
        <f>L16*Data!$I16</f>
        <v>0</v>
      </c>
      <c r="BL16" s="7">
        <f t="shared" si="31"/>
        <v>0</v>
      </c>
      <c r="BN16" s="15">
        <f>H16*Data!$J16+(AJ16*(1-$AX16))</f>
        <v>0</v>
      </c>
      <c r="BO16" s="15">
        <f>I16*Data!$J16+(AK16*(1-$AX16))</f>
        <v>0</v>
      </c>
      <c r="BP16" s="15">
        <f>J16*Data!$J16+(AL16*(1-$AX16))</f>
        <v>0</v>
      </c>
      <c r="BQ16" s="15">
        <f>K16*Data!$J16+(AM16*(1-$AX16))</f>
        <v>0</v>
      </c>
      <c r="BR16" s="15">
        <f>L16*Data!$J16+(AN16*(1-$AX16))</f>
        <v>0</v>
      </c>
      <c r="BS16" s="7">
        <f t="shared" si="32"/>
        <v>0</v>
      </c>
      <c r="BU16" s="15">
        <f>H16*Data!$K16</f>
        <v>0</v>
      </c>
      <c r="BV16" s="15">
        <f>I16*Data!$K16</f>
        <v>0</v>
      </c>
      <c r="BW16" s="15">
        <f>J16*Data!$K16</f>
        <v>0</v>
      </c>
      <c r="BX16" s="15">
        <f>K16*Data!$K16</f>
        <v>0</v>
      </c>
      <c r="BY16" s="15">
        <f>L16*Data!$K16</f>
        <v>0</v>
      </c>
      <c r="BZ16" s="7">
        <f t="shared" si="33"/>
        <v>0</v>
      </c>
      <c r="CB16" s="15">
        <f t="shared" si="34"/>
        <v>111824.39473470477</v>
      </c>
      <c r="CC16" s="15">
        <f t="shared" si="35"/>
        <v>135188.89784755913</v>
      </c>
      <c r="CD16" s="15">
        <f t="shared" si="36"/>
        <v>0</v>
      </c>
      <c r="CE16" s="15">
        <f t="shared" si="37"/>
        <v>0</v>
      </c>
      <c r="CF16" s="15">
        <f t="shared" si="38"/>
        <v>0</v>
      </c>
      <c r="CG16" s="7">
        <f t="shared" si="39"/>
        <v>247013.29258226388</v>
      </c>
      <c r="CI16" s="18">
        <f t="shared" si="40"/>
        <v>0</v>
      </c>
      <c r="CJ16" s="15">
        <f t="shared" si="41"/>
        <v>111824.39473470477</v>
      </c>
      <c r="CK16" s="15">
        <f t="shared" si="42"/>
        <v>135188.89784755913</v>
      </c>
      <c r="CL16" s="15">
        <f t="shared" si="43"/>
        <v>0</v>
      </c>
      <c r="CM16" s="15">
        <f t="shared" si="44"/>
        <v>0</v>
      </c>
      <c r="CN16" s="15">
        <f t="shared" si="45"/>
        <v>0</v>
      </c>
      <c r="CO16" s="7">
        <f t="shared" si="46"/>
        <v>247013.29258226388</v>
      </c>
      <c r="CP16" s="15" t="str">
        <f t="shared" si="47"/>
        <v>Pipelines</v>
      </c>
    </row>
    <row r="17" spans="1:94" ht="11.5" x14ac:dyDescent="0.3">
      <c r="A17" s="3" t="str">
        <f>Data!A17</f>
        <v>Dalby CS Comms Relocation</v>
      </c>
      <c r="B17" s="31" t="s">
        <v>26</v>
      </c>
      <c r="C17" s="3" t="str">
        <f>Data!N17</f>
        <v>SIB Capex</v>
      </c>
      <c r="D17" s="3" t="str">
        <f>Data!O17</f>
        <v>Replacement</v>
      </c>
      <c r="E17" s="3" t="str">
        <f>Data!P17</f>
        <v>Dalby Communication Relocation</v>
      </c>
      <c r="F17" s="3" t="str">
        <f>Data!Q17</f>
        <v>Yes</v>
      </c>
      <c r="G17" s="22">
        <f>Data!H17+Data!J17</f>
        <v>0.3551245216164583</v>
      </c>
      <c r="H17" s="7">
        <f>Data!C17*Inputs!$J$15</f>
        <v>51124.923593994994</v>
      </c>
      <c r="I17" s="7">
        <f>Data!D17*Inputs!$J$15</f>
        <v>0</v>
      </c>
      <c r="J17" s="7">
        <f>Data!E17*Inputs!$J$15</f>
        <v>0</v>
      </c>
      <c r="K17" s="7">
        <f>Data!F17*Inputs!$J$15</f>
        <v>0</v>
      </c>
      <c r="L17" s="7">
        <f>Data!G17*Inputs!$J$15</f>
        <v>0</v>
      </c>
      <c r="M17" s="7">
        <f t="shared" si="9"/>
        <v>51124.923593994994</v>
      </c>
      <c r="O17" s="7">
        <f>H17*Inputs!$C$3</f>
        <v>4163.1277390271543</v>
      </c>
      <c r="P17" s="7">
        <f>I17*Inputs!$C$3</f>
        <v>0</v>
      </c>
      <c r="Q17" s="7">
        <f>J17*Inputs!$C$3</f>
        <v>0</v>
      </c>
      <c r="R17" s="7">
        <f>K17*Inputs!$C$3</f>
        <v>0</v>
      </c>
      <c r="S17" s="7">
        <f>L17*Inputs!$C$3</f>
        <v>0</v>
      </c>
      <c r="T17" s="7">
        <f t="shared" si="10"/>
        <v>4163.1277390271543</v>
      </c>
      <c r="V17" s="7">
        <f t="shared" si="11"/>
        <v>55288.051333022151</v>
      </c>
      <c r="W17" s="7">
        <f t="shared" si="12"/>
        <v>0</v>
      </c>
      <c r="X17" s="7">
        <f t="shared" si="13"/>
        <v>0</v>
      </c>
      <c r="Y17" s="7">
        <f t="shared" si="14"/>
        <v>0</v>
      </c>
      <c r="Z17" s="7">
        <f t="shared" si="15"/>
        <v>0</v>
      </c>
      <c r="AA17" s="7">
        <f t="shared" si="16"/>
        <v>55288.051333022151</v>
      </c>
      <c r="AC17" s="7">
        <f t="shared" si="17"/>
        <v>22318.841773022607</v>
      </c>
      <c r="AD17" s="7">
        <f t="shared" si="18"/>
        <v>0</v>
      </c>
      <c r="AE17" s="7">
        <f t="shared" si="19"/>
        <v>0</v>
      </c>
      <c r="AF17" s="7">
        <f t="shared" si="20"/>
        <v>0</v>
      </c>
      <c r="AG17" s="7">
        <f t="shared" si="21"/>
        <v>0</v>
      </c>
      <c r="AH17" s="7">
        <f t="shared" si="22"/>
        <v>22318.841773022607</v>
      </c>
      <c r="AJ17" s="7">
        <f>AC17*(Inputs!K$39-1)</f>
        <v>251.95709104610336</v>
      </c>
      <c r="AK17" s="7">
        <f>AD17*(Inputs!L$39-1)</f>
        <v>0</v>
      </c>
      <c r="AL17" s="7">
        <f>AE17*(Inputs!M$39-1)</f>
        <v>0</v>
      </c>
      <c r="AM17" s="7">
        <f>AF17*(Inputs!N$39-1)</f>
        <v>0</v>
      </c>
      <c r="AN17" s="7">
        <f>AG17*(Inputs!O$39-1)</f>
        <v>0</v>
      </c>
      <c r="AO17" s="7">
        <f t="shared" si="23"/>
        <v>251.95709104610336</v>
      </c>
      <c r="AQ17" s="7">
        <f t="shared" si="24"/>
        <v>55540.008424068255</v>
      </c>
      <c r="AR17" s="7">
        <f t="shared" si="25"/>
        <v>0</v>
      </c>
      <c r="AS17" s="7">
        <f t="shared" si="26"/>
        <v>0</v>
      </c>
      <c r="AT17" s="7">
        <f t="shared" si="27"/>
        <v>0</v>
      </c>
      <c r="AU17" s="7">
        <f t="shared" si="28"/>
        <v>0</v>
      </c>
      <c r="AV17" s="7">
        <f t="shared" si="29"/>
        <v>55540.008424068255</v>
      </c>
      <c r="AX17" s="27">
        <f>IFERROR(Data!H17/(Data!H17+Data!J17),0)</f>
        <v>9.2043157920786614E-2</v>
      </c>
      <c r="AZ17" s="15">
        <f>(H17*Data!$H17)+O17+(AJ17*$AX17)</f>
        <v>5857.4279193432585</v>
      </c>
      <c r="BA17" s="15">
        <f>(I17*Data!$H17)+P17+(AK17*$AX17)</f>
        <v>0</v>
      </c>
      <c r="BB17" s="15">
        <f>(J17*Data!$H17)+Q17+(AL17*$AX17)</f>
        <v>0</v>
      </c>
      <c r="BC17" s="15">
        <f>(K17*Data!$H17)+R17+(AM17*$AX17)</f>
        <v>0</v>
      </c>
      <c r="BD17" s="15">
        <f>(L17*Data!$H17)+S17+(AN17*$AX17)</f>
        <v>0</v>
      </c>
      <c r="BE17" s="7">
        <f t="shared" si="30"/>
        <v>5857.4279193432585</v>
      </c>
      <c r="BG17" s="15">
        <f>H17*Data!$I17</f>
        <v>16484.604779999769</v>
      </c>
      <c r="BH17" s="15">
        <f>I17*Data!$I17</f>
        <v>0</v>
      </c>
      <c r="BI17" s="15">
        <f>J17*Data!$I17</f>
        <v>0</v>
      </c>
      <c r="BJ17" s="15">
        <f>K17*Data!$I17</f>
        <v>0</v>
      </c>
      <c r="BK17" s="15">
        <f>L17*Data!$I17</f>
        <v>0</v>
      </c>
      <c r="BL17" s="7">
        <f t="shared" si="31"/>
        <v>16484.604779999769</v>
      </c>
      <c r="BN17" s="15">
        <f>H17*Data!$J17+(AJ17*(1-$AX17))</f>
        <v>16713.370944725455</v>
      </c>
      <c r="BO17" s="15">
        <f>I17*Data!$J17+(AK17*(1-$AX17))</f>
        <v>0</v>
      </c>
      <c r="BP17" s="15">
        <f>J17*Data!$J17+(AL17*(1-$AX17))</f>
        <v>0</v>
      </c>
      <c r="BQ17" s="15">
        <f>K17*Data!$J17+(AM17*(1-$AX17))</f>
        <v>0</v>
      </c>
      <c r="BR17" s="15">
        <f>L17*Data!$J17+(AN17*(1-$AX17))</f>
        <v>0</v>
      </c>
      <c r="BS17" s="7">
        <f t="shared" si="32"/>
        <v>16713.370944725455</v>
      </c>
      <c r="BU17" s="15">
        <f>H17*Data!$K17</f>
        <v>16484.604779999769</v>
      </c>
      <c r="BV17" s="15">
        <f>I17*Data!$K17</f>
        <v>0</v>
      </c>
      <c r="BW17" s="15">
        <f>J17*Data!$K17</f>
        <v>0</v>
      </c>
      <c r="BX17" s="15">
        <f>K17*Data!$K17</f>
        <v>0</v>
      </c>
      <c r="BY17" s="15">
        <f>L17*Data!$K17</f>
        <v>0</v>
      </c>
      <c r="BZ17" s="7">
        <f t="shared" si="33"/>
        <v>16484.604779999769</v>
      </c>
      <c r="CB17" s="15">
        <f t="shared" si="34"/>
        <v>55540.008424068255</v>
      </c>
      <c r="CC17" s="15">
        <f t="shared" si="35"/>
        <v>0</v>
      </c>
      <c r="CD17" s="15">
        <f t="shared" si="36"/>
        <v>0</v>
      </c>
      <c r="CE17" s="15">
        <f t="shared" si="37"/>
        <v>0</v>
      </c>
      <c r="CF17" s="15">
        <f t="shared" si="38"/>
        <v>0</v>
      </c>
      <c r="CG17" s="7">
        <f t="shared" si="39"/>
        <v>55540.008424068255</v>
      </c>
      <c r="CI17" s="18">
        <f t="shared" si="40"/>
        <v>0</v>
      </c>
      <c r="CJ17" s="15">
        <f t="shared" si="41"/>
        <v>55540.008424068255</v>
      </c>
      <c r="CK17" s="15">
        <f t="shared" si="42"/>
        <v>0</v>
      </c>
      <c r="CL17" s="15">
        <f t="shared" si="43"/>
        <v>0</v>
      </c>
      <c r="CM17" s="15">
        <f t="shared" si="44"/>
        <v>0</v>
      </c>
      <c r="CN17" s="15">
        <f t="shared" si="45"/>
        <v>0</v>
      </c>
      <c r="CO17" s="7">
        <f t="shared" si="46"/>
        <v>55540.008424068255</v>
      </c>
      <c r="CP17" s="15" t="str">
        <f t="shared" si="47"/>
        <v>SIB Capex</v>
      </c>
    </row>
    <row r="18" spans="1:94" ht="11.5" x14ac:dyDescent="0.3">
      <c r="A18" s="3" t="str">
        <f>Data!A18</f>
        <v>DN400 Metro Loop - ILI - MFL</v>
      </c>
      <c r="B18" s="31" t="s">
        <v>26</v>
      </c>
      <c r="C18" s="3" t="str">
        <f>Data!N18</f>
        <v>Pipelines</v>
      </c>
      <c r="D18" s="3" t="str">
        <f>Data!O18</f>
        <v>Replacement</v>
      </c>
      <c r="E18" s="3" t="str">
        <f>Data!P18</f>
        <v>Pipeline Integrity</v>
      </c>
      <c r="F18" s="3" t="str">
        <f>Data!Q18</f>
        <v>Yes</v>
      </c>
      <c r="G18" s="22">
        <f>Data!H18+Data!J18</f>
        <v>0.96731321757531241</v>
      </c>
      <c r="H18" s="7">
        <f>Data!C18*Inputs!$J$15</f>
        <v>0</v>
      </c>
      <c r="I18" s="7">
        <f>Data!D18*Inputs!$J$15</f>
        <v>0</v>
      </c>
      <c r="J18" s="7">
        <f>Data!E18*Inputs!$J$15</f>
        <v>0</v>
      </c>
      <c r="K18" s="7">
        <f>Data!F18*Inputs!$J$15</f>
        <v>0</v>
      </c>
      <c r="L18" s="7">
        <f>Data!G18*Inputs!$J$15</f>
        <v>0</v>
      </c>
      <c r="M18" s="7">
        <f t="shared" si="9"/>
        <v>0</v>
      </c>
      <c r="O18" s="7">
        <f>H18*Inputs!$C$3</f>
        <v>0</v>
      </c>
      <c r="P18" s="7">
        <f>I18*Inputs!$C$3</f>
        <v>0</v>
      </c>
      <c r="Q18" s="7">
        <f>J18*Inputs!$C$3</f>
        <v>0</v>
      </c>
      <c r="R18" s="7">
        <f>K18*Inputs!$C$3</f>
        <v>0</v>
      </c>
      <c r="S18" s="7">
        <f>L18*Inputs!$C$3</f>
        <v>0</v>
      </c>
      <c r="T18" s="7">
        <f t="shared" si="10"/>
        <v>0</v>
      </c>
      <c r="V18" s="7">
        <f t="shared" si="11"/>
        <v>0</v>
      </c>
      <c r="W18" s="7">
        <f t="shared" si="12"/>
        <v>0</v>
      </c>
      <c r="X18" s="7">
        <f t="shared" si="13"/>
        <v>0</v>
      </c>
      <c r="Y18" s="7">
        <f t="shared" si="14"/>
        <v>0</v>
      </c>
      <c r="Z18" s="7">
        <f t="shared" si="15"/>
        <v>0</v>
      </c>
      <c r="AA18" s="7">
        <f t="shared" si="16"/>
        <v>0</v>
      </c>
      <c r="AC18" s="7">
        <f t="shared" si="17"/>
        <v>0</v>
      </c>
      <c r="AD18" s="7">
        <f t="shared" si="18"/>
        <v>0</v>
      </c>
      <c r="AE18" s="7">
        <f t="shared" si="19"/>
        <v>0</v>
      </c>
      <c r="AF18" s="7">
        <f t="shared" si="20"/>
        <v>0</v>
      </c>
      <c r="AG18" s="7">
        <f t="shared" si="21"/>
        <v>0</v>
      </c>
      <c r="AH18" s="7">
        <f t="shared" si="22"/>
        <v>0</v>
      </c>
      <c r="AJ18" s="7">
        <f>AC18*(Inputs!K$39-1)</f>
        <v>0</v>
      </c>
      <c r="AK18" s="7">
        <f>AD18*(Inputs!L$39-1)</f>
        <v>0</v>
      </c>
      <c r="AL18" s="7">
        <f>AE18*(Inputs!M$39-1)</f>
        <v>0</v>
      </c>
      <c r="AM18" s="7">
        <f>AF18*(Inputs!N$39-1)</f>
        <v>0</v>
      </c>
      <c r="AN18" s="7">
        <f>AG18*(Inputs!O$39-1)</f>
        <v>0</v>
      </c>
      <c r="AO18" s="7">
        <f t="shared" si="23"/>
        <v>0</v>
      </c>
      <c r="AQ18" s="7">
        <f t="shared" si="24"/>
        <v>0</v>
      </c>
      <c r="AR18" s="7">
        <f t="shared" si="25"/>
        <v>0</v>
      </c>
      <c r="AS18" s="7">
        <f t="shared" si="26"/>
        <v>0</v>
      </c>
      <c r="AT18" s="7">
        <f t="shared" si="27"/>
        <v>0</v>
      </c>
      <c r="AU18" s="7">
        <f t="shared" si="28"/>
        <v>0</v>
      </c>
      <c r="AV18" s="7">
        <f t="shared" si="29"/>
        <v>0</v>
      </c>
      <c r="AX18" s="27">
        <f>IFERROR(Data!H18/(Data!H18+Data!J18),0)</f>
        <v>0.40805761804446355</v>
      </c>
      <c r="AZ18" s="15">
        <f>(H18*Data!$H18)+O18+(AJ18*$AX18)</f>
        <v>0</v>
      </c>
      <c r="BA18" s="15">
        <f>(I18*Data!$H18)+P18+(AK18*$AX18)</f>
        <v>0</v>
      </c>
      <c r="BB18" s="15">
        <f>(J18*Data!$H18)+Q18+(AL18*$AX18)</f>
        <v>0</v>
      </c>
      <c r="BC18" s="15">
        <f>(K18*Data!$H18)+R18+(AM18*$AX18)</f>
        <v>0</v>
      </c>
      <c r="BD18" s="15">
        <f>(L18*Data!$H18)+S18+(AN18*$AX18)</f>
        <v>0</v>
      </c>
      <c r="BE18" s="7">
        <f t="shared" si="30"/>
        <v>0</v>
      </c>
      <c r="BG18" s="15">
        <f>H18*Data!$I18</f>
        <v>0</v>
      </c>
      <c r="BH18" s="15">
        <f>I18*Data!$I18</f>
        <v>0</v>
      </c>
      <c r="BI18" s="15">
        <f>J18*Data!$I18</f>
        <v>0</v>
      </c>
      <c r="BJ18" s="15">
        <f>K18*Data!$I18</f>
        <v>0</v>
      </c>
      <c r="BK18" s="15">
        <f>L18*Data!$I18</f>
        <v>0</v>
      </c>
      <c r="BL18" s="7">
        <f t="shared" si="31"/>
        <v>0</v>
      </c>
      <c r="BN18" s="15">
        <f>H18*Data!$J18+(AJ18*(1-$AX18))</f>
        <v>0</v>
      </c>
      <c r="BO18" s="15">
        <f>I18*Data!$J18+(AK18*(1-$AX18))</f>
        <v>0</v>
      </c>
      <c r="BP18" s="15">
        <f>J18*Data!$J18+(AL18*(1-$AX18))</f>
        <v>0</v>
      </c>
      <c r="BQ18" s="15">
        <f>K18*Data!$J18+(AM18*(1-$AX18))</f>
        <v>0</v>
      </c>
      <c r="BR18" s="15">
        <f>L18*Data!$J18+(AN18*(1-$AX18))</f>
        <v>0</v>
      </c>
      <c r="BS18" s="7">
        <f t="shared" si="32"/>
        <v>0</v>
      </c>
      <c r="BU18" s="15">
        <f>H18*Data!$K18</f>
        <v>0</v>
      </c>
      <c r="BV18" s="15">
        <f>I18*Data!$K18</f>
        <v>0</v>
      </c>
      <c r="BW18" s="15">
        <f>J18*Data!$K18</f>
        <v>0</v>
      </c>
      <c r="BX18" s="15">
        <f>K18*Data!$K18</f>
        <v>0</v>
      </c>
      <c r="BY18" s="15">
        <f>L18*Data!$K18</f>
        <v>0</v>
      </c>
      <c r="BZ18" s="7">
        <f t="shared" si="33"/>
        <v>0</v>
      </c>
      <c r="CB18" s="15">
        <f t="shared" si="34"/>
        <v>0</v>
      </c>
      <c r="CC18" s="15">
        <f t="shared" si="35"/>
        <v>0</v>
      </c>
      <c r="CD18" s="15">
        <f t="shared" si="36"/>
        <v>0</v>
      </c>
      <c r="CE18" s="15">
        <f t="shared" si="37"/>
        <v>0</v>
      </c>
      <c r="CF18" s="15">
        <f t="shared" si="38"/>
        <v>0</v>
      </c>
      <c r="CG18" s="7">
        <f t="shared" si="39"/>
        <v>0</v>
      </c>
      <c r="CI18" s="18">
        <f t="shared" si="40"/>
        <v>0</v>
      </c>
      <c r="CJ18" s="15">
        <f t="shared" si="41"/>
        <v>0</v>
      </c>
      <c r="CK18" s="15">
        <f t="shared" si="42"/>
        <v>0</v>
      </c>
      <c r="CL18" s="15">
        <f t="shared" si="43"/>
        <v>0</v>
      </c>
      <c r="CM18" s="15">
        <f t="shared" si="44"/>
        <v>0</v>
      </c>
      <c r="CN18" s="15">
        <f t="shared" si="45"/>
        <v>0</v>
      </c>
      <c r="CO18" s="7">
        <f t="shared" si="46"/>
        <v>0</v>
      </c>
      <c r="CP18" s="15" t="str">
        <f t="shared" si="47"/>
        <v>Pipelines</v>
      </c>
    </row>
    <row r="19" spans="1:94" ht="11.5" x14ac:dyDescent="0.3">
      <c r="A19" s="3" t="str">
        <f>Data!A19</f>
        <v>Warrego Highway upgrade pipeline protection</v>
      </c>
      <c r="B19" s="31" t="s">
        <v>26</v>
      </c>
      <c r="C19" s="3" t="str">
        <f>Data!N19</f>
        <v>Pipelines</v>
      </c>
      <c r="D19" s="3" t="str">
        <f>Data!O19</f>
        <v>Replacement</v>
      </c>
      <c r="E19" s="3" t="str">
        <f>Data!P19</f>
        <v>Pipeline Relocation</v>
      </c>
      <c r="F19" s="3" t="str">
        <f>Data!Q19</f>
        <v>Yes</v>
      </c>
      <c r="G19" s="22">
        <f>Data!H19+Data!J19</f>
        <v>0</v>
      </c>
      <c r="H19" s="7">
        <f>Data!C19*Inputs!$J$15</f>
        <v>0</v>
      </c>
      <c r="I19" s="7">
        <f>Data!D19*Inputs!$J$15</f>
        <v>306749.54156396998</v>
      </c>
      <c r="J19" s="7">
        <f>Data!E19*Inputs!$J$15</f>
        <v>0</v>
      </c>
      <c r="K19" s="7">
        <f>Data!F19*Inputs!$J$15</f>
        <v>0</v>
      </c>
      <c r="L19" s="7">
        <f>Data!G19*Inputs!$J$15</f>
        <v>0</v>
      </c>
      <c r="M19" s="7">
        <f t="shared" si="9"/>
        <v>306749.54156396998</v>
      </c>
      <c r="O19" s="7">
        <f>H19*Inputs!$C$3</f>
        <v>0</v>
      </c>
      <c r="P19" s="7">
        <f>I19*Inputs!$C$3</f>
        <v>24978.766434162924</v>
      </c>
      <c r="Q19" s="7">
        <f>J19*Inputs!$C$3</f>
        <v>0</v>
      </c>
      <c r="R19" s="7">
        <f>K19*Inputs!$C$3</f>
        <v>0</v>
      </c>
      <c r="S19" s="7">
        <f>L19*Inputs!$C$3</f>
        <v>0</v>
      </c>
      <c r="T19" s="7">
        <f t="shared" si="10"/>
        <v>24978.766434162924</v>
      </c>
      <c r="V19" s="7">
        <f t="shared" si="11"/>
        <v>0</v>
      </c>
      <c r="W19" s="7">
        <f t="shared" si="12"/>
        <v>331728.30799813289</v>
      </c>
      <c r="X19" s="7">
        <f t="shared" si="13"/>
        <v>0</v>
      </c>
      <c r="Y19" s="7">
        <f t="shared" si="14"/>
        <v>0</v>
      </c>
      <c r="Z19" s="7">
        <f t="shared" si="15"/>
        <v>0</v>
      </c>
      <c r="AA19" s="7">
        <f t="shared" si="16"/>
        <v>331728.30799813289</v>
      </c>
      <c r="AC19" s="7">
        <f t="shared" si="17"/>
        <v>0</v>
      </c>
      <c r="AD19" s="7">
        <f t="shared" si="18"/>
        <v>24978.766434162924</v>
      </c>
      <c r="AE19" s="7">
        <f t="shared" si="19"/>
        <v>0</v>
      </c>
      <c r="AF19" s="7">
        <f t="shared" si="20"/>
        <v>0</v>
      </c>
      <c r="AG19" s="7">
        <f t="shared" si="21"/>
        <v>0</v>
      </c>
      <c r="AH19" s="7">
        <f t="shared" si="22"/>
        <v>24978.766434162924</v>
      </c>
      <c r="AJ19" s="7">
        <f>AC19*(Inputs!K$39-1)</f>
        <v>0</v>
      </c>
      <c r="AK19" s="7">
        <f>AD19*(Inputs!L$39-1)</f>
        <v>470.16136615233501</v>
      </c>
      <c r="AL19" s="7">
        <f>AE19*(Inputs!M$39-1)</f>
        <v>0</v>
      </c>
      <c r="AM19" s="7">
        <f>AF19*(Inputs!N$39-1)</f>
        <v>0</v>
      </c>
      <c r="AN19" s="7">
        <f>AG19*(Inputs!O$39-1)</f>
        <v>0</v>
      </c>
      <c r="AO19" s="7">
        <f t="shared" si="23"/>
        <v>470.16136615233501</v>
      </c>
      <c r="AQ19" s="7">
        <f t="shared" si="24"/>
        <v>0</v>
      </c>
      <c r="AR19" s="7">
        <f t="shared" si="25"/>
        <v>332198.46936428524</v>
      </c>
      <c r="AS19" s="7">
        <f t="shared" si="26"/>
        <v>0</v>
      </c>
      <c r="AT19" s="7">
        <f t="shared" si="27"/>
        <v>0</v>
      </c>
      <c r="AU19" s="7">
        <f t="shared" si="28"/>
        <v>0</v>
      </c>
      <c r="AV19" s="7">
        <f t="shared" si="29"/>
        <v>332198.46936428524</v>
      </c>
      <c r="AX19" s="27">
        <f>IFERROR(Data!H19/(Data!H19+Data!J19),0)</f>
        <v>0</v>
      </c>
      <c r="AZ19" s="15">
        <f>(H19*Data!$H19)+O19+(AJ19*$AX19)</f>
        <v>0</v>
      </c>
      <c r="BA19" s="15">
        <f>(I19*Data!$H19)+P19+(AK19*$AX19)</f>
        <v>24978.766434162924</v>
      </c>
      <c r="BB19" s="15">
        <f>(J19*Data!$H19)+Q19+(AL19*$AX19)</f>
        <v>0</v>
      </c>
      <c r="BC19" s="15">
        <f>(K19*Data!$H19)+R19+(AM19*$AX19)</f>
        <v>0</v>
      </c>
      <c r="BD19" s="15">
        <f>(L19*Data!$H19)+S19+(AN19*$AX19)</f>
        <v>0</v>
      </c>
      <c r="BE19" s="7">
        <f t="shared" si="30"/>
        <v>24978.766434162924</v>
      </c>
      <c r="BG19" s="15">
        <f>H19*Data!$I19</f>
        <v>0</v>
      </c>
      <c r="BH19" s="15">
        <f>I19*Data!$I19</f>
        <v>306749.54156396998</v>
      </c>
      <c r="BI19" s="15">
        <f>J19*Data!$I19</f>
        <v>0</v>
      </c>
      <c r="BJ19" s="15">
        <f>K19*Data!$I19</f>
        <v>0</v>
      </c>
      <c r="BK19" s="15">
        <f>L19*Data!$I19</f>
        <v>0</v>
      </c>
      <c r="BL19" s="7">
        <f t="shared" si="31"/>
        <v>306749.54156396998</v>
      </c>
      <c r="BN19" s="15">
        <f>H19*Data!$J19+(AJ19*(1-$AX19))</f>
        <v>0</v>
      </c>
      <c r="BO19" s="15">
        <f>I19*Data!$J19+(AK19*(1-$AX19))</f>
        <v>470.16136615233501</v>
      </c>
      <c r="BP19" s="15">
        <f>J19*Data!$J19+(AL19*(1-$AX19))</f>
        <v>0</v>
      </c>
      <c r="BQ19" s="15">
        <f>K19*Data!$J19+(AM19*(1-$AX19))</f>
        <v>0</v>
      </c>
      <c r="BR19" s="15">
        <f>L19*Data!$J19+(AN19*(1-$AX19))</f>
        <v>0</v>
      </c>
      <c r="BS19" s="7">
        <f t="shared" si="32"/>
        <v>470.16136615233501</v>
      </c>
      <c r="BU19" s="15">
        <f>H19*Data!$K19</f>
        <v>0</v>
      </c>
      <c r="BV19" s="15">
        <f>I19*Data!$K19</f>
        <v>0</v>
      </c>
      <c r="BW19" s="15">
        <f>J19*Data!$K19</f>
        <v>0</v>
      </c>
      <c r="BX19" s="15">
        <f>K19*Data!$K19</f>
        <v>0</v>
      </c>
      <c r="BY19" s="15">
        <f>L19*Data!$K19</f>
        <v>0</v>
      </c>
      <c r="BZ19" s="7">
        <f t="shared" si="33"/>
        <v>0</v>
      </c>
      <c r="CB19" s="15">
        <f t="shared" si="34"/>
        <v>0</v>
      </c>
      <c r="CC19" s="15">
        <f t="shared" si="35"/>
        <v>332198.46936428524</v>
      </c>
      <c r="CD19" s="15">
        <f t="shared" si="36"/>
        <v>0</v>
      </c>
      <c r="CE19" s="15">
        <f t="shared" si="37"/>
        <v>0</v>
      </c>
      <c r="CF19" s="15">
        <f t="shared" si="38"/>
        <v>0</v>
      </c>
      <c r="CG19" s="7">
        <f t="shared" si="39"/>
        <v>332198.46936428524</v>
      </c>
      <c r="CI19" s="18">
        <f t="shared" si="40"/>
        <v>0</v>
      </c>
      <c r="CJ19" s="15">
        <f t="shared" si="41"/>
        <v>0</v>
      </c>
      <c r="CK19" s="15">
        <f t="shared" si="42"/>
        <v>332198.46936428524</v>
      </c>
      <c r="CL19" s="15">
        <f t="shared" si="43"/>
        <v>0</v>
      </c>
      <c r="CM19" s="15">
        <f t="shared" si="44"/>
        <v>0</v>
      </c>
      <c r="CN19" s="15">
        <f t="shared" si="45"/>
        <v>0</v>
      </c>
      <c r="CO19" s="7">
        <f t="shared" si="46"/>
        <v>332198.46936428524</v>
      </c>
      <c r="CP19" s="15" t="str">
        <f t="shared" si="47"/>
        <v>Pipelines</v>
      </c>
    </row>
    <row r="20" spans="1:94" ht="11.5" x14ac:dyDescent="0.3">
      <c r="A20" s="3" t="str">
        <f>Data!A20</f>
        <v>Oakey &amp; Kogan Decommissioning</v>
      </c>
      <c r="B20" s="31" t="s">
        <v>26</v>
      </c>
      <c r="C20" s="3" t="str">
        <f>Data!N20</f>
        <v xml:space="preserve">Compressors </v>
      </c>
      <c r="D20" s="3" t="str">
        <f>Data!O20</f>
        <v>Replacement</v>
      </c>
      <c r="E20" s="3" t="str">
        <f>Data!P20</f>
        <v>Minor Projects</v>
      </c>
      <c r="F20" s="3" t="str">
        <f>Data!Q20</f>
        <v>Yes</v>
      </c>
      <c r="G20" s="22">
        <f>Data!H20+Data!J20</f>
        <v>0</v>
      </c>
      <c r="H20" s="7">
        <f>Data!C20*Inputs!$J$15</f>
        <v>0</v>
      </c>
      <c r="I20" s="7">
        <f>Data!D20*Inputs!$J$15</f>
        <v>0</v>
      </c>
      <c r="J20" s="7">
        <f>Data!E20*Inputs!$J$15</f>
        <v>0</v>
      </c>
      <c r="K20" s="7">
        <f>Data!F20*Inputs!$J$15</f>
        <v>0</v>
      </c>
      <c r="L20" s="7">
        <f>Data!G20*Inputs!$J$15</f>
        <v>0</v>
      </c>
      <c r="M20" s="7">
        <f t="shared" si="9"/>
        <v>0</v>
      </c>
      <c r="O20" s="7">
        <f>H20*Inputs!$C$3</f>
        <v>0</v>
      </c>
      <c r="P20" s="7">
        <f>I20*Inputs!$C$3</f>
        <v>0</v>
      </c>
      <c r="Q20" s="7">
        <f>J20*Inputs!$C$3</f>
        <v>0</v>
      </c>
      <c r="R20" s="7">
        <f>K20*Inputs!$C$3</f>
        <v>0</v>
      </c>
      <c r="S20" s="7">
        <f>L20*Inputs!$C$3</f>
        <v>0</v>
      </c>
      <c r="T20" s="7">
        <f t="shared" si="10"/>
        <v>0</v>
      </c>
      <c r="V20" s="7">
        <f t="shared" si="11"/>
        <v>0</v>
      </c>
      <c r="W20" s="7">
        <f t="shared" si="12"/>
        <v>0</v>
      </c>
      <c r="X20" s="7">
        <f t="shared" si="13"/>
        <v>0</v>
      </c>
      <c r="Y20" s="7">
        <f t="shared" si="14"/>
        <v>0</v>
      </c>
      <c r="Z20" s="7">
        <f t="shared" si="15"/>
        <v>0</v>
      </c>
      <c r="AA20" s="7">
        <f t="shared" si="16"/>
        <v>0</v>
      </c>
      <c r="AC20" s="7">
        <f t="shared" si="17"/>
        <v>0</v>
      </c>
      <c r="AD20" s="7">
        <f t="shared" si="18"/>
        <v>0</v>
      </c>
      <c r="AE20" s="7">
        <f t="shared" si="19"/>
        <v>0</v>
      </c>
      <c r="AF20" s="7">
        <f t="shared" si="20"/>
        <v>0</v>
      </c>
      <c r="AG20" s="7">
        <f t="shared" si="21"/>
        <v>0</v>
      </c>
      <c r="AH20" s="7">
        <f t="shared" si="22"/>
        <v>0</v>
      </c>
      <c r="AJ20" s="7">
        <f>AC20*(Inputs!K$39-1)</f>
        <v>0</v>
      </c>
      <c r="AK20" s="7">
        <f>AD20*(Inputs!L$39-1)</f>
        <v>0</v>
      </c>
      <c r="AL20" s="7">
        <f>AE20*(Inputs!M$39-1)</f>
        <v>0</v>
      </c>
      <c r="AM20" s="7">
        <f>AF20*(Inputs!N$39-1)</f>
        <v>0</v>
      </c>
      <c r="AN20" s="7">
        <f>AG20*(Inputs!O$39-1)</f>
        <v>0</v>
      </c>
      <c r="AO20" s="7">
        <f t="shared" si="23"/>
        <v>0</v>
      </c>
      <c r="AQ20" s="7">
        <f t="shared" si="24"/>
        <v>0</v>
      </c>
      <c r="AR20" s="7">
        <f t="shared" si="25"/>
        <v>0</v>
      </c>
      <c r="AS20" s="7">
        <f t="shared" si="26"/>
        <v>0</v>
      </c>
      <c r="AT20" s="7">
        <f t="shared" si="27"/>
        <v>0</v>
      </c>
      <c r="AU20" s="7">
        <f t="shared" si="28"/>
        <v>0</v>
      </c>
      <c r="AV20" s="7">
        <f t="shared" si="29"/>
        <v>0</v>
      </c>
      <c r="AX20" s="27">
        <f>IFERROR(Data!H20/(Data!H20+Data!J20),0)</f>
        <v>0</v>
      </c>
      <c r="AZ20" s="15">
        <f>(H20*Data!$H20)+O20+(AJ20*$AX20)</f>
        <v>0</v>
      </c>
      <c r="BA20" s="15">
        <f>(I20*Data!$H20)+P20+(AK20*$AX20)</f>
        <v>0</v>
      </c>
      <c r="BB20" s="15">
        <f>(J20*Data!$H20)+Q20+(AL20*$AX20)</f>
        <v>0</v>
      </c>
      <c r="BC20" s="15">
        <f>(K20*Data!$H20)+R20+(AM20*$AX20)</f>
        <v>0</v>
      </c>
      <c r="BD20" s="15">
        <f>(L20*Data!$H20)+S20+(AN20*$AX20)</f>
        <v>0</v>
      </c>
      <c r="BE20" s="7">
        <f t="shared" si="30"/>
        <v>0</v>
      </c>
      <c r="BG20" s="15">
        <f>H20*Data!$I20</f>
        <v>0</v>
      </c>
      <c r="BH20" s="15">
        <f>I20*Data!$I20</f>
        <v>0</v>
      </c>
      <c r="BI20" s="15">
        <f>J20*Data!$I20</f>
        <v>0</v>
      </c>
      <c r="BJ20" s="15">
        <f>K20*Data!$I20</f>
        <v>0</v>
      </c>
      <c r="BK20" s="15">
        <f>L20*Data!$I20</f>
        <v>0</v>
      </c>
      <c r="BL20" s="7">
        <f t="shared" si="31"/>
        <v>0</v>
      </c>
      <c r="BN20" s="15">
        <f>H20*Data!$J20+(AJ20*(1-$AX20))</f>
        <v>0</v>
      </c>
      <c r="BO20" s="15">
        <f>I20*Data!$J20+(AK20*(1-$AX20))</f>
        <v>0</v>
      </c>
      <c r="BP20" s="15">
        <f>J20*Data!$J20+(AL20*(1-$AX20))</f>
        <v>0</v>
      </c>
      <c r="BQ20" s="15">
        <f>K20*Data!$J20+(AM20*(1-$AX20))</f>
        <v>0</v>
      </c>
      <c r="BR20" s="15">
        <f>L20*Data!$J20+(AN20*(1-$AX20))</f>
        <v>0</v>
      </c>
      <c r="BS20" s="7">
        <f t="shared" si="32"/>
        <v>0</v>
      </c>
      <c r="BU20" s="15">
        <f>H20*Data!$K20</f>
        <v>0</v>
      </c>
      <c r="BV20" s="15">
        <f>I20*Data!$K20</f>
        <v>0</v>
      </c>
      <c r="BW20" s="15">
        <f>J20*Data!$K20</f>
        <v>0</v>
      </c>
      <c r="BX20" s="15">
        <f>K20*Data!$K20</f>
        <v>0</v>
      </c>
      <c r="BY20" s="15">
        <f>L20*Data!$K20</f>
        <v>0</v>
      </c>
      <c r="BZ20" s="7">
        <f t="shared" si="33"/>
        <v>0</v>
      </c>
      <c r="CB20" s="15">
        <f t="shared" si="34"/>
        <v>0</v>
      </c>
      <c r="CC20" s="15">
        <f t="shared" si="35"/>
        <v>0</v>
      </c>
      <c r="CD20" s="15">
        <f t="shared" si="36"/>
        <v>0</v>
      </c>
      <c r="CE20" s="15">
        <f t="shared" si="37"/>
        <v>0</v>
      </c>
      <c r="CF20" s="15">
        <f t="shared" si="38"/>
        <v>0</v>
      </c>
      <c r="CG20" s="7">
        <f t="shared" si="39"/>
        <v>0</v>
      </c>
      <c r="CI20" s="18">
        <f t="shared" si="40"/>
        <v>0</v>
      </c>
      <c r="CJ20" s="15">
        <f t="shared" si="41"/>
        <v>0</v>
      </c>
      <c r="CK20" s="15">
        <f t="shared" si="42"/>
        <v>0</v>
      </c>
      <c r="CL20" s="15">
        <f t="shared" si="43"/>
        <v>0</v>
      </c>
      <c r="CM20" s="15">
        <f t="shared" si="44"/>
        <v>0</v>
      </c>
      <c r="CN20" s="15">
        <f t="shared" si="45"/>
        <v>0</v>
      </c>
      <c r="CO20" s="7">
        <f t="shared" si="46"/>
        <v>0</v>
      </c>
      <c r="CP20" s="15" t="str">
        <f t="shared" si="47"/>
        <v xml:space="preserve">Compressors </v>
      </c>
    </row>
    <row r="21" spans="1:94" ht="11.5" x14ac:dyDescent="0.3">
      <c r="A21" s="3" t="str">
        <f>Data!A21</f>
        <v>Gas Measurement Upgrade - including shades - FEED</v>
      </c>
      <c r="B21" s="31" t="s">
        <v>26</v>
      </c>
      <c r="C21" s="3" t="str">
        <f>Data!N21</f>
        <v>Regulators and meters</v>
      </c>
      <c r="D21" s="3" t="str">
        <f>Data!O21</f>
        <v>Replacement</v>
      </c>
      <c r="E21" s="3" t="str">
        <f>Data!P21</f>
        <v>Minor Projects</v>
      </c>
      <c r="F21" s="3" t="str">
        <f>Data!Q21</f>
        <v>Yes</v>
      </c>
      <c r="G21" s="22">
        <f>Data!H21+Data!J21</f>
        <v>0</v>
      </c>
      <c r="H21" s="7">
        <f>Data!C21*Inputs!$J$15</f>
        <v>0</v>
      </c>
      <c r="I21" s="7">
        <f>Data!D21*Inputs!$J$15</f>
        <v>0</v>
      </c>
      <c r="J21" s="7">
        <f>Data!E21*Inputs!$J$15</f>
        <v>0</v>
      </c>
      <c r="K21" s="7">
        <f>Data!F21*Inputs!$J$15</f>
        <v>0</v>
      </c>
      <c r="L21" s="7">
        <f>Data!G21*Inputs!$J$15</f>
        <v>0</v>
      </c>
      <c r="M21" s="7">
        <f t="shared" si="9"/>
        <v>0</v>
      </c>
      <c r="O21" s="7">
        <f>H21*Inputs!$C$3</f>
        <v>0</v>
      </c>
      <c r="P21" s="7">
        <f>I21*Inputs!$C$3</f>
        <v>0</v>
      </c>
      <c r="Q21" s="7">
        <f>J21*Inputs!$C$3</f>
        <v>0</v>
      </c>
      <c r="R21" s="7">
        <f>K21*Inputs!$C$3</f>
        <v>0</v>
      </c>
      <c r="S21" s="7">
        <f>L21*Inputs!$C$3</f>
        <v>0</v>
      </c>
      <c r="T21" s="7">
        <f t="shared" si="10"/>
        <v>0</v>
      </c>
      <c r="V21" s="7">
        <f t="shared" si="11"/>
        <v>0</v>
      </c>
      <c r="W21" s="7">
        <f t="shared" si="12"/>
        <v>0</v>
      </c>
      <c r="X21" s="7">
        <f t="shared" si="13"/>
        <v>0</v>
      </c>
      <c r="Y21" s="7">
        <f t="shared" si="14"/>
        <v>0</v>
      </c>
      <c r="Z21" s="7">
        <f t="shared" si="15"/>
        <v>0</v>
      </c>
      <c r="AA21" s="7">
        <f t="shared" si="16"/>
        <v>0</v>
      </c>
      <c r="AC21" s="7">
        <f t="shared" si="17"/>
        <v>0</v>
      </c>
      <c r="AD21" s="7">
        <f t="shared" si="18"/>
        <v>0</v>
      </c>
      <c r="AE21" s="7">
        <f t="shared" si="19"/>
        <v>0</v>
      </c>
      <c r="AF21" s="7">
        <f t="shared" si="20"/>
        <v>0</v>
      </c>
      <c r="AG21" s="7">
        <f t="shared" si="21"/>
        <v>0</v>
      </c>
      <c r="AH21" s="7">
        <f t="shared" si="22"/>
        <v>0</v>
      </c>
      <c r="AJ21" s="7">
        <f>AC21*(Inputs!K$39-1)</f>
        <v>0</v>
      </c>
      <c r="AK21" s="7">
        <f>AD21*(Inputs!L$39-1)</f>
        <v>0</v>
      </c>
      <c r="AL21" s="7">
        <f>AE21*(Inputs!M$39-1)</f>
        <v>0</v>
      </c>
      <c r="AM21" s="7">
        <f>AF21*(Inputs!N$39-1)</f>
        <v>0</v>
      </c>
      <c r="AN21" s="7">
        <f>AG21*(Inputs!O$39-1)</f>
        <v>0</v>
      </c>
      <c r="AO21" s="7">
        <f t="shared" si="23"/>
        <v>0</v>
      </c>
      <c r="AQ21" s="7">
        <f t="shared" si="24"/>
        <v>0</v>
      </c>
      <c r="AR21" s="7">
        <f t="shared" si="25"/>
        <v>0</v>
      </c>
      <c r="AS21" s="7">
        <f t="shared" si="26"/>
        <v>0</v>
      </c>
      <c r="AT21" s="7">
        <f t="shared" si="27"/>
        <v>0</v>
      </c>
      <c r="AU21" s="7">
        <f t="shared" si="28"/>
        <v>0</v>
      </c>
      <c r="AV21" s="7">
        <f t="shared" si="29"/>
        <v>0</v>
      </c>
      <c r="AX21" s="27">
        <f>IFERROR(Data!H21/(Data!H21+Data!J21),0)</f>
        <v>0</v>
      </c>
      <c r="AZ21" s="15">
        <f>(H21*Data!$H21)+O21+(AJ21*$AX21)</f>
        <v>0</v>
      </c>
      <c r="BA21" s="15">
        <f>(I21*Data!$H21)+P21+(AK21*$AX21)</f>
        <v>0</v>
      </c>
      <c r="BB21" s="15">
        <f>(J21*Data!$H21)+Q21+(AL21*$AX21)</f>
        <v>0</v>
      </c>
      <c r="BC21" s="15">
        <f>(K21*Data!$H21)+R21+(AM21*$AX21)</f>
        <v>0</v>
      </c>
      <c r="BD21" s="15">
        <f>(L21*Data!$H21)+S21+(AN21*$AX21)</f>
        <v>0</v>
      </c>
      <c r="BE21" s="7">
        <f t="shared" si="30"/>
        <v>0</v>
      </c>
      <c r="BG21" s="15">
        <f>H21*Data!$I21</f>
        <v>0</v>
      </c>
      <c r="BH21" s="15">
        <f>I21*Data!$I21</f>
        <v>0</v>
      </c>
      <c r="BI21" s="15">
        <f>J21*Data!$I21</f>
        <v>0</v>
      </c>
      <c r="BJ21" s="15">
        <f>K21*Data!$I21</f>
        <v>0</v>
      </c>
      <c r="BK21" s="15">
        <f>L21*Data!$I21</f>
        <v>0</v>
      </c>
      <c r="BL21" s="7">
        <f t="shared" si="31"/>
        <v>0</v>
      </c>
      <c r="BN21" s="15">
        <f>H21*Data!$J21+(AJ21*(1-$AX21))</f>
        <v>0</v>
      </c>
      <c r="BO21" s="15">
        <f>I21*Data!$J21+(AK21*(1-$AX21))</f>
        <v>0</v>
      </c>
      <c r="BP21" s="15">
        <f>J21*Data!$J21+(AL21*(1-$AX21))</f>
        <v>0</v>
      </c>
      <c r="BQ21" s="15">
        <f>K21*Data!$J21+(AM21*(1-$AX21))</f>
        <v>0</v>
      </c>
      <c r="BR21" s="15">
        <f>L21*Data!$J21+(AN21*(1-$AX21))</f>
        <v>0</v>
      </c>
      <c r="BS21" s="7">
        <f t="shared" si="32"/>
        <v>0</v>
      </c>
      <c r="BU21" s="15">
        <f>H21*Data!$K21</f>
        <v>0</v>
      </c>
      <c r="BV21" s="15">
        <f>I21*Data!$K21</f>
        <v>0</v>
      </c>
      <c r="BW21" s="15">
        <f>J21*Data!$K21</f>
        <v>0</v>
      </c>
      <c r="BX21" s="15">
        <f>K21*Data!$K21</f>
        <v>0</v>
      </c>
      <c r="BY21" s="15">
        <f>L21*Data!$K21</f>
        <v>0</v>
      </c>
      <c r="BZ21" s="7">
        <f t="shared" si="33"/>
        <v>0</v>
      </c>
      <c r="CB21" s="15">
        <f t="shared" si="34"/>
        <v>0</v>
      </c>
      <c r="CC21" s="15">
        <f t="shared" si="35"/>
        <v>0</v>
      </c>
      <c r="CD21" s="15">
        <f t="shared" si="36"/>
        <v>0</v>
      </c>
      <c r="CE21" s="15">
        <f t="shared" si="37"/>
        <v>0</v>
      </c>
      <c r="CF21" s="15">
        <f t="shared" si="38"/>
        <v>0</v>
      </c>
      <c r="CG21" s="7">
        <f t="shared" si="39"/>
        <v>0</v>
      </c>
      <c r="CI21" s="18">
        <f t="shared" si="40"/>
        <v>0</v>
      </c>
      <c r="CJ21" s="15">
        <f t="shared" si="41"/>
        <v>0</v>
      </c>
      <c r="CK21" s="15">
        <f t="shared" si="42"/>
        <v>0</v>
      </c>
      <c r="CL21" s="15">
        <f t="shared" si="43"/>
        <v>0</v>
      </c>
      <c r="CM21" s="15">
        <f t="shared" si="44"/>
        <v>0</v>
      </c>
      <c r="CN21" s="15">
        <f t="shared" si="45"/>
        <v>0</v>
      </c>
      <c r="CO21" s="7">
        <f t="shared" si="46"/>
        <v>0</v>
      </c>
      <c r="CP21" s="15" t="str">
        <f t="shared" si="47"/>
        <v>Regulators and meters</v>
      </c>
    </row>
    <row r="22" spans="1:94" ht="11.5" x14ac:dyDescent="0.3">
      <c r="A22" s="3" t="str">
        <f>Data!A22</f>
        <v>Group IT</v>
      </c>
      <c r="B22" s="31" t="s">
        <v>26</v>
      </c>
      <c r="C22" s="3" t="str">
        <f>Data!N22</f>
        <v>Group IT</v>
      </c>
      <c r="D22" s="3" t="str">
        <f>Data!O22</f>
        <v>Non-network</v>
      </c>
      <c r="E22" s="3" t="str">
        <f>Data!P22</f>
        <v>Group IT</v>
      </c>
      <c r="F22" s="3" t="str">
        <f>Data!Q22</f>
        <v>Yes</v>
      </c>
      <c r="G22" s="22">
        <f>Data!H22+Data!J22</f>
        <v>0</v>
      </c>
      <c r="H22" s="7">
        <f>Data!C22*Inputs!$J$15</f>
        <v>1024023.5429804698</v>
      </c>
      <c r="I22" s="7">
        <f>Data!D22*Inputs!$J$15</f>
        <v>873411.30054031021</v>
      </c>
      <c r="J22" s="7">
        <f>Data!E22*Inputs!$J$15</f>
        <v>411372.39528854861</v>
      </c>
      <c r="K22" s="7">
        <f>Data!F22*Inputs!$J$15</f>
        <v>394079.52701229748</v>
      </c>
      <c r="L22" s="7">
        <f>Data!G22*Inputs!$J$15</f>
        <v>346849.2651458215</v>
      </c>
      <c r="M22" s="7">
        <f t="shared" si="9"/>
        <v>3049736.0309674474</v>
      </c>
      <c r="O22" s="7">
        <f>H22*Inputs!$C$3</f>
        <v>83386.742072306908</v>
      </c>
      <c r="P22" s="7">
        <f>I22*Inputs!$C$3</f>
        <v>71122.312900360746</v>
      </c>
      <c r="Q22" s="7">
        <f>J22*Inputs!$C$3</f>
        <v>33498.257004670755</v>
      </c>
      <c r="R22" s="7">
        <f>K22*Inputs!$C$3</f>
        <v>32090.090213460924</v>
      </c>
      <c r="S22" s="7">
        <f>L22*Inputs!$C$3</f>
        <v>28244.106699444725</v>
      </c>
      <c r="T22" s="7">
        <f t="shared" si="10"/>
        <v>248341.50889024406</v>
      </c>
      <c r="V22" s="7">
        <f t="shared" si="11"/>
        <v>1107410.2850527766</v>
      </c>
      <c r="W22" s="7">
        <f t="shared" si="12"/>
        <v>944533.613440671</v>
      </c>
      <c r="X22" s="7">
        <f t="shared" si="13"/>
        <v>444870.65229321935</v>
      </c>
      <c r="Y22" s="7">
        <f t="shared" si="14"/>
        <v>426169.61722575838</v>
      </c>
      <c r="Z22" s="7">
        <f t="shared" si="15"/>
        <v>375093.3718452662</v>
      </c>
      <c r="AA22" s="7">
        <f t="shared" si="16"/>
        <v>3298077.5398576916</v>
      </c>
      <c r="AC22" s="7">
        <f t="shared" si="17"/>
        <v>83386.742072306908</v>
      </c>
      <c r="AD22" s="7">
        <f t="shared" si="18"/>
        <v>71122.312900360746</v>
      </c>
      <c r="AE22" s="7">
        <f t="shared" si="19"/>
        <v>33498.257004670755</v>
      </c>
      <c r="AF22" s="7">
        <f t="shared" si="20"/>
        <v>32090.090213460924</v>
      </c>
      <c r="AG22" s="7">
        <f t="shared" si="21"/>
        <v>28244.106699444725</v>
      </c>
      <c r="AH22" s="7">
        <f t="shared" si="22"/>
        <v>248341.50889024406</v>
      </c>
      <c r="AJ22" s="7">
        <f>AC22*(Inputs!K$39-1)</f>
        <v>941.35175911078807</v>
      </c>
      <c r="AK22" s="7">
        <f>AD22*(Inputs!L$39-1)</f>
        <v>1338.6955631008941</v>
      </c>
      <c r="AL22" s="7">
        <f>AE22*(Inputs!M$39-1)</f>
        <v>945.49235812930033</v>
      </c>
      <c r="AM22" s="7">
        <f>AF22*(Inputs!N$39-1)</f>
        <v>1218.778430563963</v>
      </c>
      <c r="AN22" s="7">
        <f>AG22*(Inputs!O$39-1)</f>
        <v>1256.3215114417808</v>
      </c>
      <c r="AO22" s="7">
        <f t="shared" si="23"/>
        <v>5700.6396223467264</v>
      </c>
      <c r="AQ22" s="7">
        <f t="shared" si="24"/>
        <v>1108351.6368118874</v>
      </c>
      <c r="AR22" s="7">
        <f t="shared" si="25"/>
        <v>945872.30900377186</v>
      </c>
      <c r="AS22" s="7">
        <f t="shared" si="26"/>
        <v>445816.14465134864</v>
      </c>
      <c r="AT22" s="7">
        <f t="shared" si="27"/>
        <v>427388.39565632236</v>
      </c>
      <c r="AU22" s="7">
        <f t="shared" si="28"/>
        <v>376349.69335670798</v>
      </c>
      <c r="AV22" s="7">
        <f t="shared" si="29"/>
        <v>3303778.1794800381</v>
      </c>
      <c r="AX22" s="27">
        <f>IFERROR(Data!H22/(Data!H22+Data!J22),0)</f>
        <v>0</v>
      </c>
      <c r="AZ22" s="15">
        <f>(H22*Data!$H22)+O22+(AJ22*$AX22)</f>
        <v>83386.742072306908</v>
      </c>
      <c r="BA22" s="15">
        <f>(I22*Data!$H22)+P22+(AK22*$AX22)</f>
        <v>71122.312900360746</v>
      </c>
      <c r="BB22" s="15">
        <f>(J22*Data!$H22)+Q22+(AL22*$AX22)</f>
        <v>33498.257004670755</v>
      </c>
      <c r="BC22" s="15">
        <f>(K22*Data!$H22)+R22+(AM22*$AX22)</f>
        <v>32090.090213460924</v>
      </c>
      <c r="BD22" s="15">
        <f>(L22*Data!$H22)+S22+(AN22*$AX22)</f>
        <v>28244.106699444725</v>
      </c>
      <c r="BE22" s="7">
        <f t="shared" si="30"/>
        <v>248341.50889024406</v>
      </c>
      <c r="BG22" s="15">
        <f>H22*Data!$I22</f>
        <v>1024023.5429804698</v>
      </c>
      <c r="BH22" s="15">
        <f>I22*Data!$I22</f>
        <v>873411.30054031021</v>
      </c>
      <c r="BI22" s="15">
        <f>J22*Data!$I22</f>
        <v>411372.39528854861</v>
      </c>
      <c r="BJ22" s="15">
        <f>K22*Data!$I22</f>
        <v>394079.52701229748</v>
      </c>
      <c r="BK22" s="15">
        <f>L22*Data!$I22</f>
        <v>346849.2651458215</v>
      </c>
      <c r="BL22" s="7">
        <f t="shared" si="31"/>
        <v>3049736.0309674474</v>
      </c>
      <c r="BN22" s="15">
        <f>H22*Data!$J22+(AJ22*(1-$AX22))</f>
        <v>941.35175911078807</v>
      </c>
      <c r="BO22" s="15">
        <f>I22*Data!$J22+(AK22*(1-$AX22))</f>
        <v>1338.6955631008941</v>
      </c>
      <c r="BP22" s="15">
        <f>J22*Data!$J22+(AL22*(1-$AX22))</f>
        <v>945.49235812930033</v>
      </c>
      <c r="BQ22" s="15">
        <f>K22*Data!$J22+(AM22*(1-$AX22))</f>
        <v>1218.778430563963</v>
      </c>
      <c r="BR22" s="15">
        <f>L22*Data!$J22+(AN22*(1-$AX22))</f>
        <v>1256.3215114417808</v>
      </c>
      <c r="BS22" s="7">
        <f t="shared" si="32"/>
        <v>5700.6396223467264</v>
      </c>
      <c r="BU22" s="15">
        <f>H22*Data!$K22</f>
        <v>0</v>
      </c>
      <c r="BV22" s="15">
        <f>I22*Data!$K22</f>
        <v>0</v>
      </c>
      <c r="BW22" s="15">
        <f>J22*Data!$K22</f>
        <v>0</v>
      </c>
      <c r="BX22" s="15">
        <f>K22*Data!$K22</f>
        <v>0</v>
      </c>
      <c r="BY22" s="15">
        <f>L22*Data!$K22</f>
        <v>0</v>
      </c>
      <c r="BZ22" s="7">
        <f t="shared" si="33"/>
        <v>0</v>
      </c>
      <c r="CB22" s="15">
        <f t="shared" si="34"/>
        <v>1108351.6368118874</v>
      </c>
      <c r="CC22" s="15">
        <f t="shared" si="35"/>
        <v>945872.30900377186</v>
      </c>
      <c r="CD22" s="15">
        <f t="shared" si="36"/>
        <v>445816.14465134864</v>
      </c>
      <c r="CE22" s="15">
        <f t="shared" si="37"/>
        <v>427388.39565632236</v>
      </c>
      <c r="CF22" s="15">
        <f t="shared" si="38"/>
        <v>376349.69335670798</v>
      </c>
      <c r="CG22" s="7">
        <f t="shared" si="39"/>
        <v>3303778.1794800381</v>
      </c>
      <c r="CI22" s="18">
        <f t="shared" si="40"/>
        <v>0</v>
      </c>
      <c r="CJ22" s="15">
        <f t="shared" si="41"/>
        <v>1108351.6368118874</v>
      </c>
      <c r="CK22" s="15">
        <f t="shared" si="42"/>
        <v>945872.30900377186</v>
      </c>
      <c r="CL22" s="15">
        <f t="shared" si="43"/>
        <v>445816.14465134864</v>
      </c>
      <c r="CM22" s="15">
        <f t="shared" si="44"/>
        <v>427388.39565632236</v>
      </c>
      <c r="CN22" s="15">
        <f t="shared" si="45"/>
        <v>376349.69335670798</v>
      </c>
      <c r="CO22" s="7">
        <f t="shared" si="46"/>
        <v>3303778.1794800381</v>
      </c>
      <c r="CP22" s="15" t="str">
        <f t="shared" si="47"/>
        <v>Group IT</v>
      </c>
    </row>
    <row r="23" spans="1:94" ht="11.5" x14ac:dyDescent="0.3">
      <c r="A23" s="3" t="str">
        <f>Data!A23</f>
        <v>Access Arrangement</v>
      </c>
      <c r="B23" s="31" t="s">
        <v>26</v>
      </c>
      <c r="C23" s="3" t="str">
        <f>Data!N23</f>
        <v>Capitalised AA costs</v>
      </c>
      <c r="D23" s="3" t="str">
        <f>Data!O23</f>
        <v>Non-network</v>
      </c>
      <c r="E23" s="3" t="str">
        <f>Data!P23</f>
        <v>Access Arrangement</v>
      </c>
      <c r="F23" s="3" t="str">
        <f>Data!Q23</f>
        <v>Yes</v>
      </c>
      <c r="G23" s="22">
        <f>Data!H23+Data!J23</f>
        <v>1</v>
      </c>
      <c r="H23" s="7">
        <f>Data!C23*Inputs!$J$15</f>
        <v>666111.23904956609</v>
      </c>
      <c r="I23" s="7">
        <f>Data!D23*Inputs!$J$15</f>
        <v>46328.481062659914</v>
      </c>
      <c r="J23" s="7">
        <f>Data!E23*Inputs!$J$15</f>
        <v>0</v>
      </c>
      <c r="K23" s="7">
        <f>Data!F23*Inputs!$J$15</f>
        <v>0</v>
      </c>
      <c r="L23" s="7">
        <f>Data!G23*Inputs!$J$15</f>
        <v>0</v>
      </c>
      <c r="M23" s="7">
        <f t="shared" si="9"/>
        <v>712439.72011222597</v>
      </c>
      <c r="O23" s="7">
        <f>H23*Inputs!$C$3</f>
        <v>54241.766669177348</v>
      </c>
      <c r="P23" s="7">
        <f>I23*Inputs!$C$3</f>
        <v>3772.5510584744989</v>
      </c>
      <c r="Q23" s="7">
        <f>J23*Inputs!$C$3</f>
        <v>0</v>
      </c>
      <c r="R23" s="7">
        <f>K23*Inputs!$C$3</f>
        <v>0</v>
      </c>
      <c r="S23" s="7">
        <f>L23*Inputs!$C$3</f>
        <v>0</v>
      </c>
      <c r="T23" s="7">
        <f t="shared" si="10"/>
        <v>58014.317727651847</v>
      </c>
      <c r="V23" s="7">
        <f t="shared" si="11"/>
        <v>720353.00571874343</v>
      </c>
      <c r="W23" s="7">
        <f t="shared" si="12"/>
        <v>50101.032121134413</v>
      </c>
      <c r="X23" s="7">
        <f t="shared" si="13"/>
        <v>0</v>
      </c>
      <c r="Y23" s="7">
        <f t="shared" si="14"/>
        <v>0</v>
      </c>
      <c r="Z23" s="7">
        <f t="shared" si="15"/>
        <v>0</v>
      </c>
      <c r="AA23" s="7">
        <f t="shared" si="16"/>
        <v>770454.03783987788</v>
      </c>
      <c r="AC23" s="7">
        <f t="shared" si="17"/>
        <v>720353.00571874343</v>
      </c>
      <c r="AD23" s="7">
        <f t="shared" si="18"/>
        <v>50101.032121134413</v>
      </c>
      <c r="AE23" s="7">
        <f t="shared" si="19"/>
        <v>0</v>
      </c>
      <c r="AF23" s="7">
        <f t="shared" si="20"/>
        <v>0</v>
      </c>
      <c r="AG23" s="7">
        <f t="shared" si="21"/>
        <v>0</v>
      </c>
      <c r="AH23" s="7">
        <f t="shared" si="22"/>
        <v>770454.03783987788</v>
      </c>
      <c r="AJ23" s="7">
        <f>AC23*(Inputs!K$39-1)</f>
        <v>8132.0549557635786</v>
      </c>
      <c r="AK23" s="7">
        <f>AD23*(Inputs!L$39-1)</f>
        <v>943.02373857414057</v>
      </c>
      <c r="AL23" s="7">
        <f>AE23*(Inputs!M$39-1)</f>
        <v>0</v>
      </c>
      <c r="AM23" s="7">
        <f>AF23*(Inputs!N$39-1)</f>
        <v>0</v>
      </c>
      <c r="AN23" s="7">
        <f>AG23*(Inputs!O$39-1)</f>
        <v>0</v>
      </c>
      <c r="AO23" s="7">
        <f t="shared" si="23"/>
        <v>9075.0786943377188</v>
      </c>
      <c r="AQ23" s="7">
        <f t="shared" si="24"/>
        <v>728485.06067450705</v>
      </c>
      <c r="AR23" s="7">
        <f t="shared" si="25"/>
        <v>51044.055859708555</v>
      </c>
      <c r="AS23" s="7">
        <f t="shared" si="26"/>
        <v>0</v>
      </c>
      <c r="AT23" s="7">
        <f t="shared" si="27"/>
        <v>0</v>
      </c>
      <c r="AU23" s="7">
        <f t="shared" si="28"/>
        <v>0</v>
      </c>
      <c r="AV23" s="7">
        <f t="shared" si="29"/>
        <v>779529.11653421563</v>
      </c>
      <c r="AX23" s="27">
        <f>IFERROR(Data!H23/(Data!H23+Data!J23),0)</f>
        <v>1</v>
      </c>
      <c r="AZ23" s="15">
        <f>(H23*Data!$H23)+O23+(AJ23*$AX23)</f>
        <v>728485.06067450705</v>
      </c>
      <c r="BA23" s="15">
        <f>(I23*Data!$H23)+P23+(AK23*$AX23)</f>
        <v>51044.055859708555</v>
      </c>
      <c r="BB23" s="15">
        <f>(J23*Data!$H23)+Q23+(AL23*$AX23)</f>
        <v>0</v>
      </c>
      <c r="BC23" s="15">
        <f>(K23*Data!$H23)+R23+(AM23*$AX23)</f>
        <v>0</v>
      </c>
      <c r="BD23" s="15">
        <f>(L23*Data!$H23)+S23+(AN23*$AX23)</f>
        <v>0</v>
      </c>
      <c r="BE23" s="7">
        <f t="shared" si="30"/>
        <v>779529.11653421563</v>
      </c>
      <c r="BG23" s="15">
        <f>H23*Data!$I23</f>
        <v>0</v>
      </c>
      <c r="BH23" s="15">
        <f>I23*Data!$I23</f>
        <v>0</v>
      </c>
      <c r="BI23" s="15">
        <f>J23*Data!$I23</f>
        <v>0</v>
      </c>
      <c r="BJ23" s="15">
        <f>K23*Data!$I23</f>
        <v>0</v>
      </c>
      <c r="BK23" s="15">
        <f>L23*Data!$I23</f>
        <v>0</v>
      </c>
      <c r="BL23" s="7">
        <f t="shared" si="31"/>
        <v>0</v>
      </c>
      <c r="BN23" s="15">
        <f>H23*Data!$J23+(AJ23*(1-$AX23))</f>
        <v>0</v>
      </c>
      <c r="BO23" s="15">
        <f>I23*Data!$J23+(AK23*(1-$AX23))</f>
        <v>0</v>
      </c>
      <c r="BP23" s="15">
        <f>J23*Data!$J23+(AL23*(1-$AX23))</f>
        <v>0</v>
      </c>
      <c r="BQ23" s="15">
        <f>K23*Data!$J23+(AM23*(1-$AX23))</f>
        <v>0</v>
      </c>
      <c r="BR23" s="15">
        <f>L23*Data!$J23+(AN23*(1-$AX23))</f>
        <v>0</v>
      </c>
      <c r="BS23" s="7">
        <f t="shared" si="32"/>
        <v>0</v>
      </c>
      <c r="BU23" s="15">
        <f>H23*Data!$K23</f>
        <v>0</v>
      </c>
      <c r="BV23" s="15">
        <f>I23*Data!$K23</f>
        <v>0</v>
      </c>
      <c r="BW23" s="15">
        <f>J23*Data!$K23</f>
        <v>0</v>
      </c>
      <c r="BX23" s="15">
        <f>K23*Data!$K23</f>
        <v>0</v>
      </c>
      <c r="BY23" s="15">
        <f>L23*Data!$K23</f>
        <v>0</v>
      </c>
      <c r="BZ23" s="7">
        <f t="shared" si="33"/>
        <v>0</v>
      </c>
      <c r="CB23" s="15">
        <f t="shared" si="34"/>
        <v>728485.06067450705</v>
      </c>
      <c r="CC23" s="15">
        <f t="shared" si="35"/>
        <v>51044.055859708555</v>
      </c>
      <c r="CD23" s="15">
        <f t="shared" si="36"/>
        <v>0</v>
      </c>
      <c r="CE23" s="15">
        <f t="shared" si="37"/>
        <v>0</v>
      </c>
      <c r="CF23" s="15">
        <f t="shared" si="38"/>
        <v>0</v>
      </c>
      <c r="CG23" s="7">
        <f t="shared" si="39"/>
        <v>779529.11653421563</v>
      </c>
      <c r="CI23" s="18">
        <f t="shared" si="40"/>
        <v>0</v>
      </c>
      <c r="CJ23" s="15">
        <f t="shared" si="41"/>
        <v>728485.06067450705</v>
      </c>
      <c r="CK23" s="15">
        <f t="shared" si="42"/>
        <v>51044.055859708555</v>
      </c>
      <c r="CL23" s="15">
        <f t="shared" si="43"/>
        <v>0</v>
      </c>
      <c r="CM23" s="15">
        <f t="shared" si="44"/>
        <v>0</v>
      </c>
      <c r="CN23" s="15">
        <f t="shared" si="45"/>
        <v>0</v>
      </c>
      <c r="CO23" s="7">
        <f t="shared" si="46"/>
        <v>779529.11653421563</v>
      </c>
      <c r="CP23" s="15" t="str">
        <f t="shared" si="47"/>
        <v>Capitalised AA costs</v>
      </c>
    </row>
    <row r="24" spans="1:94" ht="11.5" x14ac:dyDescent="0.3">
      <c r="A24" s="3" t="str">
        <f>Data!A24</f>
        <v>Minor Projects</v>
      </c>
      <c r="B24" s="31" t="s">
        <v>26</v>
      </c>
      <c r="C24" s="3" t="str">
        <f>Data!N24</f>
        <v>SIB Capex</v>
      </c>
      <c r="D24" s="3" t="str">
        <f>Data!O24</f>
        <v>Replacement</v>
      </c>
      <c r="E24" s="3" t="str">
        <f>Data!P24</f>
        <v>Minor Projects</v>
      </c>
      <c r="F24" s="3" t="str">
        <f>Data!Q24</f>
        <v>Yes</v>
      </c>
      <c r="G24" s="22">
        <f>Data!H24+Data!J24</f>
        <v>0.5</v>
      </c>
      <c r="H24" s="7">
        <f>Data!C24*Inputs!$J$15</f>
        <v>366936.68056334462</v>
      </c>
      <c r="I24" s="7">
        <f>Data!D24*Inputs!$J$15</f>
        <v>366936.68056334462</v>
      </c>
      <c r="J24" s="7">
        <f>Data!E24*Inputs!$J$15</f>
        <v>366936.68056334462</v>
      </c>
      <c r="K24" s="7">
        <f>Data!F24*Inputs!$J$15</f>
        <v>366936.68056334462</v>
      </c>
      <c r="L24" s="7">
        <f>Data!G24*Inputs!$J$15</f>
        <v>366936.68056334462</v>
      </c>
      <c r="M24" s="7">
        <f t="shared" si="9"/>
        <v>1834683.4028167231</v>
      </c>
      <c r="O24" s="7">
        <f>H24*Inputs!$C$3</f>
        <v>29879.834842417928</v>
      </c>
      <c r="P24" s="7">
        <f>I24*Inputs!$C$3</f>
        <v>29879.834842417928</v>
      </c>
      <c r="Q24" s="7">
        <f>J24*Inputs!$C$3</f>
        <v>29879.834842417928</v>
      </c>
      <c r="R24" s="7">
        <f>K24*Inputs!$C$3</f>
        <v>29879.834842417928</v>
      </c>
      <c r="S24" s="7">
        <f>L24*Inputs!$C$3</f>
        <v>29879.834842417928</v>
      </c>
      <c r="T24" s="7">
        <f t="shared" si="10"/>
        <v>149399.17421208962</v>
      </c>
      <c r="V24" s="7">
        <f t="shared" si="11"/>
        <v>396816.51540576253</v>
      </c>
      <c r="W24" s="7">
        <f t="shared" si="12"/>
        <v>396816.51540576253</v>
      </c>
      <c r="X24" s="7">
        <f t="shared" si="13"/>
        <v>396816.51540576253</v>
      </c>
      <c r="Y24" s="7">
        <f t="shared" si="14"/>
        <v>396816.51540576253</v>
      </c>
      <c r="Z24" s="7">
        <f t="shared" si="15"/>
        <v>396816.51540576253</v>
      </c>
      <c r="AA24" s="7">
        <f t="shared" si="16"/>
        <v>1984082.5770288126</v>
      </c>
      <c r="AC24" s="7">
        <f t="shared" si="17"/>
        <v>213348.17512409022</v>
      </c>
      <c r="AD24" s="7">
        <f t="shared" si="18"/>
        <v>213348.17512409022</v>
      </c>
      <c r="AE24" s="7">
        <f t="shared" si="19"/>
        <v>213348.17512409022</v>
      </c>
      <c r="AF24" s="7">
        <f t="shared" si="20"/>
        <v>213348.17512409022</v>
      </c>
      <c r="AG24" s="7">
        <f t="shared" si="21"/>
        <v>213348.17512409022</v>
      </c>
      <c r="AH24" s="7">
        <f t="shared" si="22"/>
        <v>1066740.8756204511</v>
      </c>
      <c r="AJ24" s="7">
        <f>AC24*(Inputs!K$39-1)</f>
        <v>2408.4845500018305</v>
      </c>
      <c r="AK24" s="7">
        <f>AD24*(Inputs!L$39-1)</f>
        <v>4015.7335129752714</v>
      </c>
      <c r="AL24" s="7">
        <f>AE24*(Inputs!M$39-1)</f>
        <v>6021.7780636327661</v>
      </c>
      <c r="AM24" s="7">
        <f>AF24*(Inputs!N$39-1)</f>
        <v>8102.9424445915429</v>
      </c>
      <c r="AN24" s="7">
        <f>AG24*(Inputs!O$39-1)</f>
        <v>9489.905440716675</v>
      </c>
      <c r="AO24" s="7">
        <f t="shared" si="23"/>
        <v>30038.844011918089</v>
      </c>
      <c r="AQ24" s="7">
        <f t="shared" si="24"/>
        <v>399224.99995576439</v>
      </c>
      <c r="AR24" s="7">
        <f t="shared" si="25"/>
        <v>400832.24891873781</v>
      </c>
      <c r="AS24" s="7">
        <f t="shared" si="26"/>
        <v>402838.29346939531</v>
      </c>
      <c r="AT24" s="7">
        <f t="shared" si="27"/>
        <v>404919.45785035408</v>
      </c>
      <c r="AU24" s="7">
        <f t="shared" si="28"/>
        <v>406306.42084647919</v>
      </c>
      <c r="AV24" s="7">
        <f t="shared" si="29"/>
        <v>2014121.4210407308</v>
      </c>
      <c r="AX24" s="27">
        <f>IFERROR(Data!H24/(Data!H24+Data!J24),0)</f>
        <v>0.5</v>
      </c>
      <c r="AZ24" s="15">
        <f>(H24*Data!$H24)+O24+(AJ24*$AX24)</f>
        <v>122818.247258255</v>
      </c>
      <c r="BA24" s="15">
        <f>(I24*Data!$H24)+P24+(AK24*$AX24)</f>
        <v>123621.87173974172</v>
      </c>
      <c r="BB24" s="15">
        <f>(J24*Data!$H24)+Q24+(AL24*$AX24)</f>
        <v>124624.89401507046</v>
      </c>
      <c r="BC24" s="15">
        <f>(K24*Data!$H24)+R24+(AM24*$AX24)</f>
        <v>125665.47620554986</v>
      </c>
      <c r="BD24" s="15">
        <f>(L24*Data!$H24)+S24+(AN24*$AX24)</f>
        <v>126358.95770361242</v>
      </c>
      <c r="BE24" s="7">
        <f t="shared" si="30"/>
        <v>623089.44692222949</v>
      </c>
      <c r="BG24" s="15">
        <f>H24*Data!$I24</f>
        <v>91734.170140836155</v>
      </c>
      <c r="BH24" s="15">
        <f>I24*Data!$I24</f>
        <v>91734.170140836155</v>
      </c>
      <c r="BI24" s="15">
        <f>J24*Data!$I24</f>
        <v>91734.170140836155</v>
      </c>
      <c r="BJ24" s="15">
        <f>K24*Data!$I24</f>
        <v>91734.170140836155</v>
      </c>
      <c r="BK24" s="15">
        <f>L24*Data!$I24</f>
        <v>91734.170140836155</v>
      </c>
      <c r="BL24" s="7">
        <f t="shared" si="31"/>
        <v>458670.85070418078</v>
      </c>
      <c r="BN24" s="15">
        <f>H24*Data!$J24+(AJ24*(1-$AX24))</f>
        <v>92938.412415837069</v>
      </c>
      <c r="BO24" s="15">
        <f>I24*Data!$J24+(AK24*(1-$AX24))</f>
        <v>93742.036897323793</v>
      </c>
      <c r="BP24" s="15">
        <f>J24*Data!$J24+(AL24*(1-$AX24))</f>
        <v>94745.059172652545</v>
      </c>
      <c r="BQ24" s="15">
        <f>K24*Data!$J24+(AM24*(1-$AX24))</f>
        <v>95785.64136313193</v>
      </c>
      <c r="BR24" s="15">
        <f>L24*Data!$J24+(AN24*(1-$AX24))</f>
        <v>96479.122861194497</v>
      </c>
      <c r="BS24" s="7">
        <f t="shared" si="32"/>
        <v>473690.2727101398</v>
      </c>
      <c r="BU24" s="15">
        <f>H24*Data!$K24</f>
        <v>91734.170140836155</v>
      </c>
      <c r="BV24" s="15">
        <f>I24*Data!$K24</f>
        <v>91734.170140836155</v>
      </c>
      <c r="BW24" s="15">
        <f>J24*Data!$K24</f>
        <v>91734.170140836155</v>
      </c>
      <c r="BX24" s="15">
        <f>K24*Data!$K24</f>
        <v>91734.170140836155</v>
      </c>
      <c r="BY24" s="15">
        <f>L24*Data!$K24</f>
        <v>91734.170140836155</v>
      </c>
      <c r="BZ24" s="7">
        <f t="shared" si="33"/>
        <v>458670.85070418078</v>
      </c>
      <c r="CB24" s="15">
        <f t="shared" si="34"/>
        <v>399224.99995576439</v>
      </c>
      <c r="CC24" s="15">
        <f t="shared" si="35"/>
        <v>400832.24891873781</v>
      </c>
      <c r="CD24" s="15">
        <f t="shared" si="36"/>
        <v>402838.29346939531</v>
      </c>
      <c r="CE24" s="15">
        <f t="shared" si="37"/>
        <v>404919.45785035408</v>
      </c>
      <c r="CF24" s="15">
        <f t="shared" si="38"/>
        <v>406306.42084647925</v>
      </c>
      <c r="CG24" s="7">
        <f t="shared" si="39"/>
        <v>2014121.4210407308</v>
      </c>
      <c r="CI24" s="18">
        <f t="shared" si="40"/>
        <v>0</v>
      </c>
      <c r="CJ24" s="15">
        <f t="shared" si="41"/>
        <v>399224.99995576439</v>
      </c>
      <c r="CK24" s="15">
        <f t="shared" si="42"/>
        <v>400832.24891873781</v>
      </c>
      <c r="CL24" s="15">
        <f t="shared" si="43"/>
        <v>402838.29346939531</v>
      </c>
      <c r="CM24" s="15">
        <f t="shared" si="44"/>
        <v>404919.45785035408</v>
      </c>
      <c r="CN24" s="15">
        <f t="shared" si="45"/>
        <v>406306.42084647925</v>
      </c>
      <c r="CO24" s="7">
        <f t="shared" si="46"/>
        <v>2014121.4210407308</v>
      </c>
      <c r="CP24" s="15" t="str">
        <f t="shared" si="47"/>
        <v>SIB Capex</v>
      </c>
    </row>
    <row r="25" spans="1:94" ht="11.5" x14ac:dyDescent="0.3">
      <c r="A25" s="3" t="str">
        <f>Data!A25</f>
        <v>Property leases</v>
      </c>
      <c r="B25" s="31" t="s">
        <v>26</v>
      </c>
      <c r="C25" s="3" t="str">
        <f>Data!N25</f>
        <v>SIB Capex</v>
      </c>
      <c r="D25" s="3" t="str">
        <f>Data!O25</f>
        <v>Non-network</v>
      </c>
      <c r="E25" s="3" t="str">
        <f>Data!P25</f>
        <v>Property Leases</v>
      </c>
      <c r="F25" s="3" t="str">
        <f>Data!Q25</f>
        <v>Yes</v>
      </c>
      <c r="G25" s="22">
        <f>Data!H25+Data!J25</f>
        <v>0</v>
      </c>
      <c r="H25" s="7">
        <f>Data!C25*Inputs!$J$15</f>
        <v>0</v>
      </c>
      <c r="I25" s="7">
        <f>Data!D25*Inputs!$J$15</f>
        <v>0</v>
      </c>
      <c r="J25" s="7">
        <f>Data!E25*Inputs!$J$15</f>
        <v>540528.88866497343</v>
      </c>
      <c r="K25" s="7">
        <f>Data!F25*Inputs!$J$15</f>
        <v>0</v>
      </c>
      <c r="L25" s="7">
        <f>Data!G25*Inputs!$J$15</f>
        <v>1325254.0120582099</v>
      </c>
      <c r="M25" s="7">
        <f t="shared" si="9"/>
        <v>1865782.9007231833</v>
      </c>
      <c r="O25" s="7">
        <f>H25*Inputs!$C$3</f>
        <v>0</v>
      </c>
      <c r="P25" s="7">
        <f>I25*Inputs!$C$3</f>
        <v>0</v>
      </c>
      <c r="Q25" s="7">
        <f>J25*Inputs!$C$3</f>
        <v>44015.533950078796</v>
      </c>
      <c r="R25" s="7">
        <f>K25*Inputs!$C$3</f>
        <v>0</v>
      </c>
      <c r="S25" s="7">
        <f>L25*Inputs!$C$3</f>
        <v>107916.08771234617</v>
      </c>
      <c r="T25" s="7">
        <f t="shared" si="10"/>
        <v>151931.62166242496</v>
      </c>
      <c r="V25" s="7">
        <f t="shared" si="11"/>
        <v>0</v>
      </c>
      <c r="W25" s="7">
        <f t="shared" si="12"/>
        <v>0</v>
      </c>
      <c r="X25" s="7">
        <f t="shared" si="13"/>
        <v>584544.4226150522</v>
      </c>
      <c r="Y25" s="7">
        <f t="shared" si="14"/>
        <v>0</v>
      </c>
      <c r="Z25" s="7">
        <f t="shared" si="15"/>
        <v>1433170.099770556</v>
      </c>
      <c r="AA25" s="7">
        <f t="shared" si="16"/>
        <v>2017714.5223856082</v>
      </c>
      <c r="AC25" s="7">
        <f t="shared" si="17"/>
        <v>0</v>
      </c>
      <c r="AD25" s="7">
        <f t="shared" si="18"/>
        <v>0</v>
      </c>
      <c r="AE25" s="7">
        <f t="shared" si="19"/>
        <v>44015.533950078796</v>
      </c>
      <c r="AF25" s="7">
        <f t="shared" si="20"/>
        <v>0</v>
      </c>
      <c r="AG25" s="7">
        <f t="shared" si="21"/>
        <v>107916.08771234617</v>
      </c>
      <c r="AH25" s="7">
        <f t="shared" si="22"/>
        <v>151931.62166242496</v>
      </c>
      <c r="AJ25" s="7">
        <f>AC25*(Inputs!K$39-1)</f>
        <v>0</v>
      </c>
      <c r="AK25" s="7">
        <f>AD25*(Inputs!L$39-1)</f>
        <v>0</v>
      </c>
      <c r="AL25" s="7">
        <f>AE25*(Inputs!M$39-1)</f>
        <v>1242.3437727813</v>
      </c>
      <c r="AM25" s="7">
        <f>AF25*(Inputs!N$39-1)</f>
        <v>0</v>
      </c>
      <c r="AN25" s="7">
        <f>AG25*(Inputs!O$39-1)</f>
        <v>4800.1979268235791</v>
      </c>
      <c r="AO25" s="7">
        <f t="shared" si="23"/>
        <v>6042.5416996048789</v>
      </c>
      <c r="AQ25" s="7">
        <f t="shared" si="24"/>
        <v>0</v>
      </c>
      <c r="AR25" s="7">
        <f t="shared" si="25"/>
        <v>0</v>
      </c>
      <c r="AS25" s="7">
        <f t="shared" si="26"/>
        <v>585786.76638783352</v>
      </c>
      <c r="AT25" s="7">
        <f t="shared" si="27"/>
        <v>0</v>
      </c>
      <c r="AU25" s="7">
        <f t="shared" si="28"/>
        <v>1437970.2976973795</v>
      </c>
      <c r="AV25" s="7">
        <f t="shared" si="29"/>
        <v>2023757.064085213</v>
      </c>
      <c r="AX25" s="27">
        <f>IFERROR(Data!H25/(Data!H25+Data!J25),0)</f>
        <v>0</v>
      </c>
      <c r="AZ25" s="15">
        <f>(H25*Data!$H25)+O25+(AJ25*$AX25)</f>
        <v>0</v>
      </c>
      <c r="BA25" s="15">
        <f>(I25*Data!$H25)+P25+(AK25*$AX25)</f>
        <v>0</v>
      </c>
      <c r="BB25" s="15">
        <f>(J25*Data!$H25)+Q25+(AL25*$AX25)</f>
        <v>44015.533950078796</v>
      </c>
      <c r="BC25" s="15">
        <f>(K25*Data!$H25)+R25+(AM25*$AX25)</f>
        <v>0</v>
      </c>
      <c r="BD25" s="15">
        <f>(L25*Data!$H25)+S25+(AN25*$AX25)</f>
        <v>107916.08771234617</v>
      </c>
      <c r="BE25" s="7">
        <f t="shared" si="30"/>
        <v>151931.62166242496</v>
      </c>
      <c r="BG25" s="15">
        <f>H25*Data!$I25</f>
        <v>0</v>
      </c>
      <c r="BH25" s="15">
        <f>I25*Data!$I25</f>
        <v>0</v>
      </c>
      <c r="BI25" s="15">
        <f>J25*Data!$I25</f>
        <v>540528.88866497343</v>
      </c>
      <c r="BJ25" s="15">
        <f>K25*Data!$I25</f>
        <v>0</v>
      </c>
      <c r="BK25" s="15">
        <f>L25*Data!$I25</f>
        <v>1325254.0120582099</v>
      </c>
      <c r="BL25" s="7">
        <f t="shared" si="31"/>
        <v>1865782.9007231833</v>
      </c>
      <c r="BN25" s="15">
        <f>H25*Data!$J25+(AJ25*(1-$AX25))</f>
        <v>0</v>
      </c>
      <c r="BO25" s="15">
        <f>I25*Data!$J25+(AK25*(1-$AX25))</f>
        <v>0</v>
      </c>
      <c r="BP25" s="15">
        <f>J25*Data!$J25+(AL25*(1-$AX25))</f>
        <v>1242.3437727813</v>
      </c>
      <c r="BQ25" s="15">
        <f>K25*Data!$J25+(AM25*(1-$AX25))</f>
        <v>0</v>
      </c>
      <c r="BR25" s="15">
        <f>L25*Data!$J25+(AN25*(1-$AX25))</f>
        <v>4800.1979268235791</v>
      </c>
      <c r="BS25" s="7">
        <f t="shared" si="32"/>
        <v>6042.5416996048789</v>
      </c>
      <c r="BU25" s="15">
        <f>H25*Data!$K25</f>
        <v>0</v>
      </c>
      <c r="BV25" s="15">
        <f>I25*Data!$K25</f>
        <v>0</v>
      </c>
      <c r="BW25" s="15">
        <f>J25*Data!$K25</f>
        <v>0</v>
      </c>
      <c r="BX25" s="15">
        <f>K25*Data!$K25</f>
        <v>0</v>
      </c>
      <c r="BY25" s="15">
        <f>L25*Data!$K25</f>
        <v>0</v>
      </c>
      <c r="BZ25" s="7">
        <f t="shared" si="33"/>
        <v>0</v>
      </c>
      <c r="CB25" s="15">
        <f t="shared" si="34"/>
        <v>0</v>
      </c>
      <c r="CC25" s="15">
        <f t="shared" si="35"/>
        <v>0</v>
      </c>
      <c r="CD25" s="15">
        <f t="shared" si="36"/>
        <v>585786.76638783352</v>
      </c>
      <c r="CE25" s="15">
        <f t="shared" si="37"/>
        <v>0</v>
      </c>
      <c r="CF25" s="15">
        <f t="shared" si="38"/>
        <v>1437970.2976973795</v>
      </c>
      <c r="CG25" s="7">
        <f t="shared" si="39"/>
        <v>2023757.064085213</v>
      </c>
      <c r="CI25" s="18">
        <f t="shared" si="40"/>
        <v>0</v>
      </c>
      <c r="CJ25" s="15">
        <f t="shared" si="41"/>
        <v>0</v>
      </c>
      <c r="CK25" s="15">
        <f t="shared" si="42"/>
        <v>0</v>
      </c>
      <c r="CL25" s="15">
        <f t="shared" si="43"/>
        <v>585786.76638783352</v>
      </c>
      <c r="CM25" s="15">
        <f t="shared" si="44"/>
        <v>0</v>
      </c>
      <c r="CN25" s="15">
        <f t="shared" si="45"/>
        <v>1437970.2976973795</v>
      </c>
      <c r="CO25" s="7">
        <f t="shared" si="46"/>
        <v>2023757.064085213</v>
      </c>
      <c r="CP25" s="15" t="str">
        <f t="shared" si="47"/>
        <v>SIB Capex</v>
      </c>
    </row>
    <row r="26" spans="1:94" ht="11.5" x14ac:dyDescent="0.3">
      <c r="A26" s="3" t="str">
        <f>Data!A26</f>
        <v>Motor vehicle leases</v>
      </c>
      <c r="B26" s="31" t="s">
        <v>26</v>
      </c>
      <c r="C26" s="3" t="str">
        <f>Data!N26</f>
        <v>SIB Capex</v>
      </c>
      <c r="D26" s="3" t="str">
        <f>Data!O26</f>
        <v>Non-network</v>
      </c>
      <c r="E26" s="3" t="str">
        <f>Data!P26</f>
        <v>Vehicle Leases</v>
      </c>
      <c r="F26" s="3" t="str">
        <f>Data!Q26</f>
        <v>Yes</v>
      </c>
      <c r="G26" s="22">
        <f>Data!H26+Data!J26</f>
        <v>0</v>
      </c>
      <c r="H26" s="7">
        <f>Data!C26*Inputs!$J$15</f>
        <v>108515.74837006682</v>
      </c>
      <c r="I26" s="7">
        <f>Data!D26*Inputs!$J$15</f>
        <v>108515.74837006682</v>
      </c>
      <c r="J26" s="7">
        <f>Data!E26*Inputs!$J$15</f>
        <v>108515.74837006682</v>
      </c>
      <c r="K26" s="7">
        <f>Data!F26*Inputs!$J$15</f>
        <v>108515.74837006682</v>
      </c>
      <c r="L26" s="7">
        <f>Data!G26*Inputs!$J$15</f>
        <v>108515.74837006682</v>
      </c>
      <c r="M26" s="7">
        <f>SUM(H26:L26)</f>
        <v>542578.7418503341</v>
      </c>
      <c r="O26" s="7">
        <f>H26*Inputs!$C$3</f>
        <v>8836.490901157631</v>
      </c>
      <c r="P26" s="7">
        <f>I26*Inputs!$C$3</f>
        <v>8836.490901157631</v>
      </c>
      <c r="Q26" s="7">
        <f>J26*Inputs!$C$3</f>
        <v>8836.490901157631</v>
      </c>
      <c r="R26" s="7">
        <f>K26*Inputs!$C$3</f>
        <v>8836.490901157631</v>
      </c>
      <c r="S26" s="7">
        <f>L26*Inputs!$C$3</f>
        <v>8836.490901157631</v>
      </c>
      <c r="T26" s="7">
        <f>SUM(O26:S26)</f>
        <v>44182.454505788155</v>
      </c>
      <c r="V26" s="7">
        <f t="shared" ref="V26:Z27" si="48">H26+O26</f>
        <v>117352.23927122445</v>
      </c>
      <c r="W26" s="7">
        <f t="shared" si="48"/>
        <v>117352.23927122445</v>
      </c>
      <c r="X26" s="7">
        <f t="shared" si="48"/>
        <v>117352.23927122445</v>
      </c>
      <c r="Y26" s="7">
        <f t="shared" si="48"/>
        <v>117352.23927122445</v>
      </c>
      <c r="Z26" s="7">
        <f t="shared" si="48"/>
        <v>117352.23927122445</v>
      </c>
      <c r="AA26" s="7">
        <f>SUM(V26:Z26)</f>
        <v>586761.19635612227</v>
      </c>
      <c r="AC26" s="7">
        <f t="shared" ref="AC26:AG27" si="49">IFERROR(H26*$G26+O26,0)</f>
        <v>8836.490901157631</v>
      </c>
      <c r="AD26" s="7">
        <f t="shared" si="49"/>
        <v>8836.490901157631</v>
      </c>
      <c r="AE26" s="7">
        <f t="shared" si="49"/>
        <v>8836.490901157631</v>
      </c>
      <c r="AF26" s="7">
        <f t="shared" si="49"/>
        <v>8836.490901157631</v>
      </c>
      <c r="AG26" s="7">
        <f t="shared" si="49"/>
        <v>8836.490901157631</v>
      </c>
      <c r="AH26" s="7">
        <f>SUM(AC26:AG26)</f>
        <v>44182.454505788155</v>
      </c>
      <c r="AJ26" s="7">
        <f>AC26*(Inputs!K$39-1)</f>
        <v>99.755021571153733</v>
      </c>
      <c r="AK26" s="7">
        <f>AD26*(Inputs!L$39-1)</f>
        <v>166.32433170914413</v>
      </c>
      <c r="AL26" s="7">
        <f>AE26*(Inputs!M$39-1)</f>
        <v>249.41102513359715</v>
      </c>
      <c r="AM26" s="7">
        <f>AF26*(Inputs!N$39-1)</f>
        <v>335.60904442979808</v>
      </c>
      <c r="AN26" s="7">
        <f>AG26*(Inputs!O$39-1)</f>
        <v>393.05451303234707</v>
      </c>
      <c r="AO26" s="7">
        <f>SUM(AJ26:AN26)</f>
        <v>1244.1539358760404</v>
      </c>
      <c r="AQ26" s="7">
        <f t="shared" ref="AQ26:AU27" si="50">V26+AJ26</f>
        <v>117451.9942927956</v>
      </c>
      <c r="AR26" s="7">
        <f t="shared" si="50"/>
        <v>117518.56360293359</v>
      </c>
      <c r="AS26" s="7">
        <f t="shared" si="50"/>
        <v>117601.65029635804</v>
      </c>
      <c r="AT26" s="7">
        <f t="shared" si="50"/>
        <v>117687.84831565425</v>
      </c>
      <c r="AU26" s="7">
        <f t="shared" si="50"/>
        <v>117745.29378425679</v>
      </c>
      <c r="AV26" s="7">
        <f>SUM(AQ26:AU26)</f>
        <v>588005.35029199836</v>
      </c>
      <c r="AX26" s="27">
        <f>IFERROR(Data!H26/(Data!H26+Data!J26),0)</f>
        <v>0</v>
      </c>
      <c r="AZ26" s="15">
        <f>(H26*Data!$H26)+O26+(AJ26*$AX26)</f>
        <v>8836.490901157631</v>
      </c>
      <c r="BA26" s="15">
        <f>(I26*Data!$H26)+P26+(AK26*$AX26)</f>
        <v>8836.490901157631</v>
      </c>
      <c r="BB26" s="15">
        <f>(J26*Data!$H26)+Q26+(AL26*$AX26)</f>
        <v>8836.490901157631</v>
      </c>
      <c r="BC26" s="15">
        <f>(K26*Data!$H26)+R26+(AM26*$AX26)</f>
        <v>8836.490901157631</v>
      </c>
      <c r="BD26" s="15">
        <f>(L26*Data!$H26)+S26+(AN26*$AX26)</f>
        <v>8836.490901157631</v>
      </c>
      <c r="BE26" s="7">
        <f>SUM(AZ26:BD26)</f>
        <v>44182.454505788155</v>
      </c>
      <c r="BG26" s="15">
        <f>H26*Data!$I26</f>
        <v>108515.74837006682</v>
      </c>
      <c r="BH26" s="15">
        <f>I26*Data!$I26</f>
        <v>108515.74837006682</v>
      </c>
      <c r="BI26" s="15">
        <f>J26*Data!$I26</f>
        <v>108515.74837006682</v>
      </c>
      <c r="BJ26" s="15">
        <f>K26*Data!$I26</f>
        <v>108515.74837006682</v>
      </c>
      <c r="BK26" s="15">
        <f>L26*Data!$I26</f>
        <v>108515.74837006682</v>
      </c>
      <c r="BL26" s="7">
        <f>SUM(BG26:BK26)</f>
        <v>542578.7418503341</v>
      </c>
      <c r="BN26" s="15">
        <f>H26*Data!$J26+(AJ26*(1-$AX26))</f>
        <v>99.755021571153733</v>
      </c>
      <c r="BO26" s="15">
        <f>I26*Data!$J26+(AK26*(1-$AX26))</f>
        <v>166.32433170914413</v>
      </c>
      <c r="BP26" s="15">
        <f>J26*Data!$J26+(AL26*(1-$AX26))</f>
        <v>249.41102513359715</v>
      </c>
      <c r="BQ26" s="15">
        <f>K26*Data!$J26+(AM26*(1-$AX26))</f>
        <v>335.60904442979808</v>
      </c>
      <c r="BR26" s="15">
        <f>L26*Data!$J26+(AN26*(1-$AX26))</f>
        <v>393.05451303234707</v>
      </c>
      <c r="BS26" s="7">
        <f>SUM(BN26:BR26)</f>
        <v>1244.1539358760404</v>
      </c>
      <c r="BU26" s="15">
        <f>H26*Data!$K26</f>
        <v>0</v>
      </c>
      <c r="BV26" s="15">
        <f>I26*Data!$K26</f>
        <v>0</v>
      </c>
      <c r="BW26" s="15">
        <f>J26*Data!$K26</f>
        <v>0</v>
      </c>
      <c r="BX26" s="15">
        <f>K26*Data!$K26</f>
        <v>0</v>
      </c>
      <c r="BY26" s="15">
        <f>L26*Data!$K26</f>
        <v>0</v>
      </c>
      <c r="BZ26" s="7">
        <f>SUM(BU26:BY26)</f>
        <v>0</v>
      </c>
      <c r="CB26" s="15">
        <f t="shared" ref="CB26:CF27" si="51">AZ26+BG26+BN26+BU26</f>
        <v>117451.9942927956</v>
      </c>
      <c r="CC26" s="15">
        <f t="shared" si="51"/>
        <v>117518.56360293359</v>
      </c>
      <c r="CD26" s="15">
        <f t="shared" si="51"/>
        <v>117601.65029635804</v>
      </c>
      <c r="CE26" s="15">
        <f t="shared" si="51"/>
        <v>117687.84831565425</v>
      </c>
      <c r="CF26" s="15">
        <f t="shared" si="51"/>
        <v>117745.29378425679</v>
      </c>
      <c r="CG26" s="7">
        <f>SUM(CB26:CF26)</f>
        <v>588005.35029199836</v>
      </c>
      <c r="CJ26" s="15">
        <f t="shared" si="41"/>
        <v>117451.9942927956</v>
      </c>
      <c r="CK26" s="15">
        <f t="shared" si="42"/>
        <v>117518.56360293359</v>
      </c>
      <c r="CL26" s="15">
        <f t="shared" si="43"/>
        <v>117601.65029635804</v>
      </c>
      <c r="CM26" s="15">
        <f t="shared" si="44"/>
        <v>117687.84831565425</v>
      </c>
      <c r="CN26" s="15">
        <f t="shared" si="45"/>
        <v>117745.29378425679</v>
      </c>
      <c r="CO26" s="7">
        <f t="shared" si="46"/>
        <v>588005.35029199836</v>
      </c>
      <c r="CP26" s="15" t="str">
        <f t="shared" si="47"/>
        <v>SIB Capex</v>
      </c>
    </row>
    <row r="27" spans="1:94" ht="11.5" x14ac:dyDescent="0.3">
      <c r="A27" s="3" t="str">
        <f>Data!A27</f>
        <v/>
      </c>
      <c r="B27" s="3">
        <f>Data!B27</f>
        <v>0</v>
      </c>
      <c r="C27" s="3" t="str">
        <f>Data!N27</f>
        <v/>
      </c>
      <c r="D27" s="3" t="str">
        <f>Data!O27</f>
        <v/>
      </c>
      <c r="E27" s="3" t="str">
        <f>Data!P27</f>
        <v/>
      </c>
      <c r="F27" s="3" t="str">
        <f>Data!Q27</f>
        <v/>
      </c>
      <c r="G27" s="22">
        <f>Data!H27+Data!J27</f>
        <v>0</v>
      </c>
      <c r="H27" s="7">
        <f>Data!C27*Inputs!$J$15</f>
        <v>0</v>
      </c>
      <c r="I27" s="7">
        <f>Data!D27*Inputs!$J$15</f>
        <v>0</v>
      </c>
      <c r="J27" s="7">
        <f>Data!E27*Inputs!$J$15</f>
        <v>0</v>
      </c>
      <c r="K27" s="7">
        <f>Data!F27*Inputs!$J$15</f>
        <v>0</v>
      </c>
      <c r="L27" s="7">
        <f>Data!G27*Inputs!$J$15</f>
        <v>0</v>
      </c>
      <c r="M27" s="7">
        <f>SUM(H27:L27)</f>
        <v>0</v>
      </c>
      <c r="O27" s="7">
        <f>H27*Inputs!$C$3</f>
        <v>0</v>
      </c>
      <c r="P27" s="7">
        <f>I27*Inputs!$C$3</f>
        <v>0</v>
      </c>
      <c r="Q27" s="7">
        <f>J27*Inputs!$C$3</f>
        <v>0</v>
      </c>
      <c r="R27" s="7">
        <f>K27*Inputs!$C$3</f>
        <v>0</v>
      </c>
      <c r="S27" s="7">
        <f>L27*Inputs!$C$3</f>
        <v>0</v>
      </c>
      <c r="T27" s="7">
        <f>SUM(O27:S27)</f>
        <v>0</v>
      </c>
      <c r="V27" s="7">
        <f t="shared" si="48"/>
        <v>0</v>
      </c>
      <c r="W27" s="7">
        <f t="shared" si="48"/>
        <v>0</v>
      </c>
      <c r="X27" s="7">
        <f t="shared" si="48"/>
        <v>0</v>
      </c>
      <c r="Y27" s="7">
        <f t="shared" si="48"/>
        <v>0</v>
      </c>
      <c r="Z27" s="7">
        <f t="shared" si="48"/>
        <v>0</v>
      </c>
      <c r="AA27" s="7">
        <f>SUM(V27:Z27)</f>
        <v>0</v>
      </c>
      <c r="AC27" s="7">
        <f t="shared" si="49"/>
        <v>0</v>
      </c>
      <c r="AD27" s="7">
        <f t="shared" si="49"/>
        <v>0</v>
      </c>
      <c r="AE27" s="7">
        <f t="shared" si="49"/>
        <v>0</v>
      </c>
      <c r="AF27" s="7">
        <f t="shared" si="49"/>
        <v>0</v>
      </c>
      <c r="AG27" s="7">
        <f t="shared" si="49"/>
        <v>0</v>
      </c>
      <c r="AH27" s="7">
        <f>SUM(AC27:AG27)</f>
        <v>0</v>
      </c>
      <c r="AJ27" s="7">
        <f>AC27*(Inputs!K$39-1)</f>
        <v>0</v>
      </c>
      <c r="AK27" s="7">
        <f>AD27*(Inputs!L$39-1)</f>
        <v>0</v>
      </c>
      <c r="AL27" s="7">
        <f>AE27*(Inputs!M$39-1)</f>
        <v>0</v>
      </c>
      <c r="AM27" s="7">
        <f>AF27*(Inputs!N$39-1)</f>
        <v>0</v>
      </c>
      <c r="AN27" s="7">
        <f>AG27*(Inputs!O$39-1)</f>
        <v>0</v>
      </c>
      <c r="AO27" s="7">
        <f>SUM(AJ27:AN27)</f>
        <v>0</v>
      </c>
      <c r="AQ27" s="7">
        <f t="shared" si="50"/>
        <v>0</v>
      </c>
      <c r="AR27" s="7">
        <f t="shared" si="50"/>
        <v>0</v>
      </c>
      <c r="AS27" s="7">
        <f t="shared" si="50"/>
        <v>0</v>
      </c>
      <c r="AT27" s="7">
        <f t="shared" si="50"/>
        <v>0</v>
      </c>
      <c r="AU27" s="7">
        <f t="shared" si="50"/>
        <v>0</v>
      </c>
      <c r="AV27" s="7">
        <f>SUM(AQ27:AU27)</f>
        <v>0</v>
      </c>
      <c r="AX27" s="27">
        <f>IFERROR(Data!H27/(Data!H27+Data!J27),0)</f>
        <v>0</v>
      </c>
      <c r="AZ27" s="15">
        <f>(H27*Data!$H27)+O27+(AJ27*$AX27)</f>
        <v>0</v>
      </c>
      <c r="BA27" s="15">
        <f>(I27*Data!$H27)+P27+(AK27*$AX27)</f>
        <v>0</v>
      </c>
      <c r="BB27" s="15">
        <f>(J27*Data!$H27)+Q27+(AL27*$AX27)</f>
        <v>0</v>
      </c>
      <c r="BC27" s="15">
        <f>(K27*Data!$H27)+R27+(AM27*$AX27)</f>
        <v>0</v>
      </c>
      <c r="BD27" s="15">
        <f>(L27*Data!$H27)+S27+(AN27*$AX27)</f>
        <v>0</v>
      </c>
      <c r="BE27" s="7">
        <f>SUM(AZ27:BD27)</f>
        <v>0</v>
      </c>
      <c r="BG27" s="15">
        <f>H27*Data!$I27</f>
        <v>0</v>
      </c>
      <c r="BH27" s="15">
        <f>I27*Data!$I27</f>
        <v>0</v>
      </c>
      <c r="BI27" s="15">
        <f>J27*Data!$I27</f>
        <v>0</v>
      </c>
      <c r="BJ27" s="15">
        <f>K27*Data!$I27</f>
        <v>0</v>
      </c>
      <c r="BK27" s="15">
        <f>L27*Data!$I27</f>
        <v>0</v>
      </c>
      <c r="BL27" s="7">
        <f>SUM(BG27:BK27)</f>
        <v>0</v>
      </c>
      <c r="BN27" s="15">
        <f>H27*Data!$J27+(AJ27*(1-$AX27))</f>
        <v>0</v>
      </c>
      <c r="BO27" s="15">
        <f>I27*Data!$J27+(AK27*(1-$AX27))</f>
        <v>0</v>
      </c>
      <c r="BP27" s="15">
        <f>J27*Data!$J27+(AL27*(1-$AX27))</f>
        <v>0</v>
      </c>
      <c r="BQ27" s="15">
        <f>K27*Data!$J27+(AM27*(1-$AX27))</f>
        <v>0</v>
      </c>
      <c r="BR27" s="15">
        <f>L27*Data!$J27+(AN27*(1-$AX27))</f>
        <v>0</v>
      </c>
      <c r="BS27" s="7">
        <f>SUM(BN27:BR27)</f>
        <v>0</v>
      </c>
      <c r="BU27" s="15">
        <f>H27*Data!$K27</f>
        <v>0</v>
      </c>
      <c r="BV27" s="15">
        <f>I27*Data!$K27</f>
        <v>0</v>
      </c>
      <c r="BW27" s="15">
        <f>J27*Data!$K27</f>
        <v>0</v>
      </c>
      <c r="BX27" s="15">
        <f>K27*Data!$K27</f>
        <v>0</v>
      </c>
      <c r="BY27" s="15">
        <f>L27*Data!$K27</f>
        <v>0</v>
      </c>
      <c r="BZ27" s="7">
        <f>SUM(BU27:BY27)</f>
        <v>0</v>
      </c>
      <c r="CB27" s="15">
        <f t="shared" si="51"/>
        <v>0</v>
      </c>
      <c r="CC27" s="15">
        <f t="shared" si="51"/>
        <v>0</v>
      </c>
      <c r="CD27" s="15">
        <f t="shared" si="51"/>
        <v>0</v>
      </c>
      <c r="CE27" s="15">
        <f t="shared" si="51"/>
        <v>0</v>
      </c>
      <c r="CF27" s="15">
        <f t="shared" si="51"/>
        <v>0</v>
      </c>
      <c r="CG27" s="7">
        <f>SUM(CB27:CF27)</f>
        <v>0</v>
      </c>
      <c r="CJ27" s="15">
        <f t="shared" si="41"/>
        <v>0</v>
      </c>
      <c r="CK27" s="15">
        <f t="shared" si="42"/>
        <v>0</v>
      </c>
      <c r="CL27" s="15">
        <f t="shared" si="43"/>
        <v>0</v>
      </c>
      <c r="CM27" s="15">
        <f t="shared" si="44"/>
        <v>0</v>
      </c>
      <c r="CN27" s="15">
        <f t="shared" si="45"/>
        <v>0</v>
      </c>
      <c r="CO27" s="7">
        <f t="shared" si="46"/>
        <v>0</v>
      </c>
      <c r="CP27" s="15" t="str">
        <f t="shared" si="47"/>
        <v/>
      </c>
    </row>
  </sheetData>
  <autoFilter ref="A4:CP27" xr:uid="{00000000-0009-0000-0000-000002000000}"/>
  <mergeCells count="1">
    <mergeCell ref="CJ2:CN2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F93"/>
  <sheetViews>
    <sheetView tabSelected="1" workbookViewId="0">
      <selection activeCell="I18" sqref="I18"/>
    </sheetView>
  </sheetViews>
  <sheetFormatPr defaultRowHeight="10.5" x14ac:dyDescent="0.25"/>
  <cols>
    <col min="1" max="1" width="35.375" bestFit="1" customWidth="1"/>
    <col min="2" max="2" width="14.375" customWidth="1"/>
    <col min="3" max="3" width="11.625" customWidth="1"/>
    <col min="4" max="4" width="14.375" customWidth="1"/>
    <col min="5" max="6" width="10.625" customWidth="1"/>
    <col min="7" max="7" width="21.125" bestFit="1" customWidth="1"/>
    <col min="8" max="8" width="11.625" customWidth="1"/>
    <col min="9" max="9" width="16.5" bestFit="1" customWidth="1"/>
    <col min="10" max="10" width="21" bestFit="1" customWidth="1"/>
    <col min="11" max="12" width="11.625" customWidth="1"/>
    <col min="13" max="14" width="10.625" customWidth="1"/>
    <col min="15" max="16" width="11.625" customWidth="1"/>
    <col min="17" max="17" width="18.875" customWidth="1"/>
    <col min="18" max="20" width="11.625" customWidth="1"/>
    <col min="21" max="22" width="10.625" customWidth="1"/>
    <col min="23" max="24" width="11.625" customWidth="1"/>
    <col min="25" max="25" width="35.375" bestFit="1" customWidth="1"/>
    <col min="26" max="26" width="11.5" bestFit="1" customWidth="1"/>
    <col min="27" max="30" width="10.5" bestFit="1" customWidth="1"/>
    <col min="31" max="31" width="11.5" bestFit="1" customWidth="1"/>
    <col min="34" max="39" width="10.125" bestFit="1" customWidth="1"/>
  </cols>
  <sheetData>
    <row r="1" spans="1:32" x14ac:dyDescent="0.25">
      <c r="A1" t="s">
        <v>67</v>
      </c>
      <c r="G1" s="18">
        <f>Calculation!$AV$2/1000000-Outputs!G2</f>
        <v>0</v>
      </c>
      <c r="AE1" s="18">
        <f>Calculation!$AV$2-Outputs!AE2</f>
        <v>29189406.650895268</v>
      </c>
    </row>
    <row r="2" spans="1:32" ht="11.5" x14ac:dyDescent="0.3">
      <c r="A2" t="s">
        <v>68</v>
      </c>
      <c r="B2" s="30">
        <f>SUM(B8:B13)</f>
        <v>16.251313977589088</v>
      </c>
      <c r="C2" s="30">
        <f>SUM(C8:C13)</f>
        <v>3.3222415325967596</v>
      </c>
      <c r="D2" s="30">
        <f>SUM(D8:D13)</f>
        <v>2.6736412840348773</v>
      </c>
      <c r="E2" s="30">
        <f>SUM(E8:E13)</f>
        <v>1.9643604434923008</v>
      </c>
      <c r="F2" s="30">
        <f>SUM(F8:F13)</f>
        <v>4.9778494131822457</v>
      </c>
      <c r="G2" s="30">
        <f>SUM(B2:F2)</f>
        <v>29.189406650895272</v>
      </c>
      <c r="J2" s="30">
        <f>SUM(J8:J14)</f>
        <v>5.7172614247637608</v>
      </c>
      <c r="K2" s="30">
        <f>SUM(K8:K14)</f>
        <v>1.9826545445969961</v>
      </c>
      <c r="L2" s="30">
        <f>SUM(L8:L14)</f>
        <v>1.5520428548049354</v>
      </c>
      <c r="M2" s="30">
        <f>SUM(M8:M14)</f>
        <v>0.94999570182233073</v>
      </c>
      <c r="N2" s="30">
        <f>SUM(N8:N14)</f>
        <v>3.7340577685373226</v>
      </c>
      <c r="O2" s="30">
        <f>SUM(J2:N2)</f>
        <v>13.936012294525346</v>
      </c>
      <c r="Z2" s="7">
        <f>SUM(Z8:Z23)</f>
        <v>0</v>
      </c>
      <c r="AA2" s="7">
        <f>SUM(AA8:AA23)</f>
        <v>0</v>
      </c>
      <c r="AB2" s="7">
        <f>SUM(AB8:AB23)</f>
        <v>0</v>
      </c>
      <c r="AC2" s="7">
        <f>SUM(AC8:AC23)</f>
        <v>0</v>
      </c>
      <c r="AD2" s="7">
        <f>SUM(AD8:AD23)</f>
        <v>0</v>
      </c>
      <c r="AE2" s="7">
        <f>SUM(Z2:AD2)</f>
        <v>0</v>
      </c>
    </row>
    <row r="5" spans="1:32" ht="20" thickBot="1" x14ac:dyDescent="0.5">
      <c r="A5" s="32" t="s">
        <v>69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4">
        <v>15</v>
      </c>
      <c r="Y5" s="4">
        <v>24</v>
      </c>
      <c r="Z5" s="4">
        <v>25</v>
      </c>
      <c r="AA5" s="4">
        <v>26</v>
      </c>
      <c r="AB5" s="4">
        <v>27</v>
      </c>
      <c r="AC5" s="4">
        <v>28</v>
      </c>
      <c r="AD5" s="4">
        <v>29</v>
      </c>
      <c r="AE5" s="4">
        <v>30</v>
      </c>
      <c r="AF5" s="4">
        <v>31</v>
      </c>
    </row>
    <row r="6" spans="1:32" ht="18" thickTop="1" thickBot="1" x14ac:dyDescent="0.45">
      <c r="A6" s="17" t="s">
        <v>70</v>
      </c>
      <c r="B6" s="17"/>
      <c r="C6" s="17"/>
      <c r="D6" s="17"/>
      <c r="E6" s="17"/>
      <c r="F6" s="17"/>
      <c r="G6" s="17"/>
      <c r="H6" s="4"/>
      <c r="I6" s="17" t="s">
        <v>71</v>
      </c>
      <c r="J6" s="17"/>
      <c r="K6" s="17"/>
      <c r="L6" s="17"/>
      <c r="M6" s="17"/>
      <c r="N6" s="17"/>
      <c r="O6" s="17"/>
    </row>
    <row r="7" spans="1:32" ht="15.5" thickTop="1" thickBot="1" x14ac:dyDescent="0.4">
      <c r="A7" s="5" t="str">
        <f>Calculation!C4</f>
        <v>Asset Class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35</v>
      </c>
      <c r="I7" s="11" t="s">
        <v>4</v>
      </c>
      <c r="J7" s="11" t="str">
        <f t="shared" ref="J7:O7" si="0">B7</f>
        <v>FY23</v>
      </c>
      <c r="K7" s="11" t="str">
        <f t="shared" si="0"/>
        <v>FY24</v>
      </c>
      <c r="L7" s="11" t="str">
        <f t="shared" si="0"/>
        <v>FY25</v>
      </c>
      <c r="M7" s="11" t="str">
        <f t="shared" si="0"/>
        <v>FY26</v>
      </c>
      <c r="N7" s="11" t="str">
        <f t="shared" si="0"/>
        <v>FY27</v>
      </c>
      <c r="O7" s="11" t="str">
        <f t="shared" si="0"/>
        <v>Total</v>
      </c>
    </row>
    <row r="8" spans="1:32" x14ac:dyDescent="0.25">
      <c r="A8" s="10" t="str">
        <f t="array" ref="A8">_xlfn.IFNA(INDEX(Calculation!$C$5:$C$30,MATCH(0,COUNTIF(A$5:A7,Calculation!$C$5:$C$30),0)),"")</f>
        <v>Pipelines</v>
      </c>
      <c r="B8" s="29">
        <f>SUMIF(Calculation!$C$5:$C$30,$A8,Calculation!AQ$5:AQ$30)/1000000</f>
        <v>12.84152647312963</v>
      </c>
      <c r="C8" s="29">
        <f>SUMIF(Calculation!$C$5:$C$30,$A8,Calculation!AR$5:AR$30)/1000000</f>
        <v>1.806974355211608</v>
      </c>
      <c r="D8" s="29">
        <f>SUMIF(Calculation!$C$5:$C$30,$A8,Calculation!AS$5:AS$30)/1000000</f>
        <v>1.1215984292299424</v>
      </c>
      <c r="E8" s="29">
        <f>SUMIF(Calculation!$C$5:$C$30,$A8,Calculation!AT$5:AT$30)/1000000</f>
        <v>1.0143647416699701</v>
      </c>
      <c r="F8" s="29">
        <f>SUMIF(Calculation!$C$5:$C$30,$A8,Calculation!AU$5:AU$30)/1000000</f>
        <v>2.6394777074974218</v>
      </c>
      <c r="G8" s="29">
        <f t="shared" ref="G8:G13" si="1">SUM(B8:F8)</f>
        <v>19.423941706738574</v>
      </c>
      <c r="I8" s="10" t="str">
        <f>Inputs!B21</f>
        <v>Pipelines</v>
      </c>
      <c r="J8" s="28">
        <f>SUMIF(Calculation!$CP$5:$CP$27,$I8,Calculation!CJ$5:CJ$27)/1000000</f>
        <v>3.0592000048987709</v>
      </c>
      <c r="K8" s="28">
        <f>SUMIF(Calculation!$CP$5:$CP$27,$I8,Calculation!CK$5:CK$27)/1000000</f>
        <v>0.46738736721184437</v>
      </c>
      <c r="L8" s="28">
        <f>SUMIF(Calculation!$CP$5:$CP$27,$I8,Calculation!CL$5:CL$27)/1000000</f>
        <v>0</v>
      </c>
      <c r="M8" s="28">
        <f>SUMIF(Calculation!$CP$5:$CP$27,$I8,Calculation!CM$5:CM$27)/1000000</f>
        <v>0</v>
      </c>
      <c r="N8" s="28">
        <f>SUMIF(Calculation!$CP$5:$CP$27,$I8,Calculation!CN$5:CN$27)/1000000</f>
        <v>1.395686062852499</v>
      </c>
      <c r="O8" s="28">
        <f t="shared" ref="O8:O14" si="2">SUM(J8:N8)</f>
        <v>4.9222734349631141</v>
      </c>
    </row>
    <row r="9" spans="1:32" x14ac:dyDescent="0.25">
      <c r="A9" s="10" t="str">
        <f t="array" ref="A9">_xlfn.IFNA(INDEX(Calculation!$C$5:$C$30,MATCH(0,COUNTIF(A$5:A8,Calculation!$C$5:$C$30),0)),"")</f>
        <v>SIB Capex</v>
      </c>
      <c r="B9" s="29">
        <f>SUMIF(Calculation!$C$5:$C$30,$A9,Calculation!AQ$5:AQ$30)/1000000</f>
        <v>1.3239430872670961</v>
      </c>
      <c r="C9" s="29">
        <f>SUMIF(Calculation!$C$5:$C$30,$A9,Calculation!AR$5:AR$30)/1000000</f>
        <v>0.51835081252167137</v>
      </c>
      <c r="D9" s="29">
        <f>SUMIF(Calculation!$C$5:$C$30,$A9,Calculation!AS$5:AS$30)/1000000</f>
        <v>1.1062267101535868</v>
      </c>
      <c r="E9" s="29">
        <f>SUMIF(Calculation!$C$5:$C$30,$A9,Calculation!AT$5:AT$30)/1000000</f>
        <v>0.52260730616600837</v>
      </c>
      <c r="F9" s="29">
        <f>SUMIF(Calculation!$C$5:$C$30,$A9,Calculation!AU$5:AU$30)/1000000</f>
        <v>1.9620220123281156</v>
      </c>
      <c r="G9" s="29">
        <f t="shared" si="1"/>
        <v>5.4331499284364781</v>
      </c>
      <c r="I9" s="10" t="str">
        <f>Inputs!B22</f>
        <v xml:space="preserve">Compressors </v>
      </c>
      <c r="J9" s="28">
        <f>SUMIF(Calculation!$CP$5:$CP$27,$I9,Calculation!CJ$5:CJ$27)/1000000</f>
        <v>0.24900771970596658</v>
      </c>
      <c r="K9" s="28">
        <f>SUMIF(Calculation!$CP$5:$CP$27,$I9,Calculation!CK$5:CK$27)/1000000</f>
        <v>0</v>
      </c>
      <c r="L9" s="28">
        <f>SUMIF(Calculation!$CP$5:$CP$27,$I9,Calculation!CL$5:CL$27)/1000000</f>
        <v>0</v>
      </c>
      <c r="M9" s="28">
        <f>SUMIF(Calculation!$CP$5:$CP$27,$I9,Calculation!CM$5:CM$27)/1000000</f>
        <v>0</v>
      </c>
      <c r="N9" s="28">
        <f>SUMIF(Calculation!$CP$5:$CP$27,$I9,Calculation!CN$5:CN$27)/1000000</f>
        <v>0</v>
      </c>
      <c r="O9" s="28">
        <f t="shared" si="2"/>
        <v>0.24900771970596658</v>
      </c>
    </row>
    <row r="10" spans="1:32" x14ac:dyDescent="0.25">
      <c r="A10" s="10" t="str">
        <f t="array" ref="A10">_xlfn.IFNA(INDEX(Calculation!$C$5:$C$30,MATCH(0,COUNTIF(A$5:A9,Calculation!$C$5:$C$30),0)),"")</f>
        <v xml:space="preserve">Compressors </v>
      </c>
      <c r="B10" s="29">
        <f>SUMIF(Calculation!$C$5:$C$30,$A10,Calculation!AQ$5:AQ$30)/1000000</f>
        <v>0.24900771970596658</v>
      </c>
      <c r="C10" s="29">
        <f>SUMIF(Calculation!$C$5:$C$30,$A10,Calculation!AR$5:AR$30)/1000000</f>
        <v>0</v>
      </c>
      <c r="D10" s="29">
        <f>SUMIF(Calculation!$C$5:$C$30,$A10,Calculation!AS$5:AS$30)/1000000</f>
        <v>0</v>
      </c>
      <c r="E10" s="29">
        <f>SUMIF(Calculation!$C$5:$C$30,$A10,Calculation!AT$5:AT$30)/1000000</f>
        <v>0</v>
      </c>
      <c r="F10" s="29">
        <f>SUMIF(Calculation!$C$5:$C$30,$A10,Calculation!AU$5:AU$30)/1000000</f>
        <v>0</v>
      </c>
      <c r="G10" s="29">
        <f t="shared" si="1"/>
        <v>0.24900771970596658</v>
      </c>
      <c r="I10" s="10" t="str">
        <f>Inputs!B23</f>
        <v>Regulators and meters</v>
      </c>
      <c r="J10" s="28">
        <f>SUMIF(Calculation!$CP$5:$CP$27,$I10,Calculation!CJ$5:CJ$27)/1000000</f>
        <v>0</v>
      </c>
      <c r="K10" s="28">
        <f>SUMIF(Calculation!$CP$5:$CP$27,$I10,Calculation!CK$5:CK$27)/1000000</f>
        <v>0</v>
      </c>
      <c r="L10" s="28">
        <f>SUMIF(Calculation!$CP$5:$CP$27,$I10,Calculation!CL$5:CL$27)/1000000</f>
        <v>0</v>
      </c>
      <c r="M10" s="28">
        <f>SUMIF(Calculation!$CP$5:$CP$27,$I10,Calculation!CM$5:CM$27)/1000000</f>
        <v>0</v>
      </c>
      <c r="N10" s="28">
        <f>SUMIF(Calculation!$CP$5:$CP$27,$I10,Calculation!CN$5:CN$27)/1000000</f>
        <v>0</v>
      </c>
      <c r="O10" s="28">
        <f t="shared" si="2"/>
        <v>0</v>
      </c>
    </row>
    <row r="11" spans="1:32" x14ac:dyDescent="0.25">
      <c r="A11" s="10" t="str">
        <f t="array" ref="A11">_xlfn.IFNA(INDEX(Calculation!$C$5:$C$30,MATCH(0,COUNTIF(A$5:A10,Calculation!$C$5:$C$30),0)),"")</f>
        <v>Regulators and meters</v>
      </c>
      <c r="B11" s="29">
        <f>SUMIF(Calculation!$C$5:$C$30,$A11,Calculation!AQ$5:AQ$30)/1000000</f>
        <v>0</v>
      </c>
      <c r="C11" s="29">
        <f>SUMIF(Calculation!$C$5:$C$30,$A11,Calculation!AR$5:AR$30)/1000000</f>
        <v>0</v>
      </c>
      <c r="D11" s="29">
        <f>SUMIF(Calculation!$C$5:$C$30,$A11,Calculation!AS$5:AS$30)/1000000</f>
        <v>0</v>
      </c>
      <c r="E11" s="29">
        <f>SUMIF(Calculation!$C$5:$C$30,$A11,Calculation!AT$5:AT$30)/1000000</f>
        <v>0</v>
      </c>
      <c r="F11" s="29">
        <f>SUMIF(Calculation!$C$5:$C$30,$A11,Calculation!AU$5:AU$30)/1000000</f>
        <v>0</v>
      </c>
      <c r="G11" s="29">
        <f t="shared" si="1"/>
        <v>0</v>
      </c>
      <c r="I11" s="10" t="str">
        <f>Inputs!B24</f>
        <v xml:space="preserve">Easements </v>
      </c>
      <c r="J11" s="28">
        <f>SUMIF(Calculation!$CP$5:$CP$27,$I11,Calculation!CJ$5:CJ$27)/1000000</f>
        <v>0</v>
      </c>
      <c r="K11" s="28">
        <f>SUMIF(Calculation!$CP$5:$CP$27,$I11,Calculation!CK$5:CK$27)/1000000</f>
        <v>0</v>
      </c>
      <c r="L11" s="28">
        <f>SUMIF(Calculation!$CP$5:$CP$27,$I11,Calculation!CL$5:CL$27)/1000000</f>
        <v>0</v>
      </c>
      <c r="M11" s="28">
        <f>SUMIF(Calculation!$CP$5:$CP$27,$I11,Calculation!CM$5:CM$27)/1000000</f>
        <v>0</v>
      </c>
      <c r="N11" s="28">
        <f>SUMIF(Calculation!$CP$5:$CP$27,$I11,Calculation!CN$5:CN$27)/1000000</f>
        <v>0</v>
      </c>
      <c r="O11" s="28">
        <f t="shared" si="2"/>
        <v>0</v>
      </c>
    </row>
    <row r="12" spans="1:32" x14ac:dyDescent="0.25">
      <c r="A12" s="10" t="str">
        <f t="array" ref="A12">_xlfn.IFNA(INDEX(Calculation!$C$5:$C$30,MATCH(0,COUNTIF(A$5:A11,Calculation!$C$5:$C$30),0)),"")</f>
        <v>Group IT</v>
      </c>
      <c r="B12" s="29">
        <f>SUMIF(Calculation!$C$5:$C$30,$A12,Calculation!AQ$5:AQ$30)/1000000</f>
        <v>1.1083516368118873</v>
      </c>
      <c r="C12" s="29">
        <f>SUMIF(Calculation!$C$5:$C$30,$A12,Calculation!AR$5:AR$30)/1000000</f>
        <v>0.94587230900377184</v>
      </c>
      <c r="D12" s="29">
        <f>SUMIF(Calculation!$C$5:$C$30,$A12,Calculation!AS$5:AS$30)/1000000</f>
        <v>0.44581614465134867</v>
      </c>
      <c r="E12" s="29">
        <f>SUMIF(Calculation!$C$5:$C$30,$A12,Calculation!AT$5:AT$30)/1000000</f>
        <v>0.42738839565632236</v>
      </c>
      <c r="F12" s="29">
        <f>SUMIF(Calculation!$C$5:$C$30,$A12,Calculation!AU$5:AU$30)/1000000</f>
        <v>0.37634969335670798</v>
      </c>
      <c r="G12" s="29">
        <f t="shared" si="1"/>
        <v>3.3037781794800378</v>
      </c>
      <c r="I12" s="10" t="str">
        <f>Inputs!B25</f>
        <v>Capitalised AA costs</v>
      </c>
      <c r="J12" s="28">
        <f>SUMIF(Calculation!$CP$5:$CP$27,$I12,Calculation!CJ$5:CJ$27)/1000000</f>
        <v>0.72848506067450702</v>
      </c>
      <c r="K12" s="28">
        <f>SUMIF(Calculation!$CP$5:$CP$27,$I12,Calculation!CK$5:CK$27)/1000000</f>
        <v>5.1044055859708552E-2</v>
      </c>
      <c r="L12" s="28">
        <f>SUMIF(Calculation!$CP$5:$CP$27,$I12,Calculation!CL$5:CL$27)/1000000</f>
        <v>0</v>
      </c>
      <c r="M12" s="28">
        <f>SUMIF(Calculation!$CP$5:$CP$27,$I12,Calculation!CM$5:CM$27)/1000000</f>
        <v>0</v>
      </c>
      <c r="N12" s="28">
        <f>SUMIF(Calculation!$CP$5:$CP$27,$I12,Calculation!CN$5:CN$27)/1000000</f>
        <v>0</v>
      </c>
      <c r="O12" s="28">
        <f t="shared" si="2"/>
        <v>0.77952911653421553</v>
      </c>
    </row>
    <row r="13" spans="1:32" x14ac:dyDescent="0.25">
      <c r="A13" s="10" t="str">
        <f t="array" ref="A13">_xlfn.IFNA(INDEX(Calculation!$C$5:$C$30,MATCH(0,COUNTIF(A$5:A12,Calculation!$C$5:$C$30),0)),"")</f>
        <v>Capitalised AA costs</v>
      </c>
      <c r="B13" s="29">
        <f>SUMIF(Calculation!$C$5:$C$30,$A13,Calculation!AQ$5:AQ$30)/1000000</f>
        <v>0.72848506067450702</v>
      </c>
      <c r="C13" s="29">
        <f>SUMIF(Calculation!$C$5:$C$30,$A13,Calculation!AR$5:AR$30)/1000000</f>
        <v>5.1044055859708552E-2</v>
      </c>
      <c r="D13" s="29">
        <f>SUMIF(Calculation!$C$5:$C$30,$A13,Calculation!AS$5:AS$30)/1000000</f>
        <v>0</v>
      </c>
      <c r="E13" s="29">
        <f>SUMIF(Calculation!$C$5:$C$30,$A13,Calculation!AT$5:AT$30)/1000000</f>
        <v>0</v>
      </c>
      <c r="F13" s="29">
        <f>SUMIF(Calculation!$C$5:$C$30,$A13,Calculation!AU$5:AU$30)/1000000</f>
        <v>0</v>
      </c>
      <c r="G13" s="29">
        <f t="shared" si="1"/>
        <v>0.77952911653421553</v>
      </c>
      <c r="I13" s="10" t="str">
        <f>Inputs!B26</f>
        <v>Group IT</v>
      </c>
      <c r="J13" s="28">
        <f>SUMIF(Calculation!$CP$5:$CP$27,$I13,Calculation!CJ$5:CJ$27)/1000000</f>
        <v>1.1083516368118873</v>
      </c>
      <c r="K13" s="28">
        <f>SUMIF(Calculation!$CP$5:$CP$27,$I13,Calculation!CK$5:CK$27)/1000000</f>
        <v>0.94587230900377184</v>
      </c>
      <c r="L13" s="28">
        <f>SUMIF(Calculation!$CP$5:$CP$27,$I13,Calculation!CL$5:CL$27)/1000000</f>
        <v>0.44581614465134867</v>
      </c>
      <c r="M13" s="28">
        <f>SUMIF(Calculation!$CP$5:$CP$27,$I13,Calculation!CM$5:CM$27)/1000000</f>
        <v>0.42738839565632236</v>
      </c>
      <c r="N13" s="28">
        <f>SUMIF(Calculation!$CP$5:$CP$27,$I13,Calculation!CN$5:CN$27)/1000000</f>
        <v>0.37634969335670798</v>
      </c>
      <c r="O13" s="28">
        <f t="shared" si="2"/>
        <v>3.3037781794800378</v>
      </c>
    </row>
    <row r="14" spans="1:32" x14ac:dyDescent="0.25">
      <c r="A14" s="10" t="s">
        <v>35</v>
      </c>
      <c r="B14" s="29">
        <f t="shared" ref="B14:G14" si="3">SUM(B8:B13)</f>
        <v>16.251313977589088</v>
      </c>
      <c r="C14" s="29">
        <f t="shared" si="3"/>
        <v>3.3222415325967596</v>
      </c>
      <c r="D14" s="29">
        <f t="shared" si="3"/>
        <v>2.6736412840348773</v>
      </c>
      <c r="E14" s="29">
        <f t="shared" si="3"/>
        <v>1.9643604434923008</v>
      </c>
      <c r="F14" s="29">
        <f t="shared" si="3"/>
        <v>4.9778494131822457</v>
      </c>
      <c r="G14" s="29">
        <f t="shared" si="3"/>
        <v>29.189406650895272</v>
      </c>
      <c r="I14" s="10" t="str">
        <f>Inputs!B27</f>
        <v>SIB Capex</v>
      </c>
      <c r="J14" s="28">
        <f>SUMIF(Calculation!$CP$5:$CP$27,$I14,Calculation!CJ$5:CJ$27)/1000000</f>
        <v>0.57221700267262832</v>
      </c>
      <c r="K14" s="28">
        <f>SUMIF(Calculation!$CP$5:$CP$27,$I14,Calculation!CK$5:CK$27)/1000000</f>
        <v>0.51835081252167137</v>
      </c>
      <c r="L14" s="28">
        <f>SUMIF(Calculation!$CP$5:$CP$27,$I14,Calculation!CL$5:CL$27)/1000000</f>
        <v>1.1062267101535868</v>
      </c>
      <c r="M14" s="28">
        <f>SUMIF(Calculation!$CP$5:$CP$27,$I14,Calculation!CM$5:CM$27)/1000000</f>
        <v>0.52260730616600837</v>
      </c>
      <c r="N14" s="28">
        <f>SUMIF(Calculation!$CP$5:$CP$27,$I14,Calculation!CN$5:CN$27)/1000000</f>
        <v>1.9620220123281156</v>
      </c>
      <c r="O14" s="28">
        <f t="shared" si="2"/>
        <v>4.6814238438420102</v>
      </c>
    </row>
    <row r="15" spans="1:32" x14ac:dyDescent="0.25">
      <c r="I15" s="10" t="s">
        <v>35</v>
      </c>
      <c r="J15" s="28">
        <f t="shared" ref="J15:O15" si="4">SUM(J8:J14)</f>
        <v>5.7172614247637608</v>
      </c>
      <c r="K15" s="28">
        <f t="shared" si="4"/>
        <v>1.9826545445969961</v>
      </c>
      <c r="L15" s="28">
        <f t="shared" si="4"/>
        <v>1.5520428548049354</v>
      </c>
      <c r="M15" s="28">
        <f t="shared" si="4"/>
        <v>0.94999570182233073</v>
      </c>
      <c r="N15" s="28">
        <f t="shared" si="4"/>
        <v>3.7340577685373226</v>
      </c>
      <c r="O15" s="28">
        <f t="shared" si="4"/>
        <v>13.936012294525344</v>
      </c>
    </row>
    <row r="16" spans="1:32" ht="20" thickBot="1" x14ac:dyDescent="0.5">
      <c r="A16" s="32" t="s">
        <v>72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15" thickTop="1" x14ac:dyDescent="0.35">
      <c r="A17" s="4">
        <v>8</v>
      </c>
      <c r="B17" s="4">
        <v>9</v>
      </c>
      <c r="C17" s="4">
        <v>10</v>
      </c>
      <c r="D17" s="4">
        <v>11</v>
      </c>
      <c r="E17" s="4">
        <v>12</v>
      </c>
      <c r="F17" s="4">
        <v>13</v>
      </c>
      <c r="G17" s="4">
        <v>14</v>
      </c>
    </row>
    <row r="18" spans="1:15" ht="17.5" thickBot="1" x14ac:dyDescent="0.45">
      <c r="A18" s="2" t="str">
        <f>Calculation!D4</f>
        <v>Driver</v>
      </c>
      <c r="B18" s="2" t="str">
        <f t="shared" ref="B18:G18" si="5">B7</f>
        <v>FY23</v>
      </c>
      <c r="C18" s="2" t="str">
        <f t="shared" si="5"/>
        <v>FY24</v>
      </c>
      <c r="D18" s="2" t="str">
        <f t="shared" si="5"/>
        <v>FY25</v>
      </c>
      <c r="E18" s="2" t="str">
        <f t="shared" si="5"/>
        <v>FY26</v>
      </c>
      <c r="F18" s="2" t="str">
        <f t="shared" si="5"/>
        <v>FY27</v>
      </c>
      <c r="G18" s="2" t="str">
        <f t="shared" si="5"/>
        <v>Total</v>
      </c>
    </row>
    <row r="19" spans="1:15" ht="11" thickTop="1" x14ac:dyDescent="0.25">
      <c r="A19" s="10" t="str">
        <f t="array" ref="A19">_xlfn.IFNA(INDEX(Calculation!$D$5:$D$30,MATCH(0,COUNTIF(A$17:A18,Calculation!$D$5:$D$30),0)),"")</f>
        <v>Replacement</v>
      </c>
      <c r="B19" s="6">
        <f>SUMIF(Calculation!$D$5:$D$30,$A19,Calculation!AQ$5:AQ$30)</f>
        <v>14297025.285809897</v>
      </c>
      <c r="C19" s="6">
        <f>SUMIF(Calculation!$D$5:$D$30,$A19,Calculation!AR$5:AR$30)</f>
        <v>2207806.6041303459</v>
      </c>
      <c r="D19" s="6">
        <f>SUMIF(Calculation!$D$5:$D$30,$A19,Calculation!AS$5:AS$30)</f>
        <v>1524436.7226993376</v>
      </c>
      <c r="E19" s="6">
        <f>SUMIF(Calculation!$D$5:$D$30,$A19,Calculation!AT$5:AT$30)</f>
        <v>1419284.1995203241</v>
      </c>
      <c r="F19" s="6">
        <f>SUMIF(Calculation!$D$5:$D$30,$A19,Calculation!AU$5:AU$30)</f>
        <v>3045784.1283439007</v>
      </c>
      <c r="G19" s="6">
        <f>SUM(B19:F19)</f>
        <v>22494336.940503806</v>
      </c>
    </row>
    <row r="20" spans="1:15" x14ac:dyDescent="0.25">
      <c r="A20" s="10" t="str">
        <f t="array" ref="A20">_xlfn.IFNA(INDEX(Calculation!$D$5:$D$30,MATCH(0,COUNTIF(A$17:A19,Calculation!$D$5:$D$30),0)),"")</f>
        <v>Non-network</v>
      </c>
      <c r="B20" s="6">
        <f>SUMIF(Calculation!$D$5:$D$30,$A20,Calculation!AQ$5:AQ$30)</f>
        <v>1954288.6917791902</v>
      </c>
      <c r="C20" s="6">
        <f>SUMIF(Calculation!$D$5:$D$30,$A20,Calculation!AR$5:AR$30)</f>
        <v>1114434.9284664141</v>
      </c>
      <c r="D20" s="6">
        <f>SUMIF(Calculation!$D$5:$D$30,$A20,Calculation!AS$5:AS$30)</f>
        <v>1149204.5613355404</v>
      </c>
      <c r="E20" s="6">
        <f>SUMIF(Calculation!$D$5:$D$30,$A20,Calculation!AT$5:AT$30)</f>
        <v>545076.24397197657</v>
      </c>
      <c r="F20" s="6">
        <f>SUMIF(Calculation!$D$5:$D$30,$A20,Calculation!AU$5:AU$30)</f>
        <v>1932065.2848383442</v>
      </c>
      <c r="G20" s="6">
        <f>SUM(B20:F20)</f>
        <v>6695069.7103914656</v>
      </c>
    </row>
    <row r="21" spans="1:15" x14ac:dyDescent="0.25">
      <c r="A21" s="10" t="str">
        <f t="array" ref="A21">_xlfn.IFNA(INDEX(Calculation!$D$5:$D$30,MATCH(0,COUNTIF(A$17:A20,Calculation!$D$5:$D$30),0)),"")</f>
        <v/>
      </c>
      <c r="B21" s="6">
        <f>SUMIF(Calculation!$D$5:$D$30,$A21,Calculation!AQ$5:AQ$30)</f>
        <v>0</v>
      </c>
      <c r="C21" s="6">
        <f>SUMIF(Calculation!$D$5:$D$30,$A21,Calculation!AR$5:AR$30)</f>
        <v>0</v>
      </c>
      <c r="D21" s="6">
        <f>SUMIF(Calculation!$D$5:$D$30,$A21,Calculation!AS$5:AS$30)</f>
        <v>0</v>
      </c>
      <c r="E21" s="6">
        <f>SUMIF(Calculation!$D$5:$D$30,$A21,Calculation!AT$5:AT$30)</f>
        <v>0</v>
      </c>
      <c r="F21" s="6">
        <f>SUMIF(Calculation!$D$5:$D$30,$A21,Calculation!AU$5:AU$30)</f>
        <v>0</v>
      </c>
      <c r="G21" s="6">
        <f>SUM(B21:F21)</f>
        <v>0</v>
      </c>
    </row>
    <row r="22" spans="1:15" x14ac:dyDescent="0.25">
      <c r="A22" s="10">
        <f t="array" ref="A22">_xlfn.IFNA(INDEX(Calculation!$D$5:$D$30,MATCH(0,COUNTIF(A$17:A21,Calculation!$D$5:$D$30),0)),"")</f>
        <v>0</v>
      </c>
      <c r="B22" s="6">
        <f>SUMIF(Calculation!$D$5:$D$30,$A22,Calculation!AQ$5:AQ$30)</f>
        <v>0</v>
      </c>
      <c r="C22" s="6">
        <f>SUMIF(Calculation!$D$5:$D$30,$A22,Calculation!AR$5:AR$30)</f>
        <v>0</v>
      </c>
      <c r="D22" s="6">
        <f>SUMIF(Calculation!$D$5:$D$30,$A22,Calculation!AS$5:AS$30)</f>
        <v>0</v>
      </c>
      <c r="E22" s="6">
        <f>SUMIF(Calculation!$D$5:$D$30,$A22,Calculation!AT$5:AT$30)</f>
        <v>0</v>
      </c>
      <c r="F22" s="6">
        <f>SUMIF(Calculation!$D$5:$D$30,$A22,Calculation!AU$5:AU$30)</f>
        <v>0</v>
      </c>
      <c r="G22" s="6">
        <f>SUM(B22:F22)</f>
        <v>0</v>
      </c>
    </row>
    <row r="23" spans="1:15" x14ac:dyDescent="0.25">
      <c r="A23" s="10" t="str">
        <f t="array" ref="A23">_xlfn.IFNA(INDEX(Calculation!$D$5:$D$30,MATCH(0,COUNTIF(A$17:A22,Calculation!$D$5:$D$30),0)),"")</f>
        <v/>
      </c>
      <c r="B23" s="6">
        <f>SUMIF(Calculation!$D$5:$D$30,$A23,Calculation!AQ$5:AQ$30)</f>
        <v>0</v>
      </c>
      <c r="C23" s="6">
        <f>SUMIF(Calculation!$D$5:$D$30,$A23,Calculation!AR$5:AR$30)</f>
        <v>0</v>
      </c>
      <c r="D23" s="6">
        <f>SUMIF(Calculation!$D$5:$D$30,$A23,Calculation!AS$5:AS$30)</f>
        <v>0</v>
      </c>
      <c r="E23" s="6">
        <f>SUMIF(Calculation!$D$5:$D$30,$A23,Calculation!AT$5:AT$30)</f>
        <v>0</v>
      </c>
      <c r="F23" s="6">
        <f>SUMIF(Calculation!$D$5:$D$30,$A23,Calculation!AU$5:AU$30)</f>
        <v>0</v>
      </c>
      <c r="G23" s="6">
        <f>SUM(B23:F23)</f>
        <v>0</v>
      </c>
    </row>
    <row r="24" spans="1:15" x14ac:dyDescent="0.25">
      <c r="A24" s="10" t="s">
        <v>35</v>
      </c>
      <c r="B24" s="6">
        <f t="shared" ref="B24:G24" si="6">SUM(B19:B23)</f>
        <v>16251313.977589088</v>
      </c>
      <c r="C24" s="6">
        <f t="shared" si="6"/>
        <v>3322241.53259676</v>
      </c>
      <c r="D24" s="6">
        <f t="shared" si="6"/>
        <v>2673641.284034878</v>
      </c>
      <c r="E24" s="6">
        <f t="shared" si="6"/>
        <v>1964360.4434923008</v>
      </c>
      <c r="F24" s="6">
        <f t="shared" si="6"/>
        <v>4977849.4131822446</v>
      </c>
      <c r="G24" s="6">
        <f t="shared" si="6"/>
        <v>29189406.650895271</v>
      </c>
    </row>
    <row r="26" spans="1:15" ht="17.5" thickBot="1" x14ac:dyDescent="0.45">
      <c r="A26" s="33" t="str">
        <f>Inputs!C20</f>
        <v>Replacement</v>
      </c>
      <c r="I26" s="2" t="s">
        <v>8</v>
      </c>
    </row>
    <row r="27" spans="1:15" ht="15.5" thickTop="1" thickBot="1" x14ac:dyDescent="0.4">
      <c r="A27" s="5" t="s">
        <v>5</v>
      </c>
      <c r="B27" s="5" t="str">
        <f t="shared" ref="B27:G27" si="7">B59</f>
        <v>FY23</v>
      </c>
      <c r="C27" s="5" t="str">
        <f t="shared" si="7"/>
        <v>FY24</v>
      </c>
      <c r="D27" s="5" t="str">
        <f t="shared" si="7"/>
        <v>FY25</v>
      </c>
      <c r="E27" s="5" t="str">
        <f t="shared" si="7"/>
        <v>FY26</v>
      </c>
      <c r="F27" s="5" t="str">
        <f t="shared" si="7"/>
        <v>FY27</v>
      </c>
      <c r="G27" s="5" t="str">
        <f t="shared" si="7"/>
        <v>Total</v>
      </c>
      <c r="I27" s="11" t="s">
        <v>31</v>
      </c>
      <c r="J27" s="5" t="str">
        <f t="shared" ref="J27:O27" si="8">B59</f>
        <v>FY23</v>
      </c>
      <c r="K27" s="5" t="str">
        <f t="shared" si="8"/>
        <v>FY24</v>
      </c>
      <c r="L27" s="5" t="str">
        <f t="shared" si="8"/>
        <v>FY25</v>
      </c>
      <c r="M27" s="5" t="str">
        <f t="shared" si="8"/>
        <v>FY26</v>
      </c>
      <c r="N27" s="5" t="str">
        <f t="shared" si="8"/>
        <v>FY27</v>
      </c>
      <c r="O27" s="5" t="str">
        <f t="shared" si="8"/>
        <v>Total</v>
      </c>
    </row>
    <row r="28" spans="1:15" x14ac:dyDescent="0.25">
      <c r="A28" s="25" t="s">
        <v>75</v>
      </c>
      <c r="B28" s="26">
        <f>SUMIF(Calculation!$D$5:$D$27,$A$26,Calculation!AZ$5:AZ$27)</f>
        <v>4488974.8566687685</v>
      </c>
      <c r="C28" s="26">
        <f>SUMIF(Calculation!$D$5:$D$27,$A$26,Calculation!BA$5:BA$27)</f>
        <v>635782.21382630407</v>
      </c>
      <c r="D28" s="26">
        <f>SUMIF(Calculation!$D$5:$D$27,$A$26,Calculation!BB$5:BB$27)</f>
        <v>420221.30622935656</v>
      </c>
      <c r="E28" s="26">
        <f>SUMIF(Calculation!$D$5:$D$27,$A$26,Calculation!BC$5:BC$27)</f>
        <v>393820.98591731046</v>
      </c>
      <c r="F28" s="26">
        <f>SUMIF(Calculation!$D$5:$D$27,$A$26,Calculation!BD$5:BD$27)</f>
        <v>1068485.3274651284</v>
      </c>
      <c r="G28" s="6">
        <f>SUM(B28:F28)</f>
        <v>7007284.6901068678</v>
      </c>
      <c r="I28" s="10" t="str">
        <f t="shared" ref="I28:I36" si="9">A60</f>
        <v>Pipeline Integrity</v>
      </c>
      <c r="J28" s="28">
        <f t="shared" ref="J28:J36" si="10">B60</f>
        <v>6.9509190196614572</v>
      </c>
      <c r="K28" s="28">
        <f t="shared" ref="K28:K36" si="11">C60</f>
        <v>1.3395869879997635</v>
      </c>
      <c r="L28" s="28">
        <f t="shared" ref="L28:L36" si="12">D60</f>
        <v>1.1215984292299424</v>
      </c>
      <c r="M28" s="28">
        <f t="shared" ref="M28:M36" si="13">E60</f>
        <v>1.0143647416699701</v>
      </c>
      <c r="N28" s="28">
        <f t="shared" ref="N28:N36" si="14">F60</f>
        <v>2.6394777074974218</v>
      </c>
      <c r="O28" s="28">
        <f>SUM(J28:N28)</f>
        <v>13.065946886058557</v>
      </c>
    </row>
    <row r="29" spans="1:15" x14ac:dyDescent="0.25">
      <c r="A29" s="25" t="s">
        <v>76</v>
      </c>
      <c r="B29" s="26">
        <f>SUMIF(Calculation!$D$5:$D$27,$A$26,Calculation!BG$5:BG$27)</f>
        <v>3955475.5118510444</v>
      </c>
      <c r="C29" s="26">
        <f>SUMIF(Calculation!$D$5:$D$27,$A$26,Calculation!BH$5:BH$27)</f>
        <v>725274.22331762221</v>
      </c>
      <c r="D29" s="26">
        <f>SUMIF(Calculation!$D$5:$D$27,$A$26,Calculation!BI$5:BI$27)</f>
        <v>364059.59648484946</v>
      </c>
      <c r="E29" s="26">
        <f>SUMIF(Calculation!$D$5:$D$27,$A$26,Calculation!BJ$5:BJ$27)</f>
        <v>336827.05385044817</v>
      </c>
      <c r="F29" s="26">
        <f>SUMIF(Calculation!$D$5:$D$27,$A$26,Calculation!BK$5:BK$27)</f>
        <v>431732.98306594644</v>
      </c>
      <c r="G29" s="6">
        <f>SUM(B29:F29)</f>
        <v>5813369.3685699096</v>
      </c>
      <c r="I29" s="10" t="str">
        <f t="shared" si="9"/>
        <v>Supply Security Project</v>
      </c>
      <c r="J29" s="28">
        <f t="shared" si="10"/>
        <v>4.7352942738946462</v>
      </c>
      <c r="K29" s="28">
        <f t="shared" si="11"/>
        <v>0</v>
      </c>
      <c r="L29" s="28">
        <f t="shared" si="12"/>
        <v>0</v>
      </c>
      <c r="M29" s="28">
        <f t="shared" si="13"/>
        <v>0</v>
      </c>
      <c r="N29" s="28">
        <f t="shared" si="14"/>
        <v>0</v>
      </c>
      <c r="O29" s="28">
        <f t="shared" ref="O29:O36" si="15">SUM(J29:N29)</f>
        <v>4.7352942738946462</v>
      </c>
    </row>
    <row r="30" spans="1:15" x14ac:dyDescent="0.25">
      <c r="A30" s="25" t="s">
        <v>77</v>
      </c>
      <c r="B30" s="26">
        <f>SUMIF(Calculation!$D$5:$D$27,$A$26,Calculation!BN$5:BN$27)</f>
        <v>4643362.1285663834</v>
      </c>
      <c r="C30" s="26">
        <f>SUMIF(Calculation!$D$5:$D$27,$A$26,Calculation!BO$5:BO$27)</f>
        <v>428225.48523276742</v>
      </c>
      <c r="D30" s="26">
        <f>SUMIF(Calculation!$D$5:$D$27,$A$26,Calculation!BP$5:BP$27)</f>
        <v>376096.2235002821</v>
      </c>
      <c r="E30" s="26">
        <f>SUMIF(Calculation!$D$5:$D$27,$A$26,Calculation!BQ$5:BQ$27)</f>
        <v>351809.10590211733</v>
      </c>
      <c r="F30" s="26">
        <f>SUMIF(Calculation!$D$5:$D$27,$A$26,Calculation!BR$5:BR$27)</f>
        <v>1154273.6786935751</v>
      </c>
      <c r="G30" s="6">
        <f>SUM(B30:F30)</f>
        <v>6953766.6218951261</v>
      </c>
      <c r="I30" s="10" t="str">
        <f t="shared" si="9"/>
        <v>SCADA Hardware Lifecycle Management</v>
      </c>
      <c r="J30" s="28">
        <f t="shared" si="10"/>
        <v>0.75172608459446799</v>
      </c>
      <c r="K30" s="28">
        <f t="shared" si="11"/>
        <v>0</v>
      </c>
      <c r="L30" s="28">
        <f t="shared" si="12"/>
        <v>0</v>
      </c>
      <c r="M30" s="28">
        <f t="shared" si="13"/>
        <v>0</v>
      </c>
      <c r="N30" s="28">
        <f t="shared" si="14"/>
        <v>0</v>
      </c>
      <c r="O30" s="28">
        <f t="shared" si="15"/>
        <v>0.75172608459446799</v>
      </c>
    </row>
    <row r="31" spans="1:15" x14ac:dyDescent="0.25">
      <c r="A31" s="25" t="s">
        <v>78</v>
      </c>
      <c r="B31" s="26">
        <f>SUMIF(Calculation!$D$5:$D$27,$A$26,Calculation!BU$5:BU$27)</f>
        <v>1209212.7887237016</v>
      </c>
      <c r="C31" s="26">
        <f>SUMIF(Calculation!$D$5:$D$27,$A$26,Calculation!BV$5:BV$27)</f>
        <v>418524.68175365217</v>
      </c>
      <c r="D31" s="26">
        <f>SUMIF(Calculation!$D$5:$D$27,$A$26,Calculation!BW$5:BW$27)</f>
        <v>364059.59648484946</v>
      </c>
      <c r="E31" s="26">
        <f>SUMIF(Calculation!$D$5:$D$27,$A$26,Calculation!BX$5:BX$27)</f>
        <v>336827.05385044817</v>
      </c>
      <c r="F31" s="26">
        <f>SUMIF(Calculation!$D$5:$D$27,$A$26,Calculation!BY$5:BY$27)</f>
        <v>391292.13911925087</v>
      </c>
      <c r="G31" s="6">
        <f>SUM(B31:F31)</f>
        <v>2719916.2599319019</v>
      </c>
      <c r="I31" s="10" t="str">
        <f t="shared" si="9"/>
        <v>Battery Charger Replacement</v>
      </c>
      <c r="J31" s="28">
        <f t="shared" si="10"/>
        <v>0.24900771970596658</v>
      </c>
      <c r="K31" s="28">
        <f t="shared" si="11"/>
        <v>0</v>
      </c>
      <c r="L31" s="28">
        <f t="shared" si="12"/>
        <v>0</v>
      </c>
      <c r="M31" s="28">
        <f t="shared" si="13"/>
        <v>0</v>
      </c>
      <c r="N31" s="28">
        <f t="shared" si="14"/>
        <v>0</v>
      </c>
      <c r="O31" s="28">
        <f t="shared" si="15"/>
        <v>0.24900771970596658</v>
      </c>
    </row>
    <row r="32" spans="1:15" x14ac:dyDescent="0.25">
      <c r="A32" s="25" t="s">
        <v>94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6">
        <v>0</v>
      </c>
      <c r="I32" s="10" t="str">
        <f t="shared" si="9"/>
        <v>Liquids Removal</v>
      </c>
      <c r="J32" s="28">
        <f t="shared" si="10"/>
        <v>1.0434887848388235</v>
      </c>
      <c r="K32" s="28">
        <f t="shared" si="11"/>
        <v>0</v>
      </c>
      <c r="L32" s="28">
        <f t="shared" si="12"/>
        <v>0</v>
      </c>
      <c r="M32" s="28">
        <f t="shared" si="13"/>
        <v>0</v>
      </c>
      <c r="N32" s="28">
        <f t="shared" si="14"/>
        <v>0</v>
      </c>
      <c r="O32" s="28">
        <f t="shared" si="15"/>
        <v>1.0434887848388235</v>
      </c>
    </row>
    <row r="33" spans="1:15" x14ac:dyDescent="0.25">
      <c r="A33" s="25" t="s">
        <v>93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6">
        <f>SUM(B33:F33)</f>
        <v>0</v>
      </c>
      <c r="I33" s="10" t="str">
        <f t="shared" si="9"/>
        <v>Valve Upgrade</v>
      </c>
      <c r="J33" s="28">
        <f t="shared" si="10"/>
        <v>0.11182439473470476</v>
      </c>
      <c r="K33" s="28">
        <f t="shared" si="11"/>
        <v>0.13518889784755914</v>
      </c>
      <c r="L33" s="28">
        <f t="shared" si="12"/>
        <v>0</v>
      </c>
      <c r="M33" s="28">
        <f t="shared" si="13"/>
        <v>0</v>
      </c>
      <c r="N33" s="28">
        <f t="shared" si="14"/>
        <v>0</v>
      </c>
      <c r="O33" s="28">
        <f t="shared" si="15"/>
        <v>0.2470132925822639</v>
      </c>
    </row>
    <row r="34" spans="1:15" x14ac:dyDescent="0.25">
      <c r="I34" s="10" t="str">
        <f t="shared" si="9"/>
        <v>Dalby Communication Relocation</v>
      </c>
      <c r="J34" s="28">
        <f t="shared" si="10"/>
        <v>5.5540008424068255E-2</v>
      </c>
      <c r="K34" s="28">
        <f t="shared" si="11"/>
        <v>0</v>
      </c>
      <c r="L34" s="28">
        <f t="shared" si="12"/>
        <v>0</v>
      </c>
      <c r="M34" s="28">
        <f t="shared" si="13"/>
        <v>0</v>
      </c>
      <c r="N34" s="28">
        <f t="shared" si="14"/>
        <v>0</v>
      </c>
      <c r="O34" s="28">
        <f t="shared" si="15"/>
        <v>5.5540008424068255E-2</v>
      </c>
    </row>
    <row r="35" spans="1:15" x14ac:dyDescent="0.25">
      <c r="I35" s="10" t="str">
        <f t="shared" si="9"/>
        <v>Pipeline Relocation</v>
      </c>
      <c r="J35" s="28">
        <f t="shared" si="10"/>
        <v>0</v>
      </c>
      <c r="K35" s="28">
        <f t="shared" si="11"/>
        <v>0.33219846936428521</v>
      </c>
      <c r="L35" s="28">
        <f t="shared" si="12"/>
        <v>0</v>
      </c>
      <c r="M35" s="28">
        <f t="shared" si="13"/>
        <v>0</v>
      </c>
      <c r="N35" s="28">
        <f t="shared" si="14"/>
        <v>0</v>
      </c>
      <c r="O35" s="28">
        <f t="shared" si="15"/>
        <v>0.33219846936428521</v>
      </c>
    </row>
    <row r="36" spans="1:15" x14ac:dyDescent="0.25">
      <c r="I36" s="10" t="str">
        <f t="shared" si="9"/>
        <v>Minor Projects</v>
      </c>
      <c r="J36" s="28">
        <f t="shared" si="10"/>
        <v>0.39922499995576438</v>
      </c>
      <c r="K36" s="28">
        <f t="shared" si="11"/>
        <v>0.40083224891873781</v>
      </c>
      <c r="L36" s="28">
        <f t="shared" si="12"/>
        <v>0.40283829346939531</v>
      </c>
      <c r="M36" s="28">
        <f t="shared" si="13"/>
        <v>0.4049194578503541</v>
      </c>
      <c r="N36" s="28">
        <f t="shared" si="14"/>
        <v>0.40630642084647917</v>
      </c>
      <c r="O36" s="28">
        <f t="shared" si="15"/>
        <v>2.0141214210407306</v>
      </c>
    </row>
    <row r="38" spans="1:15" ht="17.5" thickBot="1" x14ac:dyDescent="0.45">
      <c r="A38" s="33" t="str">
        <f>Inputs!C22</f>
        <v>Non-network</v>
      </c>
      <c r="I38" s="2" t="str">
        <f>Inputs!C22</f>
        <v>Non-network</v>
      </c>
    </row>
    <row r="39" spans="1:15" ht="15.5" thickTop="1" thickBot="1" x14ac:dyDescent="0.4">
      <c r="A39" s="5" t="s">
        <v>5</v>
      </c>
      <c r="B39" s="5" t="str">
        <f t="shared" ref="B39:G39" si="16">B27</f>
        <v>FY23</v>
      </c>
      <c r="C39" s="5" t="str">
        <f t="shared" si="16"/>
        <v>FY24</v>
      </c>
      <c r="D39" s="5" t="str">
        <f t="shared" si="16"/>
        <v>FY25</v>
      </c>
      <c r="E39" s="5" t="str">
        <f t="shared" si="16"/>
        <v>FY26</v>
      </c>
      <c r="F39" s="5" t="str">
        <f t="shared" si="16"/>
        <v>FY27</v>
      </c>
      <c r="G39" s="5" t="str">
        <f t="shared" si="16"/>
        <v>Total</v>
      </c>
      <c r="I39" s="11" t="s">
        <v>31</v>
      </c>
      <c r="J39" s="5" t="str">
        <f t="shared" ref="J39:O39" si="17">J27</f>
        <v>FY23</v>
      </c>
      <c r="K39" s="5" t="str">
        <f t="shared" si="17"/>
        <v>FY24</v>
      </c>
      <c r="L39" s="5" t="str">
        <f t="shared" si="17"/>
        <v>FY25</v>
      </c>
      <c r="M39" s="5" t="str">
        <f t="shared" si="17"/>
        <v>FY26</v>
      </c>
      <c r="N39" s="5" t="str">
        <f t="shared" si="17"/>
        <v>FY27</v>
      </c>
      <c r="O39" s="5" t="str">
        <f t="shared" si="17"/>
        <v>Total</v>
      </c>
    </row>
    <row r="40" spans="1:15" x14ac:dyDescent="0.25">
      <c r="A40" s="25" t="s">
        <v>75</v>
      </c>
      <c r="B40" s="26">
        <f>SUMIF(Calculation!$D$5:$D$27,$A$38,Calculation!AZ$5:AZ$27)</f>
        <v>820708.29364797159</v>
      </c>
      <c r="C40" s="26">
        <f>SUMIF(Calculation!$D$5:$D$27,$A$38,Calculation!BA$5:BA$27)</f>
        <v>131002.85966122695</v>
      </c>
      <c r="D40" s="26">
        <f>SUMIF(Calculation!$D$5:$D$27,$A$38,Calculation!BB$5:BB$27)</f>
        <v>86350.281855907175</v>
      </c>
      <c r="E40" s="26">
        <f>SUMIF(Calculation!$D$5:$D$27,$A$38,Calculation!BC$5:BC$27)</f>
        <v>40926.581114618559</v>
      </c>
      <c r="F40" s="26">
        <f>SUMIF(Calculation!$D$5:$D$27,$A$38,Calculation!BD$5:BD$27)</f>
        <v>144996.68531294854</v>
      </c>
      <c r="G40" s="6">
        <f>SUM(B40:F40)</f>
        <v>1223984.7015926726</v>
      </c>
      <c r="I40" s="10" t="str">
        <f t="shared" ref="I40:N43" si="18">A69</f>
        <v>Group IT</v>
      </c>
      <c r="J40" s="28">
        <f t="shared" si="18"/>
        <v>1.1083516368118873</v>
      </c>
      <c r="K40" s="28">
        <f t="shared" si="18"/>
        <v>0.94587230900377184</v>
      </c>
      <c r="L40" s="28">
        <f t="shared" si="18"/>
        <v>0.44581614465134867</v>
      </c>
      <c r="M40" s="28">
        <f t="shared" si="18"/>
        <v>0.42738839565632236</v>
      </c>
      <c r="N40" s="28">
        <f t="shared" si="18"/>
        <v>0.37634969335670798</v>
      </c>
      <c r="O40" s="28">
        <f>SUM(J40:N40)</f>
        <v>3.3037781794800378</v>
      </c>
    </row>
    <row r="41" spans="1:15" x14ac:dyDescent="0.25">
      <c r="A41" s="25" t="s">
        <v>76</v>
      </c>
      <c r="B41" s="26">
        <f>SUMIF(Calculation!$D$5:$D$27,$A$38,Calculation!BG$5:BG$27)</f>
        <v>1132539.2913505365</v>
      </c>
      <c r="C41" s="26">
        <f>SUMIF(Calculation!$D$5:$D$27,$A$38,Calculation!BH$5:BH$27)</f>
        <v>981927.04891037708</v>
      </c>
      <c r="D41" s="26">
        <f>SUMIF(Calculation!$D$5:$D$27,$A$38,Calculation!BI$5:BI$27)</f>
        <v>1060417.0323235888</v>
      </c>
      <c r="E41" s="26">
        <f>SUMIF(Calculation!$D$5:$D$27,$A$38,Calculation!BJ$5:BJ$27)</f>
        <v>502595.27538236429</v>
      </c>
      <c r="F41" s="26">
        <f>SUMIF(Calculation!$D$5:$D$27,$A$38,Calculation!BK$5:BK$27)</f>
        <v>1780619.0255740981</v>
      </c>
      <c r="G41" s="6">
        <f>SUM(B41:F41)</f>
        <v>5458097.6735409647</v>
      </c>
      <c r="I41" s="10" t="str">
        <f t="shared" si="18"/>
        <v>Access Arrangement</v>
      </c>
      <c r="J41" s="28">
        <f t="shared" si="18"/>
        <v>0.72848506067450702</v>
      </c>
      <c r="K41" s="28">
        <f t="shared" si="18"/>
        <v>5.1044055859708552E-2</v>
      </c>
      <c r="L41" s="28">
        <f t="shared" si="18"/>
        <v>0</v>
      </c>
      <c r="M41" s="28">
        <f t="shared" si="18"/>
        <v>0</v>
      </c>
      <c r="N41" s="28">
        <f t="shared" si="18"/>
        <v>0</v>
      </c>
      <c r="O41" s="28">
        <f>SUM(J41:N41)</f>
        <v>0.77952911653421553</v>
      </c>
    </row>
    <row r="42" spans="1:15" x14ac:dyDescent="0.25">
      <c r="A42" s="25" t="s">
        <v>77</v>
      </c>
      <c r="B42" s="26">
        <f>SUMIF(Calculation!$D$5:$D$27,$A$38,Calculation!BN$5:BN$27)</f>
        <v>1041.1067806819417</v>
      </c>
      <c r="C42" s="26">
        <f>SUMIF(Calculation!$D$5:$D$27,$A$38,Calculation!BO$5:BO$27)</f>
        <v>1505.0198948100383</v>
      </c>
      <c r="D42" s="26">
        <f>SUMIF(Calculation!$D$5:$D$27,$A$38,Calculation!BP$5:BP$27)</f>
        <v>2437.2471560441973</v>
      </c>
      <c r="E42" s="26">
        <f>SUMIF(Calculation!$D$5:$D$27,$A$38,Calculation!BQ$5:BQ$27)</f>
        <v>1554.3874749937611</v>
      </c>
      <c r="F42" s="26">
        <f>SUMIF(Calculation!$D$5:$D$27,$A$38,Calculation!BR$5:BR$27)</f>
        <v>6449.573951297707</v>
      </c>
      <c r="G42" s="6">
        <f>SUM(B42:F42)</f>
        <v>12987.335257827646</v>
      </c>
      <c r="I42" s="10" t="str">
        <f t="shared" si="18"/>
        <v>Property Leases</v>
      </c>
      <c r="J42" s="28">
        <f t="shared" si="18"/>
        <v>0</v>
      </c>
      <c r="K42" s="28">
        <f t="shared" si="18"/>
        <v>0</v>
      </c>
      <c r="L42" s="28">
        <f t="shared" si="18"/>
        <v>0.58578676638783356</v>
      </c>
      <c r="M42" s="28">
        <f t="shared" si="18"/>
        <v>0</v>
      </c>
      <c r="N42" s="28">
        <f t="shared" si="18"/>
        <v>1.4379702976973794</v>
      </c>
      <c r="O42" s="28">
        <f>SUM(J42:N42)</f>
        <v>2.0237570640852129</v>
      </c>
    </row>
    <row r="43" spans="1:15" x14ac:dyDescent="0.25">
      <c r="A43" s="25" t="s">
        <v>78</v>
      </c>
      <c r="B43" s="26">
        <f>SUMIF(Calculation!$D$5:$D$27,$A$38,Calculation!BU$5:BU$27)</f>
        <v>0</v>
      </c>
      <c r="C43" s="26">
        <f>SUMIF(Calculation!$D$5:$D$27,$A$38,Calculation!BV$5:BV$27)</f>
        <v>0</v>
      </c>
      <c r="D43" s="26">
        <f>SUMIF(Calculation!$D$5:$D$27,$A$38,Calculation!BW$5:BW$27)</f>
        <v>0</v>
      </c>
      <c r="E43" s="26">
        <f>SUMIF(Calculation!$D$5:$D$27,$A$38,Calculation!BX$5:BX$27)</f>
        <v>0</v>
      </c>
      <c r="F43" s="26">
        <f>SUMIF(Calculation!$D$5:$D$27,$A$38,Calculation!BY$5:BY$27)</f>
        <v>0</v>
      </c>
      <c r="G43" s="6">
        <f>SUM(B43:F43)</f>
        <v>0</v>
      </c>
      <c r="I43" s="10" t="str">
        <f t="shared" si="18"/>
        <v>Vehicle Leases</v>
      </c>
      <c r="J43" s="28">
        <f t="shared" si="18"/>
        <v>0.1174519942927956</v>
      </c>
      <c r="K43" s="28">
        <f t="shared" si="18"/>
        <v>0.11751856360293358</v>
      </c>
      <c r="L43" s="28">
        <f t="shared" si="18"/>
        <v>0.11760165029635804</v>
      </c>
      <c r="M43" s="28">
        <f t="shared" si="18"/>
        <v>0.11768784831565425</v>
      </c>
      <c r="N43" s="28">
        <f t="shared" si="18"/>
        <v>0.11774529378425679</v>
      </c>
      <c r="O43" s="28">
        <f>SUM(J43:N43)</f>
        <v>0.5880053502919983</v>
      </c>
    </row>
    <row r="44" spans="1:15" x14ac:dyDescent="0.25">
      <c r="A44" s="25" t="s">
        <v>94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6">
        <v>0</v>
      </c>
    </row>
    <row r="45" spans="1:15" x14ac:dyDescent="0.25">
      <c r="A45" s="25" t="s">
        <v>93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6">
        <f>SUM(B45:F45)</f>
        <v>0</v>
      </c>
    </row>
    <row r="48" spans="1:15" ht="20" thickBot="1" x14ac:dyDescent="0.5">
      <c r="A48" s="32" t="s">
        <v>73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8" thickTop="1" thickBot="1" x14ac:dyDescent="0.45">
      <c r="A49" s="2" t="str">
        <f>Inputs!D21</f>
        <v>Pipeline Integrity</v>
      </c>
      <c r="B49" s="2" t="s">
        <v>74</v>
      </c>
      <c r="D49" s="2" t="str">
        <f>Inputs!D25</f>
        <v>Supply Security Project</v>
      </c>
      <c r="E49" s="2" t="s">
        <v>74</v>
      </c>
      <c r="G49" s="2" t="str">
        <f>Inputs!D35</f>
        <v>Liquids Removal</v>
      </c>
      <c r="H49" s="2" t="s">
        <v>74</v>
      </c>
      <c r="J49" s="2" t="str">
        <f>Inputs!D29</f>
        <v>Group IT</v>
      </c>
      <c r="K49" s="2" t="s">
        <v>74</v>
      </c>
    </row>
    <row r="50" spans="1:15" ht="11" thickTop="1" x14ac:dyDescent="0.25">
      <c r="A50" s="25" t="s">
        <v>75</v>
      </c>
      <c r="B50" s="28">
        <f>ROUND(SUMIF(Calculation!$E$5:$E$25,A$49,Calculation!$BE$5:$BE$25)/1000000,1)</f>
        <v>4</v>
      </c>
      <c r="D50" s="25" t="s">
        <v>75</v>
      </c>
      <c r="E50" s="28">
        <f>ROUND(SUMIF(Calculation!$E$5:$E$25,D$49,Calculation!$BE$5:$BE$25)/1000000,1)</f>
        <v>1.2</v>
      </c>
      <c r="G50" s="25" t="s">
        <v>75</v>
      </c>
      <c r="H50" s="28">
        <f>ROUND(SUMIF(Calculation!$E$5:$E$25,G$49,Calculation!$BE$5:$BE$25)/1000000,1)</f>
        <v>0.3</v>
      </c>
      <c r="J50" s="25" t="s">
        <v>75</v>
      </c>
      <c r="K50" s="28">
        <f>ROUND(SUMIF(Calculation!$E$5:$E$25,J$49,Calculation!$BE$5:$BE$25)/1000000,1)</f>
        <v>0.2</v>
      </c>
    </row>
    <row r="51" spans="1:15" x14ac:dyDescent="0.25">
      <c r="A51" s="25" t="s">
        <v>76</v>
      </c>
      <c r="B51" s="28">
        <f>ROUND(SUMIF(Calculation!$E$5:$E$25,A$49,Calculation!$BL$5:$BL$25)/1000000,1)</f>
        <v>2.2999999999999998</v>
      </c>
      <c r="D51" s="25" t="s">
        <v>76</v>
      </c>
      <c r="E51" s="28">
        <f>ROUND(SUMIF(Calculation!$E$5:$E$25,D$49,Calculation!$BL$5:$BL$25)/1000000,1)</f>
        <v>2</v>
      </c>
      <c r="G51" s="25" t="s">
        <v>76</v>
      </c>
      <c r="H51" s="28">
        <f>ROUND(SUMIF(Calculation!$E$5:$E$25,G$49,Calculation!$BL$5:$BL$25)/1000000,1)</f>
        <v>0.5</v>
      </c>
      <c r="J51" s="25" t="s">
        <v>76</v>
      </c>
      <c r="K51" s="28">
        <f>ROUND(SUMIF(Calculation!$E$5:$E$25,J$49,Calculation!$BL$5:$BL$25)/1000000,1)</f>
        <v>3</v>
      </c>
    </row>
    <row r="52" spans="1:15" x14ac:dyDescent="0.25">
      <c r="A52" s="25" t="s">
        <v>77</v>
      </c>
      <c r="B52" s="28">
        <f>ROUND(SUMIF(Calculation!$E$5:$E$25,A$49,Calculation!$BS$5:$BS$25)/1000000,1)</f>
        <v>4.5999999999999996</v>
      </c>
      <c r="D52" s="25" t="s">
        <v>77</v>
      </c>
      <c r="E52" s="28">
        <f>ROUND(SUMIF(Calculation!$E$5:$E$25,D$49,Calculation!$BS$5:$BS$25)/1000000,1)</f>
        <v>1.5</v>
      </c>
      <c r="G52" s="25" t="s">
        <v>77</v>
      </c>
      <c r="H52" s="28">
        <f>ROUND(SUMIF(Calculation!$E$5:$E$25,G$49,Calculation!$BS$5:$BS$25)/1000000,1)</f>
        <v>0.3</v>
      </c>
      <c r="J52" s="25" t="s">
        <v>77</v>
      </c>
      <c r="K52" s="28">
        <f>ROUND(SUMIF(Calculation!$E$5:$E$25,J$49,Calculation!$BS$5:$BS$25)/1000000,1)</f>
        <v>0</v>
      </c>
    </row>
    <row r="53" spans="1:15" x14ac:dyDescent="0.25">
      <c r="A53" s="25" t="s">
        <v>78</v>
      </c>
      <c r="B53" s="28">
        <f>ROUND(SUMIF(Calculation!$E$5:$E$25,A$49,Calculation!$BZ$5:$BZ$25)/1000000,1)</f>
        <v>2.1</v>
      </c>
      <c r="D53" s="25" t="s">
        <v>78</v>
      </c>
      <c r="E53" s="28">
        <f>ROUND(SUMIF(Calculation!$E$5:$E$25,D$49,Calculation!$BZ$5:$BZ$25)/1000000,1)</f>
        <v>0.1</v>
      </c>
      <c r="G53" s="25" t="s">
        <v>78</v>
      </c>
      <c r="H53" s="28">
        <f>ROUND(SUMIF(Calculation!$E$5:$E$25,G$49,Calculation!$BZ$5:$BZ$25)/1000000,1)</f>
        <v>0</v>
      </c>
      <c r="J53" s="25" t="s">
        <v>78</v>
      </c>
      <c r="K53" s="28">
        <f>ROUND(SUMIF(Calculation!$E$5:$E$25,J$49,Calculation!$BZ$5:$BZ$25)/1000000,1)</f>
        <v>0</v>
      </c>
    </row>
    <row r="54" spans="1:15" x14ac:dyDescent="0.25">
      <c r="A54" s="25" t="s">
        <v>35</v>
      </c>
      <c r="B54" s="28">
        <f>SUM(B50:B53)</f>
        <v>12.999999999999998</v>
      </c>
      <c r="D54" s="25" t="s">
        <v>35</v>
      </c>
      <c r="E54" s="28">
        <f>SUM(E50:E53)</f>
        <v>4.8</v>
      </c>
      <c r="G54" s="25" t="s">
        <v>35</v>
      </c>
      <c r="H54" s="28">
        <f>SUM(H50:H53)</f>
        <v>1.1000000000000001</v>
      </c>
      <c r="J54" s="25" t="s">
        <v>35</v>
      </c>
      <c r="K54" s="28">
        <f>SUM(K50:K53)</f>
        <v>3.2</v>
      </c>
    </row>
    <row r="57" spans="1:15" ht="20" thickBot="1" x14ac:dyDescent="0.5">
      <c r="A57" s="32" t="s">
        <v>3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5" thickTop="1" x14ac:dyDescent="0.35">
      <c r="A58" s="4">
        <v>16</v>
      </c>
      <c r="B58" s="4">
        <v>17</v>
      </c>
      <c r="C58" s="4">
        <v>18</v>
      </c>
      <c r="D58" s="4">
        <v>19</v>
      </c>
      <c r="E58" s="4">
        <v>20</v>
      </c>
      <c r="F58" s="4">
        <v>21</v>
      </c>
      <c r="G58" s="4">
        <v>22</v>
      </c>
    </row>
    <row r="59" spans="1:15" ht="17.5" thickBot="1" x14ac:dyDescent="0.45">
      <c r="A59" s="2" t="str">
        <f>Calculation!E4</f>
        <v>Program</v>
      </c>
      <c r="B59" s="2" t="str">
        <f t="shared" ref="B59:G59" si="19">B18</f>
        <v>FY23</v>
      </c>
      <c r="C59" s="2" t="str">
        <f t="shared" si="19"/>
        <v>FY24</v>
      </c>
      <c r="D59" s="2" t="str">
        <f t="shared" si="19"/>
        <v>FY25</v>
      </c>
      <c r="E59" s="2" t="str">
        <f t="shared" si="19"/>
        <v>FY26</v>
      </c>
      <c r="F59" s="2" t="str">
        <f t="shared" si="19"/>
        <v>FY27</v>
      </c>
      <c r="G59" s="2" t="str">
        <f t="shared" si="19"/>
        <v>Total</v>
      </c>
    </row>
    <row r="60" spans="1:15" ht="11" thickTop="1" x14ac:dyDescent="0.25">
      <c r="A60" s="10" t="str">
        <f t="array" ref="A60">_xlfn.IFNA(INDEX(Calculation!$E$5:$E$30,MATCH(0,COUNTIF(A$58:A59,Calculation!$E$5:$E$30),0)),"")</f>
        <v>Pipeline Integrity</v>
      </c>
      <c r="B60" s="28">
        <f>SUMIF(Calculation!$E$5:$E$30,$A60,Calculation!AQ$5:AQ$30)/1000000</f>
        <v>6.9509190196614572</v>
      </c>
      <c r="C60" s="28">
        <f>SUMIF(Calculation!$E$5:$E$30,$A60,Calculation!AR$5:AR$30)/1000000</f>
        <v>1.3395869879997635</v>
      </c>
      <c r="D60" s="28">
        <f>SUMIF(Calculation!$E$5:$E$30,$A60,Calculation!AS$5:AS$30)/1000000</f>
        <v>1.1215984292299424</v>
      </c>
      <c r="E60" s="28">
        <f>SUMIF(Calculation!$E$5:$E$30,$A60,Calculation!AT$5:AT$30)/1000000</f>
        <v>1.0143647416699701</v>
      </c>
      <c r="F60" s="28">
        <f>SUMIF(Calculation!$E$5:$E$30,$A60,Calculation!AU$5:AU$30)/1000000</f>
        <v>2.6394777074974218</v>
      </c>
      <c r="G60" s="28">
        <f>SUM(B60:F60)</f>
        <v>13.065946886058557</v>
      </c>
    </row>
    <row r="61" spans="1:15" x14ac:dyDescent="0.25">
      <c r="A61" s="10" t="str">
        <f t="array" ref="A61">_xlfn.IFNA(INDEX(Calculation!$E$5:$E$30,MATCH(0,COUNTIF(A$58:A60,Calculation!$E$5:$E$30),0)),"")</f>
        <v>Supply Security Project</v>
      </c>
      <c r="B61" s="28">
        <f>SUMIF(Calculation!$E$5:$E$30,$A61,Calculation!AQ$5:AQ$30)/1000000</f>
        <v>4.7352942738946462</v>
      </c>
      <c r="C61" s="28">
        <f>SUMIF(Calculation!$E$5:$E$30,$A61,Calculation!AR$5:AR$30)/1000000</f>
        <v>0</v>
      </c>
      <c r="D61" s="28">
        <f>SUMIF(Calculation!$E$5:$E$30,$A61,Calculation!AS$5:AS$30)/1000000</f>
        <v>0</v>
      </c>
      <c r="E61" s="28">
        <f>SUMIF(Calculation!$E$5:$E$30,$A61,Calculation!AT$5:AT$30)/1000000</f>
        <v>0</v>
      </c>
      <c r="F61" s="28">
        <f>SUMIF(Calculation!$E$5:$E$30,$A61,Calculation!AU$5:AU$30)/1000000</f>
        <v>0</v>
      </c>
      <c r="G61" s="28">
        <f t="shared" ref="G61:G68" si="20">SUM(B61:F61)</f>
        <v>4.7352942738946462</v>
      </c>
    </row>
    <row r="62" spans="1:15" x14ac:dyDescent="0.25">
      <c r="A62" s="10" t="str">
        <f t="array" ref="A62">_xlfn.IFNA(INDEX(Calculation!$E$5:$E$30,MATCH(0,COUNTIF(A$58:A61,Calculation!$E$5:$E$30),0)),"")</f>
        <v>SCADA Hardware Lifecycle Management</v>
      </c>
      <c r="B62" s="28">
        <f>SUMIF(Calculation!$E$5:$E$30,$A62,Calculation!AQ$5:AQ$30)/1000000</f>
        <v>0.75172608459446799</v>
      </c>
      <c r="C62" s="28">
        <f>SUMIF(Calculation!$E$5:$E$30,$A62,Calculation!AR$5:AR$30)/1000000</f>
        <v>0</v>
      </c>
      <c r="D62" s="28">
        <f>SUMIF(Calculation!$E$5:$E$30,$A62,Calculation!AS$5:AS$30)/1000000</f>
        <v>0</v>
      </c>
      <c r="E62" s="28">
        <f>SUMIF(Calculation!$E$5:$E$30,$A62,Calculation!AT$5:AT$30)/1000000</f>
        <v>0</v>
      </c>
      <c r="F62" s="28">
        <f>SUMIF(Calculation!$E$5:$E$30,$A62,Calculation!AU$5:AU$30)/1000000</f>
        <v>0</v>
      </c>
      <c r="G62" s="28">
        <f t="shared" si="20"/>
        <v>0.75172608459446799</v>
      </c>
    </row>
    <row r="63" spans="1:15" x14ac:dyDescent="0.25">
      <c r="A63" s="10" t="str">
        <f t="array" ref="A63">_xlfn.IFNA(INDEX(Calculation!$E$5:$E$30,MATCH(0,COUNTIF(A$58:A62,Calculation!$E$5:$E$30),0)),"")</f>
        <v>Battery Charger Replacement</v>
      </c>
      <c r="B63" s="28">
        <f>SUMIF(Calculation!$E$5:$E$30,$A63,Calculation!AQ$5:AQ$30)/1000000</f>
        <v>0.24900771970596658</v>
      </c>
      <c r="C63" s="28">
        <f>SUMIF(Calculation!$E$5:$E$30,$A63,Calculation!AR$5:AR$30)/1000000</f>
        <v>0</v>
      </c>
      <c r="D63" s="28">
        <f>SUMIF(Calculation!$E$5:$E$30,$A63,Calculation!AS$5:AS$30)/1000000</f>
        <v>0</v>
      </c>
      <c r="E63" s="28">
        <f>SUMIF(Calculation!$E$5:$E$30,$A63,Calculation!AT$5:AT$30)/1000000</f>
        <v>0</v>
      </c>
      <c r="F63" s="28">
        <f>SUMIF(Calculation!$E$5:$E$30,$A63,Calculation!AU$5:AU$30)/1000000</f>
        <v>0</v>
      </c>
      <c r="G63" s="28">
        <f t="shared" si="20"/>
        <v>0.24900771970596658</v>
      </c>
    </row>
    <row r="64" spans="1:15" x14ac:dyDescent="0.25">
      <c r="A64" s="10" t="str">
        <f t="array" ref="A64">_xlfn.IFNA(INDEX(Calculation!$E$5:$E$30,MATCH(0,COUNTIF(A$58:A63,Calculation!$E$5:$E$30),0)),"")</f>
        <v>Liquids Removal</v>
      </c>
      <c r="B64" s="28">
        <f>SUMIF(Calculation!$E$5:$E$30,$A64,Calculation!AQ$5:AQ$30)/1000000</f>
        <v>1.0434887848388235</v>
      </c>
      <c r="C64" s="28">
        <f>SUMIF(Calculation!$E$5:$E$30,$A64,Calculation!AR$5:AR$30)/1000000</f>
        <v>0</v>
      </c>
      <c r="D64" s="28">
        <f>SUMIF(Calculation!$E$5:$E$30,$A64,Calculation!AS$5:AS$30)/1000000</f>
        <v>0</v>
      </c>
      <c r="E64" s="28">
        <f>SUMIF(Calculation!$E$5:$E$30,$A64,Calculation!AT$5:AT$30)/1000000</f>
        <v>0</v>
      </c>
      <c r="F64" s="28">
        <f>SUMIF(Calculation!$E$5:$E$30,$A64,Calculation!AU$5:AU$30)/1000000</f>
        <v>0</v>
      </c>
      <c r="G64" s="28">
        <f t="shared" si="20"/>
        <v>1.0434887848388235</v>
      </c>
    </row>
    <row r="65" spans="1:15" x14ac:dyDescent="0.25">
      <c r="A65" s="10" t="str">
        <f t="array" ref="A65">_xlfn.IFNA(INDEX(Calculation!$E$5:$E$30,MATCH(0,COUNTIF(A$58:A64,Calculation!$E$5:$E$30),0)),"")</f>
        <v>Valve Upgrade</v>
      </c>
      <c r="B65" s="28">
        <f>SUMIF(Calculation!$E$5:$E$30,$A65,Calculation!AQ$5:AQ$30)/1000000</f>
        <v>0.11182439473470476</v>
      </c>
      <c r="C65" s="28">
        <f>SUMIF(Calculation!$E$5:$E$30,$A65,Calculation!AR$5:AR$30)/1000000</f>
        <v>0.13518889784755914</v>
      </c>
      <c r="D65" s="28">
        <f>SUMIF(Calculation!$E$5:$E$30,$A65,Calculation!AS$5:AS$30)/1000000</f>
        <v>0</v>
      </c>
      <c r="E65" s="28">
        <f>SUMIF(Calculation!$E$5:$E$30,$A65,Calculation!AT$5:AT$30)/1000000</f>
        <v>0</v>
      </c>
      <c r="F65" s="28">
        <f>SUMIF(Calculation!$E$5:$E$30,$A65,Calculation!AU$5:AU$30)/1000000</f>
        <v>0</v>
      </c>
      <c r="G65" s="28">
        <f t="shared" si="20"/>
        <v>0.2470132925822639</v>
      </c>
    </row>
    <row r="66" spans="1:15" x14ac:dyDescent="0.25">
      <c r="A66" s="10" t="str">
        <f t="array" ref="A66">_xlfn.IFNA(INDEX(Calculation!$E$5:$E$30,MATCH(0,COUNTIF(A$58:A65,Calculation!$E$5:$E$30),0)),"")</f>
        <v>Dalby Communication Relocation</v>
      </c>
      <c r="B66" s="28">
        <f>SUMIF(Calculation!$E$5:$E$30,$A66,Calculation!AQ$5:AQ$30)/1000000</f>
        <v>5.5540008424068255E-2</v>
      </c>
      <c r="C66" s="28">
        <f>SUMIF(Calculation!$E$5:$E$30,$A66,Calculation!AR$5:AR$30)/1000000</f>
        <v>0</v>
      </c>
      <c r="D66" s="28">
        <f>SUMIF(Calculation!$E$5:$E$30,$A66,Calculation!AS$5:AS$30)/1000000</f>
        <v>0</v>
      </c>
      <c r="E66" s="28">
        <f>SUMIF(Calculation!$E$5:$E$30,$A66,Calculation!AT$5:AT$30)/1000000</f>
        <v>0</v>
      </c>
      <c r="F66" s="28">
        <f>SUMIF(Calculation!$E$5:$E$30,$A66,Calculation!AU$5:AU$30)/1000000</f>
        <v>0</v>
      </c>
      <c r="G66" s="28">
        <f t="shared" si="20"/>
        <v>5.5540008424068255E-2</v>
      </c>
    </row>
    <row r="67" spans="1:15" x14ac:dyDescent="0.25">
      <c r="A67" s="10" t="str">
        <f t="array" ref="A67">_xlfn.IFNA(INDEX(Calculation!$E$5:$E$30,MATCH(0,COUNTIF(A$58:A66,Calculation!$E$5:$E$30),0)),"")</f>
        <v>Pipeline Relocation</v>
      </c>
      <c r="B67" s="28">
        <f>SUMIF(Calculation!$E$5:$E$30,$A67,Calculation!AQ$5:AQ$30)/1000000</f>
        <v>0</v>
      </c>
      <c r="C67" s="28">
        <f>SUMIF(Calculation!$E$5:$E$30,$A67,Calculation!AR$5:AR$30)/1000000</f>
        <v>0.33219846936428521</v>
      </c>
      <c r="D67" s="28">
        <f>SUMIF(Calculation!$E$5:$E$30,$A67,Calculation!AS$5:AS$30)/1000000</f>
        <v>0</v>
      </c>
      <c r="E67" s="28">
        <f>SUMIF(Calculation!$E$5:$E$30,$A67,Calculation!AT$5:AT$30)/1000000</f>
        <v>0</v>
      </c>
      <c r="F67" s="28">
        <f>SUMIF(Calculation!$E$5:$E$30,$A67,Calculation!AU$5:AU$30)/1000000</f>
        <v>0</v>
      </c>
      <c r="G67" s="28">
        <f t="shared" si="20"/>
        <v>0.33219846936428521</v>
      </c>
    </row>
    <row r="68" spans="1:15" x14ac:dyDescent="0.25">
      <c r="A68" s="10" t="str">
        <f t="array" ref="A68">_xlfn.IFNA(INDEX(Calculation!$E$5:$E$30,MATCH(0,COUNTIF(A$58:A67,Calculation!$E$5:$E$30),0)),"")</f>
        <v>Minor Projects</v>
      </c>
      <c r="B68" s="28">
        <f>SUMIF(Calculation!$E$5:$E$30,$A68,Calculation!AQ$5:AQ$30)/1000000</f>
        <v>0.39922499995576438</v>
      </c>
      <c r="C68" s="28">
        <f>SUMIF(Calculation!$E$5:$E$30,$A68,Calculation!AR$5:AR$30)/1000000</f>
        <v>0.40083224891873781</v>
      </c>
      <c r="D68" s="28">
        <f>SUMIF(Calculation!$E$5:$E$30,$A68,Calculation!AS$5:AS$30)/1000000</f>
        <v>0.40283829346939531</v>
      </c>
      <c r="E68" s="28">
        <f>SUMIF(Calculation!$E$5:$E$30,$A68,Calculation!AT$5:AT$30)/1000000</f>
        <v>0.4049194578503541</v>
      </c>
      <c r="F68" s="28">
        <f>SUMIF(Calculation!$E$5:$E$30,$A68,Calculation!AU$5:AU$30)/1000000</f>
        <v>0.40630642084647917</v>
      </c>
      <c r="G68" s="28">
        <f t="shared" si="20"/>
        <v>2.0141214210407306</v>
      </c>
    </row>
    <row r="69" spans="1:15" x14ac:dyDescent="0.25">
      <c r="A69" s="10" t="str">
        <f t="array" ref="A69">_xlfn.IFNA(INDEX(Calculation!$E$5:$E$30,MATCH(0,COUNTIF(A$58:A68,Calculation!$E$5:$E$30),0)),"")</f>
        <v>Group IT</v>
      </c>
      <c r="B69" s="28">
        <f>SUMIF(Calculation!$E$5:$E$30,$A69,Calculation!AQ$5:AQ$30)/1000000</f>
        <v>1.1083516368118873</v>
      </c>
      <c r="C69" s="28">
        <f>SUMIF(Calculation!$E$5:$E$30,$A69,Calculation!AR$5:AR$30)/1000000</f>
        <v>0.94587230900377184</v>
      </c>
      <c r="D69" s="28">
        <f>SUMIF(Calculation!$E$5:$E$30,$A69,Calculation!AS$5:AS$30)/1000000</f>
        <v>0.44581614465134867</v>
      </c>
      <c r="E69" s="28">
        <f>SUMIF(Calculation!$E$5:$E$30,$A69,Calculation!AT$5:AT$30)/1000000</f>
        <v>0.42738839565632236</v>
      </c>
      <c r="F69" s="28">
        <f>SUMIF(Calculation!$E$5:$E$30,$A69,Calculation!AU$5:AU$30)/1000000</f>
        <v>0.37634969335670798</v>
      </c>
      <c r="G69" s="28">
        <f t="shared" ref="G69:G74" si="21">SUM(B69:F69)</f>
        <v>3.3037781794800378</v>
      </c>
    </row>
    <row r="70" spans="1:15" x14ac:dyDescent="0.25">
      <c r="A70" s="10" t="str">
        <f t="array" ref="A70">_xlfn.IFNA(INDEX(Calculation!$E$5:$E$30,MATCH(0,COUNTIF(A$58:A69,Calculation!$E$5:$E$30),0)),"")</f>
        <v>Access Arrangement</v>
      </c>
      <c r="B70" s="28">
        <f>SUMIF(Calculation!$E$5:$E$30,$A70,Calculation!AQ$5:AQ$30)/1000000</f>
        <v>0.72848506067450702</v>
      </c>
      <c r="C70" s="28">
        <f>SUMIF(Calculation!$E$5:$E$30,$A70,Calculation!AR$5:AR$30)/1000000</f>
        <v>5.1044055859708552E-2</v>
      </c>
      <c r="D70" s="28">
        <f>SUMIF(Calculation!$E$5:$E$30,$A70,Calculation!AS$5:AS$30)/1000000</f>
        <v>0</v>
      </c>
      <c r="E70" s="28">
        <f>SUMIF(Calculation!$E$5:$E$30,$A70,Calculation!AT$5:AT$30)/1000000</f>
        <v>0</v>
      </c>
      <c r="F70" s="28">
        <f>SUMIF(Calculation!$E$5:$E$30,$A70,Calculation!AU$5:AU$30)/1000000</f>
        <v>0</v>
      </c>
      <c r="G70" s="28">
        <f t="shared" si="21"/>
        <v>0.77952911653421553</v>
      </c>
    </row>
    <row r="71" spans="1:15" x14ac:dyDescent="0.25">
      <c r="A71" s="10" t="str">
        <f t="array" ref="A71">_xlfn.IFNA(INDEX(Calculation!$E$5:$E$30,MATCH(0,COUNTIF(A$58:A70,Calculation!$E$5:$E$30),0)),"")</f>
        <v>Property Leases</v>
      </c>
      <c r="B71" s="28">
        <f>SUMIF(Calculation!$E$5:$E$30,$A71,Calculation!AQ$5:AQ$30)/1000000</f>
        <v>0</v>
      </c>
      <c r="C71" s="28">
        <f>SUMIF(Calculation!$E$5:$E$30,$A71,Calculation!AR$5:AR$30)/1000000</f>
        <v>0</v>
      </c>
      <c r="D71" s="28">
        <f>SUMIF(Calculation!$E$5:$E$30,$A71,Calculation!AS$5:AS$30)/1000000</f>
        <v>0.58578676638783356</v>
      </c>
      <c r="E71" s="28">
        <f>SUMIF(Calculation!$E$5:$E$30,$A71,Calculation!AT$5:AT$30)/1000000</f>
        <v>0</v>
      </c>
      <c r="F71" s="28">
        <f>SUMIF(Calculation!$E$5:$E$30,$A71,Calculation!AU$5:AU$30)/1000000</f>
        <v>1.4379702976973794</v>
      </c>
      <c r="G71" s="28">
        <f t="shared" si="21"/>
        <v>2.0237570640852129</v>
      </c>
    </row>
    <row r="72" spans="1:15" x14ac:dyDescent="0.25">
      <c r="A72" s="10" t="str">
        <f t="array" ref="A72">_xlfn.IFNA(INDEX(Calculation!$E$5:$E$30,MATCH(0,COUNTIF(A$58:A71,Calculation!$E$5:$E$30),0)),"")</f>
        <v>Vehicle Leases</v>
      </c>
      <c r="B72" s="28">
        <f>SUMIF(Calculation!$E$5:$E$30,$A72,Calculation!AQ$5:AQ$30)/1000000</f>
        <v>0.1174519942927956</v>
      </c>
      <c r="C72" s="28">
        <f>SUMIF(Calculation!$E$5:$E$30,$A72,Calculation!AR$5:AR$30)/1000000</f>
        <v>0.11751856360293358</v>
      </c>
      <c r="D72" s="28">
        <f>SUMIF(Calculation!$E$5:$E$30,$A72,Calculation!AS$5:AS$30)/1000000</f>
        <v>0.11760165029635804</v>
      </c>
      <c r="E72" s="28">
        <f>SUMIF(Calculation!$E$5:$E$30,$A72,Calculation!AT$5:AT$30)/1000000</f>
        <v>0.11768784831565425</v>
      </c>
      <c r="F72" s="28">
        <f>SUMIF(Calculation!$E$5:$E$30,$A72,Calculation!AU$5:AU$30)/1000000</f>
        <v>0.11774529378425679</v>
      </c>
      <c r="G72" s="28">
        <f t="shared" si="21"/>
        <v>0.5880053502919983</v>
      </c>
    </row>
    <row r="73" spans="1:15" x14ac:dyDescent="0.25">
      <c r="A73" s="10" t="str">
        <f t="array" ref="A73">_xlfn.IFNA(INDEX(Calculation!$E$5:$E$30,MATCH(0,COUNTIF(A$58:A72,Calculation!$E$5:$E$30),0)),"")</f>
        <v/>
      </c>
      <c r="B73" s="28">
        <f>SUMIF(Calculation!$E$5:$E$30,$A73,Calculation!AQ$5:AQ$30)/1000000</f>
        <v>0</v>
      </c>
      <c r="C73" s="28">
        <f>SUMIF(Calculation!$E$5:$E$30,$A73,Calculation!AR$5:AR$30)/1000000</f>
        <v>0</v>
      </c>
      <c r="D73" s="28">
        <f>SUMIF(Calculation!$E$5:$E$30,$A73,Calculation!AS$5:AS$30)/1000000</f>
        <v>0</v>
      </c>
      <c r="E73" s="28">
        <f>SUMIF(Calculation!$E$5:$E$30,$A73,Calculation!AT$5:AT$30)/1000000</f>
        <v>0</v>
      </c>
      <c r="F73" s="28">
        <f>SUMIF(Calculation!$E$5:$E$30,$A73,Calculation!AU$5:AU$30)/1000000</f>
        <v>0</v>
      </c>
      <c r="G73" s="28">
        <f t="shared" si="21"/>
        <v>0</v>
      </c>
    </row>
    <row r="74" spans="1:15" x14ac:dyDescent="0.25">
      <c r="A74" s="10">
        <f t="array" ref="A74">_xlfn.IFNA(INDEX(Calculation!$E$5:$E$30,MATCH(0,COUNTIF(A$58:A73,Calculation!$E$5:$E$30),0)),"")</f>
        <v>0</v>
      </c>
      <c r="B74" s="28">
        <f>SUMIF(Calculation!$E$5:$E$30,$A74,Calculation!AQ$5:AQ$30)/1000000</f>
        <v>0</v>
      </c>
      <c r="C74" s="28">
        <f>SUMIF(Calculation!$E$5:$E$30,$A74,Calculation!AR$5:AR$30)/1000000</f>
        <v>0</v>
      </c>
      <c r="D74" s="28">
        <f>SUMIF(Calculation!$E$5:$E$30,$A74,Calculation!AS$5:AS$30)/1000000</f>
        <v>0</v>
      </c>
      <c r="E74" s="28">
        <f>SUMIF(Calculation!$E$5:$E$30,$A74,Calculation!AT$5:AT$30)/1000000</f>
        <v>0</v>
      </c>
      <c r="F74" s="28">
        <f>SUMIF(Calculation!$E$5:$E$30,$A74,Calculation!AU$5:AU$30)/1000000</f>
        <v>0</v>
      </c>
      <c r="G74" s="28">
        <f t="shared" si="21"/>
        <v>0</v>
      </c>
    </row>
    <row r="77" spans="1:15" ht="20" thickBot="1" x14ac:dyDescent="0.5">
      <c r="A77" s="32" t="s">
        <v>79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1" thickTop="1" x14ac:dyDescent="0.25"/>
    <row r="80" spans="1:15" ht="17.5" thickBot="1" x14ac:dyDescent="0.45">
      <c r="A80" s="17" t="s">
        <v>79</v>
      </c>
      <c r="B80" s="17" t="str">
        <f t="shared" ref="B80:G80" si="22">B59</f>
        <v>FY23</v>
      </c>
      <c r="C80" s="17" t="str">
        <f t="shared" si="22"/>
        <v>FY24</v>
      </c>
      <c r="D80" s="17" t="str">
        <f t="shared" si="22"/>
        <v>FY25</v>
      </c>
      <c r="E80" s="17" t="str">
        <f t="shared" si="22"/>
        <v>FY26</v>
      </c>
      <c r="F80" s="17" t="str">
        <f t="shared" si="22"/>
        <v>FY27</v>
      </c>
      <c r="G80" s="17" t="str">
        <f t="shared" si="22"/>
        <v>Total</v>
      </c>
    </row>
    <row r="81" spans="1:15" ht="11" thickTop="1" x14ac:dyDescent="0.25">
      <c r="A81" s="10" t="s">
        <v>80</v>
      </c>
      <c r="B81" s="28">
        <f t="array" ref="B81">INDEX(Calculation!CJ$5:CJ$29,MATCH($A81,Calculation!$A$5:$A$30,0),0)/1000000</f>
        <v>8.3002573235322202E-2</v>
      </c>
      <c r="C81" s="28">
        <f t="array" ref="C81">INDEX(Calculation!CK$5:CK$29,MATCH($A81,Calculation!$A$5:$A$30,0),0)/1000000</f>
        <v>0</v>
      </c>
      <c r="D81" s="28">
        <f t="array" ref="D81">INDEX(Calculation!CL$5:CL$29,MATCH($A81,Calculation!$A$5:$A$30,0),0)/1000000</f>
        <v>0</v>
      </c>
      <c r="E81" s="28">
        <f t="array" ref="E81">INDEX(Calculation!CM$5:CM$29,MATCH($A81,Calculation!$A$5:$A$30,0),0)/1000000</f>
        <v>0</v>
      </c>
      <c r="F81" s="28">
        <f t="array" ref="F81">INDEX(Calculation!CN$5:CN$29,MATCH($A81,Calculation!$A$5:$A$30,0),0)/1000000</f>
        <v>0</v>
      </c>
      <c r="G81" s="28">
        <f>SUM(B81:F81)</f>
        <v>8.3002573235322202E-2</v>
      </c>
    </row>
    <row r="82" spans="1:15" x14ac:dyDescent="0.25">
      <c r="A82" s="10" t="s">
        <v>81</v>
      </c>
      <c r="B82" s="28">
        <f t="array" ref="B82">INDEX(Calculation!CJ$5:CJ$29,MATCH($A82,Calculation!$A$5:$A$30,0),0)/1000000</f>
        <v>8.3002573235322202E-2</v>
      </c>
      <c r="C82" s="28">
        <f t="array" ref="C82">INDEX(Calculation!CK$5:CK$29,MATCH($A82,Calculation!$A$5:$A$30,0),0)/1000000</f>
        <v>0</v>
      </c>
      <c r="D82" s="28">
        <f t="array" ref="D82">INDEX(Calculation!CL$5:CL$29,MATCH($A82,Calculation!$A$5:$A$30,0),0)/1000000</f>
        <v>0</v>
      </c>
      <c r="E82" s="28">
        <f t="array" ref="E82">INDEX(Calculation!CM$5:CM$29,MATCH($A82,Calculation!$A$5:$A$30,0),0)/1000000</f>
        <v>0</v>
      </c>
      <c r="F82" s="28">
        <f t="array" ref="F82">INDEX(Calculation!CN$5:CN$29,MATCH($A82,Calculation!$A$5:$A$30,0),0)/1000000</f>
        <v>0</v>
      </c>
      <c r="G82" s="28">
        <f>SUM(B82:F82)</f>
        <v>8.3002573235322202E-2</v>
      </c>
    </row>
    <row r="83" spans="1:15" x14ac:dyDescent="0.25">
      <c r="A83" s="10" t="s">
        <v>82</v>
      </c>
      <c r="B83" s="28">
        <f t="array" ref="B83">INDEX(Calculation!CJ$5:CJ$29,MATCH($A83,Calculation!$A$5:$A$30,0),0)/1000000</f>
        <v>8.3002573235322202E-2</v>
      </c>
      <c r="C83" s="28">
        <f t="array" ref="C83">INDEX(Calculation!CK$5:CK$29,MATCH($A83,Calculation!$A$5:$A$30,0),0)/1000000</f>
        <v>0</v>
      </c>
      <c r="D83" s="28">
        <f t="array" ref="D83">INDEX(Calculation!CL$5:CL$29,MATCH($A83,Calculation!$A$5:$A$30,0),0)/1000000</f>
        <v>0</v>
      </c>
      <c r="E83" s="28">
        <f t="array" ref="E83">INDEX(Calculation!CM$5:CM$29,MATCH($A83,Calculation!$A$5:$A$30,0),0)/1000000</f>
        <v>0</v>
      </c>
      <c r="F83" s="28">
        <f t="array" ref="F83">INDEX(Calculation!CN$5:CN$29,MATCH($A83,Calculation!$A$5:$A$30,0),0)/1000000</f>
        <v>0</v>
      </c>
      <c r="G83" s="28">
        <f>SUM(B83:F83)</f>
        <v>8.3002573235322202E-2</v>
      </c>
    </row>
    <row r="84" spans="1:15" x14ac:dyDescent="0.25">
      <c r="A84" s="10" t="s">
        <v>35</v>
      </c>
      <c r="B84" s="28">
        <f t="shared" ref="B84:G84" si="23">SUM(B81:B83)</f>
        <v>0.24900771970596661</v>
      </c>
      <c r="C84" s="28">
        <f t="shared" si="23"/>
        <v>0</v>
      </c>
      <c r="D84" s="28">
        <f t="shared" si="23"/>
        <v>0</v>
      </c>
      <c r="E84" s="28">
        <f t="shared" si="23"/>
        <v>0</v>
      </c>
      <c r="F84" s="28">
        <f t="shared" si="23"/>
        <v>0</v>
      </c>
      <c r="G84" s="28">
        <f t="shared" si="23"/>
        <v>0.24900771970596661</v>
      </c>
    </row>
    <row r="87" spans="1:15" ht="20" thickBot="1" x14ac:dyDescent="0.5">
      <c r="A87" s="32" t="s">
        <v>83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1" thickTop="1" x14ac:dyDescent="0.25"/>
    <row r="90" spans="1:15" ht="17.5" thickBot="1" x14ac:dyDescent="0.45">
      <c r="A90" s="17" t="str">
        <f>A87</f>
        <v>DN250 Expenditure</v>
      </c>
      <c r="B90" s="17" t="str">
        <f t="shared" ref="B90:G90" si="24">B80</f>
        <v>FY23</v>
      </c>
      <c r="C90" s="17" t="str">
        <f t="shared" si="24"/>
        <v>FY24</v>
      </c>
      <c r="D90" s="17" t="str">
        <f t="shared" si="24"/>
        <v>FY25</v>
      </c>
      <c r="E90" s="17" t="str">
        <f t="shared" si="24"/>
        <v>FY26</v>
      </c>
      <c r="F90" s="17" t="str">
        <f t="shared" si="24"/>
        <v>FY27</v>
      </c>
      <c r="G90" s="17" t="str">
        <f t="shared" si="24"/>
        <v>Total</v>
      </c>
    </row>
    <row r="91" spans="1:15" ht="11" thickTop="1" x14ac:dyDescent="0.25">
      <c r="A91" s="10" t="s">
        <v>86</v>
      </c>
      <c r="B91" s="28">
        <f t="array" ref="B91">INDEX(Calculation!CB$5:CB$29,MATCH($I91,Calculation!$A$5:$A$30,0),0)/1000000</f>
        <v>2.098116638475906</v>
      </c>
      <c r="C91" s="28">
        <f t="array" ref="C91">INDEX(Calculation!CC$5:CC$29,MATCH($I91,Calculation!$A$5:$A$30,0),0)/1000000</f>
        <v>0</v>
      </c>
      <c r="D91" s="28">
        <f t="array" ref="D91">INDEX(Calculation!CD$5:CD$29,MATCH($I91,Calculation!$A$5:$A$30,0),0)/1000000</f>
        <v>0</v>
      </c>
      <c r="E91" s="28">
        <f t="array" ref="E91">INDEX(Calculation!CE$5:CE$29,MATCH($I91,Calculation!$A$5:$A$30,0),0)/1000000</f>
        <v>0</v>
      </c>
      <c r="F91" s="28">
        <f t="array" ref="F91">INDEX(Calculation!CF$5:CF$29,MATCH($I91,Calculation!$A$5:$A$30,0),0)/1000000</f>
        <v>0</v>
      </c>
      <c r="G91" s="28">
        <f>SUM(B91:F91)</f>
        <v>2.098116638475906</v>
      </c>
      <c r="I91" t="s">
        <v>84</v>
      </c>
    </row>
    <row r="92" spans="1:15" x14ac:dyDescent="0.25">
      <c r="A92" s="10" t="str">
        <f>D49</f>
        <v>Supply Security Project</v>
      </c>
      <c r="B92" s="28">
        <f t="array" ref="B92">INDEX(Calculation!CB$5:CB$29,MATCH($I92,Calculation!$A$5:$A$30,0),0)/1000000</f>
        <v>4.7352942738946462</v>
      </c>
      <c r="C92" s="28">
        <f t="array" ref="C92">INDEX(Calculation!CC$5:CC$29,MATCH($I92,Calculation!$A$5:$A$30,0),0)/1000000</f>
        <v>0</v>
      </c>
      <c r="D92" s="28">
        <f t="array" ref="D92">INDEX(Calculation!CD$5:CD$29,MATCH($I92,Calculation!$A$5:$A$30,0),0)/1000000</f>
        <v>0</v>
      </c>
      <c r="E92" s="28">
        <f t="array" ref="E92">INDEX(Calculation!CE$5:CE$29,MATCH($I92,Calculation!$A$5:$A$30,0),0)/1000000</f>
        <v>0</v>
      </c>
      <c r="F92" s="28">
        <f t="array" ref="F92">INDEX(Calculation!CF$5:CF$29,MATCH($I92,Calculation!$A$5:$A$30,0),0)/1000000</f>
        <v>0</v>
      </c>
      <c r="G92" s="28">
        <f>SUM(B92:F92)</f>
        <v>4.7352942738946462</v>
      </c>
      <c r="I92" t="s">
        <v>85</v>
      </c>
    </row>
    <row r="93" spans="1:15" x14ac:dyDescent="0.25">
      <c r="A93" s="10" t="s">
        <v>35</v>
      </c>
      <c r="B93" s="28">
        <f t="shared" ref="B93:G93" si="25">SUM(B91:B92)</f>
        <v>6.8334109123705522</v>
      </c>
      <c r="C93" s="28">
        <f t="shared" si="25"/>
        <v>0</v>
      </c>
      <c r="D93" s="28">
        <f t="shared" si="25"/>
        <v>0</v>
      </c>
      <c r="E93" s="28">
        <f t="shared" si="25"/>
        <v>0</v>
      </c>
      <c r="F93" s="28">
        <f t="shared" si="25"/>
        <v>0</v>
      </c>
      <c r="G93" s="28">
        <f t="shared" si="25"/>
        <v>6.8334109123705522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B37:C51"/>
  <sheetViews>
    <sheetView workbookViewId="0">
      <selection activeCell="P42" sqref="P42"/>
    </sheetView>
  </sheetViews>
  <sheetFormatPr defaultRowHeight="10.5" x14ac:dyDescent="0.25"/>
  <cols>
    <col min="3" max="3" width="11.125" bestFit="1" customWidth="1"/>
    <col min="4" max="8" width="10.125" bestFit="1" customWidth="1"/>
  </cols>
  <sheetData>
    <row r="37" spans="2:3" x14ac:dyDescent="0.25">
      <c r="B37" t="s">
        <v>6</v>
      </c>
      <c r="C37" t="s">
        <v>35</v>
      </c>
    </row>
    <row r="38" spans="2:3" x14ac:dyDescent="0.25">
      <c r="B38" t="str">
        <f t="array" ref="B38">INDEX(Outputs!$A$60:$A$74,MATCH(C38,Outputs!$G$60:$G$74,0),0)</f>
        <v>Pipeline Integrity</v>
      </c>
      <c r="C38" s="34">
        <f>LARGE(Outputs!$G$60:$G$74,ROW(C38)-37)</f>
        <v>13.065946886058557</v>
      </c>
    </row>
    <row r="39" spans="2:3" x14ac:dyDescent="0.25">
      <c r="B39" t="str">
        <f t="array" ref="B39">INDEX(Outputs!$A$60:$A$74,MATCH(C39,Outputs!$G$60:$G$74,0),0)</f>
        <v>Supply Security Project</v>
      </c>
      <c r="C39" s="34">
        <f>LARGE(Outputs!$G$60:$G$74,ROW(C39)-37)</f>
        <v>4.7352942738946462</v>
      </c>
    </row>
    <row r="40" spans="2:3" x14ac:dyDescent="0.25">
      <c r="B40" t="str">
        <f t="array" ref="B40">INDEX(Outputs!$A$60:$A$74,MATCH(C40,Outputs!$G$60:$G$74,0),0)</f>
        <v>Group IT</v>
      </c>
      <c r="C40" s="34">
        <f>LARGE(Outputs!$G$60:$G$74,ROW(C40)-37)</f>
        <v>3.3037781794800378</v>
      </c>
    </row>
    <row r="41" spans="2:3" x14ac:dyDescent="0.25">
      <c r="B41" t="str">
        <f t="array" ref="B41">INDEX(Outputs!$A$60:$A$74,MATCH(C41,Outputs!$G$60:$G$74,0),0)</f>
        <v>Property Leases</v>
      </c>
      <c r="C41" s="34">
        <f>LARGE(Outputs!$G$60:$G$74,ROW(C41)-37)</f>
        <v>2.0237570640852129</v>
      </c>
    </row>
    <row r="42" spans="2:3" x14ac:dyDescent="0.25">
      <c r="B42" t="str">
        <f t="array" ref="B42">INDEX(Outputs!$A$60:$A$74,MATCH(C42,Outputs!$G$60:$G$74,0),0)</f>
        <v>Minor Projects</v>
      </c>
      <c r="C42" s="34">
        <f>LARGE(Outputs!$G$60:$G$74,ROW(C42)-37)</f>
        <v>2.0141214210407306</v>
      </c>
    </row>
    <row r="43" spans="2:3" x14ac:dyDescent="0.25">
      <c r="B43" t="str">
        <f t="array" ref="B43">INDEX(Outputs!$A$60:$A$74,MATCH(C43,Outputs!$G$60:$G$74,0),0)</f>
        <v>Liquids Removal</v>
      </c>
      <c r="C43" s="34">
        <f>LARGE(Outputs!$G$60:$G$74,ROW(C43)-37)</f>
        <v>1.0434887848388235</v>
      </c>
    </row>
    <row r="44" spans="2:3" x14ac:dyDescent="0.25">
      <c r="B44" t="str">
        <f t="array" ref="B44">INDEX(Outputs!$A$60:$A$74,MATCH(C44,Outputs!$G$60:$G$74,0),0)</f>
        <v>Access Arrangement</v>
      </c>
      <c r="C44" s="34">
        <f>LARGE(Outputs!$G$60:$G$74,ROW(C44)-37)</f>
        <v>0.77952911653421553</v>
      </c>
    </row>
    <row r="45" spans="2:3" x14ac:dyDescent="0.25">
      <c r="B45" t="str">
        <f t="array" ref="B45">INDEX(Outputs!$A$60:$A$74,MATCH(C45,Outputs!$G$60:$G$74,0),0)</f>
        <v>SCADA Hardware Lifecycle Management</v>
      </c>
      <c r="C45" s="34">
        <f>LARGE(Outputs!$G$60:$G$74,ROW(C45)-37)</f>
        <v>0.75172608459446799</v>
      </c>
    </row>
    <row r="46" spans="2:3" x14ac:dyDescent="0.25">
      <c r="B46" t="str">
        <f t="array" ref="B46">INDEX(Outputs!$A$60:$A$74,MATCH(C46,Outputs!$G$60:$G$74,0),0)</f>
        <v>Vehicle Leases</v>
      </c>
      <c r="C46" s="34">
        <f>LARGE(Outputs!$G$60:$G$74,ROW(C46)-37)</f>
        <v>0.5880053502919983</v>
      </c>
    </row>
    <row r="47" spans="2:3" x14ac:dyDescent="0.25">
      <c r="B47" t="str">
        <f t="array" ref="B47">INDEX(Outputs!$A$60:$A$74,MATCH(C47,Outputs!$G$60:$G$74,0),0)</f>
        <v>Pipeline Relocation</v>
      </c>
      <c r="C47" s="34">
        <f>LARGE(Outputs!$G$60:$G$74,ROW(C47)-37)</f>
        <v>0.33219846936428521</v>
      </c>
    </row>
    <row r="48" spans="2:3" x14ac:dyDescent="0.25">
      <c r="B48" t="str">
        <f t="array" ref="B48">INDEX(Outputs!$A$60:$A$74,MATCH(C48,Outputs!$G$60:$G$74,0),0)</f>
        <v>Battery Charger Replacement</v>
      </c>
      <c r="C48" s="34">
        <f>LARGE(Outputs!$G$60:$G$74,ROW(C48)-37)</f>
        <v>0.24900771970596658</v>
      </c>
    </row>
    <row r="49" spans="2:3" x14ac:dyDescent="0.25">
      <c r="B49" t="str">
        <f t="array" ref="B49">INDEX(Outputs!$A$60:$A$74,MATCH(C49,Outputs!$G$60:$G$74,0),0)</f>
        <v>Valve Upgrade</v>
      </c>
      <c r="C49" s="34">
        <f>LARGE(Outputs!$G$60:$G$74,ROW(C49)-37)</f>
        <v>0.2470132925822639</v>
      </c>
    </row>
    <row r="50" spans="2:3" x14ac:dyDescent="0.25">
      <c r="B50" t="str">
        <f t="array" ref="B50">INDEX(Outputs!$A$60:$A$74,MATCH(C50,Outputs!$G$60:$G$74,0),0)</f>
        <v>Dalby Communication Relocation</v>
      </c>
      <c r="C50" s="34">
        <f>LARGE(Outputs!$G$60:$G$74,ROW(C50)-37)</f>
        <v>5.5540008424068255E-2</v>
      </c>
    </row>
    <row r="51" spans="2:3" x14ac:dyDescent="0.25">
      <c r="B51" t="str">
        <f t="array" ref="B51">INDEX(Outputs!$A$60:$A$74,MATCH(C51,Outputs!$G$60:$G$74,0),0)</f>
        <v/>
      </c>
      <c r="C51" s="34">
        <f>LARGE(Outputs!$G$60:$G$74,ROW(C51)-37)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Inputs</vt:lpstr>
      <vt:lpstr>Calculation</vt:lpstr>
      <vt:lpstr>Outputs</vt:lpstr>
      <vt:lpstr>Graphs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2021-10-27T23:12:59Z</dcterms:created>
  <dcterms:modified xsi:type="dcterms:W3CDTF">2021-10-27T23:13:17Z</dcterms:modified>
  <cp:category/>
  <cp:contentStatus/>
</cp:coreProperties>
</file>