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130" yWindow="1440" windowWidth="23490" windowHeight="10710" tabRatio="807"/>
  </bookViews>
  <sheets>
    <sheet name="Index" sheetId="1" r:id="rId1"/>
    <sheet name="Input|General" sheetId="54" r:id="rId2"/>
    <sheet name="Input|Inflation" sheetId="55" r:id="rId3"/>
    <sheet name="Input|Reported opex" sheetId="56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dollars">'Lookup|Tables'!$G$10</definedName>
    <definedName name="factor">'Lookup|Tables'!$G$17</definedName>
    <definedName name="millions">'Lookup|Tables'!$G$12</definedName>
    <definedName name="Nominal_to_Real">'Input|Rate of change'!$C$25:$C$30</definedName>
    <definedName name="number">'Lookup|Tables'!$G$16</definedName>
    <definedName name="percent">'Lookup|Tables'!$G$14</definedName>
    <definedName name="Real_to_Nominal">'Input|Rate of change'!$C$16:$C$21</definedName>
    <definedName name="thousands">'Lookup|Tables'!$G$11</definedName>
    <definedName name="unit">'Lookup|Tables'!$G$15</definedName>
  </definedNames>
  <calcPr calcId="145621"/>
</workbook>
</file>

<file path=xl/calcChain.xml><?xml version="1.0" encoding="utf-8"?>
<calcChain xmlns="http://schemas.openxmlformats.org/spreadsheetml/2006/main">
  <c r="G11" i="16" l="1"/>
  <c r="J33" i="42"/>
  <c r="F33" i="42"/>
  <c r="E33" i="42"/>
  <c r="C33" i="42"/>
  <c r="J30" i="42"/>
  <c r="F30" i="42"/>
  <c r="E30" i="42"/>
  <c r="C30" i="42"/>
  <c r="J27" i="42"/>
  <c r="F27" i="42"/>
  <c r="E27" i="42"/>
  <c r="C27" i="42"/>
  <c r="J24" i="42"/>
  <c r="F24" i="42"/>
  <c r="E24" i="42"/>
  <c r="C24" i="42"/>
  <c r="J21" i="42"/>
  <c r="F21" i="42"/>
  <c r="E21" i="42"/>
  <c r="C21" i="42"/>
  <c r="J16" i="42"/>
  <c r="F16" i="42"/>
  <c r="E16" i="42"/>
  <c r="J14" i="42"/>
  <c r="F14" i="42"/>
  <c r="E14" i="42"/>
  <c r="J12" i="42"/>
  <c r="F12" i="42"/>
  <c r="E12" i="42"/>
  <c r="U69" i="2"/>
  <c r="J50" i="56"/>
  <c r="J29" i="56"/>
  <c r="J10" i="56"/>
  <c r="E55" i="56"/>
  <c r="E54" i="56"/>
  <c r="E53" i="56"/>
  <c r="E52" i="56"/>
  <c r="E51" i="56"/>
  <c r="S46" i="56"/>
  <c r="R46" i="56"/>
  <c r="Q46" i="56"/>
  <c r="P46" i="56"/>
  <c r="O46" i="56"/>
  <c r="N46" i="56"/>
  <c r="M46" i="56"/>
  <c r="L46" i="56"/>
  <c r="K46" i="56"/>
  <c r="J46" i="56"/>
  <c r="F44" i="56"/>
  <c r="E44" i="56"/>
  <c r="F43" i="56"/>
  <c r="E43" i="56"/>
  <c r="F42" i="56"/>
  <c r="E42" i="56"/>
  <c r="F41" i="56"/>
  <c r="E41" i="56"/>
  <c r="F37" i="56"/>
  <c r="E37" i="56"/>
  <c r="F36" i="56"/>
  <c r="E36" i="56"/>
  <c r="F35" i="56"/>
  <c r="E35" i="56"/>
  <c r="F34" i="56"/>
  <c r="E34" i="56"/>
  <c r="F33" i="56"/>
  <c r="E33" i="56"/>
  <c r="F32" i="56"/>
  <c r="E32" i="56"/>
  <c r="S24" i="56"/>
  <c r="R24" i="56"/>
  <c r="Q24" i="56"/>
  <c r="P24" i="56"/>
  <c r="O24" i="56"/>
  <c r="N24" i="56"/>
  <c r="M24" i="56"/>
  <c r="L24" i="56"/>
  <c r="K24" i="56"/>
  <c r="J24" i="56"/>
  <c r="E22" i="56"/>
  <c r="E21" i="56"/>
  <c r="E20" i="56"/>
  <c r="E19" i="56"/>
  <c r="E18" i="56"/>
  <c r="E17" i="56"/>
  <c r="E16" i="56"/>
  <c r="E15" i="56"/>
  <c r="E14" i="56"/>
  <c r="E13" i="56"/>
  <c r="S4" i="56"/>
  <c r="S29" i="56" s="1"/>
  <c r="R4" i="56"/>
  <c r="R29" i="56" s="1"/>
  <c r="Q4" i="56"/>
  <c r="Q29" i="56" s="1"/>
  <c r="P4" i="56"/>
  <c r="P29" i="56" s="1"/>
  <c r="O4" i="56"/>
  <c r="O29" i="56" s="1"/>
  <c r="N4" i="56"/>
  <c r="N50" i="56" s="1"/>
  <c r="M4" i="56"/>
  <c r="M50" i="56" s="1"/>
  <c r="L4" i="56"/>
  <c r="L50" i="56" s="1"/>
  <c r="K4" i="56"/>
  <c r="K50" i="56" s="1"/>
  <c r="J4" i="56"/>
  <c r="C2" i="56"/>
  <c r="S1" i="56"/>
  <c r="C1" i="56"/>
  <c r="L10" i="56" l="1"/>
  <c r="P10" i="56"/>
  <c r="N10" i="56"/>
  <c r="R10" i="56"/>
  <c r="N29" i="56"/>
  <c r="K10" i="56"/>
  <c r="M10" i="56"/>
  <c r="O10" i="56"/>
  <c r="Q10" i="56"/>
  <c r="S10" i="56"/>
  <c r="K29" i="56"/>
  <c r="M29" i="56"/>
  <c r="L29" i="56"/>
  <c r="O12" i="2"/>
  <c r="S50" i="55" l="1"/>
  <c r="S51" i="55"/>
  <c r="S52" i="55"/>
  <c r="S53" i="55"/>
  <c r="S54" i="55"/>
  <c r="E52" i="55"/>
  <c r="E50" i="55"/>
  <c r="E54" i="55" s="1"/>
  <c r="E53" i="55" l="1"/>
  <c r="E49" i="55"/>
  <c r="E51" i="55"/>
  <c r="P38" i="2" l="1"/>
  <c r="S38" i="2"/>
  <c r="Q38" i="2"/>
  <c r="R38" i="2"/>
  <c r="T38" i="2"/>
  <c r="C34" i="42" l="1"/>
  <c r="E34" i="42"/>
  <c r="C31" i="42"/>
  <c r="C28" i="42"/>
  <c r="C25" i="42"/>
  <c r="E31" i="42"/>
  <c r="E28" i="42"/>
  <c r="E25" i="42"/>
  <c r="E22" i="42"/>
  <c r="C22" i="42"/>
  <c r="E67" i="42" l="1"/>
  <c r="J12" i="2" l="1"/>
  <c r="N12" i="2"/>
  <c r="M12" i="2"/>
  <c r="L12" i="2"/>
  <c r="K12" i="2"/>
  <c r="S47" i="55" l="1"/>
  <c r="S43" i="55"/>
  <c r="S44" i="55"/>
  <c r="S45" i="55"/>
  <c r="S46" i="55"/>
  <c r="S48" i="55"/>
  <c r="S49" i="55"/>
  <c r="K4" i="44" l="1"/>
  <c r="K4" i="42" l="1"/>
  <c r="K71" i="42" s="1"/>
  <c r="K42" i="42" l="1"/>
  <c r="K55" i="42"/>
  <c r="K4" i="53"/>
  <c r="K24" i="53" s="1"/>
  <c r="L4" i="2"/>
  <c r="L91" i="2" s="1"/>
  <c r="K10" i="53" l="1"/>
  <c r="K32" i="53"/>
  <c r="L60" i="2"/>
  <c r="L69" i="2"/>
  <c r="L45" i="2"/>
  <c r="L34" i="2"/>
  <c r="S41" i="55" l="1"/>
  <c r="S39" i="55"/>
  <c r="S40" i="55"/>
  <c r="S42" i="55"/>
  <c r="E84" i="42" l="1"/>
  <c r="T56" i="2" l="1"/>
  <c r="J4" i="2" l="1"/>
  <c r="J14" i="2" s="1"/>
  <c r="L14" i="2"/>
  <c r="M4" i="2"/>
  <c r="M91" i="2" s="1"/>
  <c r="N4" i="2"/>
  <c r="N91" i="2" s="1"/>
  <c r="O4" i="2"/>
  <c r="O91" i="2" s="1"/>
  <c r="C58" i="42"/>
  <c r="C59" i="42"/>
  <c r="C60" i="42"/>
  <c r="C61" i="42"/>
  <c r="C62" i="42"/>
  <c r="C63" i="42"/>
  <c r="C64" i="42"/>
  <c r="C65" i="42"/>
  <c r="C73" i="42"/>
  <c r="C74" i="42"/>
  <c r="C75" i="42"/>
  <c r="K11" i="44"/>
  <c r="L4" i="44"/>
  <c r="L11" i="44" s="1"/>
  <c r="M4" i="44"/>
  <c r="M11" i="44" s="1"/>
  <c r="N4" i="44"/>
  <c r="N11" i="44" s="1"/>
  <c r="O4" i="44"/>
  <c r="O11" i="44" s="1"/>
  <c r="P4" i="44"/>
  <c r="P11" i="44" s="1"/>
  <c r="Q4" i="44"/>
  <c r="Q11" i="44" s="1"/>
  <c r="R4" i="44"/>
  <c r="R11" i="44" s="1"/>
  <c r="S4" i="44"/>
  <c r="S11" i="44" s="1"/>
  <c r="O4" i="42"/>
  <c r="O71" i="42" s="1"/>
  <c r="K10" i="42"/>
  <c r="L4" i="42"/>
  <c r="L71" i="42" s="1"/>
  <c r="M4" i="42"/>
  <c r="M71" i="42" s="1"/>
  <c r="N4" i="42"/>
  <c r="N71" i="42" s="1"/>
  <c r="P4" i="42"/>
  <c r="P71" i="42" s="1"/>
  <c r="Q4" i="42"/>
  <c r="Q71" i="42" s="1"/>
  <c r="R4" i="42"/>
  <c r="R71" i="42" s="1"/>
  <c r="S4" i="42"/>
  <c r="S71" i="42" s="1"/>
  <c r="F12" i="44"/>
  <c r="K16" i="2"/>
  <c r="L16" i="2" s="1"/>
  <c r="L17" i="2"/>
  <c r="M18" i="2"/>
  <c r="O30" i="2"/>
  <c r="S4" i="2"/>
  <c r="S91" i="2" s="1"/>
  <c r="R4" i="2"/>
  <c r="R91" i="2" s="1"/>
  <c r="Q4" i="2"/>
  <c r="Q91" i="2" s="1"/>
  <c r="P4" i="2"/>
  <c r="P91" i="2" s="1"/>
  <c r="K18" i="2"/>
  <c r="M20" i="2"/>
  <c r="S33" i="55"/>
  <c r="S34" i="55"/>
  <c r="S35" i="55"/>
  <c r="S36" i="55"/>
  <c r="S37" i="55"/>
  <c r="S38" i="55"/>
  <c r="K4" i="2"/>
  <c r="E38" i="42"/>
  <c r="E36" i="42"/>
  <c r="E13" i="42"/>
  <c r="J4" i="42"/>
  <c r="J71" i="42" s="1"/>
  <c r="E15" i="42"/>
  <c r="E12" i="44"/>
  <c r="E83" i="42"/>
  <c r="J81" i="42"/>
  <c r="J4" i="44"/>
  <c r="J11" i="44" s="1"/>
  <c r="J12" i="44" s="1"/>
  <c r="E17" i="42"/>
  <c r="E57" i="42"/>
  <c r="E58" i="42"/>
  <c r="E59" i="42"/>
  <c r="E60" i="42"/>
  <c r="E61" i="42"/>
  <c r="E62" i="42"/>
  <c r="E63" i="42"/>
  <c r="E64" i="42"/>
  <c r="E65" i="42"/>
  <c r="E73" i="42"/>
  <c r="E74" i="42"/>
  <c r="E75" i="42"/>
  <c r="E77" i="42"/>
  <c r="E19" i="42"/>
  <c r="L27" i="2"/>
  <c r="N19" i="2"/>
  <c r="N28" i="2" s="1"/>
  <c r="N29" i="2"/>
  <c r="K10" i="2"/>
  <c r="K23" i="2" s="1"/>
  <c r="T4" i="2"/>
  <c r="T91" i="2" s="1"/>
  <c r="S29" i="55"/>
  <c r="S30" i="55"/>
  <c r="S19" i="55"/>
  <c r="S20" i="55"/>
  <c r="S22" i="55"/>
  <c r="S23" i="55"/>
  <c r="S24" i="55"/>
  <c r="S25" i="55"/>
  <c r="S26" i="55"/>
  <c r="S27" i="55"/>
  <c r="S28" i="55"/>
  <c r="S21" i="55"/>
  <c r="S31" i="55"/>
  <c r="S32" i="55"/>
  <c r="S10" i="55"/>
  <c r="S11" i="55"/>
  <c r="S12" i="55"/>
  <c r="S13" i="55"/>
  <c r="S14" i="55"/>
  <c r="S15" i="55"/>
  <c r="S16" i="55"/>
  <c r="S17" i="55"/>
  <c r="S18" i="55"/>
  <c r="S9" i="55"/>
  <c r="B2" i="55"/>
  <c r="P56" i="2"/>
  <c r="Q56" i="2"/>
  <c r="R56" i="2"/>
  <c r="S56" i="2"/>
  <c r="P87" i="2"/>
  <c r="W87" i="2" s="1"/>
  <c r="S9" i="54"/>
  <c r="S12" i="54"/>
  <c r="G14" i="16"/>
  <c r="S1" i="44"/>
  <c r="G15" i="16" s="1"/>
  <c r="S1" i="55"/>
  <c r="B1" i="55"/>
  <c r="E12" i="2"/>
  <c r="O47" i="42"/>
  <c r="P73" i="2"/>
  <c r="P74" i="2"/>
  <c r="P75" i="2"/>
  <c r="P76" i="2"/>
  <c r="O49" i="42"/>
  <c r="J45" i="42"/>
  <c r="J47" i="42"/>
  <c r="J49" i="42"/>
  <c r="K45" i="42"/>
  <c r="K47" i="42"/>
  <c r="K49" i="42"/>
  <c r="L45" i="42"/>
  <c r="L47" i="42"/>
  <c r="L49" i="42"/>
  <c r="M45" i="42"/>
  <c r="M47" i="42"/>
  <c r="M49" i="42"/>
  <c r="N45" i="42"/>
  <c r="N47" i="42"/>
  <c r="N49" i="42"/>
  <c r="P47" i="42"/>
  <c r="Q47" i="42"/>
  <c r="R47" i="42"/>
  <c r="S47" i="42"/>
  <c r="C57" i="42"/>
  <c r="P49" i="42"/>
  <c r="Q49" i="42"/>
  <c r="R49" i="42"/>
  <c r="S49" i="42"/>
  <c r="Q73" i="2"/>
  <c r="R73" i="2"/>
  <c r="S73" i="2"/>
  <c r="T73" i="2"/>
  <c r="Q74" i="2"/>
  <c r="R74" i="2"/>
  <c r="S74" i="2"/>
  <c r="T74" i="2"/>
  <c r="Q75" i="2"/>
  <c r="R75" i="2"/>
  <c r="S75" i="2"/>
  <c r="T75" i="2"/>
  <c r="Q76" i="2"/>
  <c r="R76" i="2"/>
  <c r="S76" i="2"/>
  <c r="T76" i="2"/>
  <c r="C72" i="2"/>
  <c r="C73" i="2"/>
  <c r="C74" i="2"/>
  <c r="C75" i="2"/>
  <c r="C76" i="2"/>
  <c r="C81" i="2"/>
  <c r="C82" i="2"/>
  <c r="C83" i="2"/>
  <c r="C84" i="2"/>
  <c r="C85" i="2"/>
  <c r="C80" i="2"/>
  <c r="S7" i="54"/>
  <c r="S8" i="54"/>
  <c r="S10" i="54"/>
  <c r="S11" i="54"/>
  <c r="S1" i="53"/>
  <c r="G13" i="16" s="1"/>
  <c r="C11" i="16"/>
  <c r="D11" i="16" s="1"/>
  <c r="C12" i="16"/>
  <c r="D12" i="16" s="1"/>
  <c r="C13" i="16"/>
  <c r="D13" i="16" s="1"/>
  <c r="C14" i="16"/>
  <c r="D14" i="16" s="1"/>
  <c r="C15" i="16"/>
  <c r="D15" i="16" s="1"/>
  <c r="C10" i="16"/>
  <c r="D10" i="16" s="1"/>
  <c r="C48" i="2"/>
  <c r="C49" i="2"/>
  <c r="C50" i="2"/>
  <c r="C51" i="2"/>
  <c r="C52" i="2"/>
  <c r="C53" i="2"/>
  <c r="C54" i="2"/>
  <c r="C47" i="2"/>
  <c r="E54" i="2"/>
  <c r="E53" i="2"/>
  <c r="E52" i="2"/>
  <c r="E51" i="2"/>
  <c r="E50" i="2"/>
  <c r="E49" i="2"/>
  <c r="E48" i="2"/>
  <c r="E47" i="2"/>
  <c r="B2" i="53"/>
  <c r="B1" i="53"/>
  <c r="S4" i="53"/>
  <c r="R4" i="53"/>
  <c r="Q4" i="53"/>
  <c r="P4" i="53"/>
  <c r="O4" i="53"/>
  <c r="N4" i="53"/>
  <c r="N24" i="53" s="1"/>
  <c r="M4" i="53"/>
  <c r="M24" i="53" s="1"/>
  <c r="L4" i="53"/>
  <c r="L24" i="53" s="1"/>
  <c r="J4" i="53"/>
  <c r="J24" i="53" s="1"/>
  <c r="E93" i="2"/>
  <c r="B2" i="2"/>
  <c r="B1" i="2"/>
  <c r="C2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K30" i="42" l="1"/>
  <c r="K24" i="42"/>
  <c r="K16" i="42"/>
  <c r="K14" i="42"/>
  <c r="K12" i="42"/>
  <c r="K33" i="42"/>
  <c r="K27" i="42"/>
  <c r="K21" i="42"/>
  <c r="K14" i="2"/>
  <c r="K69" i="2"/>
  <c r="K45" i="2"/>
  <c r="K91" i="2"/>
  <c r="K60" i="2"/>
  <c r="K34" i="2"/>
  <c r="J10" i="42"/>
  <c r="J55" i="42"/>
  <c r="J42" i="42"/>
  <c r="R24" i="53"/>
  <c r="O24" i="53"/>
  <c r="Q24" i="53"/>
  <c r="S24" i="53"/>
  <c r="P24" i="53"/>
  <c r="L32" i="53"/>
  <c r="N32" i="53"/>
  <c r="J10" i="53"/>
  <c r="J32" i="53"/>
  <c r="M32" i="53"/>
  <c r="S42" i="42"/>
  <c r="S55" i="42"/>
  <c r="Q42" i="42"/>
  <c r="Q55" i="42"/>
  <c r="N42" i="42"/>
  <c r="N55" i="42"/>
  <c r="L42" i="42"/>
  <c r="L55" i="42"/>
  <c r="O42" i="42"/>
  <c r="O55" i="42"/>
  <c r="R42" i="42"/>
  <c r="R55" i="42"/>
  <c r="P42" i="42"/>
  <c r="P55" i="42"/>
  <c r="M42" i="42"/>
  <c r="M55" i="42"/>
  <c r="Q10" i="53"/>
  <c r="Q32" i="53"/>
  <c r="P10" i="53"/>
  <c r="P32" i="53"/>
  <c r="R10" i="53"/>
  <c r="R32" i="53"/>
  <c r="O10" i="53"/>
  <c r="O32" i="53"/>
  <c r="S10" i="53"/>
  <c r="S32" i="53"/>
  <c r="M10" i="53"/>
  <c r="L10" i="53"/>
  <c r="N10" i="53"/>
  <c r="T60" i="2"/>
  <c r="T69" i="2"/>
  <c r="P60" i="2"/>
  <c r="P69" i="2"/>
  <c r="Q60" i="2"/>
  <c r="Q69" i="2"/>
  <c r="S60" i="2"/>
  <c r="S69" i="2"/>
  <c r="N60" i="2"/>
  <c r="N69" i="2"/>
  <c r="R60" i="2"/>
  <c r="R69" i="2"/>
  <c r="O60" i="2"/>
  <c r="O69" i="2"/>
  <c r="M60" i="2"/>
  <c r="M69" i="2"/>
  <c r="Q45" i="2"/>
  <c r="S45" i="2"/>
  <c r="N45" i="2"/>
  <c r="T45" i="2"/>
  <c r="P45" i="2"/>
  <c r="R45" i="2"/>
  <c r="O45" i="2"/>
  <c r="M45" i="2"/>
  <c r="Q34" i="2"/>
  <c r="S34" i="2"/>
  <c r="N34" i="2"/>
  <c r="T34" i="2"/>
  <c r="P34" i="2"/>
  <c r="R34" i="2"/>
  <c r="O34" i="2"/>
  <c r="M34" i="2"/>
  <c r="Q10" i="2"/>
  <c r="N14" i="2"/>
  <c r="R10" i="2"/>
  <c r="O14" i="2"/>
  <c r="M14" i="2"/>
  <c r="W56" i="2"/>
  <c r="M51" i="42"/>
  <c r="K51" i="42"/>
  <c r="L51" i="42"/>
  <c r="L10" i="42"/>
  <c r="M10" i="42"/>
  <c r="R81" i="42"/>
  <c r="P81" i="42"/>
  <c r="O81" i="42"/>
  <c r="R45" i="42"/>
  <c r="R51" i="42" s="1"/>
  <c r="T1" i="2"/>
  <c r="G12" i="16" s="1"/>
  <c r="M28" i="2"/>
  <c r="L19" i="2"/>
  <c r="L28" i="2" s="1"/>
  <c r="J17" i="2"/>
  <c r="J26" i="2" s="1"/>
  <c r="M27" i="2"/>
  <c r="N18" i="2"/>
  <c r="N27" i="2" s="1"/>
  <c r="O20" i="2"/>
  <c r="O29" i="2" s="1"/>
  <c r="K26" i="2"/>
  <c r="L20" i="2"/>
  <c r="L29" i="2" s="1"/>
  <c r="J18" i="2"/>
  <c r="J27" i="2" s="1"/>
  <c r="S1" i="54"/>
  <c r="G10" i="16" s="1"/>
  <c r="N51" i="42"/>
  <c r="J51" i="42"/>
  <c r="P45" i="42"/>
  <c r="J19" i="42"/>
  <c r="N21" i="2"/>
  <c r="M21" i="2" s="1"/>
  <c r="L26" i="2"/>
  <c r="M17" i="2"/>
  <c r="M29" i="2"/>
  <c r="K27" i="2"/>
  <c r="N30" i="2"/>
  <c r="K25" i="2"/>
  <c r="J25" i="2"/>
  <c r="M16" i="2"/>
  <c r="M25" i="2" s="1"/>
  <c r="L25" i="2"/>
  <c r="O19" i="2"/>
  <c r="O28" i="2" s="1"/>
  <c r="Q45" i="42"/>
  <c r="S45" i="42"/>
  <c r="L10" i="2"/>
  <c r="L23" i="2" s="1"/>
  <c r="M10" i="2"/>
  <c r="M23" i="2" s="1"/>
  <c r="J10" i="2"/>
  <c r="O10" i="2"/>
  <c r="O23" i="2" s="1"/>
  <c r="N10" i="2"/>
  <c r="N23" i="2" s="1"/>
  <c r="M81" i="42"/>
  <c r="K81" i="42"/>
  <c r="O45" i="42"/>
  <c r="L81" i="42"/>
  <c r="O10" i="42"/>
  <c r="S10" i="42"/>
  <c r="S81" i="42"/>
  <c r="Q10" i="42"/>
  <c r="Q81" i="42"/>
  <c r="T10" i="2"/>
  <c r="P10" i="2"/>
  <c r="S10" i="2"/>
  <c r="R10" i="42"/>
  <c r="P10" i="42"/>
  <c r="N10" i="42"/>
  <c r="N81" i="42"/>
  <c r="K12" i="44"/>
  <c r="R33" i="42" l="1"/>
  <c r="R16" i="42"/>
  <c r="R14" i="42"/>
  <c r="R12" i="42"/>
  <c r="P33" i="42"/>
  <c r="P27" i="42"/>
  <c r="P21" i="42"/>
  <c r="P30" i="42"/>
  <c r="P24" i="42"/>
  <c r="P16" i="42"/>
  <c r="P14" i="42"/>
  <c r="P12" i="42"/>
  <c r="Q30" i="42"/>
  <c r="Q24" i="42"/>
  <c r="Q16" i="42"/>
  <c r="Q14" i="42"/>
  <c r="Q12" i="42"/>
  <c r="Q33" i="42"/>
  <c r="Q27" i="42"/>
  <c r="Q21" i="42"/>
  <c r="S16" i="42"/>
  <c r="S14" i="42"/>
  <c r="S12" i="42"/>
  <c r="S33" i="42"/>
  <c r="L33" i="42"/>
  <c r="L27" i="42"/>
  <c r="L21" i="42"/>
  <c r="L30" i="42"/>
  <c r="L24" i="42"/>
  <c r="L16" i="42"/>
  <c r="L14" i="42"/>
  <c r="L12" i="42"/>
  <c r="N33" i="42"/>
  <c r="N27" i="42"/>
  <c r="N21" i="42"/>
  <c r="N30" i="42"/>
  <c r="N24" i="42"/>
  <c r="N16" i="42"/>
  <c r="N14" i="42"/>
  <c r="N12" i="42"/>
  <c r="O30" i="42"/>
  <c r="O24" i="42"/>
  <c r="O16" i="42"/>
  <c r="O14" i="42"/>
  <c r="O12" i="42"/>
  <c r="O33" i="42"/>
  <c r="O27" i="42"/>
  <c r="O21" i="42"/>
  <c r="M30" i="42"/>
  <c r="M24" i="42"/>
  <c r="M16" i="42"/>
  <c r="M14" i="42"/>
  <c r="M12" i="42"/>
  <c r="M33" i="42"/>
  <c r="M27" i="42"/>
  <c r="M21" i="42"/>
  <c r="N16" i="2"/>
  <c r="O18" i="2"/>
  <c r="O27" i="2" s="1"/>
  <c r="S1" i="16"/>
  <c r="K20" i="2"/>
  <c r="J20" i="2" s="1"/>
  <c r="J29" i="2" s="1"/>
  <c r="C25" i="2" a="1"/>
  <c r="J23" i="2"/>
  <c r="C16" i="2" a="1"/>
  <c r="L19" i="42"/>
  <c r="K19" i="2"/>
  <c r="P51" i="42"/>
  <c r="O51" i="42"/>
  <c r="S51" i="42"/>
  <c r="Q51" i="42"/>
  <c r="L21" i="2"/>
  <c r="M30" i="2"/>
  <c r="M26" i="2"/>
  <c r="N17" i="2"/>
  <c r="N25" i="2"/>
  <c r="O16" i="2"/>
  <c r="K29" i="2"/>
  <c r="R19" i="42"/>
  <c r="Q19" i="42"/>
  <c r="V1" i="55" l="1"/>
  <c r="V1" i="56"/>
  <c r="V1" i="44"/>
  <c r="V1" i="42"/>
  <c r="V1" i="4"/>
  <c r="V1" i="54"/>
  <c r="W1" i="2"/>
  <c r="V1" i="53"/>
  <c r="C25" i="2"/>
  <c r="C27" i="2"/>
  <c r="C29" i="2"/>
  <c r="C26" i="2"/>
  <c r="C28" i="2"/>
  <c r="C30" i="2"/>
  <c r="C16" i="2"/>
  <c r="C18" i="2"/>
  <c r="C20" i="2"/>
  <c r="C17" i="2"/>
  <c r="C19" i="2"/>
  <c r="C21" i="2"/>
  <c r="J19" i="2"/>
  <c r="J28" i="2" s="1"/>
  <c r="K28" i="2"/>
  <c r="K21" i="2"/>
  <c r="L30" i="2"/>
  <c r="N26" i="2"/>
  <c r="O17" i="2"/>
  <c r="O26" i="2" s="1"/>
  <c r="O25" i="2"/>
  <c r="P25" i="42" l="1"/>
  <c r="J34" i="42"/>
  <c r="K34" i="42"/>
  <c r="Q34" i="42"/>
  <c r="N34" i="42"/>
  <c r="P34" i="42"/>
  <c r="M34" i="42"/>
  <c r="O34" i="42"/>
  <c r="R34" i="42"/>
  <c r="S34" i="42"/>
  <c r="L34" i="42"/>
  <c r="P31" i="42"/>
  <c r="S31" i="42"/>
  <c r="R31" i="42"/>
  <c r="J31" i="42"/>
  <c r="K31" i="42"/>
  <c r="N31" i="42"/>
  <c r="Q31" i="42"/>
  <c r="M31" i="42"/>
  <c r="O31" i="42"/>
  <c r="L31" i="42"/>
  <c r="S28" i="42"/>
  <c r="R28" i="42"/>
  <c r="J28" i="42"/>
  <c r="K28" i="42"/>
  <c r="P28" i="42"/>
  <c r="O28" i="42"/>
  <c r="L28" i="42"/>
  <c r="Q28" i="42"/>
  <c r="M28" i="42"/>
  <c r="N28" i="42"/>
  <c r="S25" i="42"/>
  <c r="R25" i="42"/>
  <c r="J25" i="42"/>
  <c r="K25" i="42"/>
  <c r="Q25" i="42"/>
  <c r="O25" i="42"/>
  <c r="L25" i="42"/>
  <c r="M25" i="42"/>
  <c r="N25" i="42"/>
  <c r="S22" i="42"/>
  <c r="R22" i="42"/>
  <c r="P22" i="42"/>
  <c r="Q22" i="42"/>
  <c r="M22" i="42"/>
  <c r="O22" i="42"/>
  <c r="N22" i="42"/>
  <c r="M15" i="42"/>
  <c r="J22" i="42"/>
  <c r="K22" i="42"/>
  <c r="L22" i="42"/>
  <c r="N13" i="42"/>
  <c r="P13" i="42"/>
  <c r="L17" i="42"/>
  <c r="S13" i="42"/>
  <c r="M17" i="42"/>
  <c r="O17" i="42"/>
  <c r="M13" i="42"/>
  <c r="Q13" i="42"/>
  <c r="J57" i="42"/>
  <c r="O57" i="42"/>
  <c r="N57" i="42"/>
  <c r="R57" i="42"/>
  <c r="P57" i="42"/>
  <c r="L57" i="42"/>
  <c r="K57" i="42"/>
  <c r="L58" i="42"/>
  <c r="P58" i="42"/>
  <c r="J59" i="42"/>
  <c r="N59" i="42"/>
  <c r="R59" i="42"/>
  <c r="L60" i="42"/>
  <c r="P60" i="42"/>
  <c r="J61" i="42"/>
  <c r="N61" i="42"/>
  <c r="R61" i="42"/>
  <c r="L62" i="42"/>
  <c r="P62" i="42"/>
  <c r="J63" i="42"/>
  <c r="N63" i="42"/>
  <c r="R63" i="42"/>
  <c r="L64" i="42"/>
  <c r="P64" i="42"/>
  <c r="J65" i="42"/>
  <c r="N65" i="42"/>
  <c r="R65" i="42"/>
  <c r="L73" i="42"/>
  <c r="P73" i="42"/>
  <c r="J74" i="42"/>
  <c r="N74" i="42"/>
  <c r="R74" i="42"/>
  <c r="L75" i="42"/>
  <c r="P75" i="42"/>
  <c r="K58" i="42"/>
  <c r="O58" i="42"/>
  <c r="S58" i="42"/>
  <c r="M59" i="42"/>
  <c r="Q59" i="42"/>
  <c r="K60" i="42"/>
  <c r="O60" i="42"/>
  <c r="S60" i="42"/>
  <c r="M61" i="42"/>
  <c r="Q61" i="42"/>
  <c r="K62" i="42"/>
  <c r="O62" i="42"/>
  <c r="S62" i="42"/>
  <c r="M63" i="42"/>
  <c r="Q63" i="42"/>
  <c r="K64" i="42"/>
  <c r="O64" i="42"/>
  <c r="S64" i="42"/>
  <c r="M65" i="42"/>
  <c r="Q65" i="42"/>
  <c r="K73" i="42"/>
  <c r="O73" i="42"/>
  <c r="S73" i="42"/>
  <c r="M74" i="42"/>
  <c r="Q74" i="42"/>
  <c r="K75" i="42"/>
  <c r="O75" i="42"/>
  <c r="S75" i="42"/>
  <c r="M57" i="42"/>
  <c r="Q57" i="42"/>
  <c r="S57" i="42"/>
  <c r="J58" i="42"/>
  <c r="N58" i="42"/>
  <c r="R58" i="42"/>
  <c r="L59" i="42"/>
  <c r="P59" i="42"/>
  <c r="J60" i="42"/>
  <c r="N60" i="42"/>
  <c r="R60" i="42"/>
  <c r="L61" i="42"/>
  <c r="P61" i="42"/>
  <c r="J62" i="42"/>
  <c r="R62" i="42"/>
  <c r="P63" i="42"/>
  <c r="N64" i="42"/>
  <c r="L65" i="42"/>
  <c r="J73" i="42"/>
  <c r="R73" i="42"/>
  <c r="P74" i="42"/>
  <c r="N75" i="42"/>
  <c r="M58" i="42"/>
  <c r="K59" i="42"/>
  <c r="S59" i="42"/>
  <c r="Q60" i="42"/>
  <c r="O61" i="42"/>
  <c r="M62" i="42"/>
  <c r="K63" i="42"/>
  <c r="S63" i="42"/>
  <c r="Q64" i="42"/>
  <c r="O65" i="42"/>
  <c r="M73" i="42"/>
  <c r="K74" i="42"/>
  <c r="S74" i="42"/>
  <c r="Q75" i="42"/>
  <c r="N62" i="42"/>
  <c r="L63" i="42"/>
  <c r="J64" i="42"/>
  <c r="R64" i="42"/>
  <c r="P65" i="42"/>
  <c r="N73" i="42"/>
  <c r="L74" i="42"/>
  <c r="J75" i="42"/>
  <c r="R75" i="42"/>
  <c r="Q58" i="42"/>
  <c r="O59" i="42"/>
  <c r="M60" i="42"/>
  <c r="K61" i="42"/>
  <c r="S61" i="42"/>
  <c r="Q62" i="42"/>
  <c r="O63" i="42"/>
  <c r="M64" i="42"/>
  <c r="K65" i="42"/>
  <c r="S65" i="42"/>
  <c r="Q73" i="42"/>
  <c r="O74" i="42"/>
  <c r="M75" i="42"/>
  <c r="R13" i="42"/>
  <c r="K15" i="42"/>
  <c r="J15" i="42"/>
  <c r="J17" i="42"/>
  <c r="K17" i="42"/>
  <c r="R15" i="42"/>
  <c r="O13" i="42"/>
  <c r="R17" i="42"/>
  <c r="Q15" i="42"/>
  <c r="L15" i="42"/>
  <c r="S15" i="42"/>
  <c r="Q17" i="42"/>
  <c r="P17" i="42"/>
  <c r="N17" i="42"/>
  <c r="N15" i="42"/>
  <c r="O15" i="42"/>
  <c r="S17" i="42"/>
  <c r="P15" i="42"/>
  <c r="K13" i="42"/>
  <c r="K83" i="42" s="1"/>
  <c r="J21" i="2"/>
  <c r="J30" i="2" s="1"/>
  <c r="K30" i="2"/>
  <c r="Q36" i="42" l="1"/>
  <c r="R36" i="42"/>
  <c r="L36" i="42"/>
  <c r="J36" i="42"/>
  <c r="N77" i="42"/>
  <c r="Q77" i="42"/>
  <c r="Q38" i="42"/>
  <c r="R38" i="42"/>
  <c r="L38" i="42"/>
  <c r="J38" i="42"/>
  <c r="M77" i="42"/>
  <c r="J77" i="42"/>
  <c r="O77" i="42"/>
  <c r="L77" i="42"/>
  <c r="R77" i="42"/>
  <c r="S77" i="42"/>
  <c r="K77" i="42"/>
  <c r="P77" i="42"/>
  <c r="S67" i="42"/>
  <c r="M67" i="42"/>
  <c r="L67" i="42"/>
  <c r="R67" i="42"/>
  <c r="O67" i="42"/>
  <c r="Q67" i="42"/>
  <c r="K67" i="42"/>
  <c r="P67" i="42"/>
  <c r="N67" i="42"/>
  <c r="J67" i="42"/>
  <c r="M12" i="44"/>
  <c r="M83" i="42"/>
  <c r="L12" i="44"/>
  <c r="J13" i="42"/>
  <c r="M19" i="42"/>
  <c r="M36" i="42" s="1"/>
  <c r="M38" i="42" l="1"/>
  <c r="L13" i="42"/>
  <c r="L83" i="42" s="1"/>
  <c r="K19" i="42"/>
  <c r="K36" i="42" s="1"/>
  <c r="J83" i="42"/>
  <c r="O19" i="42"/>
  <c r="O36" i="42" s="1"/>
  <c r="P19" i="42"/>
  <c r="P36" i="42" s="1"/>
  <c r="S19" i="42"/>
  <c r="S36" i="42" s="1"/>
  <c r="S38" i="42" l="1"/>
  <c r="O38" i="42"/>
  <c r="K38" i="42"/>
  <c r="P38" i="42"/>
  <c r="N19" i="42"/>
  <c r="N36" i="42" s="1"/>
  <c r="N12" i="44"/>
  <c r="N83" i="42" l="1"/>
  <c r="N38" i="42" l="1"/>
  <c r="S83" i="42" l="1" a="1"/>
  <c r="S83" i="42" s="1"/>
  <c r="P83" i="42" a="1"/>
  <c r="P83" i="42" s="1"/>
  <c r="R83" i="42" a="1"/>
  <c r="R83" i="42" s="1"/>
  <c r="O83" i="42" a="1"/>
  <c r="O83" i="42" s="1"/>
  <c r="Q83" i="42" a="1"/>
  <c r="Q83" i="42" s="1"/>
  <c r="S12" i="44" l="1"/>
  <c r="S84" i="42"/>
  <c r="Q12" i="44"/>
  <c r="Q84" i="42"/>
  <c r="O12" i="44"/>
  <c r="O84" i="42"/>
  <c r="R12" i="44"/>
  <c r="R84" i="42"/>
  <c r="P12" i="44"/>
  <c r="P84" i="42"/>
  <c r="S13" i="44" l="1"/>
</calcChain>
</file>

<file path=xl/sharedStrings.xml><?xml version="1.0" encoding="utf-8"?>
<sst xmlns="http://schemas.openxmlformats.org/spreadsheetml/2006/main" count="553" uniqueCount="151">
  <si>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</si>
  <si>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</si>
  <si>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</si>
  <si>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</si>
  <si>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</si>
  <si>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</si>
  <si>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</si>
  <si>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</si>
  <si>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</si>
  <si>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</si>
  <si>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</si>
  <si>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</si>
  <si>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</si>
  <si>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</si>
  <si>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</si>
  <si>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</si>
  <si>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</si>
  <si>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</si>
  <si>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</si>
  <si>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</si>
  <si>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</si>
  <si>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</si>
  <si>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</si>
  <si>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</si>
  <si>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</si>
  <si>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</si>
  <si>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</si>
  <si>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</si>
  <si>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</si>
  <si>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</si>
  <si>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</si>
  <si>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</si>
  <si>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</si>
  <si>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</si>
  <si>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</si>
  <si>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</si>
  <si>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</si>
  <si>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</si>
  <si>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</si>
  <si>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</si>
  <si>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</si>
  <si>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2016-17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</si>
  <si>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</si>
  <si>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</si>
  <si>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</si>
  <si>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</si>
  <si>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</si>
  <si>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</si>
  <si>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</si>
  <si>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</si>
  <si>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</si>
  <si>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</si>
  <si>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</si>
  <si>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</si>
  <si>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Calculates the opex forecast from RY2014 to RY2020</t>
  </si>
  <si>
    <t>Shows checks on the calculations within the model</t>
  </si>
  <si>
    <t>Lookup | Tables</t>
  </si>
  <si>
    <t>Output | Models</t>
  </si>
  <si>
    <t>Calc | Opex Forecast</t>
  </si>
  <si>
    <t>Notes</t>
  </si>
  <si>
    <t>Forecast operating expenditure (excl. DRC)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</si>
  <si>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</si>
  <si>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</si>
  <si>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</si>
  <si>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</si>
  <si>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</si>
  <si>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Outputs the opex forecast needed as a post tax revenue model input (which excludes debt raising costs).</t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</si>
  <si>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</si>
  <si>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</si>
  <si>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</si>
  <si>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</si>
  <si>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</si>
  <si>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</si>
  <si>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Prior regulatory control period, first year</t>
  </si>
  <si>
    <t>Prior regulatory control period, last year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</si>
  <si>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</si>
  <si>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</si>
  <si>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</si>
  <si>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</si>
  <si>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</si>
  <si>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</si>
  <si>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</si>
  <si>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</si>
  <si>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</si>
  <si>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</si>
  <si>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</si>
  <si>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</si>
  <si>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</si>
  <si>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</si>
  <si>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</si>
  <si>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</si>
  <si>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</si>
  <si>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</si>
  <si>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</si>
  <si>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</si>
  <si>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</si>
  <si>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</si>
  <si>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</si>
  <si>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</si>
  <si>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</si>
  <si>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</si>
  <si>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</si>
  <si>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Total reported opex</t>
  </si>
  <si>
    <t>Total base year opex allowance</t>
  </si>
  <si>
    <t>Total final year opex allowance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</si>
  <si>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</si>
  <si>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</si>
  <si>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</si>
  <si>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</si>
  <si>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</si>
  <si>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</si>
  <si>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old base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</si>
  <si>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</si>
  <si>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</si>
  <si>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</si>
  <si>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</si>
  <si>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</si>
  <si>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</si>
  <si>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Forecast rate of change</t>
  </si>
  <si>
    <t>Step changes</t>
  </si>
  <si>
    <t>Calc | Opex forecast</t>
  </si>
  <si>
    <t>Estimated final year opex</t>
  </si>
  <si>
    <t>Efficiency adjustment final year opex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</si>
  <si>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</si>
  <si>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</si>
  <si>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</si>
  <si>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</si>
  <si>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Output growth</t>
  </si>
  <si>
    <t>Category specific forecasts</t>
  </si>
  <si>
    <t>Remove movement in provisions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</si>
  <si>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</si>
  <si>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</si>
  <si>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</si>
  <si>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</si>
  <si>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</si>
  <si>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</si>
  <si>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</si>
  <si>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</si>
  <si>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</si>
  <si>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</si>
  <si>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</si>
  <si>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WPI - DAE</t>
  </si>
  <si>
    <t>AGN Vic Albury</t>
  </si>
  <si>
    <t>Interpolated</t>
  </si>
  <si>
    <t>RBA statement of monetary policy November 2016</t>
  </si>
  <si>
    <t>Total opex (incl. ancillary reference services)</t>
  </si>
  <si>
    <t>Customer numbers</t>
  </si>
  <si>
    <t>Included as a category specific forecast</t>
  </si>
  <si>
    <t>Marketing</t>
  </si>
  <si>
    <t>WPI - BIS Schrapnel (october 2016)</t>
  </si>
  <si>
    <t>WPI - average of DAE and BIS Schrapnel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</si>
</sst>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0_ ;\-0\ "/>
  </numFmts>
  <fonts count="8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64">
    <xf numFmtId="0" fontId="0" fillId="0" borderId="0"/>
    <xf numFmtId="166" fontId="3" fillId="8" borderId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167" fontId="12" fillId="0" borderId="5">
      <alignment horizontal="right" vertical="center"/>
      <protection locked="0"/>
    </xf>
    <xf numFmtId="43" fontId="1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2" fillId="0" borderId="0"/>
    <xf numFmtId="174" fontId="12" fillId="0" borderId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3" fillId="0" borderId="0"/>
    <xf numFmtId="42" fontId="24" fillId="0" borderId="0" applyFont="0" applyFill="0" applyBorder="0" applyAlignment="0" applyProtection="0"/>
    <xf numFmtId="0" fontId="25" fillId="31" borderId="0" applyNumberFormat="0" applyBorder="0" applyAlignment="0" applyProtection="0"/>
    <xf numFmtId="0" fontId="26" fillId="0" borderId="0" applyNumberFormat="0" applyFill="0" applyBorder="0" applyAlignment="0"/>
    <xf numFmtId="175" fontId="19" fillId="5" borderId="0" applyNumberFormat="0" applyFont="0" applyBorder="0" applyAlignment="0">
      <alignment horizontal="right"/>
    </xf>
    <xf numFmtId="175" fontId="19" fillId="5" borderId="0" applyNumberFormat="0" applyFont="0" applyBorder="0" applyAlignment="0">
      <alignment horizontal="right"/>
    </xf>
    <xf numFmtId="0" fontId="27" fillId="0" borderId="0" applyNumberFormat="0" applyFill="0" applyBorder="0" applyAlignment="0">
      <protection locked="0"/>
    </xf>
    <xf numFmtId="0" fontId="28" fillId="15" borderId="12" applyNumberFormat="0" applyAlignment="0" applyProtection="0"/>
    <xf numFmtId="0" fontId="29" fillId="32" borderId="13" applyNumberFormat="0" applyAlignment="0" applyProtection="0"/>
    <xf numFmtId="41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178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35" fillId="0" borderId="0"/>
    <xf numFmtId="0" fontId="36" fillId="0" borderId="0"/>
    <xf numFmtId="0" fontId="37" fillId="36" borderId="0" applyNumberFormat="0" applyBorder="0" applyAlignment="0" applyProtection="0"/>
    <xf numFmtId="0" fontId="21" fillId="0" borderId="0" applyFill="0" applyBorder="0">
      <alignment vertical="center"/>
    </xf>
    <xf numFmtId="0" fontId="38" fillId="0" borderId="14" applyNumberFormat="0" applyFill="0" applyAlignment="0" applyProtection="0"/>
    <xf numFmtId="0" fontId="21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15" applyNumberFormat="0" applyFill="0" applyAlignment="0" applyProtection="0"/>
    <xf numFmtId="0" fontId="39" fillId="0" borderId="0" applyFill="0" applyBorder="0">
      <alignment vertical="center"/>
    </xf>
    <xf numFmtId="0" fontId="9" fillId="0" borderId="0" applyFill="0" applyBorder="0">
      <alignment vertical="center"/>
    </xf>
    <xf numFmtId="0" fontId="41" fillId="0" borderId="16" applyNumberFormat="0" applyFill="0" applyAlignment="0" applyProtection="0"/>
    <xf numFmtId="0" fontId="9" fillId="0" borderId="0" applyFill="0" applyBorder="0">
      <alignment vertical="center"/>
    </xf>
    <xf numFmtId="0" fontId="12" fillId="0" borderId="0" applyFill="0" applyBorder="0">
      <alignment vertical="center"/>
    </xf>
    <xf numFmtId="0" fontId="41" fillId="0" borderId="0" applyNumberFormat="0" applyFill="0" applyBorder="0" applyAlignment="0" applyProtection="0"/>
    <xf numFmtId="0" fontId="12" fillId="0" borderId="0" applyFill="0" applyBorder="0">
      <alignment vertical="center"/>
    </xf>
    <xf numFmtId="180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0" fontId="46" fillId="13" borderId="12" applyNumberFormat="0" applyAlignment="0" applyProtection="0"/>
    <xf numFmtId="175" fontId="19" fillId="37" borderId="0" applyFont="0" applyBorder="0" applyAlignment="0">
      <alignment horizontal="right"/>
      <protection locked="0"/>
    </xf>
    <xf numFmtId="175" fontId="19" fillId="37" borderId="0" applyFont="0" applyBorder="0" applyAlignment="0">
      <alignment horizontal="right"/>
      <protection locked="0"/>
    </xf>
    <xf numFmtId="181" fontId="19" fillId="7" borderId="0" applyFont="0" applyBorder="0">
      <alignment horizontal="right"/>
      <protection locked="0"/>
    </xf>
    <xf numFmtId="181" fontId="19" fillId="7" borderId="0" applyFont="0" applyBorder="0">
      <alignment horizontal="right"/>
      <protection locked="0"/>
    </xf>
    <xf numFmtId="175" fontId="19" fillId="11" borderId="0" applyFont="0" applyBorder="0">
      <alignment horizontal="right"/>
      <protection locked="0"/>
    </xf>
    <xf numFmtId="175" fontId="19" fillId="11" borderId="0" applyFont="0" applyBorder="0">
      <alignment horizontal="right"/>
      <protection locked="0"/>
    </xf>
    <xf numFmtId="0" fontId="12" fillId="5" borderId="0"/>
    <xf numFmtId="0" fontId="47" fillId="0" borderId="17" applyNumberFormat="0" applyFill="0" applyAlignment="0" applyProtection="0"/>
    <xf numFmtId="182" fontId="48" fillId="0" borderId="0"/>
    <xf numFmtId="0" fontId="49" fillId="0" borderId="0" applyFill="0" applyBorder="0">
      <alignment horizontal="left" vertical="center"/>
    </xf>
    <xf numFmtId="0" fontId="50" fillId="16" borderId="0" applyNumberFormat="0" applyBorder="0" applyAlignment="0" applyProtection="0"/>
    <xf numFmtId="183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4" fillId="0" borderId="0"/>
    <xf numFmtId="0" fontId="19" fillId="3" borderId="0"/>
    <xf numFmtId="0" fontId="52" fillId="0" borderId="0"/>
    <xf numFmtId="0" fontId="19" fillId="0" borderId="0"/>
    <xf numFmtId="0" fontId="19" fillId="0" borderId="0"/>
    <xf numFmtId="0" fontId="19" fillId="14" borderId="18" applyNumberFormat="0" applyFont="0" applyAlignment="0" applyProtection="0"/>
    <xf numFmtId="0" fontId="53" fillId="15" borderId="19" applyNumberFormat="0" applyAlignment="0" applyProtection="0"/>
    <xf numFmtId="184" fontId="19" fillId="0" borderId="0" applyFill="0" applyBorder="0"/>
    <xf numFmtId="184" fontId="19" fillId="0" borderId="0" applyFill="0" applyBorder="0"/>
    <xf numFmtId="184" fontId="19" fillId="0" borderId="0" applyFill="0" applyBorder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0" fontId="54" fillId="0" borderId="0"/>
    <xf numFmtId="0" fontId="9" fillId="0" borderId="0" applyFill="0" applyBorder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85" fontId="55" fillId="0" borderId="20"/>
    <xf numFmtId="0" fontId="56" fillId="0" borderId="21">
      <alignment horizontal="center"/>
    </xf>
    <xf numFmtId="3" fontId="30" fillId="0" borderId="0" applyFont="0" applyFill="0" applyBorder="0" applyAlignment="0" applyProtection="0"/>
    <xf numFmtId="0" fontId="30" fillId="38" borderId="0" applyNumberFormat="0" applyFont="0" applyBorder="0" applyAlignment="0" applyProtection="0"/>
    <xf numFmtId="186" fontId="19" fillId="0" borderId="0"/>
    <xf numFmtId="186" fontId="19" fillId="0" borderId="0"/>
    <xf numFmtId="186" fontId="19" fillId="0" borderId="0"/>
    <xf numFmtId="187" fontId="12" fillId="0" borderId="0" applyFill="0" applyBorder="0">
      <alignment horizontal="right" vertical="center"/>
    </xf>
    <xf numFmtId="188" fontId="12" fillId="0" borderId="0" applyFill="0" applyBorder="0">
      <alignment horizontal="right" vertical="center"/>
    </xf>
    <xf numFmtId="189" fontId="12" fillId="0" borderId="0" applyFill="0" applyBorder="0">
      <alignment horizontal="right" vertical="center"/>
    </xf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5" borderId="0" applyNumberFormat="0" applyFont="0" applyBorder="0" applyAlignment="0" applyProtection="0"/>
    <xf numFmtId="0" fontId="19" fillId="15" borderId="0" applyNumberFormat="0" applyFont="0" applyBorder="0" applyAlignment="0" applyProtection="0"/>
    <xf numFmtId="0" fontId="19" fillId="17" borderId="0" applyNumberFormat="0" applyFont="0" applyBorder="0" applyAlignment="0" applyProtection="0"/>
    <xf numFmtId="0" fontId="19" fillId="17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17" borderId="0" applyNumberFormat="0" applyFont="0" applyBorder="0" applyAlignment="0" applyProtection="0"/>
    <xf numFmtId="0" fontId="19" fillId="17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9" fillId="0" borderId="0"/>
    <xf numFmtId="0" fontId="58" fillId="0" borderId="0"/>
    <xf numFmtId="15" fontId="19" fillId="0" borderId="0"/>
    <xf numFmtId="15" fontId="19" fillId="0" borderId="0"/>
    <xf numFmtId="15" fontId="19" fillId="0" borderId="0"/>
    <xf numFmtId="10" fontId="19" fillId="0" borderId="0"/>
    <xf numFmtId="10" fontId="19" fillId="0" borderId="0"/>
    <xf numFmtId="10" fontId="19" fillId="0" borderId="0"/>
    <xf numFmtId="0" fontId="59" fillId="10" borderId="7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11" applyFill="0" applyBorder="0" applyProtection="0">
      <alignment horizontal="left" vertical="top"/>
    </xf>
    <xf numFmtId="49" fontId="19" fillId="0" borderId="0" applyFont="0" applyFill="0" applyBorder="0" applyAlignment="0" applyProtection="0"/>
    <xf numFmtId="0" fontId="62" fillId="0" borderId="0"/>
    <xf numFmtId="49" fontId="19" fillId="0" borderId="0" applyFont="0" applyFill="0" applyBorder="0" applyAlignment="0" applyProtection="0"/>
    <xf numFmtId="0" fontId="63" fillId="0" borderId="0"/>
    <xf numFmtId="0" fontId="63" fillId="0" borderId="0"/>
    <xf numFmtId="0" fontId="62" fillId="0" borderId="0"/>
    <xf numFmtId="182" fontId="64" fillId="0" borderId="0"/>
    <xf numFmtId="0" fontId="57" fillId="0" borderId="0" applyNumberFormat="0" applyFill="0" applyBorder="0" applyAlignment="0" applyProtection="0"/>
    <xf numFmtId="0" fontId="65" fillId="0" borderId="0" applyFill="0" applyBorder="0">
      <alignment horizontal="left" vertical="center"/>
      <protection locked="0"/>
    </xf>
    <xf numFmtId="0" fontId="62" fillId="0" borderId="0"/>
    <xf numFmtId="0" fontId="66" fillId="0" borderId="0" applyFill="0" applyBorder="0">
      <alignment horizontal="left" vertical="center"/>
      <protection locked="0"/>
    </xf>
    <xf numFmtId="0" fontId="33" fillId="0" borderId="22" applyNumberFormat="0" applyFill="0" applyAlignment="0" applyProtection="0"/>
    <xf numFmtId="0" fontId="67" fillId="0" borderId="0" applyNumberFormat="0" applyFill="0" applyBorder="0" applyAlignment="0" applyProtection="0"/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3" fillId="43" borderId="0"/>
    <xf numFmtId="200" fontId="74" fillId="0" borderId="25">
      <alignment horizontal="center"/>
    </xf>
    <xf numFmtId="0" fontId="75" fillId="44" borderId="6">
      <alignment horizontal="center" vertical="center"/>
    </xf>
    <xf numFmtId="0" fontId="19" fillId="45" borderId="12"/>
    <xf numFmtId="0" fontId="76" fillId="0" borderId="0" applyFill="0" applyBorder="0"/>
    <xf numFmtId="0" fontId="77" fillId="0" borderId="0" applyNumberFormat="0" applyFill="0"/>
    <xf numFmtId="0" fontId="78" fillId="0" borderId="0" applyFill="0"/>
    <xf numFmtId="0" fontId="79" fillId="0" borderId="0" applyFill="0"/>
    <xf numFmtId="0" fontId="80" fillId="0" borderId="0" applyFill="0"/>
    <xf numFmtId="0" fontId="73" fillId="46" borderId="0"/>
    <xf numFmtId="0" fontId="19" fillId="39" borderId="26" applyNumberFormat="0" applyFont="0" applyAlignment="0"/>
    <xf numFmtId="0" fontId="81" fillId="8" borderId="27" applyNumberFormat="0"/>
    <xf numFmtId="0" fontId="82" fillId="47" borderId="0"/>
    <xf numFmtId="0" fontId="83" fillId="47" borderId="0" applyNumberFormat="0"/>
    <xf numFmtId="0" fontId="84" fillId="47" borderId="0"/>
    <xf numFmtId="0" fontId="85" fillId="48" borderId="6" applyNumberFormat="0">
      <alignment horizontal="center" vertical="center"/>
    </xf>
    <xf numFmtId="0" fontId="86" fillId="49" borderId="12" applyNumberFormat="0" applyAlignment="0">
      <alignment horizontal="right"/>
    </xf>
    <xf numFmtId="0" fontId="21" fillId="39" borderId="26" applyNumberFormat="0" applyAlignment="0"/>
    <xf numFmtId="0" fontId="74" fillId="0" borderId="0" applyNumberFormat="0" applyFill="0" applyBorder="0"/>
    <xf numFmtId="0" fontId="87" fillId="50" borderId="26" applyNumberFormat="0">
      <protection locked="0"/>
    </xf>
  </cellStyleXfs>
  <cellXfs count="185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1" xfId="0" applyFont="1" applyFill="1" applyBorder="1"/>
    <xf numFmtId="164" fontId="3" fillId="3" borderId="0" xfId="0" applyNumberFormat="1" applyFont="1" applyFill="1"/>
    <xf numFmtId="164" fontId="4" fillId="0" borderId="0" xfId="0" applyNumberFormat="1" applyFont="1"/>
    <xf numFmtId="164" fontId="3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 applyAlignment="1" applyProtection="1"/>
    <xf numFmtId="0" fontId="3" fillId="6" borderId="0" xfId="0" applyFont="1" applyFill="1" applyBorder="1"/>
    <xf numFmtId="0" fontId="3" fillId="7" borderId="0" xfId="0" applyFont="1" applyFill="1" applyBorder="1"/>
    <xf numFmtId="164" fontId="9" fillId="0" borderId="0" xfId="0" applyNumberFormat="1" applyFont="1"/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 indent="1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43" fontId="9" fillId="0" borderId="6" xfId="0" applyNumberFormat="1" applyFont="1" applyBorder="1" applyAlignment="1">
      <alignment horizontal="center"/>
    </xf>
    <xf numFmtId="164" fontId="14" fillId="0" borderId="0" xfId="3" applyNumberFormat="1" applyFont="1" applyAlignment="1" applyProtection="1"/>
    <xf numFmtId="164" fontId="4" fillId="3" borderId="0" xfId="0" applyNumberFormat="1" applyFont="1" applyFill="1"/>
    <xf numFmtId="164" fontId="15" fillId="0" borderId="0" xfId="0" applyNumberFormat="1" applyFont="1" applyAlignment="1">
      <alignment horizontal="center"/>
    </xf>
    <xf numFmtId="169" fontId="12" fillId="0" borderId="0" xfId="5" applyNumberFormat="1" applyFont="1" applyFill="1" applyBorder="1" applyAlignment="1" applyProtection="1">
      <alignment horizontal="center" vertical="center"/>
    </xf>
    <xf numFmtId="170" fontId="9" fillId="0" borderId="0" xfId="5" applyNumberFormat="1" applyFont="1" applyFill="1" applyBorder="1" applyAlignment="1" applyProtection="1">
      <alignment horizontal="center" vertical="center"/>
    </xf>
    <xf numFmtId="170" fontId="17" fillId="0" borderId="0" xfId="5" applyNumberFormat="1" applyFont="1" applyFill="1" applyBorder="1" applyAlignment="1" applyProtection="1">
      <alignment horizontal="center" vertical="center"/>
    </xf>
    <xf numFmtId="171" fontId="3" fillId="0" borderId="0" xfId="0" applyNumberFormat="1" applyFont="1"/>
    <xf numFmtId="173" fontId="12" fillId="0" borderId="0" xfId="5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Protection="1"/>
    <xf numFmtId="164" fontId="4" fillId="3" borderId="0" xfId="0" applyNumberFormat="1" applyFont="1" applyFill="1" applyAlignment="1" applyProtection="1">
      <alignment horizontal="center"/>
    </xf>
    <xf numFmtId="164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/>
    </xf>
    <xf numFmtId="164" fontId="9" fillId="0" borderId="0" xfId="0" applyNumberFormat="1" applyFont="1" applyProtection="1"/>
    <xf numFmtId="164" fontId="15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164" fontId="14" fillId="0" borderId="0" xfId="3" applyNumberFormat="1" applyFont="1" applyAlignment="1" applyProtection="1">
      <alignment horizontal="center"/>
    </xf>
    <xf numFmtId="0" fontId="68" fillId="39" borderId="0" xfId="0" applyFont="1" applyFill="1" applyBorder="1" applyAlignment="1">
      <alignment horizontal="left" vertical="center"/>
    </xf>
    <xf numFmtId="0" fontId="68" fillId="39" borderId="0" xfId="0" applyFont="1" applyFill="1" applyBorder="1" applyAlignment="1">
      <alignment horizontal="left" indent="9"/>
    </xf>
    <xf numFmtId="0" fontId="69" fillId="39" borderId="0" xfId="0" applyFont="1" applyFill="1" applyBorder="1" applyAlignment="1" applyProtection="1"/>
    <xf numFmtId="0" fontId="0" fillId="39" borderId="0" xfId="0" applyFont="1" applyFill="1" applyBorder="1"/>
    <xf numFmtId="0" fontId="0" fillId="39" borderId="0" xfId="0" applyFont="1" applyFill="1" applyBorder="1" applyAlignment="1">
      <alignment horizontal="right"/>
    </xf>
    <xf numFmtId="43" fontId="20" fillId="39" borderId="0" xfId="0" applyNumberFormat="1" applyFont="1" applyFill="1" applyBorder="1" applyAlignment="1">
      <alignment horizontal="center"/>
    </xf>
    <xf numFmtId="0" fontId="70" fillId="39" borderId="1" xfId="0" applyFont="1" applyFill="1" applyBorder="1" applyAlignment="1">
      <alignment horizontal="left"/>
    </xf>
    <xf numFmtId="0" fontId="0" fillId="39" borderId="1" xfId="0" applyFont="1" applyFill="1" applyBorder="1"/>
    <xf numFmtId="0" fontId="0" fillId="40" borderId="4" xfId="0" applyFill="1" applyBorder="1"/>
    <xf numFmtId="0" fontId="21" fillId="40" borderId="4" xfId="0" applyFont="1" applyFill="1" applyBorder="1" applyAlignment="1">
      <alignment vertical="center"/>
    </xf>
    <xf numFmtId="0" fontId="0" fillId="40" borderId="4" xfId="0" applyFill="1" applyBorder="1" applyAlignment="1">
      <alignment wrapText="1"/>
    </xf>
    <xf numFmtId="44" fontId="21" fillId="40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0" fillId="40" borderId="4" xfId="0" applyFont="1" applyFill="1" applyBorder="1"/>
    <xf numFmtId="165" fontId="3" fillId="42" borderId="3" xfId="0" applyNumberFormat="1" applyFont="1" applyFill="1" applyBorder="1" applyAlignment="1" applyProtection="1">
      <alignment horizontal="center"/>
      <protection locked="0"/>
    </xf>
    <xf numFmtId="0" fontId="70" fillId="39" borderId="0" xfId="0" applyFont="1" applyFill="1" applyBorder="1" applyAlignment="1">
      <alignment horizontal="left"/>
    </xf>
    <xf numFmtId="0" fontId="70" fillId="39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3" fillId="41" borderId="0" xfId="0" applyFont="1" applyFill="1" applyBorder="1" applyAlignment="1">
      <alignment horizontal="center"/>
    </xf>
    <xf numFmtId="2" fontId="3" fillId="42" borderId="3" xfId="0" applyNumberFormat="1" applyFont="1" applyFill="1" applyBorder="1" applyAlignment="1" applyProtection="1">
      <alignment horizontal="center"/>
      <protection locked="0"/>
    </xf>
    <xf numFmtId="10" fontId="3" fillId="42" borderId="3" xfId="2" applyNumberFormat="1" applyFont="1" applyFill="1" applyBorder="1" applyAlignment="1" applyProtection="1">
      <alignment horizontal="center"/>
      <protection locked="0"/>
    </xf>
    <xf numFmtId="49" fontId="3" fillId="42" borderId="3" xfId="0" applyNumberFormat="1" applyFont="1" applyFill="1" applyBorder="1" applyAlignment="1" applyProtection="1">
      <alignment horizontal="left" indent="1"/>
      <protection locked="0"/>
    </xf>
    <xf numFmtId="1" fontId="3" fillId="42" borderId="3" xfId="2" applyNumberFormat="1" applyFont="1" applyFill="1" applyBorder="1" applyAlignment="1" applyProtection="1">
      <alignment horizontal="center"/>
      <protection locked="0"/>
    </xf>
    <xf numFmtId="194" fontId="3" fillId="42" borderId="3" xfId="2" applyNumberFormat="1" applyFont="1" applyFill="1" applyBorder="1" applyAlignment="1" applyProtection="1">
      <alignment horizontal="center"/>
      <protection locked="0"/>
    </xf>
    <xf numFmtId="164" fontId="15" fillId="0" borderId="0" xfId="0" applyNumberFormat="1" applyFont="1" applyAlignment="1" applyProtection="1">
      <alignment horizontal="center" wrapText="1"/>
    </xf>
    <xf numFmtId="191" fontId="3" fillId="42" borderId="3" xfId="0" applyNumberFormat="1" applyFont="1" applyFill="1" applyBorder="1" applyAlignment="1" applyProtection="1">
      <alignment horizontal="center"/>
      <protection locked="0"/>
    </xf>
    <xf numFmtId="195" fontId="3" fillId="0" borderId="0" xfId="0" applyNumberFormat="1" applyFont="1" applyAlignment="1" applyProtection="1">
      <alignment horizontal="left"/>
    </xf>
    <xf numFmtId="193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 wrapText="1"/>
    </xf>
    <xf numFmtId="164" fontId="5" fillId="0" borderId="0" xfId="0" applyNumberFormat="1" applyFont="1" applyProtection="1"/>
    <xf numFmtId="164" fontId="16" fillId="41" borderId="10" xfId="0" applyNumberFormat="1" applyFont="1" applyFill="1" applyBorder="1" applyAlignment="1" applyProtection="1">
      <alignment horizontal="center"/>
      <protection locked="0"/>
    </xf>
    <xf numFmtId="194" fontId="3" fillId="4" borderId="3" xfId="2" applyNumberFormat="1" applyFont="1" applyFill="1" applyBorder="1" applyAlignment="1" applyProtection="1">
      <alignment horizontal="center"/>
      <protection locked="0"/>
    </xf>
    <xf numFmtId="0" fontId="0" fillId="39" borderId="0" xfId="0" applyFont="1" applyFill="1" applyBorder="1" applyProtection="1"/>
    <xf numFmtId="0" fontId="68" fillId="39" borderId="0" xfId="0" applyFont="1" applyFill="1" applyBorder="1" applyAlignment="1" applyProtection="1">
      <alignment horizontal="left" vertical="center"/>
    </xf>
    <xf numFmtId="0" fontId="68" fillId="39" borderId="0" xfId="0" applyFont="1" applyFill="1" applyBorder="1" applyAlignment="1" applyProtection="1">
      <alignment horizontal="left" indent="9"/>
    </xf>
    <xf numFmtId="0" fontId="0" fillId="39" borderId="0" xfId="0" applyFont="1" applyFill="1" applyBorder="1" applyAlignment="1" applyProtection="1">
      <alignment horizontal="right"/>
    </xf>
    <xf numFmtId="0" fontId="3" fillId="41" borderId="0" xfId="0" applyFont="1" applyFill="1" applyBorder="1" applyAlignment="1" applyProtection="1">
      <alignment horizontal="center"/>
    </xf>
    <xf numFmtId="0" fontId="3" fillId="6" borderId="0" xfId="0" applyFont="1" applyFill="1" applyBorder="1" applyProtection="1"/>
    <xf numFmtId="0" fontId="3" fillId="7" borderId="0" xfId="0" applyFont="1" applyFill="1" applyBorder="1" applyProtection="1"/>
    <xf numFmtId="43" fontId="20" fillId="39" borderId="0" xfId="0" applyNumberFormat="1" applyFont="1" applyFill="1" applyBorder="1" applyAlignment="1" applyProtection="1">
      <alignment horizontal="center"/>
    </xf>
    <xf numFmtId="0" fontId="0" fillId="39" borderId="1" xfId="0" applyFont="1" applyFill="1" applyBorder="1" applyProtection="1"/>
    <xf numFmtId="0" fontId="70" fillId="39" borderId="1" xfId="0" applyFont="1" applyFill="1" applyBorder="1" applyAlignment="1" applyProtection="1">
      <alignment horizontal="left"/>
    </xf>
    <xf numFmtId="0" fontId="70" fillId="39" borderId="1" xfId="0" applyFont="1" applyFill="1" applyBorder="1" applyAlignment="1" applyProtection="1">
      <alignment horizontal="left" indent="9"/>
    </xf>
    <xf numFmtId="0" fontId="20" fillId="39" borderId="2" xfId="0" applyNumberFormat="1" applyFont="1" applyFill="1" applyBorder="1" applyProtection="1"/>
    <xf numFmtId="0" fontId="20" fillId="39" borderId="2" xfId="0" applyFont="1" applyFill="1" applyBorder="1" applyProtection="1"/>
    <xf numFmtId="0" fontId="71" fillId="39" borderId="2" xfId="0" applyNumberFormat="1" applyFont="1" applyFill="1" applyBorder="1" applyAlignment="1" applyProtection="1">
      <alignment horizontal="center"/>
    </xf>
    <xf numFmtId="0" fontId="71" fillId="39" borderId="2" xfId="0" applyNumberFormat="1" applyFont="1" applyFill="1" applyBorder="1" applyProtection="1"/>
    <xf numFmtId="0" fontId="71" fillId="40" borderId="4" xfId="0" applyFont="1" applyFill="1" applyBorder="1" applyProtection="1"/>
    <xf numFmtId="0" fontId="71" fillId="40" borderId="4" xfId="0" applyFont="1" applyFill="1" applyBorder="1" applyAlignment="1" applyProtection="1">
      <alignment horizontal="center"/>
    </xf>
    <xf numFmtId="0" fontId="16" fillId="40" borderId="4" xfId="0" applyFont="1" applyFill="1" applyBorder="1" applyAlignment="1" applyProtection="1">
      <alignment horizontal="center" vertical="center"/>
    </xf>
    <xf numFmtId="0" fontId="16" fillId="40" borderId="4" xfId="0" applyFont="1" applyFill="1" applyBorder="1" applyAlignment="1" applyProtection="1">
      <alignment vertical="center"/>
    </xf>
    <xf numFmtId="0" fontId="71" fillId="40" borderId="4" xfId="0" applyFont="1" applyFill="1" applyBorder="1" applyAlignment="1" applyProtection="1">
      <alignment wrapText="1"/>
    </xf>
    <xf numFmtId="44" fontId="16" fillId="40" borderId="4" xfId="0" applyNumberFormat="1" applyFont="1" applyFill="1" applyBorder="1" applyAlignment="1" applyProtection="1">
      <alignment horizontal="center" wrapText="1"/>
    </xf>
    <xf numFmtId="0" fontId="71" fillId="3" borderId="0" xfId="0" applyFont="1" applyFill="1" applyBorder="1" applyAlignment="1" applyProtection="1">
      <alignment wrapText="1"/>
    </xf>
    <xf numFmtId="0" fontId="71" fillId="3" borderId="0" xfId="0" applyFont="1" applyFill="1" applyAlignment="1" applyProtection="1">
      <alignment wrapText="1"/>
    </xf>
    <xf numFmtId="0" fontId="71" fillId="3" borderId="0" xfId="0" applyFont="1" applyFill="1" applyProtection="1"/>
    <xf numFmtId="0" fontId="71" fillId="0" borderId="0" xfId="0" applyFont="1" applyFill="1" applyProtection="1"/>
    <xf numFmtId="0" fontId="71" fillId="0" borderId="0" xfId="0" applyFont="1" applyProtection="1"/>
    <xf numFmtId="0" fontId="0" fillId="40" borderId="4" xfId="0" applyFill="1" applyBorder="1" applyProtection="1"/>
    <xf numFmtId="0" fontId="20" fillId="40" borderId="4" xfId="0" applyFont="1" applyFill="1" applyBorder="1" applyProtection="1"/>
    <xf numFmtId="0" fontId="21" fillId="40" borderId="4" xfId="0" applyFont="1" applyFill="1" applyBorder="1" applyAlignment="1" applyProtection="1">
      <alignment vertical="center"/>
    </xf>
    <xf numFmtId="0" fontId="0" fillId="40" borderId="4" xfId="0" applyFill="1" applyBorder="1" applyAlignment="1" applyProtection="1">
      <alignment wrapText="1"/>
    </xf>
    <xf numFmtId="44" fontId="21" fillId="40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5" fillId="0" borderId="0" xfId="0" applyNumberFormat="1" applyFont="1" applyFill="1" applyBorder="1" applyProtection="1"/>
    <xf numFmtId="164" fontId="4" fillId="0" borderId="0" xfId="0" applyNumberFormat="1" applyFont="1" applyFill="1" applyAlignment="1" applyProtection="1">
      <alignment horizontal="center"/>
    </xf>
    <xf numFmtId="164" fontId="5" fillId="0" borderId="7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left" indent="1"/>
    </xf>
    <xf numFmtId="164" fontId="3" fillId="0" borderId="0" xfId="0" applyNumberFormat="1" applyFont="1" applyAlignment="1" applyProtection="1">
      <alignment horizontal="center"/>
    </xf>
    <xf numFmtId="164" fontId="14" fillId="0" borderId="0" xfId="3" applyNumberFormat="1" applyFont="1" applyFill="1" applyAlignment="1" applyProtection="1">
      <alignment horizontal="center"/>
    </xf>
    <xf numFmtId="196" fontId="3" fillId="0" borderId="0" xfId="0" applyNumberFormat="1" applyFont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left" indent="1"/>
    </xf>
    <xf numFmtId="164" fontId="4" fillId="0" borderId="7" xfId="0" applyNumberFormat="1" applyFont="1" applyBorder="1" applyAlignment="1" applyProtection="1">
      <alignment horizontal="center"/>
    </xf>
    <xf numFmtId="164" fontId="3" fillId="0" borderId="7" xfId="0" applyNumberFormat="1" applyFont="1" applyBorder="1" applyAlignment="1" applyProtection="1">
      <alignment horizontal="center"/>
    </xf>
    <xf numFmtId="164" fontId="5" fillId="0" borderId="8" xfId="0" applyNumberFormat="1" applyFont="1" applyBorder="1" applyAlignment="1" applyProtection="1">
      <alignment horizontal="left" indent="1"/>
    </xf>
    <xf numFmtId="164" fontId="4" fillId="0" borderId="8" xfId="0" applyNumberFormat="1" applyFont="1" applyBorder="1" applyAlignment="1" applyProtection="1">
      <alignment horizontal="center"/>
    </xf>
    <xf numFmtId="196" fontId="5" fillId="0" borderId="0" xfId="0" applyNumberFormat="1" applyFont="1" applyAlignment="1" applyProtection="1">
      <alignment horizontal="center"/>
    </xf>
    <xf numFmtId="164" fontId="4" fillId="0" borderId="0" xfId="0" applyNumberFormat="1" applyFont="1" applyAlignment="1" applyProtection="1">
      <alignment horizontal="left"/>
    </xf>
    <xf numFmtId="10" fontId="3" fillId="0" borderId="0" xfId="2" applyNumberFormat="1" applyFont="1" applyAlignment="1" applyProtection="1">
      <alignment horizontal="center"/>
    </xf>
    <xf numFmtId="164" fontId="5" fillId="0" borderId="8" xfId="0" applyNumberFormat="1" applyFont="1" applyBorder="1" applyProtection="1"/>
    <xf numFmtId="172" fontId="3" fillId="0" borderId="0" xfId="0" applyNumberFormat="1" applyFont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left" indent="2"/>
    </xf>
    <xf numFmtId="164" fontId="15" fillId="0" borderId="8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left" indent="1"/>
    </xf>
    <xf numFmtId="164" fontId="5" fillId="0" borderId="0" xfId="0" applyNumberFormat="1" applyFont="1" applyBorder="1" applyProtection="1"/>
    <xf numFmtId="193" fontId="5" fillId="0" borderId="0" xfId="0" applyNumberFormat="1" applyFont="1" applyBorder="1" applyAlignment="1" applyProtection="1">
      <alignment horizontal="center"/>
    </xf>
    <xf numFmtId="164" fontId="15" fillId="0" borderId="0" xfId="0" applyNumberFormat="1" applyFont="1" applyBorder="1" applyAlignment="1" applyProtection="1">
      <alignment horizontal="center"/>
    </xf>
    <xf numFmtId="199" fontId="3" fillId="0" borderId="0" xfId="0" applyNumberFormat="1" applyFont="1" applyAlignment="1" applyProtection="1">
      <alignment horizontal="center"/>
    </xf>
    <xf numFmtId="199" fontId="3" fillId="0" borderId="7" xfId="0" applyNumberFormat="1" applyFont="1" applyBorder="1" applyAlignment="1" applyProtection="1">
      <alignment horizontal="center"/>
    </xf>
    <xf numFmtId="199" fontId="5" fillId="0" borderId="0" xfId="0" applyNumberFormat="1" applyFont="1" applyAlignment="1" applyProtection="1">
      <alignment horizontal="center"/>
    </xf>
    <xf numFmtId="197" fontId="9" fillId="0" borderId="9" xfId="5" applyNumberFormat="1" applyFont="1" applyFill="1" applyBorder="1" applyAlignment="1" applyProtection="1">
      <alignment horizontal="center" vertical="center"/>
    </xf>
    <xf numFmtId="197" fontId="9" fillId="0" borderId="4" xfId="5" applyNumberFormat="1" applyFont="1" applyFill="1" applyBorder="1" applyAlignment="1" applyProtection="1">
      <alignment horizontal="center" vertical="center"/>
    </xf>
    <xf numFmtId="49" fontId="4" fillId="42" borderId="24" xfId="0" applyNumberFormat="1" applyFont="1" applyFill="1" applyBorder="1" applyAlignment="1" applyProtection="1">
      <alignment horizontal="center"/>
      <protection locked="0"/>
    </xf>
    <xf numFmtId="43" fontId="9" fillId="0" borderId="3" xfId="0" applyNumberFormat="1" applyFont="1" applyBorder="1" applyAlignment="1" applyProtection="1">
      <alignment horizontal="center"/>
    </xf>
    <xf numFmtId="43" fontId="9" fillId="0" borderId="0" xfId="0" applyNumberFormat="1" applyFont="1" applyBorder="1" applyAlignment="1" applyProtection="1">
      <alignment horizontal="center"/>
    </xf>
    <xf numFmtId="0" fontId="7" fillId="39" borderId="2" xfId="0" applyNumberFormat="1" applyFont="1" applyFill="1" applyBorder="1" applyProtection="1"/>
    <xf numFmtId="0" fontId="7" fillId="39" borderId="2" xfId="0" applyFont="1" applyFill="1" applyBorder="1" applyProtection="1"/>
    <xf numFmtId="0" fontId="8" fillId="39" borderId="2" xfId="0" applyNumberFormat="1" applyFont="1" applyFill="1" applyBorder="1" applyAlignment="1" applyProtection="1">
      <alignment horizontal="center"/>
    </xf>
    <xf numFmtId="0" fontId="8" fillId="39" borderId="2" xfId="0" applyNumberFormat="1" applyFont="1" applyFill="1" applyBorder="1" applyProtection="1"/>
    <xf numFmtId="164" fontId="5" fillId="0" borderId="7" xfId="0" applyNumberFormat="1" applyFont="1" applyBorder="1" applyProtection="1"/>
    <xf numFmtId="164" fontId="3" fillId="0" borderId="7" xfId="0" applyNumberFormat="1" applyFont="1" applyBorder="1" applyProtection="1"/>
    <xf numFmtId="164" fontId="5" fillId="0" borderId="4" xfId="0" applyNumberFormat="1" applyFont="1" applyBorder="1" applyAlignment="1" applyProtection="1">
      <alignment horizontal="left"/>
    </xf>
    <xf numFmtId="164" fontId="4" fillId="0" borderId="4" xfId="0" applyNumberFormat="1" applyFont="1" applyBorder="1" applyAlignment="1" applyProtection="1">
      <alignment horizontal="center"/>
    </xf>
    <xf numFmtId="43" fontId="3" fillId="0" borderId="0" xfId="0" applyNumberFormat="1" applyFont="1" applyProtection="1"/>
    <xf numFmtId="164" fontId="3" fillId="0" borderId="0" xfId="0" applyNumberFormat="1" applyFont="1" applyBorder="1" applyProtection="1"/>
    <xf numFmtId="0" fontId="71" fillId="40" borderId="4" xfId="0" applyFont="1" applyFill="1" applyBorder="1" applyAlignment="1" applyProtection="1">
      <alignment horizontal="center" wrapText="1"/>
    </xf>
    <xf numFmtId="10" fontId="3" fillId="0" borderId="0" xfId="2" applyNumberFormat="1" applyFont="1" applyBorder="1" applyAlignment="1" applyProtection="1">
      <alignment horizontal="center"/>
    </xf>
    <xf numFmtId="164" fontId="4" fillId="0" borderId="0" xfId="6" applyNumberFormat="1" applyFont="1" applyAlignment="1" applyProtection="1">
      <alignment horizontal="center"/>
    </xf>
    <xf numFmtId="168" fontId="12" fillId="0" borderId="0" xfId="2" applyNumberFormat="1" applyFont="1" applyFill="1" applyBorder="1" applyAlignment="1" applyProtection="1">
      <alignment horizontal="center" vertical="center"/>
    </xf>
    <xf numFmtId="172" fontId="3" fillId="0" borderId="0" xfId="0" applyNumberFormat="1" applyFont="1" applyProtection="1"/>
    <xf numFmtId="164" fontId="3" fillId="0" borderId="0" xfId="0" applyNumberFormat="1" applyFont="1" applyAlignment="1" applyProtection="1">
      <alignment horizontal="left"/>
    </xf>
    <xf numFmtId="192" fontId="3" fillId="9" borderId="3" xfId="0" applyNumberFormat="1" applyFont="1" applyFill="1" applyBorder="1" applyAlignment="1" applyProtection="1">
      <alignment horizontal="left" indent="1"/>
    </xf>
    <xf numFmtId="0" fontId="72" fillId="40" borderId="4" xfId="0" applyFont="1" applyFill="1" applyBorder="1" applyAlignment="1" applyProtection="1"/>
    <xf numFmtId="194" fontId="3" fillId="9" borderId="3" xfId="2" applyNumberFormat="1" applyFont="1" applyFill="1" applyBorder="1" applyAlignment="1" applyProtection="1">
      <alignment horizontal="center"/>
    </xf>
    <xf numFmtId="0" fontId="71" fillId="39" borderId="2" xfId="0" applyNumberFormat="1" applyFont="1" applyFill="1" applyBorder="1" applyAlignment="1" applyProtection="1">
      <alignment horizontal="center"/>
    </xf>
    <xf numFmtId="196" fontId="5" fillId="0" borderId="23" xfId="0" applyNumberFormat="1" applyFont="1" applyBorder="1" applyAlignment="1" applyProtection="1">
      <alignment horizontal="center"/>
    </xf>
    <xf numFmtId="194" fontId="4" fillId="42" borderId="3" xfId="2" applyNumberFormat="1" applyFont="1" applyFill="1" applyBorder="1" applyAlignment="1" applyProtection="1">
      <alignment horizontal="center"/>
      <protection locked="0"/>
    </xf>
    <xf numFmtId="198" fontId="5" fillId="0" borderId="0" xfId="0" applyNumberFormat="1" applyFont="1" applyBorder="1" applyAlignment="1" applyProtection="1">
      <alignment horizontal="center"/>
    </xf>
    <xf numFmtId="180" fontId="3" fillId="42" borderId="3" xfId="2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Protection="1">
      <protection locked="0"/>
    </xf>
    <xf numFmtId="193" fontId="3" fillId="0" borderId="0" xfId="0" applyNumberFormat="1" applyFont="1" applyProtection="1">
      <protection locked="0"/>
    </xf>
    <xf numFmtId="10" fontId="5" fillId="0" borderId="0" xfId="2" applyNumberFormat="1" applyFont="1" applyBorder="1" applyAlignment="1" applyProtection="1">
      <alignment horizontal="center"/>
    </xf>
    <xf numFmtId="201" fontId="5" fillId="0" borderId="0" xfId="0" applyNumberFormat="1" applyFont="1" applyAlignment="1" applyProtection="1">
      <alignment horizontal="center"/>
    </xf>
    <xf numFmtId="1" fontId="3" fillId="42" borderId="3" xfId="0" applyNumberFormat="1" applyFont="1" applyFill="1" applyBorder="1" applyAlignment="1" applyProtection="1">
      <alignment horizontal="center"/>
      <protection locked="0"/>
    </xf>
    <xf numFmtId="202" fontId="3" fillId="0" borderId="0" xfId="0" applyNumberFormat="1" applyFont="1" applyAlignment="1">
      <alignment horizontal="left"/>
    </xf>
    <xf numFmtId="202" fontId="4" fillId="0" borderId="0" xfId="0" applyNumberFormat="1" applyFont="1" applyAlignment="1" applyProtection="1">
      <alignment horizontal="center"/>
    </xf>
    <xf numFmtId="202" fontId="5" fillId="0" borderId="7" xfId="0" applyNumberFormat="1" applyFont="1" applyBorder="1" applyAlignment="1" applyProtection="1">
      <alignment horizontal="center"/>
    </xf>
    <xf numFmtId="0" fontId="3" fillId="42" borderId="3" xfId="2" applyNumberFormat="1" applyFont="1" applyFill="1" applyBorder="1" applyAlignment="1" applyProtection="1">
      <alignment horizontal="center"/>
      <protection locked="0"/>
    </xf>
    <xf numFmtId="0" fontId="5" fillId="0" borderId="7" xfId="0" applyNumberFormat="1" applyFont="1" applyBorder="1" applyAlignment="1" applyProtection="1">
      <alignment horizontal="center"/>
    </xf>
    <xf numFmtId="0" fontId="71" fillId="40" borderId="4" xfId="0" applyNumberFormat="1" applyFont="1" applyFill="1" applyBorder="1" applyAlignment="1" applyProtection="1">
      <alignment horizontal="center" wrapText="1"/>
    </xf>
    <xf numFmtId="0" fontId="16" fillId="40" borderId="4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 indent="1"/>
    </xf>
    <xf numFmtId="0" fontId="16" fillId="41" borderId="10" xfId="0" applyNumberFormat="1" applyFont="1" applyFill="1" applyBorder="1" applyAlignment="1" applyProtection="1">
      <alignment horizontal="center"/>
      <protection locked="0"/>
    </xf>
    <xf numFmtId="2" fontId="3" fillId="42" borderId="3" xfId="2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Alignment="1" applyProtection="1">
      <alignment horizontal="center"/>
    </xf>
    <xf numFmtId="0" fontId="69" fillId="39" borderId="0" xfId="0" applyFont="1" applyFill="1" applyBorder="1" applyAlignment="1" applyProtection="1">
      <alignment horizontal="right"/>
    </xf>
    <xf numFmtId="0" fontId="71" fillId="39" borderId="2" xfId="0" applyNumberFormat="1" applyFont="1" applyFill="1" applyBorder="1" applyAlignment="1" applyProtection="1">
      <alignment horizontal="center"/>
    </xf>
  </cellXfs>
  <cellStyles count="264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1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CC"/>
      <color rgb="FFDAEEF3"/>
      <color rgb="FFC0C0C0"/>
      <color rgb="FF8DB4E2"/>
      <color rgb="FF00B2E4"/>
      <color rgb="FF0060AF"/>
      <color rgb="FFFF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4"/>
  <sheetViews>
    <sheetView showGridLines="0" tabSelected="1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108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42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71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69</v>
      </c>
      <c r="D7" s="7" t="s">
        <v>70</v>
      </c>
    </row>
    <row r="8" spans="1:47">
      <c r="C8" s="19" t="s">
        <v>35</v>
      </c>
      <c r="D8" s="7" t="s">
        <v>110</v>
      </c>
    </row>
    <row r="9" spans="1:47">
      <c r="C9" s="19" t="s">
        <v>64</v>
      </c>
      <c r="D9" s="7" t="s">
        <v>65</v>
      </c>
    </row>
    <row r="10" spans="1:47">
      <c r="C10" s="19" t="s">
        <v>63</v>
      </c>
      <c r="D10" s="7" t="s">
        <v>52</v>
      </c>
    </row>
    <row r="11" spans="1:47">
      <c r="C11" s="19" t="s">
        <v>68</v>
      </c>
      <c r="D11" s="7" t="s">
        <v>53</v>
      </c>
    </row>
    <row r="12" spans="1:47">
      <c r="C12" s="19" t="s">
        <v>58</v>
      </c>
      <c r="D12" s="7" t="s">
        <v>54</v>
      </c>
    </row>
    <row r="13" spans="1:47">
      <c r="C13" s="19" t="s">
        <v>57</v>
      </c>
      <c r="D13" s="7" t="s">
        <v>66</v>
      </c>
    </row>
    <row r="14" spans="1:47">
      <c r="C14" s="19" t="s">
        <v>56</v>
      </c>
      <c r="D14" s="7" t="s">
        <v>67</v>
      </c>
    </row>
    <row r="15" spans="1:47">
      <c r="C15" s="19" t="s">
        <v>25</v>
      </c>
      <c r="D15" s="7" t="s">
        <v>55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4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92</v>
      </c>
      <c r="S1" s="80" t="str">
        <f>IF(COUNTA($S$5:$S$13)=COUNTIF($S5:$S14,"OK"),"OK","Check")</f>
        <v>OK</v>
      </c>
      <c r="U1" s="183" t="s">
        <v>24</v>
      </c>
      <c r="V1" s="80" t="str">
        <f>'Check|List'!$S$1</f>
        <v>Ok</v>
      </c>
    </row>
    <row r="2" spans="1:47" s="81" customFormat="1" ht="13.5" thickBot="1">
      <c r="B2" s="82" t="str">
        <f>Index!$C$7</f>
        <v>Input | General</v>
      </c>
      <c r="C2" s="82"/>
      <c r="D2" s="82"/>
      <c r="E2" s="82"/>
      <c r="F2" s="83"/>
      <c r="G2" s="83"/>
      <c r="H2" s="83"/>
      <c r="I2" s="83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8" customFormat="1" ht="12.75">
      <c r="A4" s="99"/>
      <c r="B4" s="100" t="s">
        <v>106</v>
      </c>
      <c r="C4" s="99"/>
      <c r="D4" s="99"/>
      <c r="E4" s="99"/>
      <c r="F4" s="101"/>
      <c r="G4" s="101"/>
      <c r="H4" s="101"/>
      <c r="I4" s="101"/>
      <c r="J4" s="102"/>
      <c r="K4" s="103"/>
      <c r="L4" s="102"/>
      <c r="M4" s="103"/>
      <c r="N4" s="102"/>
      <c r="O4" s="102"/>
      <c r="P4" s="102"/>
      <c r="Q4" s="102"/>
      <c r="R4" s="102"/>
      <c r="S4" s="102"/>
      <c r="T4" s="102"/>
      <c r="U4" s="102"/>
      <c r="V4" s="103"/>
      <c r="W4" s="103"/>
      <c r="X4" s="104"/>
      <c r="Y4" s="104"/>
      <c r="Z4" s="104"/>
      <c r="AA4" s="104"/>
      <c r="AB4" s="105"/>
      <c r="AC4" s="106"/>
      <c r="AD4" s="106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</row>
    <row r="5" spans="1:47"/>
    <row r="6" spans="1:47">
      <c r="C6" s="31" t="s">
        <v>107</v>
      </c>
      <c r="D6" s="32" t="s">
        <v>7</v>
      </c>
      <c r="E6" s="32"/>
      <c r="F6" s="33"/>
      <c r="G6" s="33" t="s">
        <v>77</v>
      </c>
      <c r="H6" s="33"/>
      <c r="I6" s="29"/>
    </row>
    <row r="7" spans="1:47">
      <c r="C7" s="29" t="s">
        <v>72</v>
      </c>
      <c r="D7" s="30" t="s">
        <v>78</v>
      </c>
      <c r="E7" s="29"/>
      <c r="F7" s="29"/>
      <c r="G7" s="52" t="s">
        <v>142</v>
      </c>
      <c r="H7" s="29"/>
      <c r="I7" s="29"/>
      <c r="S7" s="140" t="str">
        <f>IF(COUNTBLANK($G7),"Check","Ok")</f>
        <v>Ok</v>
      </c>
    </row>
    <row r="8" spans="1:47">
      <c r="C8" s="29" t="s">
        <v>73</v>
      </c>
      <c r="D8" s="30" t="s">
        <v>78</v>
      </c>
      <c r="E8" s="29"/>
      <c r="F8" s="29"/>
      <c r="G8" s="170">
        <v>2013</v>
      </c>
      <c r="H8" s="29"/>
      <c r="I8" s="29"/>
      <c r="S8" s="140" t="str">
        <f t="shared" ref="S8:S12" si="0">IF(COUNTBLANK($G8),"Check","Ok")</f>
        <v>Ok</v>
      </c>
    </row>
    <row r="9" spans="1:47">
      <c r="C9" s="29" t="s">
        <v>81</v>
      </c>
      <c r="D9" s="30" t="s">
        <v>78</v>
      </c>
      <c r="E9" s="29"/>
      <c r="F9" s="29"/>
      <c r="G9" s="170">
        <v>2016</v>
      </c>
      <c r="H9" s="29"/>
      <c r="I9" s="29"/>
      <c r="S9" s="140" t="str">
        <f t="shared" si="0"/>
        <v>Ok</v>
      </c>
    </row>
    <row r="10" spans="1:47">
      <c r="C10" s="29" t="s">
        <v>74</v>
      </c>
      <c r="D10" s="30" t="s">
        <v>78</v>
      </c>
      <c r="E10" s="29"/>
      <c r="F10" s="29"/>
      <c r="G10" s="170">
        <v>2017</v>
      </c>
      <c r="H10" s="29"/>
      <c r="I10" s="29"/>
      <c r="S10" s="140" t="str">
        <f t="shared" si="0"/>
        <v>Ok</v>
      </c>
    </row>
    <row r="11" spans="1:47">
      <c r="C11" s="29" t="s">
        <v>75</v>
      </c>
      <c r="D11" s="30" t="s">
        <v>78</v>
      </c>
      <c r="E11" s="29"/>
      <c r="F11" s="29"/>
      <c r="G11" s="170">
        <v>2018</v>
      </c>
      <c r="H11" s="29"/>
      <c r="I11" s="29"/>
      <c r="S11" s="140" t="str">
        <f t="shared" si="0"/>
        <v>Ok</v>
      </c>
    </row>
    <row r="12" spans="1:47">
      <c r="C12" s="29" t="s">
        <v>76</v>
      </c>
      <c r="D12" s="30" t="s">
        <v>78</v>
      </c>
      <c r="E12" s="29"/>
      <c r="F12" s="29"/>
      <c r="G12" s="170">
        <v>2022</v>
      </c>
      <c r="H12" s="29"/>
      <c r="I12" s="29"/>
      <c r="S12" s="140" t="str">
        <f t="shared" si="0"/>
        <v>Ok</v>
      </c>
    </row>
    <row r="13" spans="1:47">
      <c r="D13" s="29"/>
      <c r="E13" s="29"/>
      <c r="F13" s="29"/>
      <c r="G13" s="29"/>
      <c r="H13" s="29"/>
      <c r="I13" s="29"/>
    </row>
    <row r="14" spans="1:47" s="108" customFormat="1" ht="12.75">
      <c r="A14" s="99"/>
      <c r="B14" s="100" t="s">
        <v>21</v>
      </c>
      <c r="C14" s="99"/>
      <c r="D14" s="99"/>
      <c r="E14" s="99"/>
      <c r="F14" s="101"/>
      <c r="G14" s="101"/>
      <c r="H14" s="101"/>
      <c r="I14" s="101"/>
      <c r="J14" s="102"/>
      <c r="K14" s="103"/>
      <c r="L14" s="102"/>
      <c r="M14" s="103"/>
      <c r="N14" s="102"/>
      <c r="O14" s="102"/>
      <c r="P14" s="102"/>
      <c r="Q14" s="102"/>
      <c r="R14" s="102"/>
      <c r="S14" s="102"/>
      <c r="T14" s="102"/>
      <c r="U14" s="102"/>
      <c r="V14" s="103"/>
      <c r="W14" s="103"/>
      <c r="X14" s="104"/>
      <c r="Y14" s="104"/>
      <c r="Z14" s="104"/>
      <c r="AA14" s="104"/>
      <c r="AB14" s="105"/>
      <c r="AC14" s="106"/>
      <c r="AD14" s="106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</row>
    <row r="15" spans="1:47" hidden="1">
      <c r="G15" s="32"/>
      <c r="H15" s="32"/>
    </row>
    <row r="16" spans="1:47" hidden="1">
      <c r="G16" s="32"/>
      <c r="H16" s="3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</sheetData>
  <conditionalFormatting sqref="W12:W13">
    <cfRule type="cellIs" dxfId="109" priority="13" operator="equal">
      <formula>"Check"</formula>
    </cfRule>
    <cfRule type="cellIs" dxfId="108" priority="14" operator="equal">
      <formula>"Ok"</formula>
    </cfRule>
  </conditionalFormatting>
  <conditionalFormatting sqref="V1">
    <cfRule type="cellIs" dxfId="107" priority="3" operator="equal">
      <formula>"Check"</formula>
    </cfRule>
    <cfRule type="cellIs" dxfId="106" priority="4" operator="equal">
      <formula>"Ok"</formula>
    </cfRule>
  </conditionalFormatting>
  <conditionalFormatting sqref="S7:S12">
    <cfRule type="cellIs" dxfId="105" priority="5" operator="equal">
      <formula>"Check"</formula>
    </cfRule>
    <cfRule type="cellIs" dxfId="104" priority="6" operator="equal">
      <formula>"Ok"</formula>
    </cfRule>
  </conditionalFormatting>
  <conditionalFormatting sqref="S1">
    <cfRule type="cellIs" dxfId="103" priority="1" operator="equal">
      <formula>"Check"</formula>
    </cfRule>
    <cfRule type="cellIs" dxfId="102" priority="2" operator="equal">
      <formula>"Ok"</formula>
    </cfRule>
  </conditionalFormatting>
  <dataValidations count="3">
    <dataValidation type="list" allowBlank="1" showInputMessage="1" showErrorMessage="1" sqref="F10:F11">
      <formula1>#REF!</formula1>
    </dataValidation>
    <dataValidation type="list" allowBlank="1" showInputMessage="1" showErrorMessage="1" sqref="F12:F13">
      <formula1>"Real 2010,Real 2011,Real 2012,Real 2013,Real 2014,Real 2015,Nominal"</formula1>
    </dataValidation>
    <dataValidation type="list" allowBlank="1" showInputMessage="1" showErrorMessage="1" sqref="I10:I13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'Lookup|Tables'!$G$28:$G$42</xm:f>
          </x14:formula1>
          <xm:sqref>G8:G12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U66"/>
  <sheetViews>
    <sheetView showGridLines="0" workbookViewId="0">
      <selection activeCell="J1" sqref="J1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8" width="15" style="30" customWidth="1"/>
    <col min="9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92</v>
      </c>
      <c r="S1" s="80" t="str">
        <f>IF(COUNTA($S$5:$S$55)=COUNTIF($S5:$S56,"OK"),"OK","Check")</f>
        <v>OK</v>
      </c>
      <c r="U1" s="183" t="s">
        <v>24</v>
      </c>
      <c r="V1" s="80" t="str">
        <f>'Check|List'!$S$1</f>
        <v>Ok</v>
      </c>
    </row>
    <row r="2" spans="1:47" s="81" customFormat="1" ht="13.5" thickBot="1">
      <c r="B2" s="82" t="str">
        <f>Index!$C$7</f>
        <v>Input | General</v>
      </c>
      <c r="C2" s="82"/>
      <c r="D2" s="82"/>
      <c r="E2" s="82"/>
      <c r="F2" s="83"/>
      <c r="G2" s="83"/>
      <c r="H2" s="83"/>
      <c r="I2" s="83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8" customFormat="1" ht="12.75">
      <c r="A4" s="99"/>
      <c r="B4" s="100" t="s">
        <v>106</v>
      </c>
      <c r="C4" s="99"/>
      <c r="D4" s="99"/>
      <c r="E4" s="99"/>
      <c r="F4" s="101"/>
      <c r="G4" s="101"/>
      <c r="H4" s="101"/>
      <c r="I4" s="101"/>
      <c r="J4" s="102"/>
      <c r="K4" s="103"/>
      <c r="L4" s="102"/>
      <c r="M4" s="103"/>
      <c r="N4" s="102"/>
      <c r="O4" s="102"/>
      <c r="P4" s="102"/>
      <c r="Q4" s="102"/>
      <c r="R4" s="102"/>
      <c r="S4" s="102"/>
      <c r="T4" s="102"/>
      <c r="U4" s="102"/>
      <c r="V4" s="103"/>
      <c r="W4" s="103"/>
      <c r="X4" s="104"/>
      <c r="Y4" s="104"/>
      <c r="Z4" s="104"/>
      <c r="AA4" s="104"/>
      <c r="AB4" s="105"/>
      <c r="AC4" s="106"/>
      <c r="AD4" s="106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</row>
    <row r="5" spans="1:47" ht="11.25" customHeight="1"/>
    <row r="6" spans="1:47" ht="21.75">
      <c r="D6" s="65" t="s">
        <v>111</v>
      </c>
      <c r="E6" s="65" t="s">
        <v>112</v>
      </c>
      <c r="F6" s="65"/>
      <c r="G6" s="65"/>
      <c r="H6" s="29"/>
      <c r="I6" s="29"/>
    </row>
    <row r="7" spans="1:47">
      <c r="C7" s="70" t="s">
        <v>7</v>
      </c>
      <c r="D7" s="69" t="s">
        <v>109</v>
      </c>
      <c r="E7" s="69" t="s">
        <v>109</v>
      </c>
      <c r="F7" s="69"/>
      <c r="G7" s="69"/>
      <c r="H7" s="29"/>
      <c r="I7" s="29"/>
    </row>
    <row r="8" spans="1:47">
      <c r="C8" s="70" t="s">
        <v>8</v>
      </c>
      <c r="D8" s="69" t="s">
        <v>93</v>
      </c>
      <c r="E8" s="69" t="s">
        <v>93</v>
      </c>
      <c r="F8" s="69"/>
      <c r="G8" s="69"/>
      <c r="H8" s="29"/>
      <c r="I8" s="29"/>
    </row>
    <row r="9" spans="1:47">
      <c r="C9" s="67">
        <v>39172</v>
      </c>
      <c r="D9" s="66">
        <v>155.6</v>
      </c>
      <c r="E9" s="29"/>
      <c r="F9" s="29"/>
      <c r="G9" s="29"/>
      <c r="H9" s="29"/>
      <c r="I9" s="29"/>
      <c r="S9" s="140" t="str">
        <f t="shared" ref="S9:S20" si="0">IF(COUNTBLANK($D9),"Check","Ok")</f>
        <v>Ok</v>
      </c>
    </row>
    <row r="10" spans="1:47">
      <c r="C10" s="67">
        <v>39263</v>
      </c>
      <c r="D10" s="66">
        <v>157.5</v>
      </c>
      <c r="E10" s="29"/>
      <c r="F10" s="29"/>
      <c r="G10" s="29"/>
      <c r="H10" s="29"/>
      <c r="I10" s="29"/>
      <c r="S10" s="140" t="str">
        <f t="shared" si="0"/>
        <v>Ok</v>
      </c>
    </row>
    <row r="11" spans="1:47">
      <c r="C11" s="67">
        <v>39355</v>
      </c>
      <c r="D11" s="66">
        <v>158.6</v>
      </c>
      <c r="E11" s="29"/>
      <c r="F11" s="29"/>
      <c r="G11" s="29"/>
      <c r="H11" s="29"/>
      <c r="I11" s="29"/>
      <c r="S11" s="140" t="str">
        <f t="shared" si="0"/>
        <v>Ok</v>
      </c>
    </row>
    <row r="12" spans="1:47">
      <c r="C12" s="67">
        <v>39447</v>
      </c>
      <c r="D12" s="66">
        <v>160.1</v>
      </c>
      <c r="E12" s="29"/>
      <c r="F12" s="68"/>
      <c r="G12" s="29"/>
      <c r="H12" s="29"/>
      <c r="I12" s="29"/>
      <c r="S12" s="140" t="str">
        <f t="shared" si="0"/>
        <v>Ok</v>
      </c>
    </row>
    <row r="13" spans="1:47">
      <c r="C13" s="67">
        <v>39538</v>
      </c>
      <c r="D13" s="66">
        <v>162.19999999999999</v>
      </c>
      <c r="E13" s="29"/>
      <c r="F13" s="68"/>
      <c r="G13" s="29"/>
      <c r="H13" s="29"/>
      <c r="I13" s="29"/>
      <c r="S13" s="140" t="str">
        <f t="shared" si="0"/>
        <v>Ok</v>
      </c>
    </row>
    <row r="14" spans="1:47">
      <c r="C14" s="67">
        <v>39629</v>
      </c>
      <c r="D14" s="66">
        <v>164.6</v>
      </c>
      <c r="E14" s="29"/>
      <c r="F14" s="68"/>
      <c r="G14" s="29"/>
      <c r="H14" s="29"/>
      <c r="I14" s="29"/>
      <c r="S14" s="140" t="str">
        <f t="shared" si="0"/>
        <v>Ok</v>
      </c>
    </row>
    <row r="15" spans="1:47">
      <c r="C15" s="67">
        <v>39721</v>
      </c>
      <c r="D15" s="66">
        <v>166.5</v>
      </c>
      <c r="E15" s="29"/>
      <c r="F15" s="68"/>
      <c r="G15" s="29"/>
      <c r="H15" s="29"/>
      <c r="I15" s="29"/>
      <c r="S15" s="140" t="str">
        <f t="shared" si="0"/>
        <v>Ok</v>
      </c>
    </row>
    <row r="16" spans="1:47">
      <c r="C16" s="67">
        <v>39813</v>
      </c>
      <c r="D16" s="66">
        <v>166</v>
      </c>
      <c r="E16" s="29"/>
      <c r="F16" s="68"/>
      <c r="G16" s="29"/>
      <c r="H16" s="29"/>
      <c r="I16" s="29"/>
      <c r="S16" s="140" t="str">
        <f t="shared" si="0"/>
        <v>Ok</v>
      </c>
    </row>
    <row r="17" spans="3:19">
      <c r="C17" s="67">
        <v>39903</v>
      </c>
      <c r="D17" s="66">
        <v>166.2</v>
      </c>
      <c r="E17" s="29"/>
      <c r="F17" s="68"/>
      <c r="G17" s="29"/>
      <c r="H17" s="29"/>
      <c r="I17" s="29"/>
      <c r="S17" s="140" t="str">
        <f t="shared" si="0"/>
        <v>Ok</v>
      </c>
    </row>
    <row r="18" spans="3:19">
      <c r="C18" s="67">
        <v>39994</v>
      </c>
      <c r="D18" s="66">
        <v>167</v>
      </c>
      <c r="E18" s="29"/>
      <c r="F18" s="68"/>
      <c r="G18" s="29"/>
      <c r="H18" s="29"/>
      <c r="I18" s="29"/>
      <c r="S18" s="140" t="str">
        <f t="shared" si="0"/>
        <v>Ok</v>
      </c>
    </row>
    <row r="19" spans="3:19">
      <c r="C19" s="67">
        <v>40086</v>
      </c>
      <c r="D19" s="66">
        <v>168.6</v>
      </c>
      <c r="E19" s="29"/>
      <c r="F19" s="68"/>
      <c r="G19" s="29"/>
      <c r="H19" s="29"/>
      <c r="I19" s="29"/>
      <c r="S19" s="140" t="str">
        <f t="shared" si="0"/>
        <v>Ok</v>
      </c>
    </row>
    <row r="20" spans="3:19">
      <c r="C20" s="67">
        <v>40178</v>
      </c>
      <c r="D20" s="66">
        <v>169.5</v>
      </c>
      <c r="E20" s="29"/>
      <c r="F20" s="68"/>
      <c r="G20" s="29"/>
      <c r="H20" s="29"/>
      <c r="I20" s="29"/>
      <c r="S20" s="140" t="str">
        <f t="shared" si="0"/>
        <v>Ok</v>
      </c>
    </row>
    <row r="21" spans="3:19">
      <c r="C21" s="67">
        <v>40268</v>
      </c>
      <c r="D21" s="66">
        <v>171</v>
      </c>
      <c r="E21" s="66">
        <v>95.2</v>
      </c>
      <c r="F21" s="68"/>
      <c r="G21" s="68"/>
      <c r="H21" s="29"/>
      <c r="I21" s="29"/>
      <c r="S21" s="140" t="str">
        <f t="shared" ref="S21:S28" si="1">IF(COUNTBLANK($D21:$E21),"Check","Ok")</f>
        <v>Ok</v>
      </c>
    </row>
    <row r="22" spans="3:19">
      <c r="C22" s="67">
        <v>40359</v>
      </c>
      <c r="D22" s="66">
        <v>172.1</v>
      </c>
      <c r="E22" s="66">
        <v>95.8</v>
      </c>
      <c r="F22" s="68"/>
      <c r="G22" s="68"/>
      <c r="H22" s="29"/>
      <c r="I22" s="29"/>
      <c r="S22" s="140" t="str">
        <f t="shared" si="1"/>
        <v>Ok</v>
      </c>
    </row>
    <row r="23" spans="3:19">
      <c r="C23" s="67">
        <v>40451</v>
      </c>
      <c r="D23" s="66">
        <v>173.3</v>
      </c>
      <c r="E23" s="66">
        <v>96.5</v>
      </c>
      <c r="F23" s="68"/>
      <c r="G23" s="68"/>
      <c r="H23" s="29"/>
      <c r="I23" s="29"/>
      <c r="S23" s="140" t="str">
        <f t="shared" si="1"/>
        <v>Ok</v>
      </c>
    </row>
    <row r="24" spans="3:19">
      <c r="C24" s="67">
        <v>40543</v>
      </c>
      <c r="D24" s="66">
        <v>174</v>
      </c>
      <c r="E24" s="66">
        <v>96.9</v>
      </c>
      <c r="F24" s="68"/>
      <c r="G24" s="68"/>
      <c r="H24" s="29"/>
      <c r="I24" s="29"/>
      <c r="S24" s="140" t="str">
        <f t="shared" si="1"/>
        <v>Ok</v>
      </c>
    </row>
    <row r="25" spans="3:19">
      <c r="C25" s="67">
        <v>40633</v>
      </c>
      <c r="D25" s="66">
        <v>176.7</v>
      </c>
      <c r="E25" s="66">
        <v>98.3</v>
      </c>
      <c r="F25" s="68"/>
      <c r="G25" s="68"/>
      <c r="H25" s="29"/>
      <c r="I25" s="29"/>
      <c r="S25" s="140" t="str">
        <f t="shared" si="1"/>
        <v>Ok</v>
      </c>
    </row>
    <row r="26" spans="3:19">
      <c r="C26" s="67">
        <v>40724</v>
      </c>
      <c r="D26" s="66">
        <v>178.3</v>
      </c>
      <c r="E26" s="66">
        <v>99.2</v>
      </c>
      <c r="F26" s="68"/>
      <c r="G26" s="68"/>
      <c r="H26" s="29"/>
      <c r="I26" s="29"/>
      <c r="S26" s="140" t="str">
        <f t="shared" si="1"/>
        <v>Ok</v>
      </c>
    </row>
    <row r="27" spans="3:19">
      <c r="C27" s="67">
        <v>40816</v>
      </c>
      <c r="D27" s="66">
        <v>179.4</v>
      </c>
      <c r="E27" s="66">
        <v>99.8</v>
      </c>
      <c r="F27" s="68"/>
      <c r="G27" s="68"/>
      <c r="H27" s="29"/>
      <c r="I27" s="29"/>
      <c r="S27" s="140" t="str">
        <f t="shared" si="1"/>
        <v>Ok</v>
      </c>
    </row>
    <row r="28" spans="3:19">
      <c r="C28" s="67">
        <v>40908</v>
      </c>
      <c r="D28" s="66">
        <v>179.4</v>
      </c>
      <c r="E28" s="66">
        <v>99.8</v>
      </c>
      <c r="F28" s="68"/>
      <c r="G28" s="68"/>
      <c r="H28" s="29"/>
      <c r="I28" s="29"/>
      <c r="S28" s="140" t="str">
        <f t="shared" si="1"/>
        <v>Ok</v>
      </c>
    </row>
    <row r="29" spans="3:19">
      <c r="C29" s="67">
        <v>40999</v>
      </c>
      <c r="D29" s="66">
        <v>179.5</v>
      </c>
      <c r="E29" s="66">
        <v>99.9</v>
      </c>
      <c r="F29" s="68"/>
      <c r="G29" s="68"/>
      <c r="H29" s="29"/>
      <c r="I29" s="29"/>
      <c r="S29" s="140" t="str">
        <f>IF(COUNTBLANK($E29),"Check","Ok")</f>
        <v>Ok</v>
      </c>
    </row>
    <row r="30" spans="3:19">
      <c r="C30" s="67">
        <v>41090</v>
      </c>
      <c r="D30" s="29"/>
      <c r="E30" s="66">
        <v>100.4</v>
      </c>
      <c r="F30" s="68"/>
      <c r="G30" s="68"/>
      <c r="H30" s="29"/>
      <c r="I30" s="29"/>
      <c r="S30" s="140" t="str">
        <f>IF(COUNTBLANK($E30),"Check","Ok")</f>
        <v>Ok</v>
      </c>
    </row>
    <row r="31" spans="3:19">
      <c r="C31" s="67">
        <v>41182</v>
      </c>
      <c r="D31" s="29"/>
      <c r="E31" s="66">
        <v>101.8</v>
      </c>
      <c r="F31" s="68"/>
      <c r="G31" s="68"/>
      <c r="H31" s="29"/>
      <c r="I31" s="29"/>
      <c r="S31" s="140" t="str">
        <f>IF(COUNTBLANK($E31),"Check","Ok")</f>
        <v>Ok</v>
      </c>
    </row>
    <row r="32" spans="3:19">
      <c r="C32" s="67">
        <v>41274</v>
      </c>
      <c r="D32" s="29"/>
      <c r="E32" s="66">
        <v>102</v>
      </c>
      <c r="F32" s="68"/>
      <c r="G32" s="68"/>
      <c r="H32" s="29"/>
      <c r="I32" s="29"/>
      <c r="S32" s="140" t="str">
        <f>IF(COUNTBLANK($E32),"Check","Ok")</f>
        <v>Ok</v>
      </c>
    </row>
    <row r="33" spans="3:19">
      <c r="C33" s="67">
        <v>41364</v>
      </c>
      <c r="D33" s="29"/>
      <c r="E33" s="66">
        <v>102.4</v>
      </c>
      <c r="F33" s="68"/>
      <c r="G33" s="68"/>
      <c r="H33" s="29"/>
      <c r="I33" s="29"/>
      <c r="S33" s="140" t="str">
        <f t="shared" ref="S33:S54" si="2">IF(COUNTBLANK($E33),"Check","Ok")</f>
        <v>Ok</v>
      </c>
    </row>
    <row r="34" spans="3:19">
      <c r="C34" s="67">
        <v>41455</v>
      </c>
      <c r="D34" s="29"/>
      <c r="E34" s="66">
        <v>102.8</v>
      </c>
      <c r="F34" s="68"/>
      <c r="G34" s="68"/>
      <c r="H34" s="29"/>
      <c r="I34" s="29"/>
      <c r="S34" s="140" t="str">
        <f t="shared" si="2"/>
        <v>Ok</v>
      </c>
    </row>
    <row r="35" spans="3:19">
      <c r="C35" s="67">
        <v>41547</v>
      </c>
      <c r="D35" s="29"/>
      <c r="E35" s="66">
        <v>104</v>
      </c>
      <c r="F35" s="68"/>
      <c r="G35" s="68"/>
      <c r="H35" s="29"/>
      <c r="I35" s="29"/>
      <c r="S35" s="140" t="str">
        <f t="shared" si="2"/>
        <v>Ok</v>
      </c>
    </row>
    <row r="36" spans="3:19">
      <c r="C36" s="67">
        <v>41639</v>
      </c>
      <c r="D36" s="29"/>
      <c r="E36" s="66">
        <v>104.8</v>
      </c>
      <c r="F36" s="68"/>
      <c r="G36" s="68"/>
      <c r="H36" s="29"/>
      <c r="I36" s="29"/>
      <c r="S36" s="140" t="str">
        <f t="shared" si="2"/>
        <v>Ok</v>
      </c>
    </row>
    <row r="37" spans="3:19">
      <c r="C37" s="67">
        <v>41729</v>
      </c>
      <c r="D37" s="29"/>
      <c r="E37" s="66">
        <v>105.4</v>
      </c>
      <c r="F37" s="68"/>
      <c r="G37" s="68"/>
      <c r="H37" s="29"/>
      <c r="I37" s="29"/>
      <c r="S37" s="140" t="str">
        <f t="shared" si="2"/>
        <v>Ok</v>
      </c>
    </row>
    <row r="38" spans="3:19">
      <c r="C38" s="67">
        <v>41820</v>
      </c>
      <c r="D38" s="29"/>
      <c r="E38" s="66">
        <v>105.9</v>
      </c>
      <c r="F38" s="68"/>
      <c r="G38" s="68"/>
      <c r="H38" s="29"/>
      <c r="I38" s="29"/>
      <c r="S38" s="140" t="str">
        <f t="shared" si="2"/>
        <v>Ok</v>
      </c>
    </row>
    <row r="39" spans="3:19">
      <c r="C39" s="67">
        <v>41912</v>
      </c>
      <c r="D39" s="29"/>
      <c r="E39" s="66">
        <v>106.4</v>
      </c>
      <c r="F39" s="68"/>
      <c r="G39" s="68"/>
      <c r="H39" s="29"/>
      <c r="I39" s="29"/>
      <c r="S39" s="140" t="str">
        <f t="shared" si="2"/>
        <v>Ok</v>
      </c>
    </row>
    <row r="40" spans="3:19">
      <c r="C40" s="67">
        <v>42004</v>
      </c>
      <c r="D40" s="29"/>
      <c r="E40" s="66">
        <v>106.6</v>
      </c>
      <c r="F40" s="68"/>
      <c r="G40" s="68"/>
      <c r="H40" s="29"/>
      <c r="I40" s="29"/>
      <c r="S40" s="140" t="str">
        <f t="shared" si="2"/>
        <v>Ok</v>
      </c>
    </row>
    <row r="41" spans="3:19">
      <c r="C41" s="67">
        <v>42094</v>
      </c>
      <c r="D41" s="29"/>
      <c r="E41" s="66">
        <v>106.8</v>
      </c>
      <c r="F41" s="68"/>
      <c r="G41" s="68"/>
      <c r="H41" s="29"/>
      <c r="I41" s="29"/>
      <c r="S41" s="140" t="str">
        <f t="shared" si="2"/>
        <v>Ok</v>
      </c>
    </row>
    <row r="42" spans="3:19">
      <c r="C42" s="67">
        <v>42185</v>
      </c>
      <c r="D42" s="29"/>
      <c r="E42" s="66">
        <v>107.5</v>
      </c>
      <c r="F42" s="68"/>
      <c r="G42" s="68"/>
      <c r="H42" s="29"/>
      <c r="I42" s="29"/>
      <c r="S42" s="140" t="str">
        <f t="shared" si="2"/>
        <v>Ok</v>
      </c>
    </row>
    <row r="43" spans="3:19">
      <c r="C43" s="67">
        <v>42277</v>
      </c>
      <c r="D43" s="29"/>
      <c r="E43" s="66">
        <v>108</v>
      </c>
      <c r="F43" s="68"/>
      <c r="G43" s="68"/>
      <c r="H43" s="29"/>
      <c r="I43" s="29"/>
      <c r="S43" s="140" t="str">
        <f t="shared" si="2"/>
        <v>Ok</v>
      </c>
    </row>
    <row r="44" spans="3:19">
      <c r="C44" s="67">
        <v>42369</v>
      </c>
      <c r="D44" s="29"/>
      <c r="E44" s="66">
        <v>108.4</v>
      </c>
      <c r="F44" s="68"/>
      <c r="G44" s="68"/>
      <c r="H44" s="29"/>
      <c r="I44" s="29"/>
      <c r="S44" s="140" t="str">
        <f t="shared" si="2"/>
        <v>Ok</v>
      </c>
    </row>
    <row r="45" spans="3:19">
      <c r="C45" s="67">
        <v>42460</v>
      </c>
      <c r="D45" s="29"/>
      <c r="E45" s="66">
        <v>108.2</v>
      </c>
      <c r="F45" s="68"/>
      <c r="G45" s="68"/>
      <c r="H45" s="29"/>
      <c r="I45" s="29"/>
      <c r="S45" s="140" t="str">
        <f t="shared" si="2"/>
        <v>Ok</v>
      </c>
    </row>
    <row r="46" spans="3:19">
      <c r="C46" s="67">
        <v>42551</v>
      </c>
      <c r="D46" s="29"/>
      <c r="E46" s="66">
        <v>108.6</v>
      </c>
      <c r="F46" s="167"/>
      <c r="G46" s="68"/>
      <c r="H46" s="29"/>
      <c r="I46" s="29"/>
      <c r="S46" s="140" t="str">
        <f t="shared" si="2"/>
        <v>Ok</v>
      </c>
    </row>
    <row r="47" spans="3:19">
      <c r="C47" s="67">
        <v>42643</v>
      </c>
      <c r="D47" s="29"/>
      <c r="E47" s="66">
        <v>109.4</v>
      </c>
      <c r="F47" s="167"/>
      <c r="G47" s="68"/>
      <c r="H47" s="29"/>
      <c r="I47" s="29"/>
      <c r="S47" s="140" t="str">
        <f t="shared" si="2"/>
        <v>Ok</v>
      </c>
    </row>
    <row r="48" spans="3:19">
      <c r="C48" s="67">
        <v>42735</v>
      </c>
      <c r="D48" s="29"/>
      <c r="E48" s="66">
        <v>110</v>
      </c>
      <c r="F48" s="167"/>
      <c r="G48" s="68"/>
      <c r="H48" s="29"/>
      <c r="I48" s="29"/>
      <c r="S48" s="140" t="str">
        <f t="shared" si="2"/>
        <v>Ok</v>
      </c>
    </row>
    <row r="49" spans="1:47">
      <c r="C49" s="67">
        <v>42825</v>
      </c>
      <c r="D49" s="29"/>
      <c r="E49" s="66">
        <f>AVERAGE(E48,E50)</f>
        <v>110.386</v>
      </c>
      <c r="F49" s="167" t="s">
        <v>143</v>
      </c>
      <c r="G49" s="68"/>
      <c r="H49" s="29"/>
      <c r="I49" s="29"/>
      <c r="S49" s="140" t="str">
        <f t="shared" si="2"/>
        <v>Ok</v>
      </c>
    </row>
    <row r="50" spans="1:47">
      <c r="C50" s="67">
        <v>42916</v>
      </c>
      <c r="D50" s="29"/>
      <c r="E50" s="66">
        <f>E46*1.02</f>
        <v>110.77199999999999</v>
      </c>
      <c r="F50" s="167" t="s">
        <v>144</v>
      </c>
      <c r="G50" s="68"/>
      <c r="H50" s="29"/>
      <c r="I50" s="29"/>
      <c r="S50" s="140" t="str">
        <f t="shared" si="2"/>
        <v>Ok</v>
      </c>
    </row>
    <row r="51" spans="1:47">
      <c r="C51" s="67">
        <v>43008</v>
      </c>
      <c r="D51" s="29"/>
      <c r="E51" s="66">
        <f>AVERAGE(E50,E52)</f>
        <v>111.48599999999999</v>
      </c>
      <c r="F51" s="167" t="s">
        <v>143</v>
      </c>
      <c r="G51" s="68"/>
      <c r="H51" s="29"/>
      <c r="I51" s="29"/>
      <c r="S51" s="140" t="str">
        <f t="shared" si="2"/>
        <v>Ok</v>
      </c>
    </row>
    <row r="52" spans="1:47">
      <c r="C52" s="67">
        <v>43100</v>
      </c>
      <c r="D52" s="29"/>
      <c r="E52" s="66">
        <f t="shared" ref="E52:E54" si="3">E48*1.02</f>
        <v>112.2</v>
      </c>
      <c r="F52" s="167" t="s">
        <v>144</v>
      </c>
      <c r="G52" s="68"/>
      <c r="H52" s="29"/>
      <c r="I52" s="29"/>
      <c r="S52" s="140" t="str">
        <f t="shared" si="2"/>
        <v>Ok</v>
      </c>
    </row>
    <row r="53" spans="1:47">
      <c r="C53" s="67">
        <v>43190</v>
      </c>
      <c r="D53" s="29"/>
      <c r="E53" s="66">
        <f>AVERAGE(E52,E54)</f>
        <v>112.59371999999999</v>
      </c>
      <c r="F53" s="167" t="s">
        <v>143</v>
      </c>
      <c r="G53" s="68"/>
      <c r="H53" s="29"/>
      <c r="I53" s="29"/>
      <c r="S53" s="140" t="str">
        <f t="shared" si="2"/>
        <v>Ok</v>
      </c>
    </row>
    <row r="54" spans="1:47">
      <c r="C54" s="67">
        <v>43281</v>
      </c>
      <c r="D54" s="29"/>
      <c r="E54" s="66">
        <f t="shared" si="3"/>
        <v>112.98743999999999</v>
      </c>
      <c r="F54" s="167" t="s">
        <v>144</v>
      </c>
      <c r="G54" s="68"/>
      <c r="H54" s="29"/>
      <c r="I54" s="29"/>
      <c r="S54" s="140" t="str">
        <f t="shared" si="2"/>
        <v>Ok</v>
      </c>
    </row>
    <row r="55" spans="1:47">
      <c r="E55" s="29"/>
      <c r="F55" s="29"/>
      <c r="G55" s="29"/>
      <c r="H55" s="29"/>
      <c r="I55" s="29"/>
      <c r="S55" s="141"/>
    </row>
    <row r="56" spans="1:47" s="108" customFormat="1" ht="12.75">
      <c r="A56" s="99"/>
      <c r="B56" s="100" t="s">
        <v>21</v>
      </c>
      <c r="C56" s="99"/>
      <c r="D56" s="99"/>
      <c r="E56" s="99"/>
      <c r="F56" s="101"/>
      <c r="G56" s="101"/>
      <c r="H56" s="101"/>
      <c r="I56" s="101"/>
      <c r="J56" s="102"/>
      <c r="K56" s="103"/>
      <c r="L56" s="102"/>
      <c r="M56" s="103"/>
      <c r="N56" s="102"/>
      <c r="O56" s="102"/>
      <c r="P56" s="102"/>
      <c r="Q56" s="102"/>
      <c r="R56" s="102"/>
      <c r="S56" s="102"/>
      <c r="T56" s="102"/>
      <c r="U56" s="102"/>
      <c r="V56" s="103"/>
      <c r="W56" s="103"/>
      <c r="X56" s="104"/>
      <c r="Y56" s="104"/>
      <c r="Z56" s="104"/>
      <c r="AA56" s="104"/>
      <c r="AB56" s="105"/>
      <c r="AC56" s="106"/>
      <c r="AD56" s="106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</row>
    <row r="57" spans="1:47" hidden="1">
      <c r="G57" s="32"/>
      <c r="H57" s="32"/>
    </row>
    <row r="58" spans="1:47" hidden="1">
      <c r="G58" s="32"/>
      <c r="H58" s="32"/>
    </row>
    <row r="59" spans="1:47" s="30" customFormat="1" hidden="1">
      <c r="A59" s="29"/>
      <c r="B59" s="29"/>
      <c r="C59" s="29"/>
      <c r="G59" s="32"/>
      <c r="H59" s="32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</row>
    <row r="60" spans="1:47" s="30" customFormat="1" hidden="1">
      <c r="A60" s="29"/>
      <c r="B60" s="29"/>
      <c r="C60" s="29"/>
      <c r="G60" s="32"/>
      <c r="H60" s="32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</row>
    <row r="61" spans="1:47" s="30" customFormat="1" hidden="1">
      <c r="A61" s="29"/>
      <c r="B61" s="29"/>
      <c r="C61" s="29"/>
      <c r="G61" s="32"/>
      <c r="H61" s="32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</row>
    <row r="62" spans="1:47" s="30" customFormat="1" hidden="1">
      <c r="A62" s="29"/>
      <c r="B62" s="29"/>
      <c r="C62" s="29"/>
      <c r="G62" s="32"/>
      <c r="H62" s="32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</row>
    <row r="63" spans="1:47" s="30" customFormat="1" hidden="1">
      <c r="A63" s="29"/>
      <c r="B63" s="29"/>
      <c r="C63" s="29"/>
      <c r="G63" s="32"/>
      <c r="H63" s="32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</row>
    <row r="64" spans="1:47" s="30" customFormat="1" hidden="1">
      <c r="A64" s="29"/>
      <c r="B64" s="29"/>
      <c r="C64" s="29"/>
      <c r="G64" s="32"/>
      <c r="H64" s="32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</row>
    <row r="65" spans="1:47" s="30" customFormat="1" hidden="1">
      <c r="A65" s="29"/>
      <c r="B65" s="29"/>
      <c r="C65" s="29"/>
      <c r="G65" s="32"/>
      <c r="H65" s="32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</row>
    <row r="66" spans="1:47" s="30" customFormat="1" hidden="1">
      <c r="A66" s="29"/>
      <c r="B66" s="29"/>
      <c r="C66" s="29"/>
      <c r="G66" s="32"/>
      <c r="H66" s="32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</row>
  </sheetData>
  <conditionalFormatting sqref="W14:W55 S9:S55">
    <cfRule type="cellIs" dxfId="101" priority="7" operator="equal">
      <formula>"Check"</formula>
    </cfRule>
    <cfRule type="cellIs" dxfId="100" priority="8" operator="equal">
      <formula>"Ok"</formula>
    </cfRule>
  </conditionalFormatting>
  <conditionalFormatting sqref="V1">
    <cfRule type="cellIs" dxfId="99" priority="3" operator="equal">
      <formula>"Check"</formula>
    </cfRule>
    <cfRule type="cellIs" dxfId="98" priority="4" operator="equal">
      <formula>"Ok"</formula>
    </cfRule>
  </conditionalFormatting>
  <conditionalFormatting sqref="S1">
    <cfRule type="cellIs" dxfId="97" priority="1" operator="equal">
      <formula>"Check"</formula>
    </cfRule>
    <cfRule type="cellIs" dxfId="96" priority="2" operator="equal">
      <formula>"Ok"</formula>
    </cfRule>
  </conditionalFormatting>
  <dataValidations disablePrompts="1" count="2">
    <dataValidation type="list" allowBlank="1" showInputMessage="1" showErrorMessage="1" sqref="F55">
      <formula1>"Real 2010,Real 2011,Real 2012,Real 2013,Real 2014,Real 2015,Nominal"</formula1>
    </dataValidation>
    <dataValidation type="list" allowBlank="1" showInputMessage="1" showErrorMessage="1" sqref="I12:I55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W58"/>
  <sheetViews>
    <sheetView workbookViewId="0">
      <selection activeCell="J1" sqref="J1"/>
    </sheetView>
  </sheetViews>
  <sheetFormatPr defaultColWidth="0" defaultRowHeight="11.25" zeroHeight="1"/>
  <cols>
    <col min="1" max="2" width="1.5" customWidth="1"/>
    <col min="3" max="3" width="65" customWidth="1"/>
    <col min="4" max="4" width="27.6640625" customWidth="1"/>
    <col min="5" max="5" width="15.83203125" customWidth="1"/>
    <col min="6" max="6" width="10.6640625" customWidth="1"/>
    <col min="7" max="9" width="3.33203125" customWidth="1"/>
    <col min="10" max="23" width="10.83203125" customWidth="1"/>
    <col min="24" max="16384" width="9.33203125" hidden="1"/>
  </cols>
  <sheetData>
    <row r="1" spans="1:23" ht="15.75">
      <c r="A1" s="73"/>
      <c r="B1" s="74"/>
      <c r="C1" s="74" t="str">
        <f>Index!$B$1</f>
        <v>AER opex model</v>
      </c>
      <c r="D1" s="74"/>
      <c r="E1" s="74"/>
      <c r="F1" s="75"/>
      <c r="G1" s="75"/>
      <c r="H1" s="75"/>
      <c r="I1" s="75"/>
      <c r="J1" s="37" t="s">
        <v>2</v>
      </c>
      <c r="K1" s="73"/>
      <c r="L1" s="76" t="s">
        <v>3</v>
      </c>
      <c r="M1" s="77" t="s">
        <v>4</v>
      </c>
      <c r="N1" s="78" t="s">
        <v>5</v>
      </c>
      <c r="O1" s="79" t="s">
        <v>6</v>
      </c>
      <c r="P1" s="73"/>
      <c r="Q1" s="73"/>
      <c r="R1" s="76" t="s">
        <v>92</v>
      </c>
      <c r="S1" s="80" t="str">
        <f>IF(COUNTA($W$32:$W$251)=COUNTIF($W$32:$W$251,"OK"),"OK","Check")</f>
        <v>OK</v>
      </c>
      <c r="T1" s="73"/>
      <c r="U1" s="183" t="s">
        <v>24</v>
      </c>
      <c r="V1" s="80" t="str">
        <f>'Check|List'!$S$1</f>
        <v>Ok</v>
      </c>
      <c r="W1" s="73"/>
    </row>
    <row r="2" spans="1:23" ht="13.5" thickBot="1">
      <c r="A2" s="81"/>
      <c r="B2" s="82"/>
      <c r="C2" s="82" t="str">
        <f>Index!$C$9</f>
        <v>Input | Reported opex</v>
      </c>
      <c r="D2" s="82"/>
      <c r="E2" s="82"/>
      <c r="F2" s="83"/>
      <c r="G2" s="83"/>
      <c r="H2" s="83"/>
      <c r="I2" s="83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3">
      <c r="A3" s="142"/>
      <c r="B3" s="142"/>
      <c r="C3" s="143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5"/>
      <c r="U3" s="145"/>
      <c r="V3" s="145"/>
      <c r="W3" s="145"/>
    </row>
    <row r="4" spans="1:23">
      <c r="A4" s="88"/>
      <c r="B4" s="88"/>
      <c r="C4" s="88"/>
      <c r="D4" s="89" t="s">
        <v>7</v>
      </c>
      <c r="E4" s="89" t="s">
        <v>8</v>
      </c>
      <c r="F4" s="90" t="s">
        <v>22</v>
      </c>
      <c r="G4" s="91"/>
      <c r="H4" s="91"/>
      <c r="I4" s="91"/>
      <c r="J4" s="152">
        <f>'Input|General'!$G$8</f>
        <v>2013</v>
      </c>
      <c r="K4" s="152">
        <f ca="1">IF(OFFSET('Lookup|Tables'!$G$26:$G$43,MATCH('Input|General'!$G$8,'Lookup|Tables'!$G$26:$G$42,0),0,1,1)&lt;='Input|General'!$G$12,OFFSET('Lookup|Tables'!$G$26:$G$43,MATCH('Input|General'!$G$8,'Lookup|Tables'!$G$26:$G$42,0),0,1,1),"")</f>
        <v>2014</v>
      </c>
      <c r="L4" s="152">
        <f ca="1">IF(OFFSET('Lookup|Tables'!$G$28:$G$43,MATCH('Input|General'!$G$8,'Lookup|Tables'!$G$28:$G$42,0)+1,0,1,1)&lt;='Input|General'!$G$12,OFFSET('Lookup|Tables'!$G$28:$G$43,MATCH('Input|General'!$G$8,'Lookup|Tables'!$G$28:$G$42,0)+1,0,1,1),"")</f>
        <v>2015</v>
      </c>
      <c r="M4" s="152">
        <f ca="1">IF(OFFSET('Lookup|Tables'!$G$28:$G$43,MATCH('Input|General'!$G$8,'Lookup|Tables'!$G$28:$G$42,0)+2,0,1,1)&lt;='Input|General'!$G$12,OFFSET('Lookup|Tables'!$G$28:$G$43,MATCH('Input|General'!$G$8,'Lookup|Tables'!$G$28:$G$42,0)+2,0,1,1),"")</f>
        <v>2016</v>
      </c>
      <c r="N4" s="152">
        <f ca="1">IF(OFFSET('Lookup|Tables'!$G$28:$G$43,MATCH('Input|General'!$G$8,'Lookup|Tables'!$G$28:$G$42,0)+3,0,1,1)&lt;='Input|General'!$G$12,OFFSET('Lookup|Tables'!$G$28:$G$43,MATCH('Input|General'!$G$8,'Lookup|Tables'!$G$28:$G$42,0)+3,0,1,1),"")</f>
        <v>2017</v>
      </c>
      <c r="O4" s="152">
        <f ca="1">IF(OFFSET('Lookup|Tables'!$G$28:$G$43,MATCH('Input|General'!$G$8,'Lookup|Tables'!$G$28:$G$42,0)+4,0,1,1)&lt;='Input|General'!$G$12,OFFSET('Lookup|Tables'!$G$28:$G$43,MATCH('Input|General'!$G$8,'Lookup|Tables'!$G$28:$G$42,0)+4,0,1,1),"")</f>
        <v>2018</v>
      </c>
      <c r="P4" s="152">
        <f ca="1">IF(OFFSET('Lookup|Tables'!$G$28:$G$43,MATCH('Input|General'!$G$8,'Lookup|Tables'!$G$28:$G$42,0)+5,0,1,1)&lt;='Input|General'!$G$12,OFFSET('Lookup|Tables'!$G$28:$G$43,MATCH('Input|General'!$G$8,'Lookup|Tables'!$G$28:$G$42,0)+5,0,1,1),"")</f>
        <v>2019</v>
      </c>
      <c r="Q4" s="152">
        <f ca="1">IF(OFFSET('Lookup|Tables'!$G$28:$G$43,MATCH('Input|General'!$G$8,'Lookup|Tables'!$G$28:$G$42,0)+6,0,1,1)&lt;='Input|General'!$G$12,OFFSET('Lookup|Tables'!$G$28:$G$43,MATCH('Input|General'!$G$8,'Lookup|Tables'!$G$28:$G$42,0)+6,0,1,1),"")</f>
        <v>2020</v>
      </c>
      <c r="R4" s="152">
        <f ca="1">IF(OFFSET('Lookup|Tables'!$G$28:$G$43,MATCH('Input|General'!$G$8,'Lookup|Tables'!$G$28:$G$42,0)+7,0,1,1)&lt;='Input|General'!$G$12,OFFSET('Lookup|Tables'!$G$28:$G$43,MATCH('Input|General'!$G$8,'Lookup|Tables'!$G$28:$G$42,0)+7,0,1,1),"")</f>
        <v>2021</v>
      </c>
      <c r="S4" s="152">
        <f ca="1">IF(OFFSET('Lookup|Tables'!$G$28:$G$43,MATCH('Input|General'!$G$8,'Lookup|Tables'!$G$28:$G$42,0)+8,0,1,1)&lt;='Input|General'!$G$12,OFFSET('Lookup|Tables'!$G$28:$G$43,MATCH('Input|General'!$G$8,'Lookup|Tables'!$G$28:$G$42,0)+8,0,1,1),"")</f>
        <v>2022</v>
      </c>
      <c r="T4" s="92"/>
      <c r="U4" s="92"/>
      <c r="V4" s="93"/>
      <c r="W4" s="93"/>
    </row>
    <row r="5" spans="1:23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9"/>
      <c r="B8" s="100" t="s">
        <v>46</v>
      </c>
      <c r="C8" s="99"/>
      <c r="D8" s="99"/>
      <c r="E8" s="99"/>
      <c r="F8" s="101"/>
      <c r="G8" s="101"/>
      <c r="H8" s="101"/>
      <c r="I8" s="101"/>
      <c r="J8" s="102"/>
      <c r="K8" s="103"/>
      <c r="L8" s="102"/>
      <c r="M8" s="103"/>
      <c r="N8" s="102"/>
      <c r="O8" s="102"/>
      <c r="P8" s="102"/>
      <c r="Q8" s="102"/>
      <c r="R8" s="102"/>
      <c r="S8" s="102"/>
      <c r="T8" s="102"/>
      <c r="U8" s="102"/>
      <c r="V8" s="103"/>
      <c r="W8" s="103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70" t="s">
        <v>86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73">
        <f>IF(RIGHT(J$4,2)&lt;=RIGHT('Input|General'!$G$10,2),'Input|Reported opex'!J$4,"")</f>
        <v>2013</v>
      </c>
      <c r="K10" s="173">
        <f ca="1">IF(RIGHT(K$4,2)&lt;=RIGHT('Input|General'!$G$10,2),'Input|Reported opex'!K$4,"")</f>
        <v>2014</v>
      </c>
      <c r="L10" s="173">
        <f ca="1">IF(RIGHT(L$4,2)&lt;=RIGHT('Input|General'!$G$10,2),'Input|Reported opex'!L$4,"")</f>
        <v>2015</v>
      </c>
      <c r="M10" s="173">
        <f ca="1">IF(RIGHT(M$4,2)&lt;=RIGHT('Input|General'!$G$10,2),'Input|Reported opex'!M$4,"")</f>
        <v>2016</v>
      </c>
      <c r="N10" s="173">
        <f ca="1">IF(RIGHT(N$4,2)&lt;=RIGHT('Input|General'!$G$10,2),'Input|Reported opex'!N$4,"")</f>
        <v>2017</v>
      </c>
      <c r="O10" s="111" t="str">
        <f ca="1">IF(RIGHT(O$4,2)&lt;=RIGHT('Input|General'!$G$10,2),'Input|Reported opex'!O$4,"")</f>
        <v/>
      </c>
      <c r="P10" s="111" t="str">
        <f ca="1">IF(RIGHT(P$4,2)&lt;=RIGHT('Input|General'!$G$10,2),'Input|Reported opex'!P$4,"")</f>
        <v/>
      </c>
      <c r="Q10" s="111" t="str">
        <f ca="1">IF(RIGHT(Q$4,2)&lt;=RIGHT('Input|General'!$G$10,2),'Input|Reported opex'!Q$4,"")</f>
        <v/>
      </c>
      <c r="R10" s="111" t="str">
        <f ca="1">IF(RIGHT(R$4,2)&lt;=RIGHT('Input|General'!$G$10,2),'Input|Reported opex'!R$4,"")</f>
        <v/>
      </c>
      <c r="S10" s="111" t="str">
        <f ca="1">IF(RIGHT(S$4,2)&lt;=RIGHT('Input|General'!$G$10,2),'Input|Reported opex'!S$4,"")</f>
        <v/>
      </c>
      <c r="T10" s="146" t="s">
        <v>59</v>
      </c>
      <c r="U10" s="147"/>
      <c r="V10" s="147"/>
      <c r="W10" s="29"/>
    </row>
    <row r="11" spans="1:23">
      <c r="A11" s="29"/>
      <c r="B11" s="29"/>
      <c r="C11" s="117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7"/>
      <c r="D12" s="30"/>
      <c r="E12" s="3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2" t="s">
        <v>83</v>
      </c>
      <c r="D13" s="30" t="s">
        <v>79</v>
      </c>
      <c r="E13" s="30" t="str">
        <f>$E$24</f>
        <v>$millions</v>
      </c>
      <c r="F13" s="172">
        <v>2012</v>
      </c>
      <c r="G13" s="32"/>
      <c r="H13" s="32"/>
      <c r="I13" s="30"/>
      <c r="J13" s="60">
        <v>63.242919650690332</v>
      </c>
      <c r="K13" s="60">
        <v>65.094385691299593</v>
      </c>
      <c r="L13" s="60">
        <v>66.395635057720398</v>
      </c>
      <c r="M13" s="60">
        <v>67.384432842594578</v>
      </c>
      <c r="N13" s="60">
        <v>68.41566569828953</v>
      </c>
      <c r="O13" s="29"/>
      <c r="P13" s="29"/>
      <c r="Q13" s="29"/>
      <c r="R13" s="29"/>
      <c r="S13" s="29"/>
      <c r="T13" s="166"/>
      <c r="U13" s="29"/>
      <c r="V13" s="29"/>
      <c r="W13" s="29"/>
    </row>
    <row r="14" spans="1:23">
      <c r="A14" s="29"/>
      <c r="B14" s="29"/>
      <c r="C14" s="62" t="s">
        <v>123</v>
      </c>
      <c r="D14" s="30" t="s">
        <v>79</v>
      </c>
      <c r="E14" s="30" t="str">
        <f t="shared" ref="E14:E22" si="0">$E$24</f>
        <v>$millions</v>
      </c>
      <c r="F14" s="172">
        <v>2012</v>
      </c>
      <c r="G14" s="32"/>
      <c r="H14" s="32"/>
      <c r="I14" s="30"/>
      <c r="J14" s="60">
        <v>-0.63686328752861199</v>
      </c>
      <c r="K14" s="60">
        <v>-0.66431194172742225</v>
      </c>
      <c r="L14" s="60">
        <v>-0.69102527177044004</v>
      </c>
      <c r="M14" s="60">
        <v>-0.70901616961646352</v>
      </c>
      <c r="N14" s="60">
        <v>-0.72912001457639364</v>
      </c>
      <c r="O14" s="29"/>
      <c r="P14" s="29"/>
      <c r="Q14" s="29"/>
      <c r="R14" s="29"/>
      <c r="S14" s="29"/>
      <c r="T14" s="166"/>
      <c r="U14" s="29"/>
      <c r="V14" s="29"/>
      <c r="W14" s="29"/>
    </row>
    <row r="15" spans="1:23">
      <c r="A15" s="29"/>
      <c r="B15" s="29"/>
      <c r="C15" s="62"/>
      <c r="D15" s="30" t="s">
        <v>79</v>
      </c>
      <c r="E15" s="30" t="str">
        <f t="shared" si="0"/>
        <v>$millions</v>
      </c>
      <c r="F15" s="172">
        <v>2012</v>
      </c>
      <c r="G15" s="32"/>
      <c r="H15" s="32"/>
      <c r="I15" s="30"/>
      <c r="J15" s="60"/>
      <c r="K15" s="60"/>
      <c r="L15" s="60"/>
      <c r="M15" s="60"/>
      <c r="N15" s="60"/>
      <c r="O15" s="29"/>
      <c r="P15" s="29"/>
      <c r="Q15" s="29"/>
      <c r="R15" s="29"/>
      <c r="S15" s="29"/>
      <c r="T15" s="166"/>
      <c r="U15" s="29"/>
      <c r="V15" s="29"/>
      <c r="W15" s="29"/>
    </row>
    <row r="16" spans="1:23">
      <c r="A16" s="29"/>
      <c r="B16" s="29"/>
      <c r="C16" s="62"/>
      <c r="D16" s="30" t="s">
        <v>79</v>
      </c>
      <c r="E16" s="30" t="str">
        <f t="shared" si="0"/>
        <v>$millions</v>
      </c>
      <c r="F16" s="172">
        <v>2012</v>
      </c>
      <c r="G16" s="32"/>
      <c r="H16" s="32"/>
      <c r="I16" s="30"/>
      <c r="J16" s="60"/>
      <c r="K16" s="60"/>
      <c r="L16" s="60"/>
      <c r="M16" s="60"/>
      <c r="N16" s="60"/>
      <c r="O16" s="29"/>
      <c r="P16" s="29"/>
      <c r="Q16" s="29"/>
      <c r="R16" s="29"/>
      <c r="S16" s="29"/>
      <c r="T16" s="166"/>
      <c r="U16" s="29"/>
      <c r="V16" s="29"/>
      <c r="W16" s="29"/>
    </row>
    <row r="17" spans="1:23">
      <c r="A17" s="29"/>
      <c r="B17" s="29"/>
      <c r="C17" s="62"/>
      <c r="D17" s="30" t="s">
        <v>79</v>
      </c>
      <c r="E17" s="30" t="str">
        <f t="shared" si="0"/>
        <v>$millions</v>
      </c>
      <c r="F17" s="172">
        <v>2012</v>
      </c>
      <c r="G17" s="32"/>
      <c r="H17" s="32"/>
      <c r="I17" s="30"/>
      <c r="J17" s="60"/>
      <c r="K17" s="60"/>
      <c r="L17" s="60"/>
      <c r="M17" s="60"/>
      <c r="N17" s="60"/>
      <c r="O17" s="29"/>
      <c r="P17" s="29"/>
      <c r="Q17" s="29"/>
      <c r="R17" s="29"/>
      <c r="S17" s="29"/>
      <c r="T17" s="166"/>
      <c r="U17" s="29"/>
      <c r="V17" s="29"/>
      <c r="W17" s="29"/>
    </row>
    <row r="18" spans="1:23">
      <c r="A18" s="29"/>
      <c r="B18" s="29"/>
      <c r="C18" s="62"/>
      <c r="D18" s="30" t="s">
        <v>79</v>
      </c>
      <c r="E18" s="30" t="str">
        <f t="shared" si="0"/>
        <v>$millions</v>
      </c>
      <c r="F18" s="172">
        <v>2012</v>
      </c>
      <c r="G18" s="32"/>
      <c r="H18" s="32"/>
      <c r="I18" s="30"/>
      <c r="J18" s="60"/>
      <c r="K18" s="60"/>
      <c r="L18" s="60"/>
      <c r="M18" s="60"/>
      <c r="N18" s="60"/>
      <c r="O18" s="29"/>
      <c r="P18" s="29"/>
      <c r="Q18" s="29"/>
      <c r="R18" s="29"/>
      <c r="S18" s="29"/>
      <c r="T18" s="166"/>
      <c r="U18" s="29"/>
      <c r="V18" s="29"/>
      <c r="W18" s="29"/>
    </row>
    <row r="19" spans="1:23">
      <c r="A19" s="29"/>
      <c r="B19" s="29"/>
      <c r="C19" s="62"/>
      <c r="D19" s="30" t="s">
        <v>79</v>
      </c>
      <c r="E19" s="30" t="str">
        <f t="shared" si="0"/>
        <v>$millions</v>
      </c>
      <c r="F19" s="172">
        <v>2012</v>
      </c>
      <c r="G19" s="32"/>
      <c r="H19" s="32"/>
      <c r="I19" s="30"/>
      <c r="J19" s="60"/>
      <c r="K19" s="60"/>
      <c r="L19" s="60"/>
      <c r="M19" s="60"/>
      <c r="N19" s="60"/>
      <c r="O19" s="29"/>
      <c r="P19" s="29"/>
      <c r="Q19" s="29"/>
      <c r="R19" s="29"/>
      <c r="S19" s="29"/>
      <c r="T19" s="166"/>
      <c r="U19" s="29"/>
      <c r="V19" s="29"/>
      <c r="W19" s="29"/>
    </row>
    <row r="20" spans="1:23">
      <c r="A20" s="29"/>
      <c r="B20" s="29"/>
      <c r="C20" s="62"/>
      <c r="D20" s="30" t="s">
        <v>79</v>
      </c>
      <c r="E20" s="30" t="str">
        <f t="shared" si="0"/>
        <v>$millions</v>
      </c>
      <c r="F20" s="172">
        <v>2012</v>
      </c>
      <c r="G20" s="32"/>
      <c r="H20" s="32"/>
      <c r="I20" s="30"/>
      <c r="J20" s="60"/>
      <c r="K20" s="60"/>
      <c r="L20" s="60"/>
      <c r="M20" s="60"/>
      <c r="N20" s="60"/>
      <c r="O20" s="29"/>
      <c r="P20" s="29"/>
      <c r="Q20" s="29"/>
      <c r="R20" s="29"/>
      <c r="S20" s="29"/>
      <c r="T20" s="166"/>
      <c r="U20" s="29"/>
      <c r="V20" s="29"/>
      <c r="W20" s="29"/>
    </row>
    <row r="21" spans="1:23">
      <c r="A21" s="29"/>
      <c r="B21" s="29"/>
      <c r="C21" s="62"/>
      <c r="D21" s="30" t="s">
        <v>79</v>
      </c>
      <c r="E21" s="30" t="str">
        <f t="shared" si="0"/>
        <v>$millions</v>
      </c>
      <c r="F21" s="172">
        <v>2012</v>
      </c>
      <c r="G21" s="32"/>
      <c r="H21" s="32"/>
      <c r="I21" s="30"/>
      <c r="J21" s="60"/>
      <c r="K21" s="60"/>
      <c r="L21" s="60"/>
      <c r="M21" s="60"/>
      <c r="N21" s="60"/>
      <c r="O21" s="29"/>
      <c r="P21" s="29"/>
      <c r="Q21" s="29"/>
      <c r="R21" s="29"/>
      <c r="S21" s="29"/>
      <c r="T21" s="166"/>
      <c r="U21" s="29"/>
      <c r="V21" s="29"/>
      <c r="W21" s="29"/>
    </row>
    <row r="22" spans="1:23">
      <c r="A22" s="29"/>
      <c r="B22" s="29"/>
      <c r="C22" s="62"/>
      <c r="D22" s="30" t="s">
        <v>79</v>
      </c>
      <c r="E22" s="30" t="str">
        <f t="shared" si="0"/>
        <v>$millions</v>
      </c>
      <c r="F22" s="172">
        <v>2012</v>
      </c>
      <c r="G22" s="32"/>
      <c r="H22" s="32"/>
      <c r="I22" s="30"/>
      <c r="J22" s="60"/>
      <c r="K22" s="60"/>
      <c r="L22" s="60"/>
      <c r="M22" s="60"/>
      <c r="N22" s="60"/>
      <c r="O22" s="29"/>
      <c r="P22" s="29"/>
      <c r="Q22" s="29"/>
      <c r="R22" s="29"/>
      <c r="S22" s="29"/>
      <c r="T22" s="166"/>
      <c r="U22" s="29"/>
      <c r="V22" s="29"/>
      <c r="W22" s="29"/>
    </row>
    <row r="23" spans="1:23">
      <c r="A23" s="29"/>
      <c r="B23" s="29"/>
      <c r="C23" s="117"/>
      <c r="D23" s="30"/>
      <c r="E23" s="30"/>
      <c r="F23" s="30"/>
      <c r="G23" s="32"/>
      <c r="H23" s="32"/>
      <c r="I23" s="30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9"/>
      <c r="U23" s="29"/>
      <c r="V23" s="29"/>
      <c r="W23" s="29"/>
    </row>
    <row r="24" spans="1:23">
      <c r="A24" s="29"/>
      <c r="B24" s="29"/>
      <c r="C24" s="148" t="s">
        <v>83</v>
      </c>
      <c r="D24" s="149" t="s">
        <v>30</v>
      </c>
      <c r="E24" s="139" t="s">
        <v>15</v>
      </c>
      <c r="F24" s="139">
        <v>2012</v>
      </c>
      <c r="G24" s="32"/>
      <c r="H24" s="32"/>
      <c r="I24" s="30"/>
      <c r="J24" s="138">
        <f t="shared" ref="J24:S24" si="1">SUM(J13:J22)</f>
        <v>62.60605636316172</v>
      </c>
      <c r="K24" s="138">
        <f t="shared" si="1"/>
        <v>64.430073749572173</v>
      </c>
      <c r="L24" s="138">
        <f t="shared" si="1"/>
        <v>65.704609785949955</v>
      </c>
      <c r="M24" s="138">
        <f t="shared" si="1"/>
        <v>66.675416672978116</v>
      </c>
      <c r="N24" s="138">
        <f t="shared" si="1"/>
        <v>67.686545683713135</v>
      </c>
      <c r="O24" s="138">
        <f t="shared" si="1"/>
        <v>0</v>
      </c>
      <c r="P24" s="138">
        <f t="shared" si="1"/>
        <v>0</v>
      </c>
      <c r="Q24" s="138">
        <f t="shared" si="1"/>
        <v>0</v>
      </c>
      <c r="R24" s="138">
        <f t="shared" si="1"/>
        <v>0</v>
      </c>
      <c r="S24" s="138">
        <f t="shared" si="1"/>
        <v>0</v>
      </c>
      <c r="T24" s="29"/>
      <c r="U24" s="29"/>
      <c r="V24" s="29"/>
      <c r="W24" s="29"/>
    </row>
    <row r="25" spans="1:23">
      <c r="A25" s="29"/>
      <c r="B25" s="29"/>
      <c r="C25" s="29"/>
      <c r="D25" s="30"/>
      <c r="E25" s="30"/>
      <c r="F25" s="30"/>
      <c r="G25" s="32"/>
      <c r="H25" s="32"/>
      <c r="I25" s="30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ht="12.75">
      <c r="A26" s="99"/>
      <c r="B26" s="100" t="s">
        <v>64</v>
      </c>
      <c r="C26" s="99"/>
      <c r="D26" s="99"/>
      <c r="E26" s="99"/>
      <c r="F26" s="101"/>
      <c r="G26" s="101"/>
      <c r="H26" s="101"/>
      <c r="I26" s="101"/>
      <c r="J26" s="102"/>
      <c r="K26" s="103"/>
      <c r="L26" s="102"/>
      <c r="M26" s="103"/>
      <c r="N26" s="102"/>
      <c r="O26" s="102"/>
      <c r="P26" s="102"/>
      <c r="Q26" s="102"/>
      <c r="R26" s="102"/>
      <c r="S26" s="102"/>
      <c r="T26" s="102"/>
      <c r="U26" s="102"/>
      <c r="V26" s="103"/>
      <c r="W26" s="103"/>
    </row>
    <row r="27" spans="1:23">
      <c r="A27" s="29"/>
      <c r="B27" s="29"/>
      <c r="C27" s="29"/>
      <c r="D27" s="30"/>
      <c r="E27" s="30"/>
      <c r="F27" s="30"/>
      <c r="G27" s="30"/>
      <c r="H27" s="30"/>
      <c r="I27" s="30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>
      <c r="A28" s="29"/>
      <c r="B28" s="29"/>
      <c r="C28" s="29"/>
      <c r="D28" s="30"/>
      <c r="E28" s="30"/>
      <c r="F28" s="30"/>
      <c r="G28" s="30"/>
      <c r="H28" s="30"/>
      <c r="I28" s="30"/>
      <c r="J28" s="52" t="s">
        <v>23</v>
      </c>
      <c r="K28" s="52" t="s">
        <v>23</v>
      </c>
      <c r="L28" s="52" t="s">
        <v>23</v>
      </c>
      <c r="M28" s="52" t="s">
        <v>23</v>
      </c>
      <c r="N28" s="52" t="s">
        <v>84</v>
      </c>
      <c r="O28" s="29"/>
      <c r="P28" s="29"/>
      <c r="Q28" s="29"/>
      <c r="R28" s="29"/>
      <c r="S28" s="29"/>
      <c r="T28" s="29"/>
      <c r="U28" s="29"/>
      <c r="V28" s="29"/>
      <c r="W28" s="29"/>
    </row>
    <row r="29" spans="1:23">
      <c r="A29" s="29"/>
      <c r="B29" s="29"/>
      <c r="C29" s="70" t="s">
        <v>86</v>
      </c>
      <c r="D29" s="32" t="s">
        <v>7</v>
      </c>
      <c r="E29" s="32" t="s">
        <v>8</v>
      </c>
      <c r="F29" s="32" t="s">
        <v>22</v>
      </c>
      <c r="G29" s="32"/>
      <c r="H29" s="32"/>
      <c r="I29" s="32"/>
      <c r="J29" s="173">
        <f>IF(RIGHT(J4,2)&lt;=RIGHT('Input|General'!$G$10,2),'Input|Reported opex'!J4,"")</f>
        <v>2013</v>
      </c>
      <c r="K29" s="173">
        <f ca="1">IF(RIGHT(K4,2)&lt;=RIGHT('Input|General'!$G$10,2),'Input|Reported opex'!K4,"")</f>
        <v>2014</v>
      </c>
      <c r="L29" s="173">
        <f ca="1">IF(RIGHT(L4,2)&lt;=RIGHT('Input|General'!$G$10,2),'Input|Reported opex'!L4,"")</f>
        <v>2015</v>
      </c>
      <c r="M29" s="173">
        <f ca="1">IF(RIGHT(M4,2)&lt;=RIGHT('Input|General'!$G$10,2),'Input|Reported opex'!M4,"")</f>
        <v>2016</v>
      </c>
      <c r="N29" s="173">
        <f ca="1">IF(RIGHT(N4,2)&lt;=RIGHT('Input|General'!$G$10,2),'Input|Reported opex'!N4,"")</f>
        <v>2017</v>
      </c>
      <c r="O29" s="111" t="str">
        <f ca="1">IF(RIGHT(O4,2)&lt;=RIGHT('Input|General'!$G$10,2),'Input|Reported opex'!O4,"")</f>
        <v/>
      </c>
      <c r="P29" s="111" t="str">
        <f ca="1">IF(RIGHT(P4,2)&lt;=RIGHT('Input|General'!$G$10,2),'Input|Reported opex'!P4,"")</f>
        <v/>
      </c>
      <c r="Q29" s="111" t="str">
        <f ca="1">IF(RIGHT(Q4,2)&lt;=RIGHT('Input|General'!$G$10,2),'Input|Reported opex'!Q4,"")</f>
        <v/>
      </c>
      <c r="R29" s="111" t="str">
        <f ca="1">IF(RIGHT(R4,2)&lt;=RIGHT('Input|General'!$G$10,2),'Input|Reported opex'!R4,"")</f>
        <v/>
      </c>
      <c r="S29" s="111" t="str">
        <f ca="1">IF(RIGHT(S4,2)&lt;=RIGHT('Input|General'!$G$10,2),'Input|Reported opex'!S4,"")</f>
        <v/>
      </c>
      <c r="T29" s="146" t="s">
        <v>59</v>
      </c>
      <c r="U29" s="147"/>
      <c r="V29" s="147"/>
      <c r="W29" s="29"/>
    </row>
    <row r="30" spans="1:23">
      <c r="A30" s="29"/>
      <c r="B30" s="29"/>
      <c r="C30" s="117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>
      <c r="A31" s="29"/>
      <c r="B31" s="29"/>
      <c r="C31" s="117"/>
      <c r="D31" s="30"/>
      <c r="E31" s="30"/>
      <c r="F31" s="30"/>
      <c r="G31" s="32"/>
      <c r="H31" s="32"/>
      <c r="I31" s="30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166"/>
      <c r="U31" s="29"/>
      <c r="V31" s="29"/>
      <c r="W31" s="29"/>
    </row>
    <row r="32" spans="1:23">
      <c r="A32" s="29"/>
      <c r="B32" s="29"/>
      <c r="C32" s="62" t="s">
        <v>145</v>
      </c>
      <c r="D32" s="30" t="s">
        <v>85</v>
      </c>
      <c r="E32" s="30" t="str">
        <f t="shared" ref="E32:E37" si="2">$E$46</f>
        <v>$millions</v>
      </c>
      <c r="F32" s="30" t="str">
        <f t="shared" ref="F32:F37" si="3">$F$46</f>
        <v>nominal</v>
      </c>
      <c r="G32" s="32"/>
      <c r="H32" s="32"/>
      <c r="I32" s="30"/>
      <c r="J32" s="60"/>
      <c r="K32" s="60"/>
      <c r="L32" s="60"/>
      <c r="M32" s="60">
        <v>63.203317110000008</v>
      </c>
      <c r="N32" s="60"/>
      <c r="O32" s="29"/>
      <c r="P32" s="29"/>
      <c r="Q32" s="29"/>
      <c r="R32" s="29"/>
      <c r="S32" s="29"/>
      <c r="T32" s="166"/>
      <c r="U32" s="29"/>
      <c r="V32" s="29"/>
      <c r="W32" s="29"/>
    </row>
    <row r="33" spans="1:23">
      <c r="A33" s="29"/>
      <c r="B33" s="29"/>
      <c r="C33" s="62"/>
      <c r="D33" s="30" t="s">
        <v>85</v>
      </c>
      <c r="E33" s="30" t="str">
        <f t="shared" si="2"/>
        <v>$millions</v>
      </c>
      <c r="F33" s="30" t="str">
        <f t="shared" si="3"/>
        <v>nominal</v>
      </c>
      <c r="G33" s="32"/>
      <c r="H33" s="32"/>
      <c r="I33" s="30"/>
      <c r="J33" s="60"/>
      <c r="K33" s="60"/>
      <c r="L33" s="60"/>
      <c r="M33" s="60"/>
      <c r="N33" s="60"/>
      <c r="O33" s="29"/>
      <c r="P33" s="29"/>
      <c r="Q33" s="29"/>
      <c r="R33" s="29"/>
      <c r="S33" s="29"/>
      <c r="T33" s="166"/>
      <c r="U33" s="29"/>
      <c r="V33" s="29"/>
      <c r="W33" s="29"/>
    </row>
    <row r="34" spans="1:23">
      <c r="A34" s="29"/>
      <c r="B34" s="29"/>
      <c r="C34" s="62"/>
      <c r="D34" s="30" t="s">
        <v>85</v>
      </c>
      <c r="E34" s="30" t="str">
        <f t="shared" si="2"/>
        <v>$millions</v>
      </c>
      <c r="F34" s="30" t="str">
        <f t="shared" si="3"/>
        <v>nominal</v>
      </c>
      <c r="G34" s="32"/>
      <c r="H34" s="32"/>
      <c r="I34" s="30"/>
      <c r="J34" s="60"/>
      <c r="K34" s="60"/>
      <c r="L34" s="60"/>
      <c r="M34" s="60"/>
      <c r="N34" s="60"/>
      <c r="O34" s="29"/>
      <c r="P34" s="29"/>
      <c r="Q34" s="29"/>
      <c r="R34" s="29"/>
      <c r="S34" s="29"/>
      <c r="T34" s="166"/>
      <c r="U34" s="29"/>
      <c r="V34" s="29"/>
      <c r="W34" s="29"/>
    </row>
    <row r="35" spans="1:23">
      <c r="A35" s="29"/>
      <c r="B35" s="29"/>
      <c r="C35" s="62"/>
      <c r="D35" s="30" t="s">
        <v>85</v>
      </c>
      <c r="E35" s="30" t="str">
        <f t="shared" si="2"/>
        <v>$millions</v>
      </c>
      <c r="F35" s="30" t="str">
        <f t="shared" si="3"/>
        <v>nominal</v>
      </c>
      <c r="G35" s="32"/>
      <c r="H35" s="32"/>
      <c r="I35" s="30"/>
      <c r="J35" s="60"/>
      <c r="K35" s="60"/>
      <c r="L35" s="60"/>
      <c r="M35" s="60"/>
      <c r="N35" s="60"/>
      <c r="O35" s="29"/>
      <c r="P35" s="29"/>
      <c r="Q35" s="29"/>
      <c r="R35" s="29"/>
      <c r="S35" s="29"/>
      <c r="T35" s="166"/>
      <c r="U35" s="29"/>
      <c r="V35" s="29"/>
      <c r="W35" s="29"/>
    </row>
    <row r="36" spans="1:23">
      <c r="A36" s="29"/>
      <c r="B36" s="29"/>
      <c r="C36" s="62"/>
      <c r="D36" s="30" t="s">
        <v>85</v>
      </c>
      <c r="E36" s="30" t="str">
        <f t="shared" si="2"/>
        <v>$millions</v>
      </c>
      <c r="F36" s="30" t="str">
        <f t="shared" si="3"/>
        <v>nominal</v>
      </c>
      <c r="G36" s="32"/>
      <c r="H36" s="32"/>
      <c r="I36" s="30"/>
      <c r="J36" s="60"/>
      <c r="K36" s="60"/>
      <c r="L36" s="60"/>
      <c r="M36" s="60"/>
      <c r="N36" s="60"/>
      <c r="O36" s="29"/>
      <c r="P36" s="29"/>
      <c r="Q36" s="29"/>
      <c r="R36" s="29"/>
      <c r="S36" s="29"/>
      <c r="T36" s="166"/>
      <c r="U36" s="29"/>
      <c r="V36" s="29"/>
      <c r="W36" s="29"/>
    </row>
    <row r="37" spans="1:23">
      <c r="A37" s="29"/>
      <c r="B37" s="29"/>
      <c r="C37" s="62" t="s">
        <v>129</v>
      </c>
      <c r="D37" s="30" t="s">
        <v>85</v>
      </c>
      <c r="E37" s="30" t="str">
        <f t="shared" si="2"/>
        <v>$millions</v>
      </c>
      <c r="F37" s="30" t="str">
        <f t="shared" si="3"/>
        <v>nominal</v>
      </c>
      <c r="G37" s="32"/>
      <c r="H37" s="32"/>
      <c r="I37" s="30"/>
      <c r="J37" s="60"/>
      <c r="K37" s="60"/>
      <c r="L37" s="60"/>
      <c r="M37" s="60">
        <v>0</v>
      </c>
      <c r="N37" s="60"/>
      <c r="O37" s="29"/>
      <c r="P37" s="29"/>
      <c r="Q37" s="29"/>
      <c r="R37" s="29"/>
      <c r="S37" s="29"/>
      <c r="T37" s="166"/>
      <c r="U37" s="29"/>
      <c r="V37" s="29"/>
      <c r="W37" s="29"/>
    </row>
    <row r="38" spans="1:23">
      <c r="A38" s="29"/>
      <c r="B38" s="29"/>
      <c r="C38" s="29"/>
      <c r="D38" s="30"/>
      <c r="E38" s="30"/>
      <c r="F38" s="30"/>
      <c r="G38" s="30"/>
      <c r="H38" s="30"/>
      <c r="I38" s="30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66"/>
      <c r="U38" s="29"/>
      <c r="V38" s="29"/>
      <c r="W38" s="29"/>
    </row>
    <row r="39" spans="1:23">
      <c r="A39" s="29"/>
      <c r="B39" s="29"/>
      <c r="C39" s="70" t="s">
        <v>130</v>
      </c>
      <c r="D39" s="30"/>
      <c r="E39" s="30"/>
      <c r="F39" s="30"/>
      <c r="G39" s="30"/>
      <c r="H39" s="30"/>
      <c r="I39" s="30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166"/>
      <c r="U39" s="29"/>
      <c r="V39" s="29"/>
      <c r="W39" s="29"/>
    </row>
    <row r="40" spans="1:23">
      <c r="A40" s="29"/>
      <c r="B40" s="29"/>
      <c r="C40" s="29"/>
      <c r="D40" s="30"/>
      <c r="E40" s="30"/>
      <c r="F40" s="30"/>
      <c r="G40" s="30"/>
      <c r="H40" s="30"/>
      <c r="I40" s="30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166"/>
      <c r="U40" s="29"/>
      <c r="V40" s="29"/>
      <c r="W40" s="29"/>
    </row>
    <row r="41" spans="1:23">
      <c r="A41" s="29"/>
      <c r="B41" s="29"/>
      <c r="C41" s="62" t="s">
        <v>123</v>
      </c>
      <c r="D41" s="30" t="s">
        <v>85</v>
      </c>
      <c r="E41" s="30" t="str">
        <f>$E$46</f>
        <v>$millions</v>
      </c>
      <c r="F41" s="30" t="str">
        <f>$F$46</f>
        <v>nominal</v>
      </c>
      <c r="G41" s="32"/>
      <c r="H41" s="32"/>
      <c r="I41" s="30"/>
      <c r="J41" s="60"/>
      <c r="K41" s="60"/>
      <c r="L41" s="60"/>
      <c r="M41" s="60">
        <v>0</v>
      </c>
      <c r="N41" s="60"/>
      <c r="O41" s="29"/>
      <c r="P41" s="29"/>
      <c r="Q41" s="29"/>
      <c r="R41" s="29"/>
      <c r="S41" s="29"/>
      <c r="T41" s="166"/>
      <c r="U41" s="29"/>
      <c r="V41" s="29"/>
      <c r="W41" s="29"/>
    </row>
    <row r="42" spans="1:23">
      <c r="A42" s="29"/>
      <c r="B42" s="29"/>
      <c r="C42" s="62"/>
      <c r="D42" s="30" t="s">
        <v>85</v>
      </c>
      <c r="E42" s="30" t="str">
        <f>$E$46</f>
        <v>$millions</v>
      </c>
      <c r="F42" s="30" t="str">
        <f>$F$46</f>
        <v>nominal</v>
      </c>
      <c r="G42" s="32"/>
      <c r="H42" s="32"/>
      <c r="I42" s="30"/>
      <c r="J42" s="60"/>
      <c r="K42" s="60"/>
      <c r="L42" s="60"/>
      <c r="M42" s="60"/>
      <c r="N42" s="60"/>
      <c r="O42" s="29"/>
      <c r="P42" s="29"/>
      <c r="Q42" s="29"/>
      <c r="R42" s="29"/>
      <c r="S42" s="29"/>
      <c r="T42" s="166"/>
      <c r="U42" s="29"/>
      <c r="V42" s="29"/>
      <c r="W42" s="29"/>
    </row>
    <row r="43" spans="1:23">
      <c r="A43" s="29"/>
      <c r="B43" s="29"/>
      <c r="C43" s="62"/>
      <c r="D43" s="30" t="s">
        <v>85</v>
      </c>
      <c r="E43" s="30" t="str">
        <f>$E$46</f>
        <v>$millions</v>
      </c>
      <c r="F43" s="30" t="str">
        <f>$F$46</f>
        <v>nominal</v>
      </c>
      <c r="G43" s="32"/>
      <c r="H43" s="32"/>
      <c r="I43" s="30"/>
      <c r="J43" s="60"/>
      <c r="K43" s="60"/>
      <c r="L43" s="60"/>
      <c r="M43" s="60"/>
      <c r="N43" s="60"/>
      <c r="O43" s="29"/>
      <c r="P43" s="29"/>
      <c r="Q43" s="29"/>
      <c r="R43" s="29"/>
      <c r="S43" s="29"/>
      <c r="T43" s="166"/>
      <c r="U43" s="29"/>
      <c r="V43" s="29"/>
      <c r="W43" s="29"/>
    </row>
    <row r="44" spans="1:23">
      <c r="A44" s="29"/>
      <c r="B44" s="29"/>
      <c r="C44" s="62"/>
      <c r="D44" s="30" t="s">
        <v>85</v>
      </c>
      <c r="E44" s="30" t="str">
        <f>$E$46</f>
        <v>$millions</v>
      </c>
      <c r="F44" s="30" t="str">
        <f>$F$46</f>
        <v>nominal</v>
      </c>
      <c r="G44" s="32"/>
      <c r="H44" s="32"/>
      <c r="I44" s="30"/>
      <c r="J44" s="60"/>
      <c r="K44" s="60"/>
      <c r="L44" s="60"/>
      <c r="M44" s="60"/>
      <c r="N44" s="60"/>
      <c r="O44" s="29"/>
      <c r="P44" s="29"/>
      <c r="Q44" s="29"/>
      <c r="R44" s="29"/>
      <c r="S44" s="29"/>
      <c r="T44" s="166"/>
      <c r="U44" s="29"/>
      <c r="V44" s="29"/>
      <c r="W44" s="29"/>
    </row>
    <row r="45" spans="1:23">
      <c r="A45" s="29"/>
      <c r="B45" s="29"/>
      <c r="C45" s="117"/>
      <c r="D45" s="30"/>
      <c r="E45" s="30"/>
      <c r="F45" s="30"/>
      <c r="G45" s="32"/>
      <c r="H45" s="32"/>
      <c r="I45" s="30"/>
      <c r="J45" s="29"/>
      <c r="K45" s="29"/>
      <c r="L45" s="29"/>
      <c r="M45" s="29"/>
      <c r="N45" s="150"/>
      <c r="O45" s="29"/>
      <c r="P45" s="29"/>
      <c r="Q45" s="29"/>
      <c r="R45" s="29"/>
      <c r="S45" s="29"/>
      <c r="T45" s="29"/>
      <c r="U45" s="29"/>
      <c r="V45" s="29"/>
      <c r="W45" s="29"/>
    </row>
    <row r="46" spans="1:23">
      <c r="A46" s="29"/>
      <c r="B46" s="29"/>
      <c r="C46" s="148" t="s">
        <v>83</v>
      </c>
      <c r="D46" s="149" t="s">
        <v>30</v>
      </c>
      <c r="E46" s="139" t="s">
        <v>15</v>
      </c>
      <c r="F46" s="139" t="s">
        <v>115</v>
      </c>
      <c r="G46" s="32"/>
      <c r="H46" s="32"/>
      <c r="I46" s="30"/>
      <c r="J46" s="138">
        <f>SUM(J32:J44)</f>
        <v>0</v>
      </c>
      <c r="K46" s="138">
        <f t="shared" ref="K46:S46" si="4">SUM(K32:K44)</f>
        <v>0</v>
      </c>
      <c r="L46" s="138">
        <f t="shared" si="4"/>
        <v>0</v>
      </c>
      <c r="M46" s="138">
        <f t="shared" si="4"/>
        <v>63.203317110000008</v>
      </c>
      <c r="N46" s="138">
        <f t="shared" si="4"/>
        <v>0</v>
      </c>
      <c r="O46" s="138">
        <f t="shared" si="4"/>
        <v>0</v>
      </c>
      <c r="P46" s="138">
        <f t="shared" si="4"/>
        <v>0</v>
      </c>
      <c r="Q46" s="138">
        <f t="shared" si="4"/>
        <v>0</v>
      </c>
      <c r="R46" s="138">
        <f t="shared" si="4"/>
        <v>0</v>
      </c>
      <c r="S46" s="138">
        <f t="shared" si="4"/>
        <v>0</v>
      </c>
      <c r="T46" s="29"/>
      <c r="U46" s="29"/>
      <c r="V46" s="29"/>
      <c r="W46" s="29"/>
    </row>
    <row r="47" spans="1:23">
      <c r="A47" s="29"/>
      <c r="B47" s="29"/>
      <c r="C47" s="29"/>
      <c r="D47" s="30"/>
      <c r="E47" s="30"/>
      <c r="F47" s="30"/>
      <c r="G47" s="32"/>
      <c r="H47" s="32"/>
      <c r="I47" s="30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spans="1:23" ht="12.75">
      <c r="A48" s="99"/>
      <c r="B48" s="100" t="s">
        <v>131</v>
      </c>
      <c r="C48" s="99"/>
      <c r="D48" s="99"/>
      <c r="E48" s="99"/>
      <c r="F48" s="101"/>
      <c r="G48" s="101"/>
      <c r="H48" s="101"/>
      <c r="I48" s="101"/>
      <c r="J48" s="102"/>
      <c r="K48" s="103"/>
      <c r="L48" s="102"/>
      <c r="M48" s="103"/>
      <c r="N48" s="102"/>
      <c r="O48" s="102"/>
      <c r="P48" s="102"/>
      <c r="Q48" s="102"/>
      <c r="R48" s="102"/>
      <c r="S48" s="102"/>
      <c r="T48" s="102"/>
      <c r="U48" s="102"/>
      <c r="V48" s="103"/>
      <c r="W48" s="103"/>
    </row>
    <row r="49" spans="1:23">
      <c r="A49" s="29"/>
      <c r="B49" s="29"/>
      <c r="C49" s="29"/>
      <c r="D49" s="30"/>
      <c r="E49" s="30"/>
      <c r="F49" s="30"/>
      <c r="G49" s="30"/>
      <c r="H49" s="30"/>
      <c r="I49" s="30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1:23">
      <c r="A50" s="29"/>
      <c r="B50" s="29"/>
      <c r="C50" s="70" t="s">
        <v>132</v>
      </c>
      <c r="D50" s="32" t="s">
        <v>7</v>
      </c>
      <c r="E50" s="32" t="s">
        <v>8</v>
      </c>
      <c r="F50" s="32" t="s">
        <v>22</v>
      </c>
      <c r="G50" s="32"/>
      <c r="H50" s="32"/>
      <c r="I50" s="32"/>
      <c r="J50" s="111" t="str">
        <f>IF(RIGHT(J4,2)=RIGHT('Input|General'!$G$10,2),'Input|Reported opex'!J4,"")</f>
        <v/>
      </c>
      <c r="K50" s="111" t="str">
        <f ca="1">IF(RIGHT(K4,2)=RIGHT('Input|General'!$G$10,2),'Input|Reported opex'!K4,"")</f>
        <v/>
      </c>
      <c r="L50" s="111" t="str">
        <f ca="1">IF(RIGHT(L4,2)=RIGHT('Input|General'!$G$10,2),'Input|Reported opex'!L4,"")</f>
        <v/>
      </c>
      <c r="M50" s="111" t="str">
        <f ca="1">IF(RIGHT(M4,2)=RIGHT('Input|General'!$G$10,2),'Input|Reported opex'!M4,"")</f>
        <v/>
      </c>
      <c r="N50" s="173">
        <f ca="1">IF(RIGHT(N$4,2)=RIGHT('Input|General'!$G$10,2),N$4,"")</f>
        <v>2017</v>
      </c>
      <c r="O50" s="29"/>
      <c r="P50" s="29"/>
      <c r="Q50" s="29"/>
      <c r="R50" s="29"/>
      <c r="S50" s="29"/>
      <c r="T50" s="29"/>
      <c r="U50" s="29"/>
      <c r="V50" s="29"/>
      <c r="W50" s="29"/>
    </row>
    <row r="51" spans="1:23">
      <c r="A51" s="29"/>
      <c r="B51" s="29"/>
      <c r="C51" s="62" t="s">
        <v>133</v>
      </c>
      <c r="D51" s="30" t="s">
        <v>34</v>
      </c>
      <c r="E51" s="30" t="str">
        <f>$E$46</f>
        <v>$millions</v>
      </c>
      <c r="F51" s="172">
        <v>2016</v>
      </c>
      <c r="G51" s="32"/>
      <c r="H51" s="32"/>
      <c r="I51" s="32"/>
      <c r="J51" s="127"/>
      <c r="K51" s="127"/>
      <c r="L51" s="127"/>
      <c r="M51" s="127"/>
      <c r="N51" s="60"/>
      <c r="O51" s="127"/>
      <c r="P51" s="127"/>
      <c r="Q51" s="127"/>
      <c r="R51" s="127"/>
      <c r="S51" s="127"/>
      <c r="T51" s="131"/>
      <c r="U51" s="151"/>
      <c r="V51" s="151"/>
      <c r="W51" s="29"/>
    </row>
    <row r="52" spans="1:23">
      <c r="A52" s="29"/>
      <c r="B52" s="29"/>
      <c r="C52" s="62" t="s">
        <v>134</v>
      </c>
      <c r="D52" s="30" t="s">
        <v>34</v>
      </c>
      <c r="E52" s="30" t="str">
        <f t="shared" ref="E52:E55" si="5">$E$46</f>
        <v>$millions</v>
      </c>
      <c r="F52" s="172">
        <v>2016</v>
      </c>
      <c r="G52" s="32"/>
      <c r="H52" s="32"/>
      <c r="I52" s="32"/>
      <c r="J52" s="127"/>
      <c r="K52" s="127"/>
      <c r="L52" s="127"/>
      <c r="M52" s="127"/>
      <c r="N52" s="60"/>
      <c r="O52" s="127"/>
      <c r="P52" s="127"/>
      <c r="Q52" s="127"/>
      <c r="R52" s="127"/>
      <c r="S52" s="127"/>
      <c r="T52" s="131"/>
      <c r="U52" s="151"/>
      <c r="V52" s="151"/>
      <c r="W52" s="29"/>
    </row>
    <row r="53" spans="1:23">
      <c r="A53" s="29"/>
      <c r="B53" s="29"/>
      <c r="C53" s="62" t="s">
        <v>135</v>
      </c>
      <c r="D53" s="30" t="s">
        <v>34</v>
      </c>
      <c r="E53" s="30" t="str">
        <f t="shared" si="5"/>
        <v>$millions</v>
      </c>
      <c r="F53" s="172">
        <v>2016</v>
      </c>
      <c r="G53" s="32"/>
      <c r="H53" s="32"/>
      <c r="I53" s="32"/>
      <c r="J53" s="127"/>
      <c r="K53" s="127"/>
      <c r="L53" s="127"/>
      <c r="M53" s="127"/>
      <c r="N53" s="60"/>
      <c r="O53" s="127"/>
      <c r="P53" s="127"/>
      <c r="Q53" s="127"/>
      <c r="R53" s="127"/>
      <c r="S53" s="127"/>
      <c r="T53" s="131"/>
      <c r="U53" s="151"/>
      <c r="V53" s="151"/>
      <c r="W53" s="29"/>
    </row>
    <row r="54" spans="1:23">
      <c r="A54" s="29"/>
      <c r="B54" s="29"/>
      <c r="C54" s="62" t="s">
        <v>136</v>
      </c>
      <c r="D54" s="30" t="s">
        <v>34</v>
      </c>
      <c r="E54" s="30" t="str">
        <f t="shared" si="5"/>
        <v>$millions</v>
      </c>
      <c r="F54" s="172">
        <v>2016</v>
      </c>
      <c r="G54" s="32"/>
      <c r="H54" s="32"/>
      <c r="I54" s="32"/>
      <c r="J54" s="127"/>
      <c r="K54" s="127"/>
      <c r="L54" s="127"/>
      <c r="M54" s="127"/>
      <c r="N54" s="60"/>
      <c r="O54" s="127"/>
      <c r="P54" s="127"/>
      <c r="Q54" s="127"/>
      <c r="R54" s="127"/>
      <c r="S54" s="127"/>
      <c r="T54" s="131"/>
      <c r="U54" s="151"/>
      <c r="V54" s="151"/>
      <c r="W54" s="29"/>
    </row>
    <row r="55" spans="1:23">
      <c r="A55" s="29"/>
      <c r="B55" s="29"/>
      <c r="C55" s="62" t="s">
        <v>137</v>
      </c>
      <c r="D55" s="30" t="s">
        <v>34</v>
      </c>
      <c r="E55" s="30" t="str">
        <f t="shared" si="5"/>
        <v>$millions</v>
      </c>
      <c r="F55" s="172">
        <v>2016</v>
      </c>
      <c r="G55" s="32"/>
      <c r="H55" s="32"/>
      <c r="I55" s="32"/>
      <c r="J55" s="127"/>
      <c r="K55" s="127"/>
      <c r="L55" s="127"/>
      <c r="M55" s="127"/>
      <c r="N55" s="60"/>
      <c r="O55" s="127"/>
      <c r="P55" s="127"/>
      <c r="Q55" s="127"/>
      <c r="R55" s="127"/>
      <c r="S55" s="127"/>
      <c r="T55" s="131"/>
      <c r="U55" s="151"/>
      <c r="V55" s="151"/>
      <c r="W55" s="29"/>
    </row>
    <row r="56" spans="1:23">
      <c r="A56" s="29"/>
      <c r="B56" s="29"/>
      <c r="C56" s="62" t="s">
        <v>99</v>
      </c>
      <c r="D56" s="30" t="s">
        <v>34</v>
      </c>
      <c r="E56" s="30" t="s">
        <v>31</v>
      </c>
      <c r="F56" s="32"/>
      <c r="G56" s="32"/>
      <c r="H56" s="32"/>
      <c r="I56" s="32"/>
      <c r="J56" s="29"/>
      <c r="K56" s="127"/>
      <c r="L56" s="127"/>
      <c r="M56" s="127"/>
      <c r="N56" s="165">
        <v>0</v>
      </c>
      <c r="O56" s="168"/>
      <c r="P56" s="127"/>
      <c r="Q56" s="127"/>
      <c r="R56" s="127"/>
      <c r="S56" s="127"/>
      <c r="T56" s="131"/>
      <c r="U56" s="151"/>
      <c r="V56" s="151"/>
      <c r="W56" s="29"/>
    </row>
    <row r="57" spans="1:23">
      <c r="A57" s="29"/>
      <c r="B57" s="29"/>
      <c r="C57" s="117"/>
      <c r="D57" s="30"/>
      <c r="E57" s="30"/>
      <c r="F57" s="30"/>
      <c r="G57" s="32"/>
      <c r="H57" s="32"/>
      <c r="I57" s="30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ht="12.75">
      <c r="A58" s="99"/>
      <c r="B58" s="100" t="s">
        <v>21</v>
      </c>
      <c r="C58" s="99"/>
      <c r="D58" s="99"/>
      <c r="E58" s="99"/>
      <c r="F58" s="101"/>
      <c r="G58" s="101"/>
      <c r="H58" s="101"/>
      <c r="I58" s="101"/>
      <c r="J58" s="102"/>
      <c r="K58" s="103"/>
      <c r="L58" s="102"/>
      <c r="M58" s="103"/>
      <c r="N58" s="102"/>
      <c r="O58" s="102"/>
      <c r="P58" s="102"/>
      <c r="Q58" s="102"/>
      <c r="R58" s="102"/>
      <c r="S58" s="102"/>
      <c r="T58" s="102"/>
      <c r="U58" s="102"/>
      <c r="V58" s="103"/>
      <c r="W58" s="103"/>
    </row>
  </sheetData>
  <conditionalFormatting sqref="W32:W37 W41:W44">
    <cfRule type="cellIs" dxfId="95" priority="13" operator="equal">
      <formula>"Check"</formula>
    </cfRule>
    <cfRule type="cellIs" dxfId="94" priority="14" operator="equal">
      <formula>"Ok"</formula>
    </cfRule>
  </conditionalFormatting>
  <conditionalFormatting sqref="W46">
    <cfRule type="cellIs" dxfId="93" priority="11" operator="equal">
      <formula>"Check"</formula>
    </cfRule>
    <cfRule type="cellIs" dxfId="92" priority="12" operator="equal">
      <formula>"Ok"</formula>
    </cfRule>
  </conditionalFormatting>
  <conditionalFormatting sqref="W24">
    <cfRule type="cellIs" dxfId="91" priority="9" operator="equal">
      <formula>"Check"</formula>
    </cfRule>
    <cfRule type="cellIs" dxfId="90" priority="10" operator="equal">
      <formula>"Ok"</formula>
    </cfRule>
  </conditionalFormatting>
  <conditionalFormatting sqref="V1">
    <cfRule type="cellIs" dxfId="89" priority="7" operator="equal">
      <formula>"Check"</formula>
    </cfRule>
    <cfRule type="cellIs" dxfId="88" priority="8" operator="equal">
      <formula>"Ok"</formula>
    </cfRule>
  </conditionalFormatting>
  <conditionalFormatting sqref="S1">
    <cfRule type="cellIs" dxfId="87" priority="5" operator="equal">
      <formula>"Check"</formula>
    </cfRule>
    <cfRule type="cellIs" dxfId="86" priority="6" operator="equal">
      <formula>"Ok"</formula>
    </cfRule>
  </conditionalFormatting>
  <conditionalFormatting sqref="J24:S24">
    <cfRule type="cellIs" dxfId="85" priority="4" operator="equal">
      <formula>0</formula>
    </cfRule>
  </conditionalFormatting>
  <conditionalFormatting sqref="J46:S46">
    <cfRule type="cellIs" dxfId="84" priority="3" operator="equal">
      <formula>0</formula>
    </cfRule>
  </conditionalFormatting>
  <conditionalFormatting sqref="W38:W40">
    <cfRule type="cellIs" dxfId="83" priority="1" operator="equal">
      <formula>"Check"</formula>
    </cfRule>
    <cfRule type="cellIs" dxfId="82" priority="2" operator="equal">
      <formula>"Ok"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57"/>
  <sheetViews>
    <sheetView showGridLines="0" workbookViewId="0">
      <selection activeCell="K1" sqref="K1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75"/>
      <c r="K1" s="37" t="s">
        <v>2</v>
      </c>
      <c r="M1" s="76" t="s">
        <v>3</v>
      </c>
      <c r="N1" s="77" t="s">
        <v>4</v>
      </c>
      <c r="O1" s="78" t="s">
        <v>5</v>
      </c>
      <c r="P1" s="79" t="s">
        <v>6</v>
      </c>
      <c r="S1" s="76" t="s">
        <v>92</v>
      </c>
      <c r="T1" s="80" t="str">
        <f>IF(COUNTIF(W5:W94,"Check")=0,"Ok","Check")</f>
        <v>Ok</v>
      </c>
      <c r="V1" s="183" t="s">
        <v>24</v>
      </c>
      <c r="W1" s="80" t="str">
        <f>'Check|List'!$S$1</f>
        <v>Ok</v>
      </c>
    </row>
    <row r="2" spans="1:50" s="81" customFormat="1" ht="13.5" thickBot="1">
      <c r="B2" s="82" t="str">
        <f>Index!$C$10</f>
        <v>Input | Rate of change</v>
      </c>
      <c r="C2" s="82"/>
      <c r="D2" s="82"/>
      <c r="E2" s="82"/>
      <c r="F2" s="83"/>
      <c r="G2" s="83"/>
      <c r="H2" s="83"/>
      <c r="I2" s="83"/>
      <c r="J2" s="83"/>
    </row>
    <row r="3" spans="1:50" s="84" customFormat="1">
      <c r="C3" s="85"/>
      <c r="D3" s="86"/>
      <c r="E3" s="86"/>
      <c r="F3" s="86"/>
      <c r="G3" s="86"/>
      <c r="H3" s="86"/>
      <c r="I3" s="86"/>
      <c r="J3" s="161"/>
      <c r="K3" s="184"/>
      <c r="L3" s="184"/>
      <c r="M3" s="184"/>
      <c r="N3" s="86"/>
      <c r="O3" s="184"/>
      <c r="P3" s="184"/>
      <c r="Q3" s="184"/>
      <c r="R3" s="184"/>
      <c r="S3" s="184"/>
      <c r="T3" s="184"/>
      <c r="U3" s="87"/>
      <c r="V3" s="87"/>
      <c r="W3" s="87"/>
      <c r="X3" s="87"/>
      <c r="Y3" s="87"/>
      <c r="Z3" s="87"/>
      <c r="AA3" s="87"/>
      <c r="AB3" s="87"/>
      <c r="AC3" s="87"/>
    </row>
    <row r="4" spans="1:50" s="98" customFormat="1" ht="10.5">
      <c r="A4" s="88"/>
      <c r="B4" s="88"/>
      <c r="C4" s="88"/>
      <c r="D4" s="89" t="s">
        <v>7</v>
      </c>
      <c r="E4" s="89" t="s">
        <v>8</v>
      </c>
      <c r="F4" s="90" t="s">
        <v>22</v>
      </c>
      <c r="G4" s="91"/>
      <c r="H4" s="91"/>
      <c r="I4" s="91"/>
      <c r="J4" s="92">
        <f ca="1">IF(OFFSET('Lookup|Tables'!$G$26:$G$43,MATCH('Input|General'!$G$8,'Lookup|Tables'!$G$26:$G$42,0)-2,0,1,1)&lt;='Input|General'!$G$12,OFFSET('Lookup|Tables'!$G$26:$G$43,MATCH('Input|General'!$G$8,'Lookup|Tables'!$G$26:$G$42,0)-2,0,1,1),"")</f>
        <v>2012</v>
      </c>
      <c r="K4" s="92">
        <f>'Input|General'!$G$8</f>
        <v>2013</v>
      </c>
      <c r="L4" s="92">
        <f ca="1">IF(OFFSET('Lookup|Tables'!$G$26:$G$43,MATCH('Input|General'!$G$8,'Lookup|Tables'!$G$26:$G$42,0),0,1,1)&lt;='Input|General'!$G$12,OFFSET('Lookup|Tables'!$G$26:$G$43,MATCH('Input|General'!$G$8,'Lookup|Tables'!$G$26:$G$42,0),0,1,1),"")</f>
        <v>2014</v>
      </c>
      <c r="M4" s="92">
        <f ca="1">IF(OFFSET('Lookup|Tables'!$G$26:$G$43,MATCH('Input|General'!$G$8,'Lookup|Tables'!$G$26:$G$42,0)+1,0,1,1)&lt;='Input|General'!$G$12,OFFSET('Lookup|Tables'!$G$26:$G$43,MATCH('Input|General'!$G$8,'Lookup|Tables'!$G$26:$G$42,0)+1,0,1,1),"")</f>
        <v>2015</v>
      </c>
      <c r="N4" s="92">
        <f ca="1">IF(OFFSET('Lookup|Tables'!$G$26:$G$43,MATCH('Input|General'!$G$8,'Lookup|Tables'!$G$26:$G$42,0)+2,0,1,1)&lt;='Input|General'!$G$12,OFFSET('Lookup|Tables'!$G$26:$G$43,MATCH('Input|General'!$G$8,'Lookup|Tables'!$G$26:$G$42,0)+2,0,1,1),"")</f>
        <v>2016</v>
      </c>
      <c r="O4" s="92">
        <f ca="1">IF(OFFSET('Lookup|Tables'!$G$26:$G$43,MATCH('Input|General'!$G$8,'Lookup|Tables'!$G$26:$G$42,0)+3,0,1,1)&lt;='Input|General'!$G$12,OFFSET('Lookup|Tables'!$G$26:$G$43,MATCH('Input|General'!$G$8,'Lookup|Tables'!$G$26:$G$42,0)+3,0,1,1),"")</f>
        <v>2017</v>
      </c>
      <c r="P4" s="92">
        <f ca="1">IF(OFFSET('Lookup|Tables'!$G$26:$G$43,MATCH('Input|General'!$G$8,'Lookup|Tables'!$G$26:$G$42,0)+4,0,1,1)&lt;='Input|General'!$G$12,OFFSET('Lookup|Tables'!$G$26:$G$43,MATCH('Input|General'!$G$8,'Lookup|Tables'!$G$26:$G$42,0)+4,0,1,1),"")</f>
        <v>2018</v>
      </c>
      <c r="Q4" s="92">
        <f ca="1">IF(OFFSET('Lookup|Tables'!$G$26:$G$43,MATCH('Input|General'!$G$8,'Lookup|Tables'!$G$26:$G$42,0)+5,0,1,1)&lt;='Input|General'!$G$12,OFFSET('Lookup|Tables'!$G$26:$G$43,MATCH('Input|General'!$G$8,'Lookup|Tables'!$G$26:$G$42,0)+5,0,1,1),"")</f>
        <v>2019</v>
      </c>
      <c r="R4" s="92">
        <f ca="1">IF(OFFSET('Lookup|Tables'!$G$26:$G$43,MATCH('Input|General'!$G$8,'Lookup|Tables'!$G$26:$G$42,0)+6,0,1,1)&lt;='Input|General'!$G$12,OFFSET('Lookup|Tables'!$G$26:$G$43,MATCH('Input|General'!$G$8,'Lookup|Tables'!$G$26:$G$42,0)+6,0,1,1),"")</f>
        <v>2020</v>
      </c>
      <c r="S4" s="92">
        <f ca="1">IF(OFFSET('Lookup|Tables'!$G$26:$G$43,MATCH('Input|General'!$G$8,'Lookup|Tables'!$G$26:$G$42,0)+7,0,1,1)&lt;='Input|General'!$G$12,OFFSET('Lookup|Tables'!$G$26:$G$43,MATCH('Input|General'!$G$8,'Lookup|Tables'!$G$26:$G$42,0)+7,0,1,1),"")</f>
        <v>2021</v>
      </c>
      <c r="T4" s="92">
        <f ca="1">IF(OFFSET('Lookup|Tables'!$G$28:$G$43,MATCH('Input|General'!$G$8,'Lookup|Tables'!$G$28:$G$42,0)+8,0,1,1)&lt;='Input|General'!$G$12,OFFSET('Lookup|Tables'!$G$28:$G$43,MATCH('Input|General'!$G$8,'Lookup|Tables'!$G$28:$G$42,0)+8,0,1,1),"")</f>
        <v>2022</v>
      </c>
      <c r="U4" s="92"/>
      <c r="V4" s="92"/>
      <c r="W4" s="93"/>
      <c r="X4" s="94"/>
      <c r="Y4" s="94"/>
      <c r="Z4" s="94"/>
      <c r="AA4" s="94"/>
      <c r="AB4" s="94"/>
      <c r="AC4" s="94"/>
      <c r="AD4" s="94"/>
      <c r="AE4" s="95"/>
      <c r="AF4" s="96"/>
      <c r="AG4" s="96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8" customFormat="1" ht="12.75">
      <c r="A8" s="99"/>
      <c r="B8" s="100" t="s">
        <v>35</v>
      </c>
      <c r="C8" s="99"/>
      <c r="D8" s="99"/>
      <c r="E8" s="99"/>
      <c r="F8" s="101"/>
      <c r="G8" s="101"/>
      <c r="H8" s="101"/>
      <c r="I8" s="101"/>
      <c r="J8" s="101"/>
      <c r="K8" s="102"/>
      <c r="L8" s="103"/>
      <c r="M8" s="102"/>
      <c r="N8" s="103"/>
      <c r="O8" s="102"/>
      <c r="P8" s="102"/>
      <c r="Q8" s="102"/>
      <c r="R8" s="102"/>
      <c r="S8" s="102"/>
      <c r="T8" s="102"/>
      <c r="U8" s="102"/>
      <c r="V8" s="102"/>
      <c r="W8" s="103"/>
      <c r="X8" s="104"/>
      <c r="Y8" s="104"/>
      <c r="Z8" s="104"/>
      <c r="AA8" s="104"/>
      <c r="AB8" s="104"/>
      <c r="AC8" s="104"/>
      <c r="AD8" s="104"/>
      <c r="AE8" s="105"/>
      <c r="AF8" s="106"/>
      <c r="AG8" s="106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</row>
    <row r="9" spans="1:50" ht="11.25" customHeight="1" outlineLevel="1"/>
    <row r="10" spans="1:50" ht="11.25" customHeight="1" outlineLevel="1">
      <c r="C10" s="70" t="s">
        <v>33</v>
      </c>
      <c r="J10" s="173">
        <f ca="1">J$4</f>
        <v>2012</v>
      </c>
      <c r="K10" s="173">
        <f>K$4</f>
        <v>2013</v>
      </c>
      <c r="L10" s="173">
        <f t="shared" ref="L10:T10" ca="1" si="0">L$4</f>
        <v>2014</v>
      </c>
      <c r="M10" s="173">
        <f t="shared" ca="1" si="0"/>
        <v>2015</v>
      </c>
      <c r="N10" s="173">
        <f t="shared" ca="1" si="0"/>
        <v>2016</v>
      </c>
      <c r="O10" s="173">
        <f t="shared" ca="1" si="0"/>
        <v>2017</v>
      </c>
      <c r="P10" s="173">
        <f t="shared" ca="1" si="0"/>
        <v>2018</v>
      </c>
      <c r="Q10" s="173">
        <f t="shared" ca="1" si="0"/>
        <v>2019</v>
      </c>
      <c r="R10" s="173">
        <f t="shared" ca="1" si="0"/>
        <v>2020</v>
      </c>
      <c r="S10" s="173">
        <f t="shared" ca="1" si="0"/>
        <v>2021</v>
      </c>
      <c r="T10" s="173">
        <f t="shared" ca="1" si="0"/>
        <v>2022</v>
      </c>
    </row>
    <row r="11" spans="1:50" ht="11.25" customHeight="1" outlineLevel="1">
      <c r="C11" s="70"/>
      <c r="J11" s="29"/>
      <c r="P11" s="153"/>
      <c r="Q11" s="153"/>
      <c r="R11" s="153"/>
      <c r="S11" s="153"/>
      <c r="T11" s="153"/>
      <c r="U11" s="127"/>
      <c r="V11" s="127"/>
      <c r="W11" s="127"/>
    </row>
    <row r="12" spans="1:50" ht="11.25" customHeight="1" outlineLevel="1">
      <c r="C12" s="117" t="s">
        <v>33</v>
      </c>
      <c r="D12" s="154" t="s">
        <v>113</v>
      </c>
      <c r="E12" s="30" t="str">
        <f>percent</f>
        <v>Per cent</v>
      </c>
      <c r="J12" s="153">
        <f>'Input|Inflation'!E30/'Input|Inflation'!E26-1</f>
        <v>1.2096774193548487E-2</v>
      </c>
      <c r="K12" s="153">
        <f>'Input|Inflation'!$E34/'Input|Inflation'!$E30-1</f>
        <v>2.3904382470119501E-2</v>
      </c>
      <c r="L12" s="153">
        <f>'Input|Inflation'!E38/'Input|Inflation'!E34-1</f>
        <v>3.0155642023346418E-2</v>
      </c>
      <c r="M12" s="153">
        <f>'Input|Inflation'!E42/'Input|Inflation'!E38-1</f>
        <v>1.5108593012275628E-2</v>
      </c>
      <c r="N12" s="153">
        <f>'Input|Inflation'!E46/'Input|Inflation'!E42-1</f>
        <v>1.0232558139534831E-2</v>
      </c>
      <c r="O12" s="153">
        <f>'Input|Inflation'!E50/'Input|Inflation'!E46-1</f>
        <v>2.0000000000000018E-2</v>
      </c>
      <c r="P12" s="153"/>
      <c r="Q12" s="153"/>
      <c r="R12" s="153"/>
      <c r="S12" s="153"/>
      <c r="T12" s="153"/>
      <c r="U12" s="15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70" t="s">
        <v>114</v>
      </c>
      <c r="I14" s="29"/>
      <c r="J14" s="173">
        <f ca="1">J$4</f>
        <v>2012</v>
      </c>
      <c r="K14" s="173">
        <f>K$4</f>
        <v>2013</v>
      </c>
      <c r="L14" s="173">
        <f ca="1">L4</f>
        <v>2014</v>
      </c>
      <c r="M14" s="173">
        <f ca="1">M4</f>
        <v>2015</v>
      </c>
      <c r="N14" s="173">
        <f ca="1">N4</f>
        <v>2016</v>
      </c>
      <c r="O14" s="173">
        <f ca="1">O4</f>
        <v>2017</v>
      </c>
      <c r="P14" s="26"/>
      <c r="Q14" s="26"/>
      <c r="R14" s="26"/>
      <c r="S14" s="26"/>
      <c r="T14" s="26"/>
    </row>
    <row r="15" spans="1:50" ht="11.25" customHeight="1" outlineLevel="1">
      <c r="C15" s="70"/>
      <c r="I15" s="29"/>
      <c r="J15" s="127"/>
      <c r="K15" s="127"/>
      <c r="L15" s="127"/>
      <c r="M15" s="127"/>
      <c r="N15" s="127"/>
      <c r="O15" s="127"/>
      <c r="P15" s="26"/>
      <c r="Q15" s="26"/>
      <c r="R15" s="26"/>
      <c r="S15" s="26"/>
      <c r="T15" s="26"/>
    </row>
    <row r="16" spans="1:50" ht="11.25" customHeight="1" outlineLevel="1">
      <c r="C16" s="179">
        <f t="array" ref="C16:C21" ca="1">TRANSPOSE(J10:O10)</f>
        <v>2012</v>
      </c>
      <c r="D16" s="154" t="s">
        <v>113</v>
      </c>
      <c r="E16" s="30" t="s">
        <v>93</v>
      </c>
      <c r="J16" s="22">
        <v>1</v>
      </c>
      <c r="K16" s="22">
        <f t="shared" ref="K16:N16" si="1">J16*(1+K$12)</f>
        <v>1.0239043824701195</v>
      </c>
      <c r="L16" s="22">
        <f t="shared" si="1"/>
        <v>1.0547808764940241</v>
      </c>
      <c r="M16" s="22">
        <f t="shared" si="1"/>
        <v>1.0707171314741037</v>
      </c>
      <c r="N16" s="22">
        <f t="shared" si="1"/>
        <v>1.0816733067729085</v>
      </c>
      <c r="O16" s="22">
        <f>N16*(1+O$12)</f>
        <v>1.1033067729083668</v>
      </c>
      <c r="P16" s="151"/>
    </row>
    <row r="17" spans="1:50" ht="11.25" customHeight="1" outlineLevel="1">
      <c r="C17" s="179">
        <v>2013</v>
      </c>
      <c r="D17" s="154" t="s">
        <v>113</v>
      </c>
      <c r="E17" s="30" t="s">
        <v>93</v>
      </c>
      <c r="I17" s="22"/>
      <c r="J17" s="22">
        <f>K17/(1+K$12)</f>
        <v>0.97665369649805445</v>
      </c>
      <c r="K17" s="22">
        <v>1</v>
      </c>
      <c r="L17" s="22">
        <f>K17*(1+L$12)</f>
        <v>1.0301556420233464</v>
      </c>
      <c r="M17" s="22">
        <f t="shared" ref="M17:O17" si="2">L17*(1+M$12)</f>
        <v>1.0457198443579767</v>
      </c>
      <c r="N17" s="22">
        <f t="shared" si="2"/>
        <v>1.056420233463035</v>
      </c>
      <c r="O17" s="22">
        <f t="shared" si="2"/>
        <v>1.0775486381322958</v>
      </c>
      <c r="P17" s="151"/>
    </row>
    <row r="18" spans="1:50" ht="11.25" customHeight="1" outlineLevel="1">
      <c r="C18" s="179">
        <f ca="1"/>
        <v>2014</v>
      </c>
      <c r="D18" s="154" t="s">
        <v>113</v>
      </c>
      <c r="E18" s="30" t="s">
        <v>93</v>
      </c>
      <c r="I18" s="22"/>
      <c r="J18" s="22">
        <f>K18/(1+K$12)</f>
        <v>0.94806421152030207</v>
      </c>
      <c r="K18" s="22">
        <f>L18/(1+L$12)</f>
        <v>0.97072710103871562</v>
      </c>
      <c r="L18" s="22">
        <v>1</v>
      </c>
      <c r="M18" s="22">
        <f t="shared" ref="M18:O18" si="3">L18*(1+M$12)</f>
        <v>1.0151085930122756</v>
      </c>
      <c r="N18" s="22">
        <f t="shared" si="3"/>
        <v>1.0254957507082152</v>
      </c>
      <c r="O18" s="22">
        <f t="shared" si="3"/>
        <v>1.0460056657223795</v>
      </c>
      <c r="P18" s="151"/>
    </row>
    <row r="19" spans="1:50" ht="11.25" customHeight="1" outlineLevel="1">
      <c r="C19" s="179">
        <f ca="1"/>
        <v>2015</v>
      </c>
      <c r="D19" s="154" t="s">
        <v>113</v>
      </c>
      <c r="E19" s="30" t="s">
        <v>93</v>
      </c>
      <c r="I19" s="22"/>
      <c r="J19" s="22">
        <f t="shared" ref="J19:N21" si="4">K19/(1+K$12)</f>
        <v>0.93395348837209302</v>
      </c>
      <c r="K19" s="22">
        <f t="shared" si="4"/>
        <v>0.95627906976744181</v>
      </c>
      <c r="L19" s="22">
        <f t="shared" si="4"/>
        <v>0.98511627906976751</v>
      </c>
      <c r="M19" s="22">
        <v>1</v>
      </c>
      <c r="N19" s="22">
        <f t="shared" ref="N19:O19" si="5">M19*(1+N$12)</f>
        <v>1.0102325581395348</v>
      </c>
      <c r="O19" s="22">
        <f t="shared" si="5"/>
        <v>1.0304372093023255</v>
      </c>
      <c r="P19" s="151"/>
    </row>
    <row r="20" spans="1:50" ht="11.25" customHeight="1" outlineLevel="1">
      <c r="C20" s="179">
        <f ca="1"/>
        <v>2016</v>
      </c>
      <c r="D20" s="154" t="s">
        <v>113</v>
      </c>
      <c r="E20" s="30" t="s">
        <v>93</v>
      </c>
      <c r="I20" s="22"/>
      <c r="J20" s="22">
        <f t="shared" si="4"/>
        <v>0.92449355432780866</v>
      </c>
      <c r="K20" s="22">
        <f t="shared" si="4"/>
        <v>0.94659300184162076</v>
      </c>
      <c r="L20" s="22">
        <f t="shared" si="4"/>
        <v>0.97513812154696156</v>
      </c>
      <c r="M20" s="22">
        <f t="shared" si="4"/>
        <v>0.98987108655616951</v>
      </c>
      <c r="N20" s="22">
        <v>1</v>
      </c>
      <c r="O20" s="22">
        <f t="shared" ref="O20" si="6">N20*(1+O$12)</f>
        <v>1.02</v>
      </c>
      <c r="P20" s="151"/>
      <c r="Q20" s="156"/>
    </row>
    <row r="21" spans="1:50" ht="11.25" customHeight="1" outlineLevel="1">
      <c r="C21" s="179">
        <f ca="1"/>
        <v>2017</v>
      </c>
      <c r="D21" s="154" t="s">
        <v>113</v>
      </c>
      <c r="E21" s="30" t="s">
        <v>93</v>
      </c>
      <c r="I21" s="22"/>
      <c r="J21" s="22">
        <f t="shared" si="4"/>
        <v>0.90636622973314562</v>
      </c>
      <c r="K21" s="22">
        <f t="shared" si="4"/>
        <v>0.92803235474668688</v>
      </c>
      <c r="L21" s="22">
        <f t="shared" si="4"/>
        <v>0.95601776622251122</v>
      </c>
      <c r="M21" s="22">
        <f t="shared" si="4"/>
        <v>0.97046184956487203</v>
      </c>
      <c r="N21" s="22">
        <f t="shared" si="4"/>
        <v>0.98039215686274506</v>
      </c>
      <c r="O21" s="22">
        <v>1</v>
      </c>
    </row>
    <row r="22" spans="1:50" ht="11.25" customHeight="1" outlineLevel="1">
      <c r="C22" s="117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70" t="s">
        <v>48</v>
      </c>
      <c r="J23" s="173">
        <f t="shared" ref="J23:O23" ca="1" si="7">J10</f>
        <v>2012</v>
      </c>
      <c r="K23" s="173">
        <f t="shared" si="7"/>
        <v>2013</v>
      </c>
      <c r="L23" s="173">
        <f t="shared" ca="1" si="7"/>
        <v>2014</v>
      </c>
      <c r="M23" s="173">
        <f t="shared" ca="1" si="7"/>
        <v>2015</v>
      </c>
      <c r="N23" s="173">
        <f t="shared" ca="1" si="7"/>
        <v>2016</v>
      </c>
      <c r="O23" s="173">
        <f t="shared" ca="1" si="7"/>
        <v>2017</v>
      </c>
      <c r="P23" s="22"/>
      <c r="Q23" s="22"/>
      <c r="R23" s="22"/>
      <c r="S23" s="22"/>
      <c r="T23" s="22"/>
    </row>
    <row r="24" spans="1:50" ht="11.25" customHeight="1" outlineLevel="1">
      <c r="C24" s="117"/>
      <c r="J24" s="29"/>
      <c r="P24" s="151"/>
      <c r="Q24" s="22"/>
      <c r="R24" s="22"/>
      <c r="S24" s="22"/>
      <c r="T24" s="22"/>
    </row>
    <row r="25" spans="1:50" ht="11.25" customHeight="1" outlineLevel="1">
      <c r="C25" s="179">
        <f t="array" ref="C25:C30" ca="1">TRANSPOSE(J10:O10)</f>
        <v>2012</v>
      </c>
      <c r="D25" s="154" t="s">
        <v>113</v>
      </c>
      <c r="E25" s="30" t="s">
        <v>93</v>
      </c>
      <c r="I25" s="22"/>
      <c r="J25" s="22">
        <f t="shared" ref="J25:O30" si="8">1/J16*(1+J$12)^0.5</f>
        <v>1.006030205408142</v>
      </c>
      <c r="K25" s="22">
        <f t="shared" si="8"/>
        <v>0.98825790990917683</v>
      </c>
      <c r="L25" s="22">
        <f t="shared" si="8"/>
        <v>0.9622527821205904</v>
      </c>
      <c r="M25" s="22">
        <f t="shared" si="8"/>
        <v>0.94098240023399149</v>
      </c>
      <c r="N25" s="22">
        <f t="shared" si="8"/>
        <v>0.92921148294775802</v>
      </c>
      <c r="O25" s="22">
        <f t="shared" si="8"/>
        <v>0.91538502131545196</v>
      </c>
      <c r="P25" s="151"/>
      <c r="Q25" s="156"/>
      <c r="R25" s="156"/>
      <c r="S25" s="156"/>
      <c r="T25" s="156"/>
      <c r="U25" s="156"/>
      <c r="V25" s="156"/>
    </row>
    <row r="26" spans="1:50" ht="11.25" customHeight="1" outlineLevel="1">
      <c r="C26" s="179">
        <v>2013</v>
      </c>
      <c r="D26" s="154" t="s">
        <v>113</v>
      </c>
      <c r="E26" s="30" t="s">
        <v>93</v>
      </c>
      <c r="I26" s="22"/>
      <c r="J26" s="22">
        <f t="shared" si="8"/>
        <v>1.0300787362147112</v>
      </c>
      <c r="K26" s="22">
        <f t="shared" si="8"/>
        <v>1.0118816049667667</v>
      </c>
      <c r="L26" s="22">
        <f t="shared" si="8"/>
        <v>0.98525484065733759</v>
      </c>
      <c r="M26" s="22">
        <f t="shared" si="8"/>
        <v>0.96347600342683604</v>
      </c>
      <c r="N26" s="22">
        <f t="shared" si="8"/>
        <v>0.95142370963176837</v>
      </c>
      <c r="O26" s="22">
        <f t="shared" si="8"/>
        <v>0.9372667349723951</v>
      </c>
      <c r="P26" s="151"/>
      <c r="Q26" s="156"/>
      <c r="R26" s="156"/>
      <c r="S26" s="156"/>
      <c r="T26" s="156"/>
      <c r="U26" s="156"/>
      <c r="V26" s="156"/>
    </row>
    <row r="27" spans="1:50" ht="11.25" customHeight="1" outlineLevel="1">
      <c r="C27" s="179">
        <f ca="1"/>
        <v>2014</v>
      </c>
      <c r="D27" s="154" t="s">
        <v>113</v>
      </c>
      <c r="E27" s="30" t="s">
        <v>93</v>
      </c>
      <c r="I27" s="22"/>
      <c r="J27" s="22">
        <f t="shared" si="8"/>
        <v>1.0611414218398632</v>
      </c>
      <c r="K27" s="22">
        <f t="shared" si="8"/>
        <v>1.0423955444161537</v>
      </c>
      <c r="L27" s="22">
        <f t="shared" si="8"/>
        <v>1.0149658329339695</v>
      </c>
      <c r="M27" s="22">
        <f t="shared" si="8"/>
        <v>0.99253024088426012</v>
      </c>
      <c r="N27" s="22">
        <f t="shared" si="8"/>
        <v>0.98011450243194831</v>
      </c>
      <c r="O27" s="22">
        <f t="shared" si="8"/>
        <v>0.96553061511261351</v>
      </c>
      <c r="P27" s="151"/>
      <c r="Q27" s="156"/>
      <c r="R27" s="156"/>
      <c r="S27" s="156"/>
      <c r="T27" s="156"/>
      <c r="U27" s="156"/>
      <c r="V27" s="156"/>
    </row>
    <row r="28" spans="1:50" ht="11.25" customHeight="1" outlineLevel="1">
      <c r="C28" s="179">
        <f ca="1"/>
        <v>2015</v>
      </c>
      <c r="D28" s="154" t="s">
        <v>113</v>
      </c>
      <c r="E28" s="30" t="s">
        <v>93</v>
      </c>
      <c r="I28" s="22"/>
      <c r="J28" s="22">
        <f t="shared" si="8"/>
        <v>1.077173775710909</v>
      </c>
      <c r="K28" s="22">
        <f t="shared" si="8"/>
        <v>1.0581446744545469</v>
      </c>
      <c r="L28" s="22">
        <f t="shared" si="8"/>
        <v>1.030300538625134</v>
      </c>
      <c r="M28" s="22">
        <f t="shared" si="8"/>
        <v>1.0075259763461564</v>
      </c>
      <c r="N28" s="22">
        <f t="shared" si="8"/>
        <v>0.99492265355462162</v>
      </c>
      <c r="O28" s="22">
        <f t="shared" si="8"/>
        <v>0.98011842421724216</v>
      </c>
      <c r="P28" s="151"/>
      <c r="Q28" s="156"/>
      <c r="R28" s="156"/>
      <c r="S28" s="156"/>
      <c r="T28" s="156"/>
      <c r="U28" s="156"/>
      <c r="V28" s="156"/>
    </row>
    <row r="29" spans="1:50" ht="11.25" customHeight="1" outlineLevel="1">
      <c r="C29" s="179">
        <f ca="1"/>
        <v>2016</v>
      </c>
      <c r="D29" s="154" t="s">
        <v>113</v>
      </c>
      <c r="E29" s="30" t="s">
        <v>93</v>
      </c>
      <c r="I29" s="22"/>
      <c r="J29" s="22">
        <f t="shared" si="8"/>
        <v>1.088196018997253</v>
      </c>
      <c r="K29" s="22">
        <f t="shared" si="8"/>
        <v>1.068972201355942</v>
      </c>
      <c r="L29" s="22">
        <f t="shared" si="8"/>
        <v>1.0408431487878098</v>
      </c>
      <c r="M29" s="22">
        <f t="shared" si="8"/>
        <v>1.0178355444762099</v>
      </c>
      <c r="N29" s="22">
        <f t="shared" si="8"/>
        <v>1.0051032574514596</v>
      </c>
      <c r="O29" s="22">
        <f t="shared" si="8"/>
        <v>0.99014754297667429</v>
      </c>
      <c r="Q29" s="156"/>
      <c r="R29" s="156"/>
      <c r="S29" s="156"/>
      <c r="T29" s="156"/>
      <c r="U29" s="156"/>
      <c r="V29" s="156"/>
    </row>
    <row r="30" spans="1:50" ht="11.25" customHeight="1" outlineLevel="1">
      <c r="C30" s="179">
        <f ca="1"/>
        <v>2017</v>
      </c>
      <c r="D30" s="154" t="s">
        <v>113</v>
      </c>
      <c r="E30" s="30" t="s">
        <v>93</v>
      </c>
      <c r="I30" s="22"/>
      <c r="J30" s="22">
        <f t="shared" si="8"/>
        <v>1.1099599393771984</v>
      </c>
      <c r="K30" s="22">
        <f t="shared" si="8"/>
        <v>1.0903516453830611</v>
      </c>
      <c r="L30" s="22">
        <f t="shared" si="8"/>
        <v>1.0616600117635662</v>
      </c>
      <c r="M30" s="22">
        <f t="shared" si="8"/>
        <v>1.0381922553657341</v>
      </c>
      <c r="N30" s="22">
        <f t="shared" si="8"/>
        <v>1.0252053226004887</v>
      </c>
      <c r="O30" s="22">
        <f t="shared" si="8"/>
        <v>1.0099504938362078</v>
      </c>
      <c r="P30" s="151"/>
      <c r="Q30" s="156"/>
      <c r="R30" s="156"/>
      <c r="S30" s="156"/>
      <c r="T30" s="156"/>
      <c r="U30" s="156"/>
      <c r="V30" s="156"/>
    </row>
    <row r="31" spans="1:50">
      <c r="C31" s="117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8" customFormat="1" ht="12.75">
      <c r="A32" s="99"/>
      <c r="B32" s="100" t="s">
        <v>87</v>
      </c>
      <c r="C32" s="99"/>
      <c r="D32" s="99"/>
      <c r="E32" s="99"/>
      <c r="F32" s="101"/>
      <c r="G32" s="101"/>
      <c r="H32" s="101"/>
      <c r="I32" s="101"/>
      <c r="J32" s="101"/>
      <c r="K32" s="102"/>
      <c r="L32" s="103"/>
      <c r="M32" s="102"/>
      <c r="N32" s="103"/>
      <c r="O32" s="102"/>
      <c r="P32" s="102"/>
      <c r="Q32" s="102"/>
      <c r="R32" s="102"/>
      <c r="S32" s="102"/>
      <c r="T32" s="102"/>
      <c r="U32" s="102"/>
      <c r="V32" s="102"/>
      <c r="W32" s="103"/>
      <c r="X32" s="104"/>
      <c r="Y32" s="104"/>
      <c r="Z32" s="104"/>
      <c r="AA32" s="104"/>
      <c r="AB32" s="104"/>
      <c r="AC32" s="104"/>
      <c r="AD32" s="104"/>
      <c r="AE32" s="105"/>
      <c r="AF32" s="106"/>
      <c r="AG32" s="106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</row>
    <row r="33" spans="3:21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1" ht="11.25" customHeight="1" outlineLevel="1">
      <c r="C34" s="70" t="s">
        <v>90</v>
      </c>
      <c r="D34" s="32" t="s">
        <v>7</v>
      </c>
      <c r="E34" s="32" t="s">
        <v>8</v>
      </c>
      <c r="K34" s="111" t="str">
        <f>IF(RIGHT(K$4,2)&gt;=RIGHT('Input|General'!$G$11,2),IF(RIGHT(K$4,2)&lt;=RIGHT('Input|General'!$G$12,2),K$4,""),"")</f>
        <v/>
      </c>
      <c r="L34" s="111" t="str">
        <f ca="1">IF(RIGHT(L$4,2)&gt;=RIGHT('Input|General'!$G$11,2),IF(RIGHT(L$4,2)&lt;=RIGHT('Input|General'!$G$12,2),L$4,""),"")</f>
        <v/>
      </c>
      <c r="M34" s="111" t="str">
        <f ca="1">IF(RIGHT(M$4,2)&gt;=RIGHT('Input|General'!$G$11,2),IF(RIGHT(M$4,2)&lt;=RIGHT('Input|General'!$G$12,2),M$4,""),"")</f>
        <v/>
      </c>
      <c r="N34" s="111" t="str">
        <f ca="1">IF(RIGHT(N$4,2)&gt;=RIGHT('Input|General'!$G$11,2),IF(RIGHT(N$4,2)&lt;=RIGHT('Input|General'!$G$12,2),N$4,""),"")</f>
        <v/>
      </c>
      <c r="O34" s="111" t="str">
        <f ca="1">IF(RIGHT(O$4,2)&gt;=RIGHT('Input|General'!$G$11,2),IF(RIGHT(O$4,2)&lt;=RIGHT('Input|General'!$G$12,2),O$4,""),"")</f>
        <v/>
      </c>
      <c r="P34" s="173">
        <f ca="1">IF(RIGHT(P$4,2)&gt;=RIGHT('Input|General'!$G$11,2),IF(RIGHT(P$4,2)&lt;=RIGHT('Input|General'!$G$12,2),P$4,""),"")</f>
        <v>2018</v>
      </c>
      <c r="Q34" s="173">
        <f ca="1">IF(RIGHT(Q$4,2)&gt;=RIGHT('Input|General'!$G$11,2),IF(RIGHT(Q$4,2)&lt;=RIGHT('Input|General'!$G$12,2),Q$4,""),"")</f>
        <v>2019</v>
      </c>
      <c r="R34" s="173">
        <f ca="1">IF(RIGHT(R$4,2)&gt;=RIGHT('Input|General'!$G$11,2),IF(RIGHT(R$4,2)&lt;=RIGHT('Input|General'!$G$12,2),R$4,""),"")</f>
        <v>2020</v>
      </c>
      <c r="S34" s="173">
        <f ca="1">IF(RIGHT(S$4,2)&gt;=RIGHT('Input|General'!$G$11,2),IF(RIGHT(S$4,2)&lt;=RIGHT('Input|General'!$G$12,2),S$4,""),"")</f>
        <v>2021</v>
      </c>
      <c r="T34" s="173">
        <f ca="1">IF(RIGHT(T$4,2)&gt;=RIGHT('Input|General'!$G$11,2),IF(RIGHT(T$4,2)&lt;=RIGHT('Input|General'!$G$12,2),T$4,""),"")</f>
        <v>2022</v>
      </c>
    </row>
    <row r="35" spans="3:21" ht="11.25" customHeight="1" outlineLevel="1"/>
    <row r="36" spans="3:21" ht="11.25" customHeight="1" outlineLevel="1">
      <c r="C36" s="62" t="s">
        <v>141</v>
      </c>
      <c r="D36" s="30" t="s">
        <v>116</v>
      </c>
      <c r="E36" s="30" t="str">
        <f t="shared" ref="E36:E43" si="9">percent</f>
        <v>Per cent</v>
      </c>
      <c r="P36" s="61">
        <v>5.8358704105689885E-3</v>
      </c>
      <c r="Q36" s="61">
        <v>9.7821692511312897E-3</v>
      </c>
      <c r="R36" s="61">
        <v>9.3131476250294387E-3</v>
      </c>
      <c r="S36" s="61">
        <v>9.0758405201420977E-3</v>
      </c>
      <c r="T36" s="61">
        <v>8.6489774698599309E-3</v>
      </c>
    </row>
    <row r="37" spans="3:21" ht="11.25" customHeight="1" outlineLevel="1">
      <c r="C37" s="62" t="s">
        <v>149</v>
      </c>
      <c r="D37" s="30" t="s">
        <v>116</v>
      </c>
      <c r="E37" s="30" t="str">
        <f t="shared" si="9"/>
        <v>Per cent</v>
      </c>
      <c r="P37" s="61">
        <v>1.0999999999999999E-2</v>
      </c>
      <c r="Q37" s="61">
        <v>8.9999999999999993E-3</v>
      </c>
      <c r="R37" s="61">
        <v>1.2E-2</v>
      </c>
      <c r="S37" s="61">
        <v>1.7000000000000001E-2</v>
      </c>
      <c r="T37" s="61">
        <v>0.02</v>
      </c>
    </row>
    <row r="38" spans="3:21" ht="11.25" customHeight="1" outlineLevel="1">
      <c r="C38" s="62" t="s">
        <v>150</v>
      </c>
      <c r="D38" s="30" t="s">
        <v>116</v>
      </c>
      <c r="E38" s="30" t="str">
        <f t="shared" si="9"/>
        <v>Per cent</v>
      </c>
      <c r="P38" s="61">
        <f>AVERAGE(P36:P37)</f>
        <v>8.4179352052844939E-3</v>
      </c>
      <c r="Q38" s="61">
        <f t="shared" ref="Q38:T38" si="10">AVERAGE(Q36:Q37)</f>
        <v>9.3910846255656454E-3</v>
      </c>
      <c r="R38" s="61">
        <f t="shared" si="10"/>
        <v>1.0656573812514719E-2</v>
      </c>
      <c r="S38" s="61">
        <f t="shared" si="10"/>
        <v>1.3037920260071049E-2</v>
      </c>
      <c r="T38" s="61">
        <f t="shared" si="10"/>
        <v>1.4324488734929966E-2</v>
      </c>
    </row>
    <row r="39" spans="3:21" ht="11.25" customHeight="1" outlineLevel="1">
      <c r="C39" s="62"/>
      <c r="D39" s="30" t="s">
        <v>116</v>
      </c>
      <c r="E39" s="30" t="str">
        <f t="shared" si="9"/>
        <v>Per cent</v>
      </c>
      <c r="P39" s="61"/>
      <c r="Q39" s="61"/>
      <c r="R39" s="61"/>
      <c r="S39" s="61"/>
      <c r="T39" s="61"/>
      <c r="U39" s="157"/>
    </row>
    <row r="40" spans="3:21" ht="11.25" customHeight="1" outlineLevel="1">
      <c r="C40" s="62"/>
      <c r="D40" s="30" t="s">
        <v>116</v>
      </c>
      <c r="E40" s="30" t="str">
        <f t="shared" si="9"/>
        <v>Per cent</v>
      </c>
      <c r="P40" s="61"/>
      <c r="Q40" s="61"/>
      <c r="R40" s="61"/>
      <c r="S40" s="61"/>
      <c r="T40" s="61"/>
    </row>
    <row r="41" spans="3:21" ht="11.25" customHeight="1" outlineLevel="1">
      <c r="C41" s="62"/>
      <c r="D41" s="30" t="s">
        <v>116</v>
      </c>
      <c r="E41" s="30" t="str">
        <f t="shared" si="9"/>
        <v>Per cent</v>
      </c>
      <c r="P41" s="61"/>
      <c r="Q41" s="61"/>
      <c r="R41" s="61"/>
      <c r="S41" s="61"/>
      <c r="T41" s="61"/>
    </row>
    <row r="42" spans="3:21" ht="11.25" customHeight="1" outlineLevel="1">
      <c r="C42" s="62"/>
      <c r="D42" s="30" t="s">
        <v>116</v>
      </c>
      <c r="E42" s="30" t="str">
        <f t="shared" si="9"/>
        <v>Per cent</v>
      </c>
      <c r="P42" s="61"/>
      <c r="Q42" s="61"/>
      <c r="R42" s="61"/>
      <c r="S42" s="61"/>
      <c r="T42" s="61"/>
    </row>
    <row r="43" spans="3:21" ht="11.25" customHeight="1" outlineLevel="1">
      <c r="C43" s="62" t="s">
        <v>91</v>
      </c>
      <c r="D43" s="30" t="s">
        <v>116</v>
      </c>
      <c r="E43" s="30" t="str">
        <f t="shared" si="9"/>
        <v>Per cent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</row>
    <row r="44" spans="3:21" ht="11.25" customHeight="1" outlineLevel="1"/>
    <row r="45" spans="3:21" ht="11.25" customHeight="1" outlineLevel="1">
      <c r="C45" s="70" t="s">
        <v>44</v>
      </c>
      <c r="D45" s="32" t="s">
        <v>7</v>
      </c>
      <c r="E45" s="32" t="s">
        <v>8</v>
      </c>
      <c r="K45" s="111" t="str">
        <f>IF(RIGHT(K$4,2)&gt;=RIGHT('Input|General'!$G$11,2),IF(RIGHT(K$4,2)&lt;=RIGHT('Input|General'!$G$12,2),K$4,""),"")</f>
        <v/>
      </c>
      <c r="L45" s="111" t="str">
        <f ca="1">IF(RIGHT(L$4,2)&gt;=RIGHT('Input|General'!$G$11,2),IF(RIGHT(L$4,2)&lt;=RIGHT('Input|General'!$G$12,2),L$4,""),"")</f>
        <v/>
      </c>
      <c r="M45" s="111" t="str">
        <f ca="1">IF(RIGHT(M$4,2)&gt;=RIGHT('Input|General'!$G$11,2),IF(RIGHT(M$4,2)&lt;=RIGHT('Input|General'!$G$12,2),M$4,""),"")</f>
        <v/>
      </c>
      <c r="N45" s="111" t="str">
        <f ca="1">IF(RIGHT(N$4,2)&gt;=RIGHT('Input|General'!$G$11,2),IF(RIGHT(N$4,2)&lt;=RIGHT('Input|General'!$G$12,2),N$4,""),"")</f>
        <v/>
      </c>
      <c r="O45" s="111" t="str">
        <f ca="1">IF(RIGHT(O$4,2)&gt;=RIGHT('Input|General'!$G$11,2),IF(RIGHT(O$4,2)&lt;=RIGHT('Input|General'!$G$12,2),O$4,""),"")</f>
        <v/>
      </c>
      <c r="P45" s="173">
        <f ca="1">IF(RIGHT(P$4,2)&gt;=RIGHT('Input|General'!$G$11,2),IF(RIGHT(P$4,2)&lt;=RIGHT('Input|General'!$G$12,2),P$4,""),"")</f>
        <v>2018</v>
      </c>
      <c r="Q45" s="173">
        <f ca="1">IF(RIGHT(Q$4,2)&gt;=RIGHT('Input|General'!$G$11,2),IF(RIGHT(Q$4,2)&lt;=RIGHT('Input|General'!$G$12,2),Q$4,""),"")</f>
        <v>2019</v>
      </c>
      <c r="R45" s="173">
        <f ca="1">IF(RIGHT(R$4,2)&gt;=RIGHT('Input|General'!$G$11,2),IF(RIGHT(R$4,2)&lt;=RIGHT('Input|General'!$G$12,2),R$4,""),"")</f>
        <v>2020</v>
      </c>
      <c r="S45" s="173">
        <f ca="1">IF(RIGHT(S$4,2)&gt;=RIGHT('Input|General'!$G$11,2),IF(RIGHT(S$4,2)&lt;=RIGHT('Input|General'!$G$12,2),S$4,""),"")</f>
        <v>2021</v>
      </c>
      <c r="T45" s="173">
        <f ca="1">IF(RIGHT(T$4,2)&gt;=RIGHT('Input|General'!$G$11,2),IF(RIGHT(T$4,2)&lt;=RIGHT('Input|General'!$G$12,2),T$4,""),"")</f>
        <v>2022</v>
      </c>
    </row>
    <row r="46" spans="3:21" ht="11.25" customHeight="1" outlineLevel="1"/>
    <row r="47" spans="3:21" ht="11.25" customHeight="1" outlineLevel="1">
      <c r="C47" s="158" t="str">
        <f>C36</f>
        <v>WPI - DAE</v>
      </c>
      <c r="D47" s="30" t="s">
        <v>116</v>
      </c>
      <c r="E47" s="30" t="str">
        <f t="shared" ref="E47:E54" si="11">percent</f>
        <v>Per cent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</row>
    <row r="48" spans="3:21" ht="11.25" customHeight="1" outlineLevel="1">
      <c r="C48" s="158" t="str">
        <f t="shared" ref="C48:C54" si="12">C37</f>
        <v>WPI - BIS Schrapnel (october 2016)</v>
      </c>
      <c r="D48" s="30" t="s">
        <v>116</v>
      </c>
      <c r="E48" s="30" t="str">
        <f t="shared" si="11"/>
        <v>Per cent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</row>
    <row r="49" spans="1:50" ht="11.25" customHeight="1" outlineLevel="1">
      <c r="C49" s="158" t="str">
        <f t="shared" si="12"/>
        <v>WPI - average of DAE and BIS Schrapnel</v>
      </c>
      <c r="D49" s="30" t="s">
        <v>116</v>
      </c>
      <c r="E49" s="30" t="str">
        <f t="shared" si="11"/>
        <v>Per cent</v>
      </c>
      <c r="P49" s="61">
        <v>0.62</v>
      </c>
      <c r="Q49" s="61">
        <v>0.62</v>
      </c>
      <c r="R49" s="61">
        <v>0.62</v>
      </c>
      <c r="S49" s="61">
        <v>0.62</v>
      </c>
      <c r="T49" s="61">
        <v>0.62</v>
      </c>
    </row>
    <row r="50" spans="1:50" ht="11.25" customHeight="1" outlineLevel="1">
      <c r="C50" s="158">
        <f t="shared" si="12"/>
        <v>0</v>
      </c>
      <c r="D50" s="30" t="s">
        <v>116</v>
      </c>
      <c r="E50" s="30" t="str">
        <f t="shared" si="11"/>
        <v>Per cent</v>
      </c>
      <c r="P50" s="61"/>
      <c r="Q50" s="61"/>
      <c r="R50" s="61"/>
      <c r="S50" s="61"/>
      <c r="T50" s="61"/>
      <c r="U50" s="157"/>
    </row>
    <row r="51" spans="1:50" ht="11.25" customHeight="1" outlineLevel="1">
      <c r="C51" s="158">
        <f t="shared" si="12"/>
        <v>0</v>
      </c>
      <c r="D51" s="30" t="s">
        <v>116</v>
      </c>
      <c r="E51" s="30" t="str">
        <f t="shared" si="11"/>
        <v>Per cent</v>
      </c>
      <c r="P51" s="61"/>
      <c r="Q51" s="61"/>
      <c r="R51" s="61"/>
      <c r="S51" s="61"/>
      <c r="T51" s="61"/>
    </row>
    <row r="52" spans="1:50" ht="11.25" customHeight="1" outlineLevel="1">
      <c r="C52" s="158">
        <f t="shared" si="12"/>
        <v>0</v>
      </c>
      <c r="D52" s="30" t="s">
        <v>116</v>
      </c>
      <c r="E52" s="30" t="str">
        <f t="shared" si="11"/>
        <v>Per cent</v>
      </c>
      <c r="P52" s="61"/>
      <c r="Q52" s="61"/>
      <c r="R52" s="61"/>
      <c r="S52" s="61"/>
      <c r="T52" s="61"/>
    </row>
    <row r="53" spans="1:50" ht="11.25" customHeight="1" outlineLevel="1">
      <c r="C53" s="158">
        <f t="shared" si="12"/>
        <v>0</v>
      </c>
      <c r="D53" s="30" t="s">
        <v>116</v>
      </c>
      <c r="E53" s="30" t="str">
        <f t="shared" si="11"/>
        <v>Per cent</v>
      </c>
      <c r="P53" s="61"/>
      <c r="Q53" s="61"/>
      <c r="R53" s="61"/>
      <c r="S53" s="61"/>
      <c r="T53" s="61"/>
    </row>
    <row r="54" spans="1:50" ht="11.25" customHeight="1" outlineLevel="1">
      <c r="C54" s="158" t="str">
        <f t="shared" si="12"/>
        <v>CPI</v>
      </c>
      <c r="D54" s="30" t="s">
        <v>116</v>
      </c>
      <c r="E54" s="30" t="str">
        <f t="shared" si="11"/>
        <v>Per cent</v>
      </c>
      <c r="P54" s="61">
        <v>0.38</v>
      </c>
      <c r="Q54" s="61">
        <v>0.38</v>
      </c>
      <c r="R54" s="61">
        <v>0.38</v>
      </c>
      <c r="S54" s="61">
        <v>0.38</v>
      </c>
      <c r="T54" s="61">
        <v>0.38</v>
      </c>
    </row>
    <row r="55" spans="1:50" ht="11.25" customHeight="1" outlineLevel="1"/>
    <row r="56" spans="1:50" outlineLevel="1">
      <c r="C56" s="29" t="s">
        <v>40</v>
      </c>
      <c r="D56" s="30" t="s">
        <v>113</v>
      </c>
      <c r="E56" s="30" t="s">
        <v>28</v>
      </c>
      <c r="F56" s="30" t="s">
        <v>36</v>
      </c>
      <c r="N56" s="24"/>
      <c r="O56" s="24"/>
      <c r="P56" s="140" t="str">
        <f>IF(SUM(P47:P54)=1,"Ok","Check")</f>
        <v>Ok</v>
      </c>
      <c r="Q56" s="140" t="str">
        <f t="shared" ref="Q56:T56" si="13">IF(SUM(Q47:Q54)=1,"Ok","Check")</f>
        <v>Ok</v>
      </c>
      <c r="R56" s="140" t="str">
        <f t="shared" si="13"/>
        <v>Ok</v>
      </c>
      <c r="S56" s="140" t="str">
        <f t="shared" si="13"/>
        <v>Ok</v>
      </c>
      <c r="T56" s="140" t="str">
        <f t="shared" si="13"/>
        <v>Ok</v>
      </c>
      <c r="U56" s="24"/>
      <c r="W56" s="140" t="str">
        <f>IF(COUNTIF(K56:T56,"Check")=0,"Ok","Check")</f>
        <v>Ok</v>
      </c>
    </row>
    <row r="57" spans="1:50"/>
    <row r="58" spans="1:50" s="108" customFormat="1" ht="12.75">
      <c r="A58" s="99"/>
      <c r="B58" s="100" t="s">
        <v>94</v>
      </c>
      <c r="C58" s="99"/>
      <c r="D58" s="99"/>
      <c r="E58" s="99"/>
      <c r="F58" s="101"/>
      <c r="G58" s="101"/>
      <c r="H58" s="101"/>
      <c r="I58" s="101"/>
      <c r="J58" s="101"/>
      <c r="K58" s="102"/>
      <c r="L58" s="103"/>
      <c r="M58" s="102"/>
      <c r="N58" s="103"/>
      <c r="O58" s="102"/>
      <c r="P58" s="102"/>
      <c r="Q58" s="102"/>
      <c r="R58" s="102"/>
      <c r="S58" s="102"/>
      <c r="T58" s="102"/>
      <c r="U58" s="102"/>
      <c r="V58" s="102"/>
      <c r="W58" s="103"/>
      <c r="X58" s="104"/>
      <c r="Y58" s="104"/>
      <c r="Z58" s="104"/>
      <c r="AA58" s="104"/>
      <c r="AB58" s="104"/>
      <c r="AC58" s="104"/>
      <c r="AD58" s="104"/>
      <c r="AE58" s="105"/>
      <c r="AF58" s="106"/>
      <c r="AG58" s="106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</row>
    <row r="59" spans="1:50" outlineLevel="1">
      <c r="G59" s="32"/>
      <c r="H59" s="32"/>
    </row>
    <row r="60" spans="1:50" outlineLevel="1">
      <c r="C60" s="70" t="s">
        <v>95</v>
      </c>
      <c r="D60" s="32" t="s">
        <v>7</v>
      </c>
      <c r="E60" s="32" t="s">
        <v>8</v>
      </c>
      <c r="F60" s="32" t="s">
        <v>22</v>
      </c>
      <c r="G60" s="32"/>
      <c r="H60" s="32"/>
      <c r="K60" s="111" t="str">
        <f>IF(RIGHT(K$4,2)&gt;=RIGHT('Input|General'!$G$10,2),IF(RIGHT(K$4,2)&lt;=RIGHT('Input|General'!$G$12,2),K$4,""),"")</f>
        <v/>
      </c>
      <c r="L60" s="111" t="str">
        <f ca="1">IF(RIGHT(L$4,2)&gt;=RIGHT('Input|General'!$G$10,2),IF(RIGHT(L$4,2)&lt;=RIGHT('Input|General'!$G$12,2),L$4,""),"")</f>
        <v/>
      </c>
      <c r="M60" s="111" t="str">
        <f ca="1">IF(RIGHT(M$4,2)&gt;=RIGHT('Input|General'!$G$10,2),IF(RIGHT(M$4,2)&lt;=RIGHT('Input|General'!$G$12,2),M$4,""),"")</f>
        <v/>
      </c>
      <c r="N60" s="111" t="str">
        <f ca="1">IF(RIGHT(N$4,2)&gt;=RIGHT('Input|General'!$G$10,2),IF(RIGHT(N$4,2)&lt;=RIGHT('Input|General'!$G$12,2),N$4,""),"")</f>
        <v/>
      </c>
      <c r="O60" s="173">
        <f ca="1">IF(RIGHT(O$4,2)&gt;=RIGHT('Input|General'!$G$10,2),IF(RIGHT(O$4,2)&lt;=RIGHT('Input|General'!$G$12,2),O$4,""),"")</f>
        <v>2017</v>
      </c>
      <c r="P60" s="173">
        <f ca="1">IF(RIGHT(P$4,2)&gt;=RIGHT('Input|General'!$G$10,2),IF(RIGHT(P$4,2)&lt;=RIGHT('Input|General'!$G$12,2),P$4,""),"")</f>
        <v>2018</v>
      </c>
      <c r="Q60" s="173">
        <f ca="1">IF(RIGHT(Q$4,2)&gt;=RIGHT('Input|General'!$G$10,2),IF(RIGHT(Q$4,2)&lt;=RIGHT('Input|General'!$G$12,2),Q$4,""),"")</f>
        <v>2019</v>
      </c>
      <c r="R60" s="173">
        <f ca="1">IF(RIGHT(R$4,2)&gt;=RIGHT('Input|General'!$G$10,2),IF(RIGHT(R$4,2)&lt;=RIGHT('Input|General'!$G$12,2),R$4,""),"")</f>
        <v>2020</v>
      </c>
      <c r="S60" s="173">
        <f ca="1">IF(RIGHT(S$4,2)&gt;=RIGHT('Input|General'!$G$10,2),IF(RIGHT(S$4,2)&lt;=RIGHT('Input|General'!$G$12,2),S$4,""),"")</f>
        <v>2021</v>
      </c>
      <c r="T60" s="173">
        <f ca="1">IF(RIGHT(T$4,2)&gt;=RIGHT('Input|General'!$G$10,2),IF(RIGHT(T$4,2)&lt;=RIGHT('Input|General'!$G$12,2),T$4,""),"")</f>
        <v>2022</v>
      </c>
    </row>
    <row r="61" spans="1:50" outlineLevel="1">
      <c r="C61" s="117"/>
      <c r="G61" s="32"/>
      <c r="H61" s="32"/>
      <c r="K61" s="23"/>
      <c r="L61" s="23"/>
      <c r="M61" s="23"/>
      <c r="N61" s="23"/>
      <c r="O61" s="23"/>
    </row>
    <row r="62" spans="1:50" outlineLevel="1">
      <c r="C62" s="62"/>
      <c r="D62" s="30" t="s">
        <v>116</v>
      </c>
      <c r="E62" s="30" t="s">
        <v>18</v>
      </c>
      <c r="F62" s="30" t="s">
        <v>36</v>
      </c>
      <c r="G62" s="32"/>
      <c r="H62" s="32"/>
      <c r="K62" s="23" t="s">
        <v>147</v>
      </c>
      <c r="L62" s="23"/>
      <c r="M62" s="23"/>
      <c r="N62" s="23"/>
      <c r="O62" s="63"/>
      <c r="P62" s="181"/>
      <c r="Q62" s="181"/>
      <c r="R62" s="181"/>
      <c r="S62" s="181"/>
      <c r="T62" s="181"/>
    </row>
    <row r="63" spans="1:50" outlineLevel="1">
      <c r="C63" s="62"/>
      <c r="D63" s="30" t="s">
        <v>116</v>
      </c>
      <c r="E63" s="30" t="s">
        <v>18</v>
      </c>
      <c r="F63" s="30" t="s">
        <v>36</v>
      </c>
      <c r="G63" s="32"/>
      <c r="H63" s="32"/>
      <c r="K63" s="23"/>
      <c r="L63" s="23"/>
      <c r="M63" s="23"/>
      <c r="N63" s="23"/>
      <c r="O63" s="63"/>
      <c r="P63" s="63"/>
      <c r="Q63" s="63"/>
      <c r="R63" s="63"/>
      <c r="S63" s="63"/>
      <c r="T63" s="63"/>
    </row>
    <row r="64" spans="1:50" outlineLevel="1">
      <c r="C64" s="62"/>
      <c r="D64" s="30" t="s">
        <v>116</v>
      </c>
      <c r="E64" s="30" t="s">
        <v>18</v>
      </c>
      <c r="F64" s="30" t="s">
        <v>36</v>
      </c>
      <c r="G64" s="32"/>
      <c r="H64" s="32"/>
      <c r="K64" s="23"/>
      <c r="L64" s="23"/>
      <c r="M64" s="23"/>
      <c r="N64" s="23"/>
      <c r="O64" s="63"/>
      <c r="P64" s="63"/>
      <c r="Q64" s="63"/>
      <c r="R64" s="63"/>
      <c r="S64" s="63"/>
      <c r="T64" s="63"/>
    </row>
    <row r="65" spans="3:21" outlineLevel="1">
      <c r="C65" s="62"/>
      <c r="D65" s="30" t="s">
        <v>116</v>
      </c>
      <c r="E65" s="30" t="s">
        <v>18</v>
      </c>
      <c r="F65" s="30" t="s">
        <v>36</v>
      </c>
      <c r="G65" s="32"/>
      <c r="H65" s="32"/>
      <c r="K65" s="23"/>
      <c r="L65" s="23"/>
      <c r="M65" s="23"/>
      <c r="N65" s="23"/>
      <c r="O65" s="63"/>
      <c r="P65" s="63"/>
      <c r="Q65" s="63"/>
      <c r="R65" s="63"/>
      <c r="S65" s="63"/>
      <c r="T65" s="63"/>
    </row>
    <row r="66" spans="3:21" outlineLevel="1">
      <c r="C66" s="62"/>
      <c r="D66" s="30" t="s">
        <v>116</v>
      </c>
      <c r="E66" s="30" t="s">
        <v>18</v>
      </c>
      <c r="F66" s="30" t="s">
        <v>36</v>
      </c>
      <c r="G66" s="32"/>
      <c r="H66" s="32"/>
      <c r="K66" s="23"/>
      <c r="L66" s="23"/>
      <c r="M66" s="23"/>
      <c r="N66" s="23"/>
      <c r="O66" s="63"/>
      <c r="P66" s="63"/>
      <c r="Q66" s="63"/>
      <c r="R66" s="63"/>
      <c r="S66" s="63"/>
      <c r="T66" s="63"/>
    </row>
    <row r="67" spans="3:21" outlineLevel="1">
      <c r="C67" s="62"/>
      <c r="D67" s="30" t="s">
        <v>116</v>
      </c>
      <c r="E67" s="30" t="s">
        <v>18</v>
      </c>
      <c r="F67" s="30" t="s">
        <v>36</v>
      </c>
      <c r="G67" s="32"/>
      <c r="H67" s="32"/>
      <c r="K67" s="23"/>
      <c r="L67" s="23"/>
      <c r="M67" s="23"/>
      <c r="N67" s="23"/>
      <c r="O67" s="63"/>
      <c r="P67" s="63"/>
      <c r="Q67" s="63"/>
      <c r="R67" s="63"/>
      <c r="S67" s="63"/>
      <c r="T67" s="63"/>
    </row>
    <row r="68" spans="3:21" outlineLevel="1">
      <c r="C68" s="117"/>
      <c r="G68" s="32"/>
      <c r="H68" s="32"/>
      <c r="K68" s="23"/>
      <c r="L68" s="23"/>
      <c r="M68" s="23"/>
      <c r="N68" s="23"/>
      <c r="O68" s="23"/>
    </row>
    <row r="69" spans="3:21" outlineLevel="1">
      <c r="C69" s="70" t="s">
        <v>98</v>
      </c>
      <c r="D69" s="32" t="s">
        <v>7</v>
      </c>
      <c r="E69" s="32" t="s">
        <v>8</v>
      </c>
      <c r="F69" s="32" t="s">
        <v>22</v>
      </c>
      <c r="G69" s="32"/>
      <c r="H69" s="32"/>
      <c r="K69" s="111" t="str">
        <f>IF(RIGHT(K$4,2)&gt;=RIGHT('Input|General'!$G$11,2),IF(RIGHT(K$4,2)&lt;=RIGHT('Input|General'!$G$12,2),K$4,""),"")</f>
        <v/>
      </c>
      <c r="L69" s="111" t="str">
        <f ca="1">IF(RIGHT(L$4,2)&gt;=RIGHT('Input|General'!$G$11,2),IF(RIGHT(L$4,2)&lt;=RIGHT('Input|General'!$G$12,2),L$4,""),"")</f>
        <v/>
      </c>
      <c r="M69" s="111" t="str">
        <f ca="1">IF(RIGHT(M$4,2)&gt;=RIGHT('Input|General'!$G$11,2),IF(RIGHT(M$4,2)&lt;=RIGHT('Input|General'!$G$12,2),M$4,""),"")</f>
        <v/>
      </c>
      <c r="N69" s="111" t="str">
        <f ca="1">IF(RIGHT(N$4,2)&gt;=RIGHT('Input|General'!$G$11,2),IF(RIGHT(N$4,2)&lt;=RIGHT('Input|General'!$G$12,2),N$4,""),"")</f>
        <v/>
      </c>
      <c r="O69" s="111" t="str">
        <f ca="1">IF(RIGHT(O$4,2)&gt;=RIGHT('Input|General'!$G$11,2),IF(RIGHT(O$4,2)&lt;=RIGHT('Input|General'!$G$12,2),O$4,""),"")</f>
        <v/>
      </c>
      <c r="P69" s="173">
        <f ca="1">IF(RIGHT(P$4,2)&gt;=RIGHT('Input|General'!$G$11,2),IF(RIGHT(P$4,2)&lt;=RIGHT('Input|General'!$G$12,2),P$4,""),"")</f>
        <v>2018</v>
      </c>
      <c r="Q69" s="173">
        <f ca="1">IF(RIGHT(Q$4,2)&gt;=RIGHT('Input|General'!$G$11,2),IF(RIGHT(Q$4,2)&lt;=RIGHT('Input|General'!$G$12,2),Q$4,""),"")</f>
        <v>2019</v>
      </c>
      <c r="R69" s="173">
        <f ca="1">IF(RIGHT(R$4,2)&gt;=RIGHT('Input|General'!$G$11,2),IF(RIGHT(R$4,2)&lt;=RIGHT('Input|General'!$G$12,2),R$4,""),"")</f>
        <v>2020</v>
      </c>
      <c r="S69" s="173">
        <f ca="1">IF(RIGHT(S$4,2)&gt;=RIGHT('Input|General'!$G$11,2),IF(RIGHT(S$4,2)&lt;=RIGHT('Input|General'!$G$12,2),S$4,""),"")</f>
        <v>2021</v>
      </c>
      <c r="T69" s="173">
        <f ca="1">IF(RIGHT(T$4,2)&gt;=RIGHT('Input|General'!$G$11,2),IF(RIGHT(T$4,2)&lt;=RIGHT('Input|General'!$G$12,2),T$4,""),"")</f>
        <v>2022</v>
      </c>
      <c r="U69" s="29" t="str">
        <f>IF(RIGHT(U$4,2)&gt;=RIGHT('Input|General'!$G$11,2),IF(RIGHT(U$4,2)&lt;='Input|General'!$G$12,'Input|Reported opex'!T$4,""),"")</f>
        <v/>
      </c>
    </row>
    <row r="70" spans="3:21" outlineLevel="1">
      <c r="C70" s="117"/>
      <c r="G70" s="32"/>
      <c r="H70" s="32"/>
      <c r="K70" s="23"/>
      <c r="L70" s="23"/>
      <c r="M70" s="23"/>
      <c r="N70" s="23"/>
      <c r="O70" s="23"/>
    </row>
    <row r="71" spans="3:21" outlineLevel="1">
      <c r="C71" s="158" t="s">
        <v>146</v>
      </c>
      <c r="D71" s="30" t="s">
        <v>113</v>
      </c>
      <c r="E71" s="30" t="s">
        <v>18</v>
      </c>
      <c r="F71" s="30" t="s">
        <v>36</v>
      </c>
      <c r="G71" s="32"/>
      <c r="H71" s="32"/>
      <c r="K71" s="23"/>
      <c r="L71" s="23"/>
      <c r="M71" s="23"/>
      <c r="N71" s="23"/>
      <c r="O71" s="23"/>
      <c r="P71" s="124"/>
      <c r="Q71" s="124"/>
      <c r="R71" s="124"/>
      <c r="S71" s="124"/>
      <c r="T71" s="124"/>
    </row>
    <row r="72" spans="3:21" outlineLevel="1">
      <c r="C72" s="158">
        <f t="shared" ref="C72:C76" si="14">C63</f>
        <v>0</v>
      </c>
      <c r="D72" s="30" t="s">
        <v>113</v>
      </c>
      <c r="E72" s="30" t="s">
        <v>18</v>
      </c>
      <c r="F72" s="30" t="s">
        <v>36</v>
      </c>
      <c r="G72" s="32"/>
      <c r="H72" s="32"/>
      <c r="K72" s="23"/>
      <c r="L72" s="23"/>
      <c r="M72" s="23"/>
      <c r="N72" s="23"/>
      <c r="O72" s="23"/>
      <c r="P72" s="124"/>
      <c r="Q72" s="124"/>
      <c r="R72" s="124"/>
      <c r="S72" s="124"/>
      <c r="T72" s="124"/>
    </row>
    <row r="73" spans="3:21" outlineLevel="1">
      <c r="C73" s="158">
        <f t="shared" si="14"/>
        <v>0</v>
      </c>
      <c r="D73" s="30" t="s">
        <v>113</v>
      </c>
      <c r="E73" s="30" t="s">
        <v>18</v>
      </c>
      <c r="F73" s="30" t="s">
        <v>36</v>
      </c>
      <c r="G73" s="32"/>
      <c r="H73" s="32"/>
      <c r="K73" s="23"/>
      <c r="L73" s="23"/>
      <c r="M73" s="23"/>
      <c r="N73" s="23"/>
      <c r="O73" s="23"/>
      <c r="P73" s="124" t="str">
        <f t="shared" ref="P73:T73" si="15">IF(ISBLANK(P64),"",LN(P64)-LN(O64))</f>
        <v/>
      </c>
      <c r="Q73" s="124" t="str">
        <f t="shared" si="15"/>
        <v/>
      </c>
      <c r="R73" s="124" t="str">
        <f t="shared" si="15"/>
        <v/>
      </c>
      <c r="S73" s="124" t="str">
        <f t="shared" si="15"/>
        <v/>
      </c>
      <c r="T73" s="124" t="str">
        <f t="shared" si="15"/>
        <v/>
      </c>
    </row>
    <row r="74" spans="3:21" outlineLevel="1">
      <c r="C74" s="158">
        <f t="shared" si="14"/>
        <v>0</v>
      </c>
      <c r="D74" s="30" t="s">
        <v>113</v>
      </c>
      <c r="E74" s="30" t="s">
        <v>18</v>
      </c>
      <c r="F74" s="30" t="s">
        <v>36</v>
      </c>
      <c r="G74" s="32"/>
      <c r="H74" s="32"/>
      <c r="K74" s="23"/>
      <c r="L74" s="23"/>
      <c r="M74" s="23"/>
      <c r="N74" s="23"/>
      <c r="O74" s="23"/>
      <c r="P74" s="124" t="str">
        <f t="shared" ref="P74:T74" si="16">IF(ISBLANK(P65),"",LN(P65)-LN(O65))</f>
        <v/>
      </c>
      <c r="Q74" s="124" t="str">
        <f t="shared" si="16"/>
        <v/>
      </c>
      <c r="R74" s="124" t="str">
        <f t="shared" si="16"/>
        <v/>
      </c>
      <c r="S74" s="124" t="str">
        <f t="shared" si="16"/>
        <v/>
      </c>
      <c r="T74" s="124" t="str">
        <f t="shared" si="16"/>
        <v/>
      </c>
    </row>
    <row r="75" spans="3:21" outlineLevel="1">
      <c r="C75" s="158">
        <f t="shared" si="14"/>
        <v>0</v>
      </c>
      <c r="D75" s="30" t="s">
        <v>113</v>
      </c>
      <c r="E75" s="30" t="s">
        <v>18</v>
      </c>
      <c r="F75" s="30" t="s">
        <v>36</v>
      </c>
      <c r="G75" s="32"/>
      <c r="H75" s="32"/>
      <c r="K75" s="23"/>
      <c r="L75" s="23"/>
      <c r="M75" s="23"/>
      <c r="N75" s="23"/>
      <c r="O75" s="23"/>
      <c r="P75" s="124" t="str">
        <f t="shared" ref="P75:T75" si="17">IF(ISBLANK(P66),"",LN(P66)-LN(O66))</f>
        <v/>
      </c>
      <c r="Q75" s="124" t="str">
        <f t="shared" si="17"/>
        <v/>
      </c>
      <c r="R75" s="124" t="str">
        <f t="shared" si="17"/>
        <v/>
      </c>
      <c r="S75" s="124" t="str">
        <f t="shared" si="17"/>
        <v/>
      </c>
      <c r="T75" s="124" t="str">
        <f t="shared" si="17"/>
        <v/>
      </c>
    </row>
    <row r="76" spans="3:21" outlineLevel="1">
      <c r="C76" s="158">
        <f t="shared" si="14"/>
        <v>0</v>
      </c>
      <c r="D76" s="30" t="s">
        <v>113</v>
      </c>
      <c r="E76" s="30" t="s">
        <v>18</v>
      </c>
      <c r="F76" s="30" t="s">
        <v>36</v>
      </c>
      <c r="G76" s="32"/>
      <c r="H76" s="32"/>
      <c r="K76" s="23"/>
      <c r="L76" s="23"/>
      <c r="M76" s="23"/>
      <c r="N76" s="23"/>
      <c r="O76" s="23"/>
      <c r="P76" s="124" t="str">
        <f t="shared" ref="P76:T76" si="18">IF(ISBLANK(P67),"",LN(P67)-LN(O67))</f>
        <v/>
      </c>
      <c r="Q76" s="124" t="str">
        <f t="shared" si="18"/>
        <v/>
      </c>
      <c r="R76" s="124" t="str">
        <f t="shared" si="18"/>
        <v/>
      </c>
      <c r="S76" s="124" t="str">
        <f t="shared" si="18"/>
        <v/>
      </c>
      <c r="T76" s="124" t="str">
        <f t="shared" si="18"/>
        <v/>
      </c>
    </row>
    <row r="77" spans="3:21" outlineLevel="1">
      <c r="C77" s="117"/>
      <c r="G77" s="32"/>
      <c r="H77" s="32"/>
      <c r="K77" s="23"/>
      <c r="L77" s="23"/>
      <c r="M77" s="23"/>
      <c r="N77" s="23"/>
      <c r="O77" s="23"/>
    </row>
    <row r="78" spans="3:21" outlineLevel="1">
      <c r="C78" s="70" t="s">
        <v>44</v>
      </c>
      <c r="G78" s="32"/>
      <c r="H78" s="32"/>
      <c r="K78" s="23"/>
      <c r="L78" s="23"/>
      <c r="M78" s="23"/>
      <c r="N78" s="23"/>
      <c r="O78" s="23"/>
    </row>
    <row r="79" spans="3:21" outlineLevel="1">
      <c r="C79" s="117"/>
      <c r="G79" s="32"/>
      <c r="H79" s="32"/>
      <c r="K79" s="23"/>
      <c r="L79" s="23"/>
      <c r="M79" s="23"/>
      <c r="N79" s="23"/>
    </row>
    <row r="80" spans="3:21" outlineLevel="1">
      <c r="C80" s="158">
        <f>C62</f>
        <v>0</v>
      </c>
      <c r="D80" s="30" t="s">
        <v>116</v>
      </c>
      <c r="E80" s="30" t="s">
        <v>18</v>
      </c>
      <c r="F80" s="30" t="s">
        <v>36</v>
      </c>
      <c r="G80" s="32"/>
      <c r="H80" s="32"/>
      <c r="K80" s="23"/>
      <c r="L80" s="23"/>
      <c r="M80" s="23"/>
      <c r="N80" s="23"/>
      <c r="P80" s="61">
        <v>1</v>
      </c>
    </row>
    <row r="81" spans="1:50" outlineLevel="1">
      <c r="C81" s="158">
        <f t="shared" ref="C81:C85" si="19">C63</f>
        <v>0</v>
      </c>
      <c r="D81" s="30" t="s">
        <v>116</v>
      </c>
      <c r="E81" s="30" t="s">
        <v>18</v>
      </c>
      <c r="F81" s="30" t="s">
        <v>36</v>
      </c>
      <c r="G81" s="32"/>
      <c r="H81" s="32"/>
      <c r="K81" s="23"/>
      <c r="L81" s="23"/>
      <c r="M81" s="23"/>
      <c r="N81" s="23"/>
      <c r="P81" s="61"/>
    </row>
    <row r="82" spans="1:50" outlineLevel="1">
      <c r="C82" s="158">
        <f t="shared" si="19"/>
        <v>0</v>
      </c>
      <c r="D82" s="30" t="s">
        <v>116</v>
      </c>
      <c r="E82" s="30" t="s">
        <v>18</v>
      </c>
      <c r="F82" s="30" t="s">
        <v>36</v>
      </c>
      <c r="G82" s="32"/>
      <c r="H82" s="32"/>
      <c r="K82" s="23"/>
      <c r="L82" s="23"/>
      <c r="M82" s="23"/>
      <c r="N82" s="23"/>
      <c r="P82" s="61"/>
    </row>
    <row r="83" spans="1:50" outlineLevel="1">
      <c r="C83" s="158">
        <f t="shared" si="19"/>
        <v>0</v>
      </c>
      <c r="D83" s="30" t="s">
        <v>116</v>
      </c>
      <c r="E83" s="30" t="s">
        <v>18</v>
      </c>
      <c r="F83" s="30" t="s">
        <v>36</v>
      </c>
      <c r="G83" s="32"/>
      <c r="H83" s="32"/>
      <c r="K83" s="23"/>
      <c r="L83" s="23"/>
      <c r="M83" s="23"/>
      <c r="N83" s="23"/>
      <c r="P83" s="61"/>
    </row>
    <row r="84" spans="1:50" outlineLevel="1">
      <c r="C84" s="158">
        <f t="shared" si="19"/>
        <v>0</v>
      </c>
      <c r="D84" s="30" t="s">
        <v>116</v>
      </c>
      <c r="E84" s="30" t="s">
        <v>18</v>
      </c>
      <c r="F84" s="30" t="s">
        <v>36</v>
      </c>
      <c r="G84" s="32"/>
      <c r="H84" s="32"/>
      <c r="K84" s="23"/>
      <c r="L84" s="23"/>
      <c r="M84" s="23"/>
      <c r="N84" s="23"/>
      <c r="P84" s="61"/>
    </row>
    <row r="85" spans="1:50" outlineLevel="1">
      <c r="C85" s="158">
        <f t="shared" si="19"/>
        <v>0</v>
      </c>
      <c r="D85" s="30" t="s">
        <v>116</v>
      </c>
      <c r="E85" s="30" t="s">
        <v>18</v>
      </c>
      <c r="F85" s="30" t="s">
        <v>36</v>
      </c>
      <c r="G85" s="32"/>
      <c r="H85" s="32"/>
      <c r="K85" s="23"/>
      <c r="L85" s="23"/>
      <c r="M85" s="23"/>
      <c r="N85" s="23"/>
      <c r="P85" s="61"/>
    </row>
    <row r="86" spans="1:50" outlineLevel="1">
      <c r="G86" s="32"/>
      <c r="H86" s="32"/>
    </row>
    <row r="87" spans="1:50" outlineLevel="1">
      <c r="C87" s="29" t="s">
        <v>40</v>
      </c>
      <c r="D87" s="30" t="s">
        <v>113</v>
      </c>
      <c r="E87" s="30" t="s">
        <v>28</v>
      </c>
      <c r="F87" s="30" t="s">
        <v>36</v>
      </c>
      <c r="N87" s="24"/>
      <c r="P87" s="140" t="str">
        <f>IF(SUM(P80:P85)=1,"Ok","Check")</f>
        <v>Ok</v>
      </c>
      <c r="Q87" s="24"/>
      <c r="R87" s="24"/>
      <c r="S87" s="24"/>
      <c r="T87" s="24"/>
      <c r="U87" s="24"/>
      <c r="W87" s="140" t="str">
        <f>IF(COUNTIF(K87:T87,"Check")=0,"Ok","Check")</f>
        <v>Ok</v>
      </c>
    </row>
    <row r="88" spans="1:50"/>
    <row r="89" spans="1:50" s="108" customFormat="1" ht="12.75">
      <c r="A89" s="99"/>
      <c r="B89" s="100" t="s">
        <v>88</v>
      </c>
      <c r="C89" s="99"/>
      <c r="D89" s="99"/>
      <c r="E89" s="99"/>
      <c r="F89" s="101"/>
      <c r="G89" s="101"/>
      <c r="H89" s="101"/>
      <c r="I89" s="101"/>
      <c r="J89" s="101"/>
      <c r="K89" s="102"/>
      <c r="L89" s="103"/>
      <c r="M89" s="102"/>
      <c r="N89" s="103"/>
      <c r="O89" s="102"/>
      <c r="P89" s="102"/>
      <c r="Q89" s="102"/>
      <c r="R89" s="102"/>
      <c r="S89" s="102"/>
      <c r="T89" s="102"/>
      <c r="U89" s="102"/>
      <c r="V89" s="102"/>
      <c r="W89" s="103"/>
      <c r="X89" s="104"/>
      <c r="Y89" s="104"/>
      <c r="Z89" s="104"/>
      <c r="AA89" s="104"/>
      <c r="AB89" s="104"/>
      <c r="AC89" s="104"/>
      <c r="AD89" s="104"/>
      <c r="AE89" s="105"/>
      <c r="AF89" s="106"/>
      <c r="AG89" s="106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</row>
    <row r="90" spans="1:50" outlineLevel="1">
      <c r="G90" s="32"/>
      <c r="H90" s="32"/>
    </row>
    <row r="91" spans="1:50" outlineLevel="1">
      <c r="C91" s="70" t="s">
        <v>49</v>
      </c>
      <c r="D91" s="32" t="s">
        <v>7</v>
      </c>
      <c r="E91" s="32" t="s">
        <v>8</v>
      </c>
      <c r="F91" s="32" t="s">
        <v>22</v>
      </c>
      <c r="G91" s="32"/>
      <c r="H91" s="32"/>
      <c r="K91" s="111" t="str">
        <f>IF(RIGHT(K$4,2)&gt;=RIGHT('Input|General'!$G$11,2),IF(RIGHT(K$4,2)&lt;=RIGHT('Input|General'!$G$12,2),K$4,""),"")</f>
        <v/>
      </c>
      <c r="L91" s="111" t="str">
        <f ca="1">IF(RIGHT(L$4,2)&gt;=RIGHT('Input|General'!$G$11,2),IF(RIGHT(L$4,2)&lt;=RIGHT('Input|General'!$G$12,2),L$4,""),"")</f>
        <v/>
      </c>
      <c r="M91" s="111" t="str">
        <f ca="1">IF(RIGHT(M$4,2)&gt;=RIGHT('Input|General'!$G$11,2),IF(RIGHT(M$4,2)&lt;=RIGHT('Input|General'!$G$12,2),M$4,""),"")</f>
        <v/>
      </c>
      <c r="N91" s="111" t="str">
        <f ca="1">IF(RIGHT(N$4,2)&gt;=RIGHT('Input|General'!$G$11,2),IF(RIGHT(N$4,2)&lt;=RIGHT('Input|General'!$G$12,2),N$4,""),"")</f>
        <v/>
      </c>
      <c r="O91" s="111" t="str">
        <f ca="1">IF(RIGHT(O$4,2)&gt;=RIGHT('Input|General'!$G$11,2),IF(RIGHT(O$4,2)&lt;=RIGHT('Input|General'!$G$12,2),O$4,""),"")</f>
        <v/>
      </c>
      <c r="P91" s="173">
        <f ca="1">IF(RIGHT(P$4,2)&gt;=RIGHT('Input|General'!$G$11,2),IF(RIGHT(P$4,2)&lt;=RIGHT('Input|General'!$G$12,2),P$4,""),"")</f>
        <v>2018</v>
      </c>
      <c r="Q91" s="173">
        <f ca="1">IF(RIGHT(Q$4,2)&gt;=RIGHT('Input|General'!$G$11,2),IF(RIGHT(Q$4,2)&lt;=RIGHT('Input|General'!$G$12,2),Q$4,""),"")</f>
        <v>2019</v>
      </c>
      <c r="R91" s="173">
        <f ca="1">IF(RIGHT(R$4,2)&gt;=RIGHT('Input|General'!$G$11,2),IF(RIGHT(R$4,2)&lt;=RIGHT('Input|General'!$G$12,2),R$4,""),"")</f>
        <v>2020</v>
      </c>
      <c r="S91" s="173">
        <f ca="1">IF(RIGHT(S$4,2)&gt;=RIGHT('Input|General'!$G$11,2),IF(RIGHT(S$4,2)&lt;=RIGHT('Input|General'!$G$12,2),S$4,""),"")</f>
        <v>2021</v>
      </c>
      <c r="T91" s="173">
        <f ca="1">IF(RIGHT(T$4,2)&gt;=RIGHT('Input|General'!$G$11,2),IF(RIGHT(T$4,2)&lt;=RIGHT('Input|General'!$G$12,2),T$4,""),"")</f>
        <v>2022</v>
      </c>
    </row>
    <row r="92" spans="1:50" outlineLevel="1">
      <c r="C92" s="117"/>
      <c r="G92" s="32"/>
      <c r="H92" s="32"/>
      <c r="K92" s="23"/>
      <c r="L92" s="23"/>
      <c r="M92" s="23"/>
      <c r="N92" s="23"/>
      <c r="O92" s="23"/>
    </row>
    <row r="93" spans="1:50" outlineLevel="1">
      <c r="C93" s="117" t="s">
        <v>49</v>
      </c>
      <c r="D93" s="30" t="s">
        <v>116</v>
      </c>
      <c r="E93" s="30" t="str">
        <f>percent</f>
        <v>Per cent</v>
      </c>
      <c r="F93" s="30" t="s">
        <v>36</v>
      </c>
      <c r="G93" s="32"/>
      <c r="H93" s="32"/>
      <c r="K93" s="23"/>
      <c r="L93" s="23"/>
      <c r="M93" s="23"/>
      <c r="N93" s="23"/>
      <c r="O93" s="23"/>
      <c r="P93" s="61">
        <v>0</v>
      </c>
      <c r="Q93" s="61">
        <v>0</v>
      </c>
      <c r="R93" s="61">
        <v>0</v>
      </c>
      <c r="S93" s="61">
        <v>0</v>
      </c>
      <c r="T93" s="61">
        <v>0</v>
      </c>
    </row>
    <row r="94" spans="1:50" outlineLevel="1">
      <c r="C94" s="117"/>
      <c r="G94" s="32"/>
      <c r="H94" s="32"/>
      <c r="K94" s="23"/>
      <c r="L94" s="23"/>
      <c r="M94" s="23"/>
      <c r="N94" s="23"/>
      <c r="O94" s="23"/>
    </row>
    <row r="95" spans="1:50" s="108" customFormat="1" ht="12.75">
      <c r="A95" s="99"/>
      <c r="B95" s="100" t="s">
        <v>21</v>
      </c>
      <c r="C95" s="99"/>
      <c r="D95" s="99"/>
      <c r="E95" s="99"/>
      <c r="F95" s="101"/>
      <c r="G95" s="101"/>
      <c r="H95" s="101"/>
      <c r="I95" s="101"/>
      <c r="J95" s="101"/>
      <c r="K95" s="102"/>
      <c r="L95" s="103"/>
      <c r="M95" s="102"/>
      <c r="N95" s="103"/>
      <c r="O95" s="102"/>
      <c r="P95" s="102"/>
      <c r="Q95" s="102"/>
      <c r="R95" s="102"/>
      <c r="S95" s="102"/>
      <c r="T95" s="102"/>
      <c r="U95" s="102"/>
      <c r="V95" s="102"/>
      <c r="W95" s="103"/>
      <c r="X95" s="104"/>
      <c r="Y95" s="104"/>
      <c r="Z95" s="104"/>
      <c r="AA95" s="104"/>
      <c r="AB95" s="104"/>
      <c r="AC95" s="104"/>
      <c r="AD95" s="104"/>
      <c r="AE95" s="105"/>
      <c r="AF95" s="106"/>
      <c r="AG95" s="106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</row>
    <row r="96" spans="1:50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</sheetData>
  <mergeCells count="2">
    <mergeCell ref="K3:M3"/>
    <mergeCell ref="O3:T3"/>
  </mergeCells>
  <conditionalFormatting sqref="W1">
    <cfRule type="cellIs" dxfId="81" priority="57" operator="equal">
      <formula>"Check"</formula>
    </cfRule>
    <cfRule type="cellIs" dxfId="80" priority="58" operator="equal">
      <formula>"Ok"</formula>
    </cfRule>
  </conditionalFormatting>
  <conditionalFormatting sqref="T1">
    <cfRule type="cellIs" dxfId="79" priority="21" operator="equal">
      <formula>"Check"</formula>
    </cfRule>
    <cfRule type="cellIs" dxfId="78" priority="22" operator="equal">
      <formula>"Ok"</formula>
    </cfRule>
  </conditionalFormatting>
  <conditionalFormatting sqref="W56">
    <cfRule type="cellIs" dxfId="77" priority="9" operator="equal">
      <formula>"Check"</formula>
    </cfRule>
    <cfRule type="cellIs" dxfId="76" priority="10" operator="equal">
      <formula>"Ok"</formula>
    </cfRule>
  </conditionalFormatting>
  <conditionalFormatting sqref="P56:S56">
    <cfRule type="cellIs" dxfId="75" priority="7" operator="equal">
      <formula>"Check"</formula>
    </cfRule>
    <cfRule type="cellIs" dxfId="74" priority="8" operator="equal">
      <formula>"Ok"</formula>
    </cfRule>
  </conditionalFormatting>
  <conditionalFormatting sqref="W87">
    <cfRule type="cellIs" dxfId="73" priority="5" operator="equal">
      <formula>"Check"</formula>
    </cfRule>
    <cfRule type="cellIs" dxfId="72" priority="6" operator="equal">
      <formula>"Ok"</formula>
    </cfRule>
  </conditionalFormatting>
  <conditionalFormatting sqref="P87:T87">
    <cfRule type="cellIs" dxfId="71" priority="3" operator="equal">
      <formula>"Check"</formula>
    </cfRule>
    <cfRule type="cellIs" dxfId="70" priority="4" operator="equal">
      <formula>"Ok"</formula>
    </cfRule>
  </conditionalFormatting>
  <conditionalFormatting sqref="T56">
    <cfRule type="cellIs" dxfId="69" priority="1" operator="equal">
      <formula>"Check"</formula>
    </cfRule>
    <cfRule type="cellIs" dxfId="68" priority="2" operator="equal">
      <formula>"Ok"</formula>
    </cfRule>
  </conditionalFormatting>
  <dataValidations disablePrompts="1" count="1">
    <dataValidation type="list" allowBlank="1" showInputMessage="1" showErrorMessage="1" sqref="F94 F68 F77:F79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46"/>
  <sheetViews>
    <sheetView showGridLines="0" workbookViewId="0">
      <selection activeCell="J1" sqref="J1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92</v>
      </c>
      <c r="S1" s="80" t="str">
        <f>IF(COUNTA($W$8:$W$229)=COUNTIF($W$8:$W$229,"OK"),"OK","Check")</f>
        <v>OK</v>
      </c>
      <c r="U1" s="183" t="s">
        <v>24</v>
      </c>
      <c r="V1" s="80" t="str">
        <f>'Check|List'!$S$1</f>
        <v>Ok</v>
      </c>
    </row>
    <row r="2" spans="1:47" s="81" customFormat="1" ht="13.5" thickBot="1">
      <c r="B2" s="82" t="str">
        <f>Index!$C$11</f>
        <v>Input | Step changes</v>
      </c>
      <c r="C2" s="82"/>
      <c r="D2" s="82"/>
      <c r="E2" s="82"/>
      <c r="F2" s="83"/>
      <c r="G2" s="83"/>
      <c r="H2" s="83"/>
      <c r="I2" s="83"/>
    </row>
    <row r="3" spans="1:47" s="84" customFormat="1">
      <c r="C3" s="85"/>
      <c r="D3" s="86"/>
      <c r="E3" s="86"/>
      <c r="F3" s="86"/>
      <c r="G3" s="86"/>
      <c r="H3" s="86"/>
      <c r="I3" s="86"/>
      <c r="J3" s="184"/>
      <c r="K3" s="184"/>
      <c r="L3" s="184"/>
      <c r="M3" s="86"/>
      <c r="N3" s="184"/>
      <c r="O3" s="184"/>
      <c r="P3" s="184"/>
      <c r="Q3" s="184"/>
      <c r="R3" s="184"/>
      <c r="S3" s="184"/>
      <c r="T3" s="87"/>
      <c r="U3" s="87"/>
      <c r="V3" s="87"/>
      <c r="W3" s="87"/>
      <c r="X3" s="87"/>
      <c r="Y3" s="87"/>
      <c r="Z3" s="87"/>
    </row>
    <row r="4" spans="1:47" s="98" customFormat="1" ht="10.5">
      <c r="A4" s="88"/>
      <c r="B4" s="88"/>
      <c r="C4" s="88"/>
      <c r="D4" s="88" t="s">
        <v>7</v>
      </c>
      <c r="E4" s="88" t="s">
        <v>8</v>
      </c>
      <c r="F4" s="91" t="s">
        <v>22</v>
      </c>
      <c r="G4" s="91"/>
      <c r="H4" s="91"/>
      <c r="I4" s="91"/>
      <c r="J4" s="92">
        <f>'Input|General'!$G$8</f>
        <v>2013</v>
      </c>
      <c r="K4" s="92">
        <f ca="1">IF(OFFSET('Lookup|Tables'!$G$26:$G$43,MATCH('Input|General'!$G$8,'Lookup|Tables'!$G$26:$G$42,0),0,1,1)&lt;='Input|General'!$G$12,OFFSET('Lookup|Tables'!$G$26:$G$43,MATCH('Input|General'!$G$8,'Lookup|Tables'!$G$26:$G$42,0),0,1,1),"")</f>
        <v>2014</v>
      </c>
      <c r="L4" s="92">
        <f ca="1">IF(OFFSET('Lookup|Tables'!$G$28:$G$43,MATCH('Input|General'!$G$8,'Lookup|Tables'!$G$28:$G$42,0)+1,0,1,1)&lt;='Input|General'!$G$12,OFFSET('Lookup|Tables'!$G$28:$G$43,MATCH('Input|General'!$G$8,'Lookup|Tables'!$G$28:$G$42,0)+1,0,1,1),"")</f>
        <v>2015</v>
      </c>
      <c r="M4" s="92">
        <f ca="1">IF(OFFSET('Lookup|Tables'!$G$28:$G$43,MATCH('Input|General'!$G$8,'Lookup|Tables'!$G$28:$G$42,0)+2,0,1,1)&lt;='Input|General'!$G$12,OFFSET('Lookup|Tables'!$G$28:$G$43,MATCH('Input|General'!$G$8,'Lookup|Tables'!$G$28:$G$42,0)+2,0,1,1),"")</f>
        <v>2016</v>
      </c>
      <c r="N4" s="92">
        <f ca="1">IF(OFFSET('Lookup|Tables'!$G$28:$G$43,MATCH('Input|General'!$G$8,'Lookup|Tables'!$G$28:$G$42,0)+3,0,1,1)&lt;='Input|General'!$G$12,OFFSET('Lookup|Tables'!$G$28:$G$43,MATCH('Input|General'!$G$8,'Lookup|Tables'!$G$28:$G$42,0)+3,0,1,1),"")</f>
        <v>2017</v>
      </c>
      <c r="O4" s="92">
        <f ca="1">IF(OFFSET('Lookup|Tables'!$G$28:$G$43,MATCH('Input|General'!$G$8,'Lookup|Tables'!$G$28:$G$42,0)+4,0,1,1)&lt;='Input|General'!$G$12,OFFSET('Lookup|Tables'!$G$28:$G$43,MATCH('Input|General'!$G$8,'Lookup|Tables'!$G$28:$G$42,0)+4,0,1,1),"")</f>
        <v>2018</v>
      </c>
      <c r="P4" s="92">
        <f ca="1">IF(OFFSET('Lookup|Tables'!$G$28:$G$43,MATCH('Input|General'!$G$8,'Lookup|Tables'!$G$28:$G$42,0)+5,0,1,1)&lt;='Input|General'!$G$12,OFFSET('Lookup|Tables'!$G$28:$G$43,MATCH('Input|General'!$G$8,'Lookup|Tables'!$G$28:$G$42,0)+5,0,1,1),"")</f>
        <v>2019</v>
      </c>
      <c r="Q4" s="92">
        <f ca="1">IF(OFFSET('Lookup|Tables'!$G$28:$G$43,MATCH('Input|General'!$G$8,'Lookup|Tables'!$G$28:$G$42,0)+6,0,1,1)&lt;='Input|General'!$G$12,OFFSET('Lookup|Tables'!$G$28:$G$43,MATCH('Input|General'!$G$8,'Lookup|Tables'!$G$28:$G$42,0)+6,0,1,1),"")</f>
        <v>2020</v>
      </c>
      <c r="R4" s="92">
        <f ca="1">IF(OFFSET('Lookup|Tables'!$G$28:$G$43,MATCH('Input|General'!$G$8,'Lookup|Tables'!$G$28:$G$42,0)+7,0,1,1)&lt;='Input|General'!$G$12,OFFSET('Lookup|Tables'!$G$28:$G$43,MATCH('Input|General'!$G$8,'Lookup|Tables'!$G$28:$G$42,0)+7,0,1,1),"")</f>
        <v>2021</v>
      </c>
      <c r="S4" s="92">
        <f ca="1">IF(OFFSET('Lookup|Tables'!$G$28:$G$43,MATCH('Input|General'!$G$8,'Lookup|Tables'!$G$28:$G$42,0)+8,0,1,1)&lt;='Input|General'!$G$12,OFFSET('Lookup|Tables'!$G$28:$G$43,MATCH('Input|General'!$G$8,'Lookup|Tables'!$G$28:$G$42,0)+8,0,1,1),"")</f>
        <v>2022</v>
      </c>
      <c r="T4" s="92"/>
      <c r="U4" s="92"/>
      <c r="V4" s="93"/>
      <c r="W4" s="93"/>
      <c r="X4" s="94"/>
      <c r="Y4" s="94"/>
      <c r="Z4" s="94"/>
      <c r="AA4" s="94"/>
      <c r="AB4" s="95"/>
      <c r="AC4" s="96"/>
      <c r="AD4" s="96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8" customFormat="1" ht="12.75">
      <c r="A8" s="99"/>
      <c r="B8" s="100" t="s">
        <v>51</v>
      </c>
      <c r="C8" s="99"/>
      <c r="D8" s="99"/>
      <c r="E8" s="99"/>
      <c r="F8" s="101"/>
      <c r="G8" s="101"/>
      <c r="H8" s="101"/>
      <c r="I8" s="101"/>
      <c r="J8" s="102"/>
      <c r="K8" s="103"/>
      <c r="L8" s="102"/>
      <c r="M8" s="103"/>
      <c r="N8" s="102"/>
      <c r="O8" s="102"/>
      <c r="P8" s="102"/>
      <c r="Q8" s="102"/>
      <c r="R8" s="102"/>
      <c r="S8" s="102"/>
      <c r="T8" s="102"/>
      <c r="U8" s="102"/>
      <c r="V8" s="103"/>
      <c r="W8" s="103"/>
      <c r="X8" s="104"/>
      <c r="Y8" s="104"/>
      <c r="Z8" s="104"/>
      <c r="AA8" s="104"/>
      <c r="AB8" s="105"/>
      <c r="AC8" s="106"/>
      <c r="AD8" s="106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</row>
    <row r="9" spans="1:47" outlineLevel="1">
      <c r="G9" s="32"/>
      <c r="H9" s="32"/>
    </row>
    <row r="10" spans="1:47" outlineLevel="1">
      <c r="C10" s="70" t="s">
        <v>89</v>
      </c>
      <c r="D10" s="32" t="s">
        <v>7</v>
      </c>
      <c r="E10" s="32" t="s">
        <v>8</v>
      </c>
      <c r="F10" s="32" t="s">
        <v>22</v>
      </c>
      <c r="G10" s="32"/>
      <c r="H10" s="32"/>
      <c r="J10" s="111" t="str">
        <f>IF(RIGHT(J$4,2)&gt;=RIGHT('Input|General'!$G$11,2),IF(RIGHT(J$4,2)&lt;=RIGHT('Input|General'!$G$12,2),J$4,""),"")</f>
        <v/>
      </c>
      <c r="K10" s="111" t="str">
        <f ca="1">IF(RIGHT(K$4,2)&gt;=RIGHT('Input|General'!$G$11,2),IF(RIGHT(K$4,2)&lt;=RIGHT('Input|General'!$G$12,2),K$4,""),"")</f>
        <v/>
      </c>
      <c r="L10" s="111" t="str">
        <f ca="1">IF(RIGHT(L$4,2)&gt;=RIGHT('Input|General'!$G$11,2),IF(RIGHT(L$4,2)&lt;=RIGHT('Input|General'!$G$12,2),L$4,""),"")</f>
        <v/>
      </c>
      <c r="M10" s="111" t="str">
        <f ca="1">IF(RIGHT(M$4,2)&gt;=RIGHT('Input|General'!$G$11,2),IF(RIGHT(M$4,2)&lt;=RIGHT('Input|General'!$G$12,2),M$4,""),"")</f>
        <v/>
      </c>
      <c r="N10" s="111" t="str">
        <f ca="1">IF(RIGHT(N$4,2)&gt;=RIGHT('Input|General'!$G$11,2),IF(RIGHT(N$4,2)&lt;=RIGHT('Input|General'!$G$12,2),N$4,""),"")</f>
        <v/>
      </c>
      <c r="O10" s="175">
        <f ca="1">IF(RIGHT(O$4,2)&gt;=RIGHT('Input|General'!$G$11,2),IF(RIGHT(O$4,2)&lt;=RIGHT('Input|General'!$G$12,2),O$4,""),"")</f>
        <v>2018</v>
      </c>
      <c r="P10" s="175">
        <f ca="1">IF(RIGHT(P$4,2)&gt;=RIGHT('Input|General'!$G$11,2),IF(RIGHT(P$4,2)&lt;=RIGHT('Input|General'!$G$12,2),P$4,""),"")</f>
        <v>2019</v>
      </c>
      <c r="Q10" s="175">
        <f ca="1">IF(RIGHT(Q$4,2)&gt;=RIGHT('Input|General'!$G$11,2),IF(RIGHT(Q$4,2)&lt;=RIGHT('Input|General'!$G$12,2),Q$4,""),"")</f>
        <v>2020</v>
      </c>
      <c r="R10" s="175">
        <f ca="1">IF(RIGHT(R$4,2)&gt;=RIGHT('Input|General'!$G$11,2),IF(RIGHT(R$4,2)&lt;=RIGHT('Input|General'!$G$12,2),R$4,""),"")</f>
        <v>2021</v>
      </c>
      <c r="S10" s="175">
        <f ca="1">IF(RIGHT(S$4,2)&gt;=RIGHT('Input|General'!$G$11,2),IF(RIGHT(S$4,2)&lt;=RIGHT('Input|General'!$G$12,2),S$4,""),"")</f>
        <v>2022</v>
      </c>
    </row>
    <row r="11" spans="1:47" outlineLevel="1">
      <c r="G11" s="32"/>
      <c r="H11" s="32"/>
    </row>
    <row r="12" spans="1:47" outlineLevel="1">
      <c r="C12" s="62" t="s">
        <v>148</v>
      </c>
      <c r="D12" s="30" t="s">
        <v>79</v>
      </c>
      <c r="E12" s="163" t="s">
        <v>15</v>
      </c>
      <c r="F12" s="174">
        <v>2017</v>
      </c>
      <c r="G12" s="32"/>
      <c r="H12" s="32"/>
      <c r="O12" s="64">
        <v>0</v>
      </c>
      <c r="P12" s="64">
        <v>0</v>
      </c>
      <c r="Q12" s="64">
        <v>0</v>
      </c>
      <c r="R12" s="64">
        <v>0</v>
      </c>
      <c r="S12" s="64">
        <v>0</v>
      </c>
    </row>
    <row r="13" spans="1:47" outlineLevel="1">
      <c r="C13" s="62"/>
      <c r="D13" s="30" t="s">
        <v>79</v>
      </c>
      <c r="E13" s="163" t="s">
        <v>15</v>
      </c>
      <c r="F13" s="174">
        <v>2017</v>
      </c>
      <c r="G13" s="32"/>
      <c r="H13" s="32"/>
      <c r="O13" s="64"/>
      <c r="P13" s="64"/>
      <c r="Q13" s="64"/>
      <c r="R13" s="64"/>
      <c r="S13" s="64"/>
    </row>
    <row r="14" spans="1:47" outlineLevel="1">
      <c r="C14" s="62"/>
      <c r="D14" s="30" t="s">
        <v>79</v>
      </c>
      <c r="E14" s="163" t="s">
        <v>15</v>
      </c>
      <c r="F14" s="174">
        <v>2017</v>
      </c>
      <c r="G14" s="32"/>
      <c r="H14" s="32"/>
      <c r="O14" s="64"/>
      <c r="P14" s="64"/>
      <c r="Q14" s="64"/>
      <c r="R14" s="64"/>
      <c r="S14" s="64"/>
    </row>
    <row r="15" spans="1:47" outlineLevel="1">
      <c r="C15" s="62"/>
      <c r="D15" s="30" t="s">
        <v>79</v>
      </c>
      <c r="E15" s="163" t="s">
        <v>15</v>
      </c>
      <c r="F15" s="174">
        <v>2017</v>
      </c>
      <c r="G15" s="32"/>
      <c r="H15" s="32"/>
      <c r="O15" s="64"/>
      <c r="P15" s="64"/>
      <c r="Q15" s="64"/>
      <c r="R15" s="64"/>
      <c r="S15" s="64"/>
    </row>
    <row r="16" spans="1:47" outlineLevel="1">
      <c r="C16" s="62"/>
      <c r="D16" s="30" t="s">
        <v>79</v>
      </c>
      <c r="E16" s="163" t="s">
        <v>15</v>
      </c>
      <c r="F16" s="174">
        <v>2017</v>
      </c>
      <c r="G16" s="32"/>
      <c r="H16" s="32"/>
      <c r="O16" s="64"/>
      <c r="P16" s="64"/>
      <c r="Q16" s="64"/>
      <c r="R16" s="64"/>
      <c r="S16" s="64"/>
    </row>
    <row r="17" spans="1:47" outlineLevel="1">
      <c r="C17" s="62"/>
      <c r="D17" s="30" t="s">
        <v>79</v>
      </c>
      <c r="E17" s="163" t="s">
        <v>15</v>
      </c>
      <c r="F17" s="174">
        <v>2017</v>
      </c>
      <c r="G17" s="32"/>
      <c r="H17" s="32"/>
      <c r="O17" s="64"/>
      <c r="P17" s="64"/>
      <c r="Q17" s="64"/>
      <c r="R17" s="64"/>
      <c r="S17" s="64"/>
    </row>
    <row r="18" spans="1:47" outlineLevel="1">
      <c r="C18" s="62"/>
      <c r="D18" s="30" t="s">
        <v>79</v>
      </c>
      <c r="E18" s="163" t="s">
        <v>15</v>
      </c>
      <c r="F18" s="174">
        <v>2017</v>
      </c>
      <c r="G18" s="32"/>
      <c r="H18" s="32"/>
      <c r="O18" s="64"/>
      <c r="P18" s="64"/>
      <c r="Q18" s="64"/>
      <c r="R18" s="64"/>
      <c r="S18" s="64"/>
    </row>
    <row r="19" spans="1:47" outlineLevel="1">
      <c r="C19" s="62"/>
      <c r="D19" s="30" t="s">
        <v>79</v>
      </c>
      <c r="E19" s="163" t="s">
        <v>15</v>
      </c>
      <c r="F19" s="174">
        <v>2017</v>
      </c>
      <c r="G19" s="32"/>
      <c r="H19" s="32"/>
      <c r="O19" s="64"/>
      <c r="P19" s="64"/>
      <c r="Q19" s="64"/>
      <c r="R19" s="64"/>
      <c r="S19" s="64"/>
    </row>
    <row r="20" spans="1:47" outlineLevel="1">
      <c r="C20" s="62"/>
      <c r="D20" s="30" t="s">
        <v>79</v>
      </c>
      <c r="E20" s="163" t="s">
        <v>15</v>
      </c>
      <c r="F20" s="174">
        <v>2017</v>
      </c>
      <c r="G20" s="32"/>
      <c r="H20" s="32"/>
      <c r="O20" s="64"/>
      <c r="P20" s="64"/>
      <c r="Q20" s="64"/>
      <c r="R20" s="64"/>
      <c r="S20" s="64"/>
    </row>
    <row r="21" spans="1:47">
      <c r="G21" s="32"/>
      <c r="H21" s="32"/>
    </row>
    <row r="22" spans="1:47" s="108" customFormat="1" ht="12.75">
      <c r="A22" s="99"/>
      <c r="B22" s="100" t="s">
        <v>138</v>
      </c>
      <c r="C22" s="99"/>
      <c r="D22" s="99"/>
      <c r="E22" s="99"/>
      <c r="F22" s="101"/>
      <c r="G22" s="101"/>
      <c r="H22" s="101"/>
      <c r="I22" s="101"/>
      <c r="J22" s="102"/>
      <c r="K22" s="103"/>
      <c r="L22" s="102"/>
      <c r="M22" s="103"/>
      <c r="N22" s="102"/>
      <c r="O22" s="102"/>
      <c r="P22" s="102"/>
      <c r="Q22" s="102"/>
      <c r="R22" s="102"/>
      <c r="S22" s="102"/>
      <c r="T22" s="102"/>
      <c r="U22" s="102"/>
      <c r="V22" s="103"/>
      <c r="W22" s="103"/>
      <c r="X22" s="104"/>
      <c r="Y22" s="104"/>
      <c r="Z22" s="104"/>
      <c r="AA22" s="104"/>
      <c r="AB22" s="105"/>
      <c r="AC22" s="106"/>
      <c r="AD22" s="106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</row>
    <row r="23" spans="1:47" outlineLevel="1">
      <c r="G23" s="32"/>
      <c r="H23" s="32"/>
    </row>
    <row r="24" spans="1:47" outlineLevel="1">
      <c r="C24" s="70" t="s">
        <v>128</v>
      </c>
      <c r="D24" s="32" t="s">
        <v>7</v>
      </c>
      <c r="E24" s="32" t="s">
        <v>8</v>
      </c>
      <c r="F24" s="32" t="s">
        <v>22</v>
      </c>
      <c r="G24" s="32"/>
      <c r="H24" s="32"/>
      <c r="J24" s="111" t="str">
        <f>IF(RIGHT(J$4,2)&gt;=RIGHT('Input|General'!$G$11,2),IF(RIGHT(J$4,2)&lt;=RIGHT('Input|General'!$G$12,2),J$4,""),"")</f>
        <v/>
      </c>
      <c r="K24" s="111" t="str">
        <f ca="1">IF(RIGHT(K$4,2)&gt;=RIGHT('Input|General'!$G$11,2),IF(RIGHT(K$4,2)&lt;=RIGHT('Input|General'!$G$12,2),K$4,""),"")</f>
        <v/>
      </c>
      <c r="L24" s="111" t="str">
        <f ca="1">IF(RIGHT(L$4,2)&gt;=RIGHT('Input|General'!$G$11,2),IF(RIGHT(L$4,2)&lt;=RIGHT('Input|General'!$G$12,2),L$4,""),"")</f>
        <v/>
      </c>
      <c r="M24" s="111" t="str">
        <f ca="1">IF(RIGHT(M$4,2)&gt;=RIGHT('Input|General'!$G$11,2),IF(RIGHT(M$4,2)&lt;=RIGHT('Input|General'!$G$12,2),M$4,""),"")</f>
        <v/>
      </c>
      <c r="N24" s="111" t="str">
        <f ca="1">IF(RIGHT(N$4,2)&gt;=RIGHT('Input|General'!$G$11,2),IF(RIGHT(N$4,2)&lt;=RIGHT('Input|General'!$G$12,2),N$4,""),"")</f>
        <v/>
      </c>
      <c r="O24" s="175">
        <f ca="1">IF(RIGHT(O$4,2)&gt;=RIGHT('Input|General'!$G$11,2),IF(RIGHT(O$4,2)&lt;=RIGHT('Input|General'!$G$12,2),O$4,""),"")</f>
        <v>2018</v>
      </c>
      <c r="P24" s="175">
        <f ca="1">IF(RIGHT(P$4,2)&gt;=RIGHT('Input|General'!$G$11,2),IF(RIGHT(P$4,2)&lt;=RIGHT('Input|General'!$G$12,2),P$4,""),"")</f>
        <v>2019</v>
      </c>
      <c r="Q24" s="175">
        <f ca="1">IF(RIGHT(Q$4,2)&gt;=RIGHT('Input|General'!$G$11,2),IF(RIGHT(Q$4,2)&lt;=RIGHT('Input|General'!$G$12,2),Q$4,""),"")</f>
        <v>2020</v>
      </c>
      <c r="R24" s="175">
        <f ca="1">IF(RIGHT(R$4,2)&gt;=RIGHT('Input|General'!$G$11,2),IF(RIGHT(R$4,2)&lt;=RIGHT('Input|General'!$G$12,2),R$4,""),"")</f>
        <v>2021</v>
      </c>
      <c r="S24" s="175">
        <f ca="1">IF(RIGHT(S$4,2)&gt;=RIGHT('Input|General'!$G$11,2),IF(RIGHT(S$4,2)&lt;=RIGHT('Input|General'!$G$12,2),S$4,""),"")</f>
        <v>2022</v>
      </c>
    </row>
    <row r="25" spans="1:47" outlineLevel="1">
      <c r="G25" s="32"/>
      <c r="H25" s="32"/>
    </row>
    <row r="26" spans="1:47" outlineLevel="1">
      <c r="C26" s="62" t="s">
        <v>127</v>
      </c>
      <c r="D26" s="30" t="s">
        <v>79</v>
      </c>
      <c r="E26" s="163" t="s">
        <v>15</v>
      </c>
      <c r="F26" s="174">
        <v>2017</v>
      </c>
      <c r="G26" s="32"/>
      <c r="H26" s="32"/>
      <c r="O26" s="64">
        <v>0.18788711499179556</v>
      </c>
      <c r="P26" s="64">
        <v>0.4898932104395044</v>
      </c>
      <c r="Q26" s="64">
        <v>0.7962860801504803</v>
      </c>
      <c r="R26" s="64">
        <v>1.1088436060983184</v>
      </c>
      <c r="S26" s="64">
        <v>1.4275897811953939</v>
      </c>
    </row>
    <row r="27" spans="1:47" outlineLevel="1">
      <c r="C27" s="62"/>
      <c r="D27" s="30" t="s">
        <v>79</v>
      </c>
      <c r="E27" s="163" t="s">
        <v>15</v>
      </c>
      <c r="F27" s="174">
        <v>2017</v>
      </c>
      <c r="G27" s="32"/>
      <c r="H27" s="32"/>
      <c r="O27" s="64"/>
      <c r="P27" s="64"/>
      <c r="Q27" s="64"/>
      <c r="R27" s="64"/>
      <c r="S27" s="64"/>
    </row>
    <row r="28" spans="1:47" outlineLevel="1">
      <c r="C28" s="62"/>
      <c r="D28" s="30" t="s">
        <v>79</v>
      </c>
      <c r="E28" s="163" t="s">
        <v>15</v>
      </c>
      <c r="F28" s="174">
        <v>2017</v>
      </c>
      <c r="G28" s="32"/>
      <c r="H28" s="32"/>
      <c r="O28" s="64"/>
      <c r="P28" s="64"/>
      <c r="Q28" s="64"/>
      <c r="R28" s="64"/>
      <c r="S28" s="64"/>
    </row>
    <row r="29" spans="1:47">
      <c r="G29" s="32"/>
      <c r="H29" s="32"/>
    </row>
    <row r="30" spans="1:47" s="108" customFormat="1" ht="12.75">
      <c r="A30" s="99"/>
      <c r="B30" s="100" t="s">
        <v>45</v>
      </c>
      <c r="C30" s="99"/>
      <c r="D30" s="99"/>
      <c r="E30" s="99"/>
      <c r="F30" s="101"/>
      <c r="G30" s="101"/>
      <c r="H30" s="101"/>
      <c r="I30" s="101"/>
      <c r="J30" s="102"/>
      <c r="K30" s="103"/>
      <c r="L30" s="102"/>
      <c r="M30" s="103"/>
      <c r="N30" s="102"/>
      <c r="O30" s="102"/>
      <c r="P30" s="102"/>
      <c r="Q30" s="102"/>
      <c r="R30" s="102"/>
      <c r="S30" s="102"/>
      <c r="T30" s="102"/>
      <c r="U30" s="102"/>
      <c r="V30" s="103"/>
      <c r="W30" s="103"/>
      <c r="X30" s="104"/>
      <c r="Y30" s="104"/>
      <c r="Z30" s="104"/>
      <c r="AA30" s="104"/>
      <c r="AB30" s="105"/>
      <c r="AC30" s="106"/>
      <c r="AD30" s="106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</row>
    <row r="31" spans="1:47" outlineLevel="1">
      <c r="G31" s="32"/>
      <c r="H31" s="32"/>
    </row>
    <row r="32" spans="1:47" outlineLevel="1">
      <c r="C32" s="70" t="s">
        <v>32</v>
      </c>
      <c r="D32" s="32" t="s">
        <v>7</v>
      </c>
      <c r="E32" s="32" t="s">
        <v>8</v>
      </c>
      <c r="F32" s="32" t="s">
        <v>22</v>
      </c>
      <c r="G32" s="32"/>
      <c r="H32" s="32"/>
      <c r="J32" s="111" t="str">
        <f>IF(RIGHT(J$4,2)&gt;=RIGHT('Input|General'!$G$11,2),IF(RIGHT(J$4,2)&lt;=RIGHT('Input|General'!$G$12,2),J$4,""),"")</f>
        <v/>
      </c>
      <c r="K32" s="111" t="str">
        <f ca="1">IF(RIGHT(K$4,2)&gt;=RIGHT('Input|General'!$G$11,2),IF(RIGHT(K$4,2)&lt;=RIGHT('Input|General'!$G$12,2),K$4,""),"")</f>
        <v/>
      </c>
      <c r="L32" s="111" t="str">
        <f ca="1">IF(RIGHT(L$4,2)&gt;=RIGHT('Input|General'!$G$11,2),IF(RIGHT(L$4,2)&lt;=RIGHT('Input|General'!$G$12,2),L$4,""),"")</f>
        <v/>
      </c>
      <c r="M32" s="111" t="str">
        <f ca="1">IF(RIGHT(M$4,2)&gt;=RIGHT('Input|General'!$G$11,2),IF(RIGHT(M$4,2)&lt;=RIGHT('Input|General'!$G$12,2),M$4,""),"")</f>
        <v/>
      </c>
      <c r="N32" s="111" t="str">
        <f ca="1">IF(RIGHT(N$4,2)&gt;=RIGHT('Input|General'!$G$11,2),IF(RIGHT(N$4,2)&lt;=RIGHT('Input|General'!$G$12,2),N$4,""),"")</f>
        <v/>
      </c>
      <c r="O32" s="175">
        <f ca="1">IF(RIGHT(O$4,2)&gt;=RIGHT('Input|General'!$G$11,2),IF(RIGHT(O$4,2)&lt;=RIGHT('Input|General'!$G$12,2),O$4,""),"")</f>
        <v>2018</v>
      </c>
      <c r="P32" s="175">
        <f ca="1">IF(RIGHT(P$4,2)&gt;=RIGHT('Input|General'!$G$11,2),IF(RIGHT(P$4,2)&lt;=RIGHT('Input|General'!$G$12,2),P$4,""),"")</f>
        <v>2019</v>
      </c>
      <c r="Q32" s="175">
        <f ca="1">IF(RIGHT(Q$4,2)&gt;=RIGHT('Input|General'!$G$11,2),IF(RIGHT(Q$4,2)&lt;=RIGHT('Input|General'!$G$12,2),Q$4,""),"")</f>
        <v>2020</v>
      </c>
      <c r="R32" s="175">
        <f ca="1">IF(RIGHT(R$4,2)&gt;=RIGHT('Input|General'!$G$11,2),IF(RIGHT(R$4,2)&lt;=RIGHT('Input|General'!$G$12,2),R$4,""),"")</f>
        <v>2021</v>
      </c>
      <c r="S32" s="175">
        <f ca="1">IF(RIGHT(S$4,2)&gt;=RIGHT('Input|General'!$G$11,2),IF(RIGHT(S$4,2)&lt;=RIGHT('Input|General'!$G$12,2),S$4,""),"")</f>
        <v>2022</v>
      </c>
    </row>
    <row r="33" spans="1:47" outlineLevel="1">
      <c r="G33" s="32"/>
      <c r="H33" s="32"/>
    </row>
    <row r="34" spans="1:47" outlineLevel="1">
      <c r="C34" s="117" t="s">
        <v>39</v>
      </c>
      <c r="D34" s="30" t="s">
        <v>82</v>
      </c>
      <c r="E34" s="30" t="s">
        <v>15</v>
      </c>
      <c r="F34" s="172">
        <v>2017</v>
      </c>
      <c r="G34" s="32"/>
      <c r="H34" s="32"/>
      <c r="O34" s="72">
        <v>0.78859662559806265</v>
      </c>
      <c r="P34" s="72">
        <v>0.80778471230058968</v>
      </c>
      <c r="Q34" s="72">
        <v>0.83285376769421327</v>
      </c>
      <c r="R34" s="72">
        <v>0.85063856723326015</v>
      </c>
      <c r="S34" s="72">
        <v>0.86103342177232434</v>
      </c>
    </row>
    <row r="35" spans="1:47">
      <c r="G35" s="32"/>
      <c r="H35" s="32"/>
    </row>
    <row r="36" spans="1:47" s="108" customFormat="1" ht="12.75">
      <c r="A36" s="99"/>
      <c r="B36" s="100" t="s">
        <v>21</v>
      </c>
      <c r="C36" s="99"/>
      <c r="D36" s="99"/>
      <c r="E36" s="99"/>
      <c r="F36" s="101"/>
      <c r="G36" s="101"/>
      <c r="H36" s="101"/>
      <c r="I36" s="101"/>
      <c r="J36" s="102"/>
      <c r="K36" s="103"/>
      <c r="L36" s="102"/>
      <c r="M36" s="103"/>
      <c r="N36" s="102"/>
      <c r="O36" s="102"/>
      <c r="P36" s="102"/>
      <c r="Q36" s="102"/>
      <c r="R36" s="102"/>
      <c r="S36" s="102"/>
      <c r="T36" s="102"/>
      <c r="U36" s="102"/>
      <c r="V36" s="103"/>
      <c r="W36" s="103"/>
      <c r="X36" s="104"/>
      <c r="Y36" s="104"/>
      <c r="Z36" s="104"/>
      <c r="AA36" s="104"/>
      <c r="AB36" s="105"/>
      <c r="AC36" s="106"/>
      <c r="AD36" s="106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</row>
    <row r="37" spans="1:47" hidden="1">
      <c r="G37" s="32"/>
      <c r="H37" s="32"/>
    </row>
    <row r="38" spans="1:47" hidden="1">
      <c r="G38" s="32"/>
      <c r="H38" s="32"/>
    </row>
    <row r="39" spans="1:47" hidden="1">
      <c r="G39" s="32"/>
      <c r="H39" s="32"/>
    </row>
    <row r="40" spans="1:47" hidden="1">
      <c r="G40" s="32"/>
      <c r="H40" s="32"/>
    </row>
    <row r="41" spans="1:47" hidden="1">
      <c r="G41" s="32"/>
      <c r="H41" s="32"/>
    </row>
    <row r="42" spans="1:47" hidden="1">
      <c r="G42" s="32"/>
      <c r="H42" s="3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</sheetData>
  <mergeCells count="2">
    <mergeCell ref="J3:L3"/>
    <mergeCell ref="N3:S3"/>
  </mergeCells>
  <conditionalFormatting sqref="S1">
    <cfRule type="cellIs" dxfId="67" priority="1" operator="equal">
      <formula>"Check"</formula>
    </cfRule>
    <cfRule type="cellIs" dxfId="66" priority="2" operator="equal">
      <formula>"Ok"</formula>
    </cfRule>
  </conditionalFormatting>
  <conditionalFormatting sqref="V1">
    <cfRule type="cellIs" dxfId="65" priority="3" operator="equal">
      <formula>"Check"</formula>
    </cfRule>
    <cfRule type="cellIs" dxfId="64" priority="4" operator="equal">
      <formula>"Ok"</formula>
    </cfRule>
  </conditionalFormatting>
  <dataValidations count="3">
    <dataValidation type="list" allowBlank="1" showInputMessage="1" showErrorMessage="1" sqref="F29 F21">
      <formula1>"Real 2010,Real 2011,Real 2012,Real 2013,Real 2014,Real 2015,Nominal"</formula1>
    </dataValidation>
    <dataValidation type="list" allowBlank="1" showInputMessage="1" showErrorMessage="1" sqref="I26:I29 I34 I12:I20 U12:U20 U26:U29">
      <formula1>#REF!</formula1>
    </dataValidation>
    <dataValidation type="list" allowBlank="1" showInputMessage="1" showErrorMessage="1" sqref="I21 U2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E34 E12:E20 E26:E28</xm:sqref>
        </x14:dataValidation>
        <x14:dataValidation type="list" allowBlank="1" showInputMessage="1" showErrorMessage="1">
          <x14:formula1>
            <xm:f>'Lookup|Tables'!$G$25:$G$42</xm:f>
          </x14:formula1>
          <xm:sqref>F34 F26:F28 F12:F20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71"/>
  <sheetViews>
    <sheetView showGridLines="0" workbookViewId="0">
      <selection activeCell="J1" sqref="J1"/>
    </sheetView>
  </sheetViews>
  <sheetFormatPr defaultColWidth="0" defaultRowHeight="11.25" zeroHeight="1" outlineLevelRow="1"/>
  <cols>
    <col min="1" max="2" width="1.5" style="29" customWidth="1"/>
    <col min="3" max="3" width="50.1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92</v>
      </c>
      <c r="S1" s="80" t="s">
        <v>36</v>
      </c>
      <c r="U1" s="183" t="s">
        <v>24</v>
      </c>
      <c r="V1" s="80" t="str">
        <f>'Check|List'!$S$1</f>
        <v>Ok</v>
      </c>
    </row>
    <row r="2" spans="1:47" s="81" customFormat="1" ht="13.5" thickBot="1">
      <c r="B2" s="82" t="str">
        <f>Index!$C$12</f>
        <v>Calc | Opex Forecast</v>
      </c>
      <c r="C2" s="82"/>
      <c r="D2" s="82"/>
      <c r="E2" s="82"/>
      <c r="F2" s="83"/>
      <c r="G2" s="83"/>
      <c r="H2" s="83"/>
      <c r="I2" s="83"/>
    </row>
    <row r="3" spans="1:47" s="84" customFormat="1">
      <c r="C3" s="85"/>
      <c r="D3" s="86"/>
      <c r="E3" s="86"/>
      <c r="F3" s="86"/>
      <c r="G3" s="86"/>
      <c r="H3" s="86"/>
      <c r="I3" s="86"/>
      <c r="J3" s="184"/>
      <c r="K3" s="184"/>
      <c r="L3" s="184"/>
      <c r="M3" s="86"/>
      <c r="N3" s="184"/>
      <c r="O3" s="184"/>
      <c r="P3" s="184"/>
      <c r="Q3" s="184"/>
      <c r="R3" s="184"/>
      <c r="S3" s="184"/>
      <c r="T3" s="87"/>
      <c r="U3" s="87"/>
      <c r="V3" s="87"/>
      <c r="W3" s="87"/>
      <c r="X3" s="87"/>
      <c r="Y3" s="87"/>
      <c r="Z3" s="87"/>
    </row>
    <row r="4" spans="1:47" s="98" customFormat="1" ht="10.5">
      <c r="A4" s="88"/>
      <c r="B4" s="88"/>
      <c r="C4" s="88"/>
      <c r="D4" s="89" t="s">
        <v>7</v>
      </c>
      <c r="E4" s="89" t="s">
        <v>8</v>
      </c>
      <c r="F4" s="90" t="s">
        <v>22</v>
      </c>
      <c r="G4" s="91"/>
      <c r="H4" s="91"/>
      <c r="I4" s="91"/>
      <c r="J4" s="176">
        <f>'Input|General'!$G$8</f>
        <v>2013</v>
      </c>
      <c r="K4" s="177">
        <f ca="1">IF(OFFSET('Lookup|Tables'!$G$26:$G$43,MATCH('Input|General'!$G$8,'Lookup|Tables'!$G$26:$G$42,0),0,1,1)&lt;='Input|General'!$G$12,OFFSET('Lookup|Tables'!$G$26:$G$43,MATCH('Input|General'!$G$8,'Lookup|Tables'!$G$26:$G$42,0),0,1,1),"")</f>
        <v>2014</v>
      </c>
      <c r="L4" s="176">
        <f ca="1">IF(OFFSET('Lookup|Tables'!$G$28:$G$43,MATCH('Input|General'!$G$8,'Lookup|Tables'!$G$28:$G$42,0)+1,0,1,1)&lt;='Input|General'!$G$12,OFFSET('Lookup|Tables'!$G$28:$G$43,MATCH('Input|General'!$G$8,'Lookup|Tables'!$G$28:$G$42,0)+1,0,1,1),"")</f>
        <v>2015</v>
      </c>
      <c r="M4" s="177">
        <f ca="1">IF(OFFSET('Lookup|Tables'!$G$28:$G$43,MATCH('Input|General'!$G$8,'Lookup|Tables'!$G$28:$G$42,0)+2,0,1,1)&lt;='Input|General'!$G$12,OFFSET('Lookup|Tables'!$G$28:$G$43,MATCH('Input|General'!$G$8,'Lookup|Tables'!$G$28:$G$42,0)+2,0,1,1),"")</f>
        <v>2016</v>
      </c>
      <c r="N4" s="176">
        <f ca="1">IF(OFFSET('Lookup|Tables'!$G$28:$G$43,MATCH('Input|General'!$G$8,'Lookup|Tables'!$G$28:$G$42,0)+3,0,1,1)&lt;='Input|General'!$G$12,OFFSET('Lookup|Tables'!$G$28:$G$43,MATCH('Input|General'!$G$8,'Lookup|Tables'!$G$28:$G$42,0)+3,0,1,1),"")</f>
        <v>2017</v>
      </c>
      <c r="O4" s="176">
        <f ca="1">IF(OFFSET('Lookup|Tables'!$G$28:$G$43,MATCH('Input|General'!$G$8,'Lookup|Tables'!$G$28:$G$42,0)+4,0,1,1)&lt;='Input|General'!$G$12,OFFSET('Lookup|Tables'!$G$28:$G$43,MATCH('Input|General'!$G$8,'Lookup|Tables'!$G$28:$G$42,0)+4,0,1,1),"")</f>
        <v>2018</v>
      </c>
      <c r="P4" s="176">
        <f ca="1">IF(OFFSET('Lookup|Tables'!$G$28:$G$43,MATCH('Input|General'!$G$8,'Lookup|Tables'!$G$28:$G$42,0)+5,0,1,1)&lt;='Input|General'!$G$12,OFFSET('Lookup|Tables'!$G$28:$G$43,MATCH('Input|General'!$G$8,'Lookup|Tables'!$G$28:$G$42,0)+5,0,1,1),"")</f>
        <v>2019</v>
      </c>
      <c r="Q4" s="176">
        <f ca="1">IF(OFFSET('Lookup|Tables'!$G$28:$G$43,MATCH('Input|General'!$G$8,'Lookup|Tables'!$G$28:$G$42,0)+6,0,1,1)&lt;='Input|General'!$G$12,OFFSET('Lookup|Tables'!$G$28:$G$43,MATCH('Input|General'!$G$8,'Lookup|Tables'!$G$28:$G$42,0)+6,0,1,1),"")</f>
        <v>2020</v>
      </c>
      <c r="R4" s="176">
        <f ca="1">IF(OFFSET('Lookup|Tables'!$G$28:$G$43,MATCH('Input|General'!$G$8,'Lookup|Tables'!$G$28:$G$42,0)+7,0,1,1)&lt;='Input|General'!$G$12,OFFSET('Lookup|Tables'!$G$28:$G$43,MATCH('Input|General'!$G$8,'Lookup|Tables'!$G$28:$G$42,0)+7,0,1,1),"")</f>
        <v>2021</v>
      </c>
      <c r="S4" s="176">
        <f ca="1">IF(OFFSET('Lookup|Tables'!$G$28:$G$43,MATCH('Input|General'!$G$8,'Lookup|Tables'!$G$28:$G$42,0)+8,0,1,1)&lt;='Input|General'!$G$12,OFFSET('Lookup|Tables'!$G$28:$G$43,MATCH('Input|General'!$G$8,'Lookup|Tables'!$G$28:$G$42,0)+8,0,1,1),"")</f>
        <v>2022</v>
      </c>
      <c r="T4" s="92"/>
      <c r="U4" s="92"/>
      <c r="V4" s="93"/>
      <c r="W4" s="93"/>
      <c r="X4" s="94"/>
      <c r="Y4" s="94"/>
      <c r="Z4" s="94"/>
      <c r="AA4" s="94"/>
      <c r="AB4" s="95"/>
      <c r="AC4" s="96"/>
      <c r="AD4" s="96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8" customFormat="1" ht="12.75">
      <c r="A8" s="99"/>
      <c r="B8" s="100" t="s">
        <v>96</v>
      </c>
      <c r="C8" s="99"/>
      <c r="D8" s="99"/>
      <c r="E8" s="71" t="s">
        <v>15</v>
      </c>
      <c r="F8" s="71" t="s">
        <v>41</v>
      </c>
      <c r="G8" s="101"/>
      <c r="H8" s="101"/>
      <c r="I8" s="101"/>
      <c r="J8" s="102"/>
      <c r="K8" s="103"/>
      <c r="L8" s="102"/>
      <c r="M8" s="103"/>
      <c r="N8" s="102"/>
      <c r="O8" s="102"/>
      <c r="P8" s="102"/>
      <c r="Q8" s="102"/>
      <c r="R8" s="102"/>
      <c r="S8" s="102"/>
      <c r="T8" s="102"/>
      <c r="U8" s="102"/>
      <c r="V8" s="103"/>
      <c r="W8" s="103"/>
      <c r="X8" s="104"/>
      <c r="Y8" s="104"/>
      <c r="Z8" s="104"/>
      <c r="AA8" s="104"/>
      <c r="AB8" s="105"/>
      <c r="AC8" s="106"/>
      <c r="AD8" s="106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</row>
    <row r="9" spans="1:47" outlineLevel="1"/>
    <row r="10" spans="1:47" outlineLevel="1">
      <c r="C10" s="109"/>
      <c r="D10" s="32" t="s">
        <v>7</v>
      </c>
      <c r="E10" s="32" t="s">
        <v>8</v>
      </c>
      <c r="F10" s="32" t="s">
        <v>22</v>
      </c>
      <c r="G10" s="110"/>
      <c r="H10" s="110"/>
      <c r="I10" s="110"/>
      <c r="J10" s="175" t="str">
        <f>IF(RIGHT(J$4,2)&gt;=RIGHT('Input|General'!$G$9,2),IF(RIGHT(J$4,2)&lt;=RIGHT('Input|General'!$G$10,2),J$4,""),"")</f>
        <v/>
      </c>
      <c r="K10" s="175" t="str">
        <f ca="1">IF(RIGHT(K$4,2)&gt;=RIGHT('Input|General'!$G$9,2),IF(RIGHT(K$4,2)&lt;=RIGHT('Input|General'!$G$10,2),K$4,""),"")</f>
        <v/>
      </c>
      <c r="L10" s="175" t="str">
        <f ca="1">IF(RIGHT(L$4,2)&gt;=RIGHT('Input|General'!$G$9,2),IF(RIGHT(L$4,2)&lt;=RIGHT('Input|General'!$G$10,2),L$4,""),"")</f>
        <v/>
      </c>
      <c r="M10" s="175">
        <f ca="1">IF(RIGHT(M$4,2)&gt;=RIGHT('Input|General'!$G$9,2),IF(RIGHT(M$4,2)&lt;=RIGHT('Input|General'!$G$10,2),M$4,""),"")</f>
        <v>2016</v>
      </c>
      <c r="N10" s="175">
        <f ca="1">IF(RIGHT(N$4,2)&gt;=RIGHT('Input|General'!$G$9,2),IF(RIGHT(N$4,2)&lt;=RIGHT('Input|General'!$G$10,2),N$4,""),"")</f>
        <v>2017</v>
      </c>
      <c r="O10" s="175" t="str">
        <f ca="1">IF(RIGHT(O$4,2)&gt;=RIGHT('Input|General'!$G$9,2),IF(RIGHT(O$4,2)&lt;=RIGHT('Input|General'!$G$10,2),O$4,""),"")</f>
        <v/>
      </c>
      <c r="P10" s="175" t="str">
        <f ca="1">IF(RIGHT(P$4,2)&gt;=RIGHT('Input|General'!$G$9,2),IF(RIGHT(P$4,2)&lt;=RIGHT('Input|General'!$G$10,2),P$4,""),"")</f>
        <v/>
      </c>
      <c r="Q10" s="175" t="str">
        <f ca="1">IF(RIGHT(Q$4,2)&gt;=RIGHT('Input|General'!$G$9,2),IF(RIGHT(Q$4,2)&lt;=RIGHT('Input|General'!$G$10,2),Q$4,""),"")</f>
        <v/>
      </c>
      <c r="R10" s="175" t="str">
        <f ca="1">IF(RIGHT(R$4,2)&gt;=RIGHT('Input|General'!$G$9,2),IF(RIGHT(R$4,2)&lt;=RIGHT('Input|General'!$G$10,2),R$4,""),"")</f>
        <v/>
      </c>
      <c r="S10" s="175" t="str">
        <f ca="1">IF(RIGHT(S$4,2)&gt;=RIGHT('Input|General'!$G$9,2),IF(RIGHT(S$4,2)&lt;=RIGHT('Input|General'!$G$10,2),S$4,""),"")</f>
        <v/>
      </c>
    </row>
    <row r="11" spans="1:47" outlineLevel="1">
      <c r="C11" s="112"/>
      <c r="J11" s="113"/>
      <c r="K11" s="113"/>
      <c r="L11" s="113"/>
      <c r="M11" s="113"/>
      <c r="N11" s="113"/>
      <c r="O11" s="113"/>
      <c r="P11" s="113"/>
      <c r="Q11" s="113"/>
      <c r="R11" s="113"/>
      <c r="S11" s="113"/>
    </row>
    <row r="12" spans="1:47" outlineLevel="1">
      <c r="C12" s="112" t="s">
        <v>102</v>
      </c>
      <c r="D12" s="114" t="s">
        <v>105</v>
      </c>
      <c r="E12" s="30" t="str">
        <f>'Input|Reported opex'!E46</f>
        <v>$millions</v>
      </c>
      <c r="F12" s="30" t="str">
        <f>'Input|Reported opex'!F46</f>
        <v>nominal</v>
      </c>
      <c r="J12" s="115">
        <f>IF(J$10='Input|General'!$G$9,'Input|Reported opex'!J46,0)</f>
        <v>0</v>
      </c>
      <c r="K12" s="115">
        <f ca="1">IF(K$10='Input|General'!$G$9,'Input|Reported opex'!K46,0)</f>
        <v>0</v>
      </c>
      <c r="L12" s="115">
        <f ca="1">IF(L$10='Input|General'!$G$9,'Input|Reported opex'!L46,0)</f>
        <v>0</v>
      </c>
      <c r="M12" s="115">
        <f ca="1">IF(M$10='Input|General'!$G$9,'Input|Reported opex'!M46,0)</f>
        <v>63.203317110000008</v>
      </c>
      <c r="N12" s="115">
        <f ca="1">IF(N$10='Input|General'!$G$9,'Input|Reported opex'!N46,0)</f>
        <v>0</v>
      </c>
      <c r="O12" s="115">
        <f ca="1">IF(O$10='Input|General'!$G$9,'Input|Reported opex'!O46,0)</f>
        <v>0</v>
      </c>
      <c r="P12" s="115">
        <f ca="1">IF(P$10='Input|General'!$G$9,'Input|Reported opex'!P46,0)</f>
        <v>0</v>
      </c>
      <c r="Q12" s="115">
        <f ca="1">IF(Q$10='Input|General'!$G$9,'Input|Reported opex'!Q46,0)</f>
        <v>0</v>
      </c>
      <c r="R12" s="115">
        <f ca="1">IF(R$10='Input|General'!$G$9,'Input|Reported opex'!R46,0)</f>
        <v>0</v>
      </c>
      <c r="S12" s="115">
        <f ca="1">IF(S$10='Input|General'!$G$9,'Input|Reported opex'!S46,0)</f>
        <v>0</v>
      </c>
    </row>
    <row r="13" spans="1:47" outlineLevel="1">
      <c r="C13" s="112" t="s">
        <v>102</v>
      </c>
      <c r="D13" s="116" t="s">
        <v>30</v>
      </c>
      <c r="E13" s="30" t="str">
        <f>$E$8</f>
        <v>$millions</v>
      </c>
      <c r="F13" s="178">
        <v>2017</v>
      </c>
      <c r="J13" s="115">
        <f ca="1"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15">
        <f ca="1"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15">
        <f ca="1"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15">
        <f ca="1"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64.796377107178543</v>
      </c>
      <c r="N13" s="115">
        <f ca="1"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15">
        <f ca="1"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15">
        <f ca="1"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15">
        <f ca="1"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15">
        <f ca="1"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15">
        <f ca="1"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7" t="s">
        <v>103</v>
      </c>
      <c r="D14" s="114" t="s">
        <v>105</v>
      </c>
      <c r="E14" s="30" t="str">
        <f>'Input|Reported opex'!E24</f>
        <v>$millions</v>
      </c>
      <c r="F14" s="182">
        <f>'Input|Reported opex'!F24</f>
        <v>2012</v>
      </c>
      <c r="J14" s="115">
        <f>IF(J$10='Input|General'!$G$9,'Input|Reported opex'!J24,0)</f>
        <v>0</v>
      </c>
      <c r="K14" s="115">
        <f ca="1">IF(K$10='Input|General'!$G$9,'Input|Reported opex'!K24,0)</f>
        <v>0</v>
      </c>
      <c r="L14" s="115">
        <f ca="1">IF(L$10='Input|General'!$G$9,'Input|Reported opex'!L24,0)</f>
        <v>0</v>
      </c>
      <c r="M14" s="115">
        <f ca="1">IF(M$10='Input|General'!$G$9,'Input|Reported opex'!M24,0)</f>
        <v>66.675416672978116</v>
      </c>
      <c r="N14" s="115">
        <f ca="1">IF(N$10='Input|General'!$G$9,'Input|Reported opex'!N24,0)</f>
        <v>0</v>
      </c>
      <c r="O14" s="115">
        <f ca="1">IF(O$10='Input|General'!$G$9,'Input|Reported opex'!O24,0)</f>
        <v>0</v>
      </c>
      <c r="P14" s="115">
        <f ca="1">IF(P$10='Input|General'!$G$9,'Input|Reported opex'!P24,0)</f>
        <v>0</v>
      </c>
      <c r="Q14" s="115">
        <f ca="1">IF(Q$10='Input|General'!$G$9,'Input|Reported opex'!Q24,0)</f>
        <v>0</v>
      </c>
      <c r="R14" s="115">
        <f ca="1">IF(R$10='Input|General'!$G$9,'Input|Reported opex'!R24,0)</f>
        <v>0</v>
      </c>
      <c r="S14" s="115">
        <f ca="1">IF(S$10='Input|General'!$G$9,'Input|Reported opex'!S24,0)</f>
        <v>0</v>
      </c>
    </row>
    <row r="15" spans="1:47" outlineLevel="1">
      <c r="C15" s="117" t="s">
        <v>103</v>
      </c>
      <c r="D15" s="116" t="s">
        <v>30</v>
      </c>
      <c r="E15" s="30" t="str">
        <f>$E$8</f>
        <v>$millions</v>
      </c>
      <c r="F15" s="178">
        <v>2017</v>
      </c>
      <c r="J15" s="115">
        <f ca="1"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15">
        <f ca="1"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15">
        <f ca="1"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M15" s="115">
        <f ca="1"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73.563438801784201</v>
      </c>
      <c r="N15" s="115">
        <f ca="1"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15">
        <f ca="1"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15">
        <f ca="1"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15">
        <f ca="1"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15">
        <f ca="1"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15">
        <f ca="1"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7" t="s">
        <v>104</v>
      </c>
      <c r="D16" s="114" t="s">
        <v>105</v>
      </c>
      <c r="E16" s="30" t="str">
        <f>'Input|Reported opex'!E24</f>
        <v>$millions</v>
      </c>
      <c r="F16" s="182">
        <f>'Input|Reported opex'!F24</f>
        <v>2012</v>
      </c>
      <c r="J16" s="115">
        <f>IF(J$10='Input|General'!$G$10,'Input|Reported opex'!J24,0)</f>
        <v>0</v>
      </c>
      <c r="K16" s="115">
        <f ca="1">IF(K$10='Input|General'!$G$10,'Input|Reported opex'!K24,0)</f>
        <v>0</v>
      </c>
      <c r="L16" s="115">
        <f ca="1">IF(L$10='Input|General'!$G$10,'Input|Reported opex'!L24,0)</f>
        <v>0</v>
      </c>
      <c r="M16" s="115">
        <f ca="1">IF(M$10='Input|General'!$G$10,'Input|Reported opex'!M24,0)</f>
        <v>0</v>
      </c>
      <c r="N16" s="115">
        <f ca="1">IF(N$10='Input|General'!$G$10,'Input|Reported opex'!N24,0)</f>
        <v>67.686545683713135</v>
      </c>
      <c r="O16" s="115">
        <f ca="1">IF(O$10='Input|General'!$G$10,'Input|Reported opex'!O24,0)</f>
        <v>0</v>
      </c>
      <c r="P16" s="115">
        <f ca="1">IF(P$10='Input|General'!$G$10,'Input|Reported opex'!P24,0)</f>
        <v>0</v>
      </c>
      <c r="Q16" s="115">
        <f ca="1">IF(Q$10='Input|General'!$G$10,'Input|Reported opex'!Q24,0)</f>
        <v>0</v>
      </c>
      <c r="R16" s="115">
        <f ca="1">IF(R$10='Input|General'!$G$10,'Input|Reported opex'!R24,0)</f>
        <v>0</v>
      </c>
      <c r="S16" s="115">
        <f ca="1">IF(S$10='Input|General'!$G$10,'Input|Reported opex'!S24,0)</f>
        <v>0</v>
      </c>
    </row>
    <row r="17" spans="3:19" outlineLevel="1">
      <c r="C17" s="117" t="s">
        <v>104</v>
      </c>
      <c r="D17" s="116" t="s">
        <v>30</v>
      </c>
      <c r="E17" s="30" t="str">
        <f>$E$8</f>
        <v>$millions</v>
      </c>
      <c r="F17" s="178">
        <v>2017</v>
      </c>
      <c r="J17" s="115">
        <f ca="1"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15">
        <f ca="1"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15">
        <f ca="1"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15">
        <f ca="1"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15">
        <f ca="1"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74.679024287612279</v>
      </c>
      <c r="O17" s="115">
        <f ca="1"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15">
        <f ca="1"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15">
        <f ca="1"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15">
        <f ca="1"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15">
        <f ca="1"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7"/>
      <c r="F18" s="178"/>
      <c r="J18" s="119"/>
      <c r="K18" s="119"/>
      <c r="L18" s="119"/>
      <c r="M18" s="119"/>
      <c r="N18" s="119"/>
      <c r="O18" s="119"/>
      <c r="P18" s="119"/>
      <c r="Q18" s="119"/>
      <c r="R18" s="119"/>
      <c r="S18" s="119"/>
    </row>
    <row r="19" spans="3:19" outlineLevel="1">
      <c r="C19" s="120" t="s">
        <v>121</v>
      </c>
      <c r="D19" s="121" t="s">
        <v>30</v>
      </c>
      <c r="E19" s="121" t="str">
        <f>$E$8</f>
        <v>$millions</v>
      </c>
      <c r="F19" s="178">
        <v>2017</v>
      </c>
      <c r="J19" s="122">
        <f>IF(J$10='Input|General'!$G$10,SUM($J13:$S13)-SUM($J15:$S15)+SUM($J17:$S17),0)</f>
        <v>0</v>
      </c>
      <c r="K19" s="122">
        <f ca="1">IF(K$10='Input|General'!$G$10,SUM($J13:$S13)-SUM($J15:$S15)+SUM($J17:$S17),0)</f>
        <v>0</v>
      </c>
      <c r="L19" s="122">
        <f ca="1">IF(L$10='Input|General'!$G$10,SUM($J13:$S13)-SUM($J15:$S15)+SUM($J17:$S17),0)</f>
        <v>0</v>
      </c>
      <c r="M19" s="122">
        <f ca="1">IF(M$10='Input|General'!$G$10,SUM($J13:$S13)-SUM($J15:$S15)+SUM($J17:$S17),0)</f>
        <v>0</v>
      </c>
      <c r="N19" s="122">
        <f ca="1">IF(N$10='Input|General'!$G$10,SUM($J13:$S13)-SUM($J15:$S15)+SUM($J17:$S17),0)</f>
        <v>65.911962593006621</v>
      </c>
      <c r="O19" s="122">
        <f ca="1">IF(O$10='Input|General'!$G$10,SUM($J13:$S13)-SUM($J15:$S15)+SUM($J17:$S17),0)</f>
        <v>0</v>
      </c>
      <c r="P19" s="122">
        <f ca="1">IF(P$10='Input|General'!$G$10,SUM($J13:$S13)-SUM($J15:$S15)+SUM($J17:$S17),0)</f>
        <v>0</v>
      </c>
      <c r="Q19" s="122">
        <f ca="1">IF(Q$10='Input|General'!$G$10,SUM($J13:$S13)-SUM($J15:$S15)+SUM($J17:$S17),0)</f>
        <v>0</v>
      </c>
      <c r="R19" s="122">
        <f ca="1">IF(R$10='Input|General'!$G$10,SUM($J13:$S13)-SUM($J15:$S15)+SUM($J17:$S17),0)</f>
        <v>0</v>
      </c>
      <c r="S19" s="122">
        <f ca="1">IF(S$10='Input|General'!$G$10,SUM($J13:$S13)-SUM($J15:$S15)+SUM($J17:$S17),0)</f>
        <v>0</v>
      </c>
    </row>
    <row r="20" spans="3:19" outlineLevel="1">
      <c r="C20" s="130"/>
      <c r="D20" s="116"/>
      <c r="E20" s="116"/>
      <c r="F20" s="178"/>
      <c r="J20" s="122"/>
      <c r="K20" s="122"/>
      <c r="L20" s="122"/>
      <c r="M20" s="122"/>
      <c r="N20" s="122"/>
      <c r="O20" s="122"/>
      <c r="P20" s="122"/>
      <c r="Q20" s="122"/>
      <c r="R20" s="122"/>
      <c r="S20" s="122"/>
    </row>
    <row r="21" spans="3:19" outlineLevel="1">
      <c r="C21" s="130" t="str">
        <f>'Input|Reported opex'!$C$51</f>
        <v>Adjustment 1</v>
      </c>
      <c r="D21" s="114" t="s">
        <v>105</v>
      </c>
      <c r="E21" s="116" t="str">
        <f>'Input|Reported opex'!E51</f>
        <v>$millions</v>
      </c>
      <c r="F21" s="178">
        <f>'Input|Reported opex'!F51</f>
        <v>2016</v>
      </c>
      <c r="J21" s="115">
        <f>IF(J$10='Input|General'!$G$10,'Input|Reported opex'!J51,0)</f>
        <v>0</v>
      </c>
      <c r="K21" s="115">
        <f ca="1">IF(K$10='Input|General'!$G$10,'Input|Reported opex'!K51,0)</f>
        <v>0</v>
      </c>
      <c r="L21" s="115">
        <f ca="1">IF(L$10='Input|General'!$G$10,'Input|Reported opex'!L51,0)</f>
        <v>0</v>
      </c>
      <c r="M21" s="115">
        <f ca="1">IF(M$10='Input|General'!$G$10,'Input|Reported opex'!M51,0)</f>
        <v>0</v>
      </c>
      <c r="N21" s="115">
        <f ca="1">IF(N$10='Input|General'!$G$10,'Input|Reported opex'!N51,0)</f>
        <v>0</v>
      </c>
      <c r="O21" s="115">
        <f ca="1">IF(O$10='Input|General'!$G$10,'Input|Reported opex'!O51,0)</f>
        <v>0</v>
      </c>
      <c r="P21" s="115">
        <f ca="1">IF(P$10='Input|General'!$G$10,'Input|Reported opex'!P51,0)</f>
        <v>0</v>
      </c>
      <c r="Q21" s="115">
        <f ca="1">IF(Q$10='Input|General'!$G$10,'Input|Reported opex'!Q51,0)</f>
        <v>0</v>
      </c>
      <c r="R21" s="115"/>
      <c r="S21" s="115"/>
    </row>
    <row r="22" spans="3:19" outlineLevel="1">
      <c r="C22" s="130" t="str">
        <f>C21</f>
        <v>Adjustment 1</v>
      </c>
      <c r="D22" s="116" t="s">
        <v>30</v>
      </c>
      <c r="E22" s="30" t="str">
        <f>$E$8</f>
        <v>$millions</v>
      </c>
      <c r="F22" s="178">
        <v>2017</v>
      </c>
      <c r="J22" s="122">
        <f ca="1"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22">
        <f ca="1"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22">
        <f ca="1"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M22" s="122">
        <f ca="1"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N22" s="169">
        <f ca="1"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22">
        <f ca="1"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22">
        <f ca="1"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22">
        <f ca="1"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22">
        <f ca="1"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22">
        <f ca="1"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30"/>
      <c r="D23" s="116"/>
      <c r="F23" s="178"/>
      <c r="J23" s="122"/>
      <c r="K23" s="122"/>
      <c r="L23" s="122"/>
      <c r="M23" s="122"/>
      <c r="N23" s="122"/>
      <c r="O23" s="122"/>
      <c r="P23" s="122"/>
      <c r="Q23" s="122"/>
      <c r="R23" s="115"/>
      <c r="S23" s="115"/>
    </row>
    <row r="24" spans="3:19" outlineLevel="1">
      <c r="C24" s="130" t="str">
        <f>'Input|Reported opex'!$C$52</f>
        <v>Adjustment 2</v>
      </c>
      <c r="D24" s="114" t="s">
        <v>105</v>
      </c>
      <c r="E24" s="30" t="str">
        <f>'Input|Reported opex'!$E$52</f>
        <v>$millions</v>
      </c>
      <c r="F24" s="178">
        <f>'Input|Reported opex'!$F$52</f>
        <v>2016</v>
      </c>
      <c r="J24" s="115">
        <f>IF(J$10='Input|General'!$G$10,'Input|Reported opex'!J52,0)</f>
        <v>0</v>
      </c>
      <c r="K24" s="115">
        <f ca="1">IF(K$10='Input|General'!$G$10,'Input|Reported opex'!K52,0)</f>
        <v>0</v>
      </c>
      <c r="L24" s="115">
        <f ca="1">IF(L$10='Input|General'!$G$10,'Input|Reported opex'!L52,0)</f>
        <v>0</v>
      </c>
      <c r="M24" s="115">
        <f ca="1">IF(M$10='Input|General'!$G$10,'Input|Reported opex'!M52,0)</f>
        <v>0</v>
      </c>
      <c r="N24" s="115">
        <f ca="1">IF(N$10='Input|General'!$G$10,'Input|Reported opex'!N52,0)</f>
        <v>0</v>
      </c>
      <c r="O24" s="115">
        <f ca="1">IF(O$10='Input|General'!$G$10,'Input|Reported opex'!O52,0)</f>
        <v>0</v>
      </c>
      <c r="P24" s="115">
        <f ca="1">IF(P$10='Input|General'!$G$10,'Input|Reported opex'!P52,0)</f>
        <v>0</v>
      </c>
      <c r="Q24" s="115">
        <f ca="1">IF(Q$10='Input|General'!$G$10,'Input|Reported opex'!Q52,0)</f>
        <v>0</v>
      </c>
      <c r="R24" s="115"/>
      <c r="S24" s="115"/>
    </row>
    <row r="25" spans="3:19" outlineLevel="1">
      <c r="C25" s="130" t="str">
        <f>C24</f>
        <v>Adjustment 2</v>
      </c>
      <c r="D25" s="116" t="s">
        <v>30</v>
      </c>
      <c r="E25" s="30" t="str">
        <f>$E$8</f>
        <v>$millions</v>
      </c>
      <c r="F25" s="178">
        <v>2017</v>
      </c>
      <c r="J25" s="122">
        <f ca="1">J24*IF($F24="nominal",LOOKUP($F25,Nominal_to_Real,'Input|Rate of change'!K$25:K$30),INDEX('Input|Rate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K25" s="122">
        <f ca="1">K24*IF($F24="nominal",LOOKUP($F25,Nominal_to_Real,'Input|Rate of change'!L$25:L$30),INDEX('Input|Rate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L25" s="122">
        <f ca="1">L24*IF($F24="nominal",LOOKUP($F25,Nominal_to_Real,'Input|Rate of change'!M$25:M$30),INDEX('Input|Rate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M25" s="122">
        <f ca="1">M24*IF($F24="nominal",LOOKUP($F25,Nominal_to_Real,'Input|Rate of change'!N$25:N$30),INDEX('Input|Rate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N25" s="169">
        <f ca="1">N24*IF($F24="nominal",LOOKUP($F25,Nominal_to_Real,'Input|Rate of change'!O$25:O$30),INDEX('Input|Rate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O25" s="122">
        <f ca="1">O24*IF($F24="nominal",LOOKUP($F25,Nominal_to_Real,'Input|Rate of change'!P$25:P$30),INDEX('Input|Rate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P25" s="122">
        <f ca="1">P24*IF($F24="nominal",LOOKUP($F25,Nominal_to_Real,'Input|Rate of change'!Q$25:Q$30),INDEX('Input|Rate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Q25" s="122">
        <f ca="1">Q24*IF($F24="nominal",LOOKUP($F25,Nominal_to_Real,'Input|Rate of change'!R$25:R$30),INDEX('Input|Rate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R25" s="122">
        <f ca="1">R24*IF($F24="nominal",LOOKUP($F25,Nominal_to_Real,'Input|Rate of change'!S$25:S$30),INDEX('Input|Rate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S25" s="122">
        <f ca="1">S24*IF($F24="nominal",LOOKUP($F25,Nominal_to_Real,'Input|Rate of change'!T$25:T$30),INDEX('Input|Rate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</row>
    <row r="26" spans="3:19" outlineLevel="1">
      <c r="C26" s="130"/>
      <c r="D26" s="116"/>
      <c r="F26" s="178"/>
      <c r="J26" s="122"/>
      <c r="K26" s="122"/>
      <c r="L26" s="122"/>
      <c r="M26" s="122"/>
      <c r="N26" s="122"/>
      <c r="O26" s="122"/>
      <c r="P26" s="122"/>
      <c r="Q26" s="122"/>
      <c r="R26" s="115"/>
      <c r="S26" s="115"/>
    </row>
    <row r="27" spans="3:19" outlineLevel="1">
      <c r="C27" s="130" t="str">
        <f>'Input|Reported opex'!$C$53</f>
        <v>Adjustment 3</v>
      </c>
      <c r="D27" s="114" t="s">
        <v>105</v>
      </c>
      <c r="E27" s="30" t="str">
        <f>'Input|Reported opex'!$E$53</f>
        <v>$millions</v>
      </c>
      <c r="F27" s="178">
        <f>'Input|Reported opex'!$F$53</f>
        <v>2016</v>
      </c>
      <c r="J27" s="115">
        <f>IF(J$10='Input|General'!$G$10,'Input|Reported opex'!J53,0)</f>
        <v>0</v>
      </c>
      <c r="K27" s="115">
        <f ca="1">IF(K$10='Input|General'!$G$10,'Input|Reported opex'!K53,0)</f>
        <v>0</v>
      </c>
      <c r="L27" s="115">
        <f ca="1">IF(L$10='Input|General'!$G$10,'Input|Reported opex'!L53,0)</f>
        <v>0</v>
      </c>
      <c r="M27" s="115">
        <f ca="1">IF(M$10='Input|General'!$G$10,'Input|Reported opex'!M53,0)</f>
        <v>0</v>
      </c>
      <c r="N27" s="115">
        <f ca="1">IF(N$10='Input|General'!$G$10,'Input|Reported opex'!N53,0)</f>
        <v>0</v>
      </c>
      <c r="O27" s="115">
        <f ca="1">IF(O$10='Input|General'!$G$10,'Input|Reported opex'!O53,0)</f>
        <v>0</v>
      </c>
      <c r="P27" s="115">
        <f ca="1">IF(P$10='Input|General'!$G$10,'Input|Reported opex'!P53,0)</f>
        <v>0</v>
      </c>
      <c r="Q27" s="115">
        <f ca="1">IF(Q$10='Input|General'!$G$10,'Input|Reported opex'!Q53,0)</f>
        <v>0</v>
      </c>
      <c r="R27" s="115"/>
      <c r="S27" s="115"/>
    </row>
    <row r="28" spans="3:19" outlineLevel="1">
      <c r="C28" s="130" t="str">
        <f>C27</f>
        <v>Adjustment 3</v>
      </c>
      <c r="D28" s="116" t="s">
        <v>30</v>
      </c>
      <c r="E28" s="30" t="str">
        <f>$E$8</f>
        <v>$millions</v>
      </c>
      <c r="F28" s="178">
        <v>2017</v>
      </c>
      <c r="J28" s="122">
        <f ca="1">J27*IF($F27="nominal",LOOKUP($F28,Nominal_to_Real,'Input|Rate of change'!K$25:K$30),INDEX('Input|Rate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K28" s="122">
        <f ca="1">K27*IF($F27="nominal",LOOKUP($F28,Nominal_to_Real,'Input|Rate of change'!L$25:L$30),INDEX('Input|Rate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L28" s="122">
        <f ca="1">L27*IF($F27="nominal",LOOKUP($F28,Nominal_to_Real,'Input|Rate of change'!M$25:M$30),INDEX('Input|Rate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M28" s="122">
        <f ca="1">M27*IF($F27="nominal",LOOKUP($F28,Nominal_to_Real,'Input|Rate of change'!N$25:N$30),INDEX('Input|Rate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N28" s="169">
        <f ca="1">N27*IF($F27="nominal",LOOKUP($F28,Nominal_to_Real,'Input|Rate of change'!O$25:O$30),INDEX('Input|Rate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O28" s="122">
        <f ca="1">O27*IF($F27="nominal",LOOKUP($F28,Nominal_to_Real,'Input|Rate of change'!P$25:P$30),INDEX('Input|Rate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P28" s="122">
        <f ca="1">P27*IF($F27="nominal",LOOKUP($F28,Nominal_to_Real,'Input|Rate of change'!Q$25:Q$30),INDEX('Input|Rate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Q28" s="122">
        <f ca="1">Q27*IF($F27="nominal",LOOKUP($F28,Nominal_to_Real,'Input|Rate of change'!R$25:R$30),INDEX('Input|Rate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R28" s="122">
        <f ca="1">R27*IF($F27="nominal",LOOKUP($F28,Nominal_to_Real,'Input|Rate of change'!S$25:S$30),INDEX('Input|Rate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S28" s="122">
        <f ca="1">S27*IF($F27="nominal",LOOKUP($F28,Nominal_to_Real,'Input|Rate of change'!T$25:T$30),INDEX('Input|Rate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</row>
    <row r="29" spans="3:19" outlineLevel="1">
      <c r="C29" s="130"/>
      <c r="D29" s="116"/>
      <c r="F29" s="178"/>
      <c r="J29" s="122"/>
      <c r="K29" s="122"/>
      <c r="L29" s="122"/>
      <c r="M29" s="122"/>
      <c r="N29" s="122"/>
      <c r="O29" s="122"/>
      <c r="P29" s="122"/>
      <c r="Q29" s="122"/>
      <c r="R29" s="115"/>
      <c r="S29" s="115"/>
    </row>
    <row r="30" spans="3:19" outlineLevel="1">
      <c r="C30" s="130" t="str">
        <f>'Input|Reported opex'!$C$54</f>
        <v>Adjustment 4</v>
      </c>
      <c r="D30" s="114" t="s">
        <v>105</v>
      </c>
      <c r="E30" s="30" t="str">
        <f>'Input|Reported opex'!$E$54</f>
        <v>$millions</v>
      </c>
      <c r="F30" s="178">
        <f>'Input|Reported opex'!$F$54</f>
        <v>2016</v>
      </c>
      <c r="J30" s="115">
        <f>IF(J$10='Input|General'!$G$10,'Input|Reported opex'!J54,0)</f>
        <v>0</v>
      </c>
      <c r="K30" s="115">
        <f ca="1">IF(K$10='Input|General'!$G$10,'Input|Reported opex'!K54,0)</f>
        <v>0</v>
      </c>
      <c r="L30" s="115">
        <f ca="1">IF(L$10='Input|General'!$G$10,'Input|Reported opex'!L54,0)</f>
        <v>0</v>
      </c>
      <c r="M30" s="115">
        <f ca="1">IF(M$10='Input|General'!$G$10,'Input|Reported opex'!M54,0)</f>
        <v>0</v>
      </c>
      <c r="N30" s="115">
        <f ca="1">IF(N$10='Input|General'!$G$10,'Input|Reported opex'!N54,0)</f>
        <v>0</v>
      </c>
      <c r="O30" s="115">
        <f ca="1">IF(O$10='Input|General'!$G$10,'Input|Reported opex'!O54,0)</f>
        <v>0</v>
      </c>
      <c r="P30" s="115">
        <f ca="1">IF(P$10='Input|General'!$G$10,'Input|Reported opex'!P54,0)</f>
        <v>0</v>
      </c>
      <c r="Q30" s="115">
        <f ca="1">IF(Q$10='Input|General'!$G$10,'Input|Reported opex'!Q54,0)</f>
        <v>0</v>
      </c>
      <c r="R30" s="115"/>
      <c r="S30" s="115"/>
    </row>
    <row r="31" spans="3:19" outlineLevel="1">
      <c r="C31" s="130" t="str">
        <f>C30</f>
        <v>Adjustment 4</v>
      </c>
      <c r="D31" s="116" t="s">
        <v>30</v>
      </c>
      <c r="E31" s="30" t="str">
        <f>$E$8</f>
        <v>$millions</v>
      </c>
      <c r="F31" s="178">
        <v>2017</v>
      </c>
      <c r="J31" s="122">
        <f ca="1">J30*IF($F30="nominal",LOOKUP($F31,Nominal_to_Real,'Input|Rate of change'!K$25:K$30),INDEX('Input|Rate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K31" s="122">
        <f ca="1">K30*IF($F30="nominal",LOOKUP($F31,Nominal_to_Real,'Input|Rate of change'!L$25:L$30),INDEX('Input|Rate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L31" s="122">
        <f ca="1">L30*IF($F30="nominal",LOOKUP($F31,Nominal_to_Real,'Input|Rate of change'!M$25:M$30),INDEX('Input|Rate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M31" s="122">
        <f ca="1">M30*IF($F30="nominal",LOOKUP($F31,Nominal_to_Real,'Input|Rate of change'!N$25:N$30),INDEX('Input|Rate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N31" s="169">
        <f ca="1">N30*IF($F30="nominal",LOOKUP($F31,Nominal_to_Real,'Input|Rate of change'!O$25:O$30),INDEX('Input|Rate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O31" s="122">
        <f ca="1">O30*IF($F30="nominal",LOOKUP($F31,Nominal_to_Real,'Input|Rate of change'!P$25:P$30),INDEX('Input|Rate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P31" s="122">
        <f ca="1">P30*IF($F30="nominal",LOOKUP($F31,Nominal_to_Real,'Input|Rate of change'!Q$25:Q$30),INDEX('Input|Rate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Q31" s="122">
        <f ca="1">Q30*IF($F30="nominal",LOOKUP($F31,Nominal_to_Real,'Input|Rate of change'!R$25:R$30),INDEX('Input|Rate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R31" s="122">
        <f ca="1">R30*IF($F30="nominal",LOOKUP($F31,Nominal_to_Real,'Input|Rate of change'!S$25:S$30),INDEX('Input|Rate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S31" s="122">
        <f ca="1">S30*IF($F30="nominal",LOOKUP($F31,Nominal_to_Real,'Input|Rate of change'!T$25:T$30),INDEX('Input|Rate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</row>
    <row r="32" spans="3:19" outlineLevel="1">
      <c r="C32" s="130"/>
      <c r="D32" s="116"/>
      <c r="F32" s="178"/>
      <c r="J32" s="122"/>
      <c r="K32" s="122"/>
      <c r="L32" s="122"/>
      <c r="M32" s="122"/>
      <c r="N32" s="122"/>
      <c r="O32" s="122"/>
      <c r="P32" s="122"/>
      <c r="Q32" s="122"/>
      <c r="R32" s="115"/>
      <c r="S32" s="115"/>
    </row>
    <row r="33" spans="1:47" outlineLevel="1">
      <c r="C33" s="130" t="str">
        <f>'Input|Reported opex'!$C$55</f>
        <v>Adjustment 5</v>
      </c>
      <c r="D33" s="114" t="s">
        <v>105</v>
      </c>
      <c r="E33" s="30" t="str">
        <f>'Input|Reported opex'!$E$55</f>
        <v>$millions</v>
      </c>
      <c r="F33" s="178">
        <f>'Input|Reported opex'!$F$55</f>
        <v>2016</v>
      </c>
      <c r="J33" s="115">
        <f>IF(J$10='Input|General'!$G$10,'Input|Reported opex'!J55,0)</f>
        <v>0</v>
      </c>
      <c r="K33" s="115">
        <f ca="1">IF(K$10='Input|General'!$G$10,'Input|Reported opex'!K55,0)</f>
        <v>0</v>
      </c>
      <c r="L33" s="115">
        <f ca="1">IF(L$10='Input|General'!$G$10,'Input|Reported opex'!L55,0)</f>
        <v>0</v>
      </c>
      <c r="M33" s="115">
        <f ca="1">IF(M$10='Input|General'!$G$10,'Input|Reported opex'!M55,0)</f>
        <v>0</v>
      </c>
      <c r="N33" s="115">
        <f ca="1">IF(N$10='Input|General'!$G$10,'Input|Reported opex'!N55,0)</f>
        <v>0</v>
      </c>
      <c r="O33" s="115">
        <f ca="1">IF(O$10='Input|General'!$G$10,'Input|Reported opex'!O55,0)</f>
        <v>0</v>
      </c>
      <c r="P33" s="115">
        <f ca="1">IF(P$10='Input|General'!$G$10,'Input|Reported opex'!P55,0)</f>
        <v>0</v>
      </c>
      <c r="Q33" s="115">
        <f ca="1">IF(Q$10='Input|General'!$G$10,'Input|Reported opex'!Q55,0)</f>
        <v>0</v>
      </c>
      <c r="R33" s="115">
        <f ca="1">IF(R$10='Input|General'!$G$10,'Input|Reported opex'!R55,0)</f>
        <v>0</v>
      </c>
      <c r="S33" s="115">
        <f ca="1">IF(S$10='Input|General'!$G$10,'Input|Reported opex'!S55,0)</f>
        <v>0</v>
      </c>
    </row>
    <row r="34" spans="1:47" outlineLevel="1">
      <c r="C34" s="130" t="str">
        <f>C33</f>
        <v>Adjustment 5</v>
      </c>
      <c r="D34" s="116" t="s">
        <v>30</v>
      </c>
      <c r="E34" s="30" t="str">
        <f>$E$8</f>
        <v>$millions</v>
      </c>
      <c r="F34" s="178">
        <v>2017</v>
      </c>
      <c r="J34" s="122">
        <f ca="1">J33*IF($F33="nominal",LOOKUP($F34,Nominal_to_Real,'Input|Rate of change'!K$25:K$30),INDEX('Input|Rate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K34" s="122">
        <f ca="1">K33*IF($F33="nominal",LOOKUP($F34,Nominal_to_Real,'Input|Rate of change'!L$25:L$30),INDEX('Input|Rate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L34" s="122">
        <f ca="1">L33*IF($F33="nominal",LOOKUP($F34,Nominal_to_Real,'Input|Rate of change'!M$25:M$30),INDEX('Input|Rate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M34" s="122">
        <f ca="1">M33*IF($F33="nominal",LOOKUP($F34,Nominal_to_Real,'Input|Rate of change'!N$25:N$30),INDEX('Input|Rate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N34" s="169">
        <f ca="1">N33*IF($F33="nominal",LOOKUP($F34,Nominal_to_Real,'Input|Rate of change'!O$25:O$30),INDEX('Input|Rate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O34" s="122">
        <f ca="1">O33*IF($F33="nominal",LOOKUP($F34,Nominal_to_Real,'Input|Rate of change'!P$25:P$30),INDEX('Input|Rate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P34" s="122">
        <f ca="1">P33*IF($F33="nominal",LOOKUP($F34,Nominal_to_Real,'Input|Rate of change'!Q$25:Q$30),INDEX('Input|Rate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Q34" s="122">
        <f ca="1">Q33*IF($F33="nominal",LOOKUP($F34,Nominal_to_Real,'Input|Rate of change'!R$25:R$30),INDEX('Input|Rate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R34" s="122">
        <f ca="1">R33*IF($F33="nominal",LOOKUP($F34,Nominal_to_Real,'Input|Rate of change'!S$25:S$30),INDEX('Input|Rate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S34" s="122">
        <f ca="1">S33*IF($F33="nominal",LOOKUP($F34,Nominal_to_Real,'Input|Rate of change'!T$25:T$30),INDEX('Input|Rate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</row>
    <row r="35" spans="1:47" outlineLevel="1">
      <c r="C35" s="130"/>
      <c r="D35" s="116"/>
      <c r="E35" s="116"/>
      <c r="F35" s="178"/>
      <c r="J35" s="122"/>
      <c r="K35" s="122"/>
      <c r="L35" s="122"/>
      <c r="M35" s="122"/>
      <c r="N35" s="122"/>
      <c r="O35" s="122"/>
      <c r="P35" s="122"/>
      <c r="Q35" s="122"/>
      <c r="R35" s="122"/>
      <c r="S35" s="122"/>
    </row>
    <row r="36" spans="1:47" outlineLevel="1">
      <c r="C36" s="130" t="s">
        <v>99</v>
      </c>
      <c r="D36" s="116" t="s">
        <v>113</v>
      </c>
      <c r="E36" s="116" t="str">
        <f>$E$8</f>
        <v>$millions</v>
      </c>
      <c r="F36" s="178">
        <v>2017</v>
      </c>
      <c r="J36" s="122">
        <f ca="1">SUM(J19,J22,J25,J28,J31,J34)*'Input|Reported opex'!$N$56</f>
        <v>0</v>
      </c>
      <c r="K36" s="122">
        <f ca="1">SUM(K19,K22,K25,K28,K31,K34)*'Input|Reported opex'!$N$56</f>
        <v>0</v>
      </c>
      <c r="L36" s="122">
        <f ca="1">SUM(L19,L22,L25,L28,L31,L34)*'Input|Reported opex'!$N$56</f>
        <v>0</v>
      </c>
      <c r="M36" s="122">
        <f ca="1">SUM(M19,M22,M25,M28,M31,M34)*'Input|Reported opex'!$N$56</f>
        <v>0</v>
      </c>
      <c r="N36" s="122">
        <f ca="1">SUM(N19,N22,N25,N28,N31,N34)*'Input|Reported opex'!$N$56</f>
        <v>0</v>
      </c>
      <c r="O36" s="122">
        <f ca="1">SUM(O19,O22,O25,O28,O31,O34)*'Input|Reported opex'!$N$56</f>
        <v>0</v>
      </c>
      <c r="P36" s="122">
        <f ca="1">SUM(P19,P22,P25,P28,P31,P34)*'Input|Reported opex'!$N$56</f>
        <v>0</v>
      </c>
      <c r="Q36" s="122">
        <f ca="1">SUM(Q19,Q22,Q25,Q28,Q31,Q34)*'Input|Reported opex'!$N$56</f>
        <v>0</v>
      </c>
      <c r="R36" s="122">
        <f ca="1">SUM(R19,R22,R25,R28,R31,R34)*'Input|Reported opex'!$N$56</f>
        <v>0</v>
      </c>
      <c r="S36" s="122">
        <f ca="1">SUM(S19,S22,S25,S28,S31,S34)*'Input|Reported opex'!$N$56</f>
        <v>0</v>
      </c>
    </row>
    <row r="37" spans="1:47" outlineLevel="1">
      <c r="C37" s="130"/>
      <c r="D37" s="116"/>
      <c r="E37" s="116"/>
      <c r="F37" s="178"/>
      <c r="J37" s="122"/>
      <c r="K37" s="122"/>
      <c r="L37" s="122"/>
      <c r="M37" s="122"/>
      <c r="N37" s="122"/>
      <c r="O37" s="122"/>
      <c r="P37" s="122"/>
      <c r="Q37" s="122"/>
      <c r="R37" s="122"/>
      <c r="S37" s="122"/>
    </row>
    <row r="38" spans="1:47" ht="12" outlineLevel="1" thickBot="1">
      <c r="C38" s="130" t="s">
        <v>122</v>
      </c>
      <c r="D38" s="116" t="s">
        <v>113</v>
      </c>
      <c r="E38" s="116" t="str">
        <f>$E$8</f>
        <v>$millions</v>
      </c>
      <c r="F38" s="178">
        <v>2017</v>
      </c>
      <c r="J38" s="162">
        <f ca="1">SUM(J19,J22,J25,J28,J31,J34,J36)</f>
        <v>0</v>
      </c>
      <c r="K38" s="162">
        <f t="shared" ref="K38:S38" ca="1" si="0">SUM(K19,K22,K25,K28,K31,K34,K36)</f>
        <v>0</v>
      </c>
      <c r="L38" s="162">
        <f t="shared" ca="1" si="0"/>
        <v>0</v>
      </c>
      <c r="M38" s="162">
        <f t="shared" ca="1" si="0"/>
        <v>0</v>
      </c>
      <c r="N38" s="162">
        <f t="shared" ca="1" si="0"/>
        <v>65.911962593006621</v>
      </c>
      <c r="O38" s="162">
        <f t="shared" ca="1" si="0"/>
        <v>0</v>
      </c>
      <c r="P38" s="162">
        <f t="shared" ca="1" si="0"/>
        <v>0</v>
      </c>
      <c r="Q38" s="162">
        <f t="shared" ca="1" si="0"/>
        <v>0</v>
      </c>
      <c r="R38" s="162">
        <f t="shared" ca="1" si="0"/>
        <v>0</v>
      </c>
      <c r="S38" s="162">
        <f t="shared" ca="1" si="0"/>
        <v>0</v>
      </c>
    </row>
    <row r="39" spans="1:47" ht="12" thickTop="1">
      <c r="J39" s="113"/>
      <c r="K39" s="113"/>
      <c r="L39" s="113"/>
    </row>
    <row r="40" spans="1:47" s="108" customFormat="1" ht="12.75">
      <c r="A40" s="99"/>
      <c r="B40" s="100" t="s">
        <v>97</v>
      </c>
      <c r="C40" s="99"/>
      <c r="D40" s="99"/>
      <c r="E40" s="99"/>
      <c r="F40" s="101"/>
      <c r="G40" s="101"/>
      <c r="H40" s="101"/>
      <c r="I40" s="101"/>
      <c r="J40" s="102"/>
      <c r="K40" s="103"/>
      <c r="L40" s="102"/>
      <c r="M40" s="103"/>
      <c r="N40" s="102"/>
      <c r="O40" s="102"/>
      <c r="P40" s="102"/>
      <c r="Q40" s="102"/>
      <c r="R40" s="102"/>
      <c r="S40" s="102"/>
      <c r="T40" s="102"/>
      <c r="U40" s="102"/>
      <c r="V40" s="103"/>
      <c r="W40" s="103"/>
      <c r="X40" s="104"/>
      <c r="Y40" s="104"/>
      <c r="Z40" s="104"/>
      <c r="AA40" s="104"/>
      <c r="AB40" s="105"/>
      <c r="AC40" s="106"/>
      <c r="AD40" s="106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</row>
    <row r="41" spans="1:47" outlineLevel="1">
      <c r="J41" s="113"/>
      <c r="K41" s="113"/>
      <c r="L41" s="113"/>
      <c r="M41" s="113"/>
      <c r="N41" s="113"/>
      <c r="O41" s="113"/>
      <c r="P41" s="113"/>
      <c r="Q41" s="113"/>
      <c r="R41" s="113"/>
      <c r="S41" s="113"/>
    </row>
    <row r="42" spans="1:47" outlineLevel="1">
      <c r="C42" s="70" t="s">
        <v>43</v>
      </c>
      <c r="D42" s="32" t="s">
        <v>7</v>
      </c>
      <c r="E42" s="32" t="s">
        <v>8</v>
      </c>
      <c r="F42" s="32" t="s">
        <v>22</v>
      </c>
      <c r="J42" s="111" t="str">
        <f>IF(RIGHT(J$4,2)&gt;=RIGHT('Input|General'!$G$11,2),IF(RIGHT(J$4,2)&lt;=RIGHT('Input|General'!$G$12,2),J$4,""),"")</f>
        <v/>
      </c>
      <c r="K42" s="111" t="str">
        <f ca="1">IF(RIGHT(K$4,2)&gt;=RIGHT('Input|General'!$G$11,2),IF(RIGHT(K$4,2)&lt;=RIGHT('Input|General'!$G$12,2),K$4,""),"")</f>
        <v/>
      </c>
      <c r="L42" s="111" t="str">
        <f ca="1">IF(RIGHT(L$4,2)&gt;=RIGHT('Input|General'!$G$11,2),IF(RIGHT(L$4,2)&lt;=RIGHT('Input|General'!$G$12,2),L$4,""),"")</f>
        <v/>
      </c>
      <c r="M42" s="111" t="str">
        <f ca="1">IF(RIGHT(M$4,2)&gt;=RIGHT('Input|General'!$G$11,2),IF(RIGHT(M$4,2)&lt;=RIGHT('Input|General'!$G$12,2),M$4,""),"")</f>
        <v/>
      </c>
      <c r="N42" s="111" t="str">
        <f ca="1">IF(RIGHT(N$4,2)&gt;=RIGHT('Input|General'!$G$11,2),IF(RIGHT(N$4,2)&lt;=RIGHT('Input|General'!$G$12,2),N$4,""),"")</f>
        <v/>
      </c>
      <c r="O42" s="175">
        <f ca="1">IF(RIGHT(O$4,2)&gt;=RIGHT('Input|General'!$G$11,2),IF(RIGHT(O$4,2)&lt;=RIGHT('Input|General'!$G$12,2),O$4,""),"")</f>
        <v>2018</v>
      </c>
      <c r="P42" s="175">
        <f ca="1">IF(RIGHT(P$4,2)&gt;=RIGHT('Input|General'!$G$11,2),IF(RIGHT(P$4,2)&lt;=RIGHT('Input|General'!$G$12,2),P$4,""),"")</f>
        <v>2019</v>
      </c>
      <c r="Q42" s="175">
        <f ca="1">IF(RIGHT(Q$4,2)&gt;=RIGHT('Input|General'!$G$11,2),IF(RIGHT(Q$4,2)&lt;=RIGHT('Input|General'!$G$12,2),Q$4,""),"")</f>
        <v>2020</v>
      </c>
      <c r="R42" s="175">
        <f ca="1">IF(RIGHT(R$4,2)&gt;=RIGHT('Input|General'!$G$11,2),IF(RIGHT(R$4,2)&lt;=RIGHT('Input|General'!$G$12,2),R$4,""),"")</f>
        <v>2021</v>
      </c>
      <c r="S42" s="175">
        <f ca="1">IF(RIGHT(S$4,2)&gt;=RIGHT('Input|General'!$G$11,2),IF(RIGHT(S$4,2)&lt;=RIGHT('Input|General'!$G$12,2),S$4,""),"")</f>
        <v>2022</v>
      </c>
    </row>
    <row r="43" spans="1:47" outlineLevel="1">
      <c r="C43" s="70"/>
      <c r="J43" s="113"/>
      <c r="K43" s="113"/>
      <c r="L43" s="113"/>
      <c r="M43" s="113"/>
      <c r="N43" s="113"/>
      <c r="O43" s="113"/>
      <c r="P43" s="113"/>
      <c r="Q43" s="113"/>
      <c r="R43" s="113"/>
      <c r="S43" s="113"/>
    </row>
    <row r="44" spans="1:47" outlineLevel="1">
      <c r="B44" s="70"/>
      <c r="C44" s="123"/>
      <c r="J44" s="113"/>
      <c r="K44" s="113"/>
      <c r="L44" s="113"/>
      <c r="M44" s="113"/>
      <c r="N44" s="113"/>
      <c r="O44" s="113"/>
      <c r="P44" s="113"/>
      <c r="Q44" s="113"/>
      <c r="R44" s="113"/>
      <c r="S44" s="113"/>
    </row>
    <row r="45" spans="1:47" outlineLevel="1">
      <c r="C45" s="117" t="s">
        <v>124</v>
      </c>
      <c r="D45" s="116" t="s">
        <v>30</v>
      </c>
      <c r="E45" s="30" t="s">
        <v>31</v>
      </c>
      <c r="F45" s="30" t="s">
        <v>36</v>
      </c>
      <c r="J45" s="124">
        <f>SUMPRODUCT('Input|Rate of change'!K71:K76,'Input|Rate of change'!$P$80:$P$85)</f>
        <v>0</v>
      </c>
      <c r="K45" s="124">
        <f>SUMPRODUCT('Input|Rate of change'!L71:L76,'Input|Rate of change'!$P$80:$P$85)</f>
        <v>0</v>
      </c>
      <c r="L45" s="124">
        <f>SUMPRODUCT('Input|Rate of change'!M71:M76,'Input|Rate of change'!$P$80:$P$85)</f>
        <v>0</v>
      </c>
      <c r="M45" s="124">
        <f>SUMPRODUCT('Input|Rate of change'!N71:N76,'Input|Rate of change'!$P$80:$P$85)</f>
        <v>0</v>
      </c>
      <c r="N45" s="124">
        <f>SUMPRODUCT('Input|Rate of change'!O71:O76,'Input|Rate of change'!$P$80:$P$85)</f>
        <v>0</v>
      </c>
      <c r="O45" s="124">
        <f>SUMPRODUCT('Input|Rate of change'!P71:P76,'Input|Rate of change'!$P$80:$P$85)</f>
        <v>0</v>
      </c>
      <c r="P45" s="124">
        <f>SUMPRODUCT('Input|Rate of change'!Q71:Q76,'Input|Rate of change'!$P$80:$P$85)</f>
        <v>0</v>
      </c>
      <c r="Q45" s="124">
        <f>SUMPRODUCT('Input|Rate of change'!R71:R76,'Input|Rate of change'!$P$80:$P$85)</f>
        <v>0</v>
      </c>
      <c r="R45" s="124">
        <f>SUMPRODUCT('Input|Rate of change'!S71:S76,'Input|Rate of change'!$P$80:$P$85)</f>
        <v>0</v>
      </c>
      <c r="S45" s="124">
        <f>SUMPRODUCT('Input|Rate of change'!T71:T76,'Input|Rate of change'!$P$80:$P$85)</f>
        <v>0</v>
      </c>
    </row>
    <row r="46" spans="1:47" outlineLevel="1">
      <c r="J46" s="124"/>
      <c r="K46" s="124"/>
      <c r="L46" s="124"/>
      <c r="M46" s="124"/>
      <c r="N46" s="124"/>
      <c r="O46" s="124"/>
      <c r="P46" s="124"/>
      <c r="Q46" s="124"/>
      <c r="R46" s="124"/>
      <c r="S46" s="124"/>
    </row>
    <row r="47" spans="1:47" outlineLevel="1">
      <c r="C47" s="117" t="s">
        <v>90</v>
      </c>
      <c r="D47" s="116" t="s">
        <v>30</v>
      </c>
      <c r="E47" s="30" t="s">
        <v>31</v>
      </c>
      <c r="F47" s="30" t="s">
        <v>36</v>
      </c>
      <c r="J47" s="124">
        <f>SUMPRODUCT('Input|Rate of change'!K36:K43,'Input|Rate of change'!K47:K54)</f>
        <v>0</v>
      </c>
      <c r="K47" s="124">
        <f>SUMPRODUCT('Input|Rate of change'!L36:L43,'Input|Rate of change'!L47:L54)</f>
        <v>0</v>
      </c>
      <c r="L47" s="124">
        <f>SUMPRODUCT('Input|Rate of change'!M36:M43,'Input|Rate of change'!M47:M54)</f>
        <v>0</v>
      </c>
      <c r="M47" s="124">
        <f>SUMPRODUCT('Input|Rate of change'!N36:N43,'Input|Rate of change'!N47:N54)</f>
        <v>0</v>
      </c>
      <c r="N47" s="124">
        <f>SUMPRODUCT('Input|Rate of change'!O36:O43,'Input|Rate of change'!O47:O54)</f>
        <v>0</v>
      </c>
      <c r="O47" s="124">
        <f>SUMPRODUCT('Input|Rate of change'!P36:P43,'Input|Rate of change'!P47:P54)</f>
        <v>5.2191198272763858E-3</v>
      </c>
      <c r="P47" s="124">
        <f>SUMPRODUCT('Input|Rate of change'!Q36:Q43,'Input|Rate of change'!Q47:Q54)</f>
        <v>5.8224724678507004E-3</v>
      </c>
      <c r="Q47" s="124">
        <f>SUMPRODUCT('Input|Rate of change'!R36:R43,'Input|Rate of change'!R47:R54)</f>
        <v>6.6070757637591258E-3</v>
      </c>
      <c r="R47" s="124">
        <f>SUMPRODUCT('Input|Rate of change'!S36:S43,'Input|Rate of change'!S47:S54)</f>
        <v>8.0835105612440498E-3</v>
      </c>
      <c r="S47" s="124">
        <f>SUMPRODUCT('Input|Rate of change'!T36:T43,'Input|Rate of change'!T47:T54)</f>
        <v>8.8811830156565793E-3</v>
      </c>
    </row>
    <row r="48" spans="1:47" outlineLevel="1">
      <c r="C48" s="117"/>
      <c r="J48" s="124"/>
      <c r="K48" s="124"/>
      <c r="L48" s="124"/>
      <c r="M48" s="124"/>
      <c r="N48" s="124"/>
      <c r="O48" s="124"/>
      <c r="P48" s="124"/>
      <c r="Q48" s="124"/>
      <c r="R48" s="124"/>
      <c r="S48" s="124"/>
    </row>
    <row r="49" spans="1:47" outlineLevel="1">
      <c r="C49" s="117" t="s">
        <v>117</v>
      </c>
      <c r="D49" s="116" t="s">
        <v>30</v>
      </c>
      <c r="E49" s="30" t="s">
        <v>31</v>
      </c>
      <c r="F49" s="30" t="s">
        <v>36</v>
      </c>
      <c r="J49" s="124">
        <f>'Input|Rate of change'!K93</f>
        <v>0</v>
      </c>
      <c r="K49" s="124">
        <f>'Input|Rate of change'!L93</f>
        <v>0</v>
      </c>
      <c r="L49" s="124">
        <f>'Input|Rate of change'!M93</f>
        <v>0</v>
      </c>
      <c r="M49" s="124">
        <f>'Input|Rate of change'!N93</f>
        <v>0</v>
      </c>
      <c r="N49" s="124">
        <f>'Input|Rate of change'!O93</f>
        <v>0</v>
      </c>
      <c r="O49" s="124">
        <f>'Input|Rate of change'!P93</f>
        <v>0</v>
      </c>
      <c r="P49" s="124">
        <f>'Input|Rate of change'!Q93</f>
        <v>0</v>
      </c>
      <c r="Q49" s="124">
        <f>'Input|Rate of change'!R93</f>
        <v>0</v>
      </c>
      <c r="R49" s="124">
        <f>'Input|Rate of change'!S93</f>
        <v>0</v>
      </c>
      <c r="S49" s="124">
        <f>'Input|Rate of change'!T93</f>
        <v>0</v>
      </c>
    </row>
    <row r="50" spans="1:47" outlineLevel="1">
      <c r="C50" s="117"/>
      <c r="J50" s="119"/>
      <c r="K50" s="119"/>
      <c r="L50" s="119"/>
      <c r="M50" s="119"/>
      <c r="N50" s="119"/>
      <c r="O50" s="119"/>
      <c r="P50" s="119"/>
      <c r="Q50" s="119"/>
      <c r="R50" s="119"/>
      <c r="S50" s="119"/>
    </row>
    <row r="51" spans="1:47" outlineLevel="1">
      <c r="C51" s="125" t="s">
        <v>118</v>
      </c>
      <c r="D51" s="121" t="s">
        <v>30</v>
      </c>
      <c r="E51" s="121" t="s">
        <v>31</v>
      </c>
      <c r="F51" s="121" t="s">
        <v>36</v>
      </c>
      <c r="J51" s="124">
        <f>(1+J45)*(1+J47)*(1-J49)-1</f>
        <v>0</v>
      </c>
      <c r="K51" s="124">
        <f t="shared" ref="K51:S51" si="1">(1+K45)*(1+K47)*(1-K49)-1</f>
        <v>0</v>
      </c>
      <c r="L51" s="124">
        <f t="shared" si="1"/>
        <v>0</v>
      </c>
      <c r="M51" s="124">
        <f t="shared" si="1"/>
        <v>0</v>
      </c>
      <c r="N51" s="124">
        <f t="shared" si="1"/>
        <v>0</v>
      </c>
      <c r="O51" s="124">
        <f t="shared" si="1"/>
        <v>5.2191198272764083E-3</v>
      </c>
      <c r="P51" s="124">
        <f t="shared" si="1"/>
        <v>5.8224724678506146E-3</v>
      </c>
      <c r="Q51" s="124">
        <f t="shared" si="1"/>
        <v>6.6070757637590738E-3</v>
      </c>
      <c r="R51" s="124">
        <f t="shared" si="1"/>
        <v>8.0835105612440117E-3</v>
      </c>
      <c r="S51" s="124">
        <f t="shared" si="1"/>
        <v>8.8811830156565463E-3</v>
      </c>
    </row>
    <row r="52" spans="1:47">
      <c r="J52" s="113"/>
      <c r="K52" s="113"/>
      <c r="L52" s="113"/>
      <c r="M52" s="113"/>
      <c r="N52" s="113"/>
      <c r="O52" s="126"/>
      <c r="P52" s="126"/>
      <c r="Q52" s="126"/>
      <c r="R52" s="126"/>
      <c r="S52" s="126"/>
    </row>
    <row r="53" spans="1:47" s="108" customFormat="1" ht="12.75">
      <c r="A53" s="99"/>
      <c r="B53" s="100" t="s">
        <v>100</v>
      </c>
      <c r="C53" s="99"/>
      <c r="D53" s="99"/>
      <c r="E53" s="99"/>
      <c r="F53" s="101"/>
      <c r="G53" s="101"/>
      <c r="H53" s="101"/>
      <c r="I53" s="101"/>
      <c r="J53" s="102"/>
      <c r="K53" s="103"/>
      <c r="L53" s="102"/>
      <c r="M53" s="103"/>
      <c r="N53" s="102"/>
      <c r="O53" s="102"/>
      <c r="P53" s="102"/>
      <c r="Q53" s="102"/>
      <c r="R53" s="102"/>
      <c r="S53" s="102"/>
      <c r="T53" s="102"/>
      <c r="U53" s="102"/>
      <c r="V53" s="103"/>
      <c r="W53" s="103"/>
      <c r="X53" s="104"/>
      <c r="Y53" s="104"/>
      <c r="Z53" s="104"/>
      <c r="AA53" s="104"/>
      <c r="AB53" s="105"/>
      <c r="AC53" s="106"/>
      <c r="AD53" s="106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</row>
    <row r="54" spans="1:47" outlineLevel="1">
      <c r="C54" s="112"/>
      <c r="J54" s="113"/>
      <c r="K54" s="113"/>
      <c r="L54" s="113"/>
    </row>
    <row r="55" spans="1:47" outlineLevel="1">
      <c r="C55" s="70" t="s">
        <v>119</v>
      </c>
      <c r="D55" s="32" t="s">
        <v>7</v>
      </c>
      <c r="E55" s="32" t="s">
        <v>8</v>
      </c>
      <c r="F55" s="32" t="s">
        <v>22</v>
      </c>
      <c r="J55" s="111" t="str">
        <f>IF(RIGHT(J$4,2)&gt;=RIGHT('Input|General'!$G$11,2),IF(RIGHT(J$4,2)&lt;=RIGHT('Input|General'!$G$12,2),J$4,""),"")</f>
        <v/>
      </c>
      <c r="K55" s="111" t="str">
        <f ca="1">IF(RIGHT(K$4,2)&gt;=RIGHT('Input|General'!$G$11,2),IF(RIGHT(K$4,2)&lt;=RIGHT('Input|General'!$G$12,2),K$4,""),"")</f>
        <v/>
      </c>
      <c r="L55" s="111" t="str">
        <f ca="1">IF(RIGHT(L$4,2)&gt;=RIGHT('Input|General'!$G$11,2),IF(RIGHT(L$4,2)&lt;=RIGHT('Input|General'!$G$12,2),L$4,""),"")</f>
        <v/>
      </c>
      <c r="M55" s="111" t="str">
        <f ca="1">IF(RIGHT(M$4,2)&gt;=RIGHT('Input|General'!$G$11,2),IF(RIGHT(M$4,2)&lt;=RIGHT('Input|General'!$G$12,2),M$4,""),"")</f>
        <v/>
      </c>
      <c r="N55" s="111" t="str">
        <f ca="1">IF(RIGHT(N$4,2)&gt;=RIGHT('Input|General'!$G$11,2),IF(RIGHT(N$4,2)&lt;=RIGHT('Input|General'!$G$12,2),N$4,""),"")</f>
        <v/>
      </c>
      <c r="O55" s="175">
        <f ca="1">IF(RIGHT(O$4,2)&gt;=RIGHT('Input|General'!$G$11,2),IF(RIGHT(O$4,2)&lt;=RIGHT('Input|General'!$G$12,2),O$4,""),"")</f>
        <v>2018</v>
      </c>
      <c r="P55" s="175">
        <f ca="1">IF(RIGHT(P$4,2)&gt;=RIGHT('Input|General'!$G$11,2),IF(RIGHT(P$4,2)&lt;=RIGHT('Input|General'!$G$12,2),P$4,""),"")</f>
        <v>2019</v>
      </c>
      <c r="Q55" s="175">
        <f ca="1">IF(RIGHT(Q$4,2)&gt;=RIGHT('Input|General'!$G$11,2),IF(RIGHT(Q$4,2)&lt;=RIGHT('Input|General'!$G$12,2),Q$4,""),"")</f>
        <v>2020</v>
      </c>
      <c r="R55" s="175">
        <f ca="1">IF(RIGHT(R$4,2)&gt;=RIGHT('Input|General'!$G$11,2),IF(RIGHT(R$4,2)&lt;=RIGHT('Input|General'!$G$12,2),R$4,""),"")</f>
        <v>2021</v>
      </c>
      <c r="S55" s="175">
        <f ca="1">IF(RIGHT(S$4,2)&gt;=RIGHT('Input|General'!$G$11,2),IF(RIGHT(S$4,2)&lt;=RIGHT('Input|General'!$G$12,2),S$4,""),"")</f>
        <v>2022</v>
      </c>
    </row>
    <row r="56" spans="1:47" outlineLevel="1">
      <c r="C56" s="70"/>
      <c r="J56" s="127"/>
      <c r="K56" s="127"/>
      <c r="L56" s="127"/>
      <c r="M56" s="127"/>
      <c r="N56" s="127"/>
      <c r="O56" s="127"/>
      <c r="P56" s="127"/>
      <c r="Q56" s="127"/>
      <c r="R56" s="127"/>
      <c r="S56" s="127"/>
    </row>
    <row r="57" spans="1:47" outlineLevel="1">
      <c r="C57" s="128" t="str">
        <f>'Input|Step changes'!C12</f>
        <v>Marketing</v>
      </c>
      <c r="D57" s="116" t="s">
        <v>30</v>
      </c>
      <c r="E57" s="30" t="str">
        <f t="shared" ref="E57:E75" si="2">$E$8</f>
        <v>$millions</v>
      </c>
      <c r="F57" s="178">
        <v>2017</v>
      </c>
      <c r="J57" s="134">
        <f ca="1">'Input|Step changes'!J12*IF('Input|Step changes'!$F12="nominal",LOOKUP($F57,Nominal_to_Real,'Input|Rate of change'!N$25:N$30),INDEX('Input|Rate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K57" s="134">
        <f ca="1">'Input|Step changes'!K12*IF('Input|Step changes'!$F12="nominal",LOOKUP($F57,Nominal_to_Real,'Input|Rate of change'!O$25:O$30),INDEX('Input|Rate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L57" s="134">
        <f ca="1">'Input|Step changes'!L12*IF('Input|Step changes'!$F12="nominal",LOOKUP($F57,Nominal_to_Real,'Input|Rate of change'!P$25:P$30),INDEX('Input|Rate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M57" s="134">
        <f ca="1">'Input|Step changes'!M12*IF('Input|Step changes'!$F12="nominal",LOOKUP($F57,Nominal_to_Real,'Input|Rate of change'!Q$25:Q$30),INDEX('Input|Rate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N57" s="134">
        <f ca="1">'Input|Step changes'!N12*IF('Input|Step changes'!$F12="nominal",LOOKUP($F57,Nominal_to_Real,'Input|Rate of change'!R$25:R$30),INDEX('Input|Rate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O57" s="134">
        <f ca="1">'Input|Step changes'!O12*IF('Input|Step changes'!$F12="nominal",LOOKUP($F57,Nominal_to_Real,'Input|Rate of change'!S$25:S$30),INDEX('Input|Rate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P57" s="134">
        <f ca="1">'Input|Step changes'!P12*IF('Input|Step changes'!$F12="nominal",LOOKUP($F57,Nominal_to_Real,'Input|Rate of change'!T$25:T$30),INDEX('Input|Rate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Q57" s="134">
        <f ca="1">'Input|Step changes'!Q12*IF('Input|Step changes'!$F12="nominal",LOOKUP($F57,Nominal_to_Real,'Input|Rate of change'!U$25:U$30),INDEX('Input|Rate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R57" s="134">
        <f ca="1">'Input|Step changes'!R12*IF('Input|Step changes'!$F12="nominal",LOOKUP($F57,Nominal_to_Real,'Input|Rate of change'!V$25:V$30),INDEX('Input|Rate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S57" s="134">
        <f ca="1">'Input|Step changes'!S12*IF('Input|Step changes'!$F12="nominal",LOOKUP($F57,Nominal_to_Real,'Input|Rate of change'!W$25:W$30),INDEX('Input|Rate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</row>
    <row r="58" spans="1:47" outlineLevel="1">
      <c r="C58" s="128">
        <f>'Input|Step changes'!C13</f>
        <v>0</v>
      </c>
      <c r="D58" s="116" t="s">
        <v>30</v>
      </c>
      <c r="E58" s="30" t="str">
        <f t="shared" si="2"/>
        <v>$millions</v>
      </c>
      <c r="F58" s="178">
        <v>2017</v>
      </c>
      <c r="J58" s="134">
        <f ca="1">'Input|Step changes'!J13*IF('Input|Step changes'!$F13="nominal",LOOKUP($F58,Nominal_to_Real,'Input|Rate of change'!N$25:N$30),INDEX('Input|Rate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K58" s="134">
        <f ca="1">'Input|Step changes'!K13*IF('Input|Step changes'!$F13="nominal",LOOKUP($F58,Nominal_to_Real,'Input|Rate of change'!O$25:O$30),INDEX('Input|Rate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L58" s="134">
        <f ca="1">'Input|Step changes'!L13*IF('Input|Step changes'!$F13="nominal",LOOKUP($F58,Nominal_to_Real,'Input|Rate of change'!P$25:P$30),INDEX('Input|Rate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M58" s="134">
        <f ca="1">'Input|Step changes'!M13*IF('Input|Step changes'!$F13="nominal",LOOKUP($F58,Nominal_to_Real,'Input|Rate of change'!Q$25:Q$30),INDEX('Input|Rate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N58" s="134">
        <f ca="1">'Input|Step changes'!N13*IF('Input|Step changes'!$F13="nominal",LOOKUP($F58,Nominal_to_Real,'Input|Rate of change'!R$25:R$30),INDEX('Input|Rate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O58" s="134">
        <f ca="1">'Input|Step changes'!O13*IF('Input|Step changes'!$F13="nominal",LOOKUP($F58,Nominal_to_Real,'Input|Rate of change'!S$25:S$30),INDEX('Input|Rate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P58" s="134">
        <f ca="1">'Input|Step changes'!P13*IF('Input|Step changes'!$F13="nominal",LOOKUP($F58,Nominal_to_Real,'Input|Rate of change'!T$25:T$30),INDEX('Input|Rate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Q58" s="134">
        <f ca="1">'Input|Step changes'!Q13*IF('Input|Step changes'!$F13="nominal",LOOKUP($F58,Nominal_to_Real,'Input|Rate of change'!U$25:U$30),INDEX('Input|Rate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R58" s="134">
        <f ca="1">'Input|Step changes'!R13*IF('Input|Step changes'!$F13="nominal",LOOKUP($F58,Nominal_to_Real,'Input|Rate of change'!V$25:V$30),INDEX('Input|Rate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S58" s="134">
        <f ca="1">'Input|Step changes'!S13*IF('Input|Step changes'!$F13="nominal",LOOKUP($F58,Nominal_to_Real,'Input|Rate of change'!W$25:W$30),INDEX('Input|Rate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</row>
    <row r="59" spans="1:47" outlineLevel="1">
      <c r="C59" s="128">
        <f>'Input|Step changes'!C14</f>
        <v>0</v>
      </c>
      <c r="D59" s="116" t="s">
        <v>30</v>
      </c>
      <c r="E59" s="30" t="str">
        <f t="shared" si="2"/>
        <v>$millions</v>
      </c>
      <c r="F59" s="178">
        <v>2017</v>
      </c>
      <c r="J59" s="134">
        <f ca="1">'Input|Step changes'!J14*IF('Input|Step changes'!$F14="nominal",LOOKUP($F59,Nominal_to_Real,'Input|Rate of change'!N$25:N$30),INDEX('Input|Rate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K59" s="134">
        <f ca="1">'Input|Step changes'!K14*IF('Input|Step changes'!$F14="nominal",LOOKUP($F59,Nominal_to_Real,'Input|Rate of change'!O$25:O$30),INDEX('Input|Rate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L59" s="134">
        <f ca="1">'Input|Step changes'!L14*IF('Input|Step changes'!$F14="nominal",LOOKUP($F59,Nominal_to_Real,'Input|Rate of change'!P$25:P$30),INDEX('Input|Rate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M59" s="134">
        <f ca="1">'Input|Step changes'!M14*IF('Input|Step changes'!$F14="nominal",LOOKUP($F59,Nominal_to_Real,'Input|Rate of change'!Q$25:Q$30),INDEX('Input|Rate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N59" s="134">
        <f ca="1">'Input|Step changes'!N14*IF('Input|Step changes'!$F14="nominal",LOOKUP($F59,Nominal_to_Real,'Input|Rate of change'!R$25:R$30),INDEX('Input|Rate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O59" s="134">
        <f ca="1">'Input|Step changes'!O14*IF('Input|Step changes'!$F14="nominal",LOOKUP($F59,Nominal_to_Real,'Input|Rate of change'!S$25:S$30),INDEX('Input|Rate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P59" s="134">
        <f ca="1">'Input|Step changes'!P14*IF('Input|Step changes'!$F14="nominal",LOOKUP($F59,Nominal_to_Real,'Input|Rate of change'!T$25:T$30),INDEX('Input|Rate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Q59" s="134">
        <f ca="1">'Input|Step changes'!Q14*IF('Input|Step changes'!$F14="nominal",LOOKUP($F59,Nominal_to_Real,'Input|Rate of change'!U$25:U$30),INDEX('Input|Rate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R59" s="134">
        <f ca="1">'Input|Step changes'!R14*IF('Input|Step changes'!$F14="nominal",LOOKUP($F59,Nominal_to_Real,'Input|Rate of change'!V$25:V$30),INDEX('Input|Rate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S59" s="134">
        <f ca="1">'Input|Step changes'!S14*IF('Input|Step changes'!$F14="nominal",LOOKUP($F59,Nominal_to_Real,'Input|Rate of change'!W$25:W$30),INDEX('Input|Rate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</row>
    <row r="60" spans="1:47" outlineLevel="1">
      <c r="C60" s="128">
        <f>'Input|Step changes'!C15</f>
        <v>0</v>
      </c>
      <c r="D60" s="116" t="s">
        <v>30</v>
      </c>
      <c r="E60" s="30" t="str">
        <f t="shared" si="2"/>
        <v>$millions</v>
      </c>
      <c r="F60" s="178">
        <v>2017</v>
      </c>
      <c r="J60" s="134">
        <f ca="1">'Input|Step changes'!J15*IF('Input|Step changes'!$F15="nominal",LOOKUP($F60,Nominal_to_Real,'Input|Rate of change'!N$25:N$30),INDEX('Input|Rate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K60" s="134">
        <f ca="1">'Input|Step changes'!K15*IF('Input|Step changes'!$F15="nominal",LOOKUP($F60,Nominal_to_Real,'Input|Rate of change'!O$25:O$30),INDEX('Input|Rate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L60" s="134">
        <f ca="1">'Input|Step changes'!L15*IF('Input|Step changes'!$F15="nominal",LOOKUP($F60,Nominal_to_Real,'Input|Rate of change'!P$25:P$30),INDEX('Input|Rate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M60" s="134">
        <f ca="1">'Input|Step changes'!M15*IF('Input|Step changes'!$F15="nominal",LOOKUP($F60,Nominal_to_Real,'Input|Rate of change'!Q$25:Q$30),INDEX('Input|Rate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N60" s="134">
        <f ca="1">'Input|Step changes'!N15*IF('Input|Step changes'!$F15="nominal",LOOKUP($F60,Nominal_to_Real,'Input|Rate of change'!R$25:R$30),INDEX('Input|Rate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O60" s="134">
        <f ca="1">'Input|Step changes'!O15*IF('Input|Step changes'!$F15="nominal",LOOKUP($F60,Nominal_to_Real,'Input|Rate of change'!S$25:S$30),INDEX('Input|Rate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P60" s="134">
        <f ca="1">'Input|Step changes'!P15*IF('Input|Step changes'!$F15="nominal",LOOKUP($F60,Nominal_to_Real,'Input|Rate of change'!T$25:T$30),INDEX('Input|Rate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Q60" s="134">
        <f ca="1">'Input|Step changes'!Q15*IF('Input|Step changes'!$F15="nominal",LOOKUP($F60,Nominal_to_Real,'Input|Rate of change'!U$25:U$30),INDEX('Input|Rate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R60" s="134">
        <f ca="1">'Input|Step changes'!R15*IF('Input|Step changes'!$F15="nominal",LOOKUP($F60,Nominal_to_Real,'Input|Rate of change'!V$25:V$30),INDEX('Input|Rate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S60" s="134">
        <f ca="1">'Input|Step changes'!S15*IF('Input|Step changes'!$F15="nominal",LOOKUP($F60,Nominal_to_Real,'Input|Rate of change'!W$25:W$30),INDEX('Input|Rate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</row>
    <row r="61" spans="1:47" outlineLevel="1">
      <c r="C61" s="128">
        <f>'Input|Step changes'!C16</f>
        <v>0</v>
      </c>
      <c r="D61" s="116" t="s">
        <v>30</v>
      </c>
      <c r="E61" s="30" t="str">
        <f t="shared" si="2"/>
        <v>$millions</v>
      </c>
      <c r="F61" s="178">
        <v>2017</v>
      </c>
      <c r="J61" s="134">
        <f ca="1">'Input|Step changes'!J16*IF('Input|Step changes'!$F16="nominal",LOOKUP($F61,Nominal_to_Real,'Input|Rate of change'!N$25:N$30),INDEX('Input|Rate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K61" s="134">
        <f ca="1">'Input|Step changes'!K16*IF('Input|Step changes'!$F16="nominal",LOOKUP($F61,Nominal_to_Real,'Input|Rate of change'!O$25:O$30),INDEX('Input|Rate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L61" s="134">
        <f ca="1">'Input|Step changes'!L16*IF('Input|Step changes'!$F16="nominal",LOOKUP($F61,Nominal_to_Real,'Input|Rate of change'!P$25:P$30),INDEX('Input|Rate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M61" s="134">
        <f ca="1">'Input|Step changes'!M16*IF('Input|Step changes'!$F16="nominal",LOOKUP($F61,Nominal_to_Real,'Input|Rate of change'!Q$25:Q$30),INDEX('Input|Rate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N61" s="134">
        <f ca="1">'Input|Step changes'!N16*IF('Input|Step changes'!$F16="nominal",LOOKUP($F61,Nominal_to_Real,'Input|Rate of change'!R$25:R$30),INDEX('Input|Rate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O61" s="134">
        <f ca="1">'Input|Step changes'!O16*IF('Input|Step changes'!$F16="nominal",LOOKUP($F61,Nominal_to_Real,'Input|Rate of change'!S$25:S$30),INDEX('Input|Rate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P61" s="134">
        <f ca="1">'Input|Step changes'!P16*IF('Input|Step changes'!$F16="nominal",LOOKUP($F61,Nominal_to_Real,'Input|Rate of change'!T$25:T$30),INDEX('Input|Rate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Q61" s="134">
        <f ca="1">'Input|Step changes'!Q16*IF('Input|Step changes'!$F16="nominal",LOOKUP($F61,Nominal_to_Real,'Input|Rate of change'!U$25:U$30),INDEX('Input|Rate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R61" s="134">
        <f ca="1">'Input|Step changes'!R16*IF('Input|Step changes'!$F16="nominal",LOOKUP($F61,Nominal_to_Real,'Input|Rate of change'!V$25:V$30),INDEX('Input|Rate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S61" s="134">
        <f ca="1">'Input|Step changes'!S16*IF('Input|Step changes'!$F16="nominal",LOOKUP($F61,Nominal_to_Real,'Input|Rate of change'!W$25:W$30),INDEX('Input|Rate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</row>
    <row r="62" spans="1:47" outlineLevel="1">
      <c r="C62" s="128">
        <f>'Input|Step changes'!C17</f>
        <v>0</v>
      </c>
      <c r="D62" s="116" t="s">
        <v>30</v>
      </c>
      <c r="E62" s="30" t="str">
        <f t="shared" si="2"/>
        <v>$millions</v>
      </c>
      <c r="F62" s="178">
        <v>2017</v>
      </c>
      <c r="J62" s="134">
        <f ca="1">'Input|Step changes'!J17*IF('Input|Step changes'!$F17="nominal",LOOKUP($F62,Nominal_to_Real,'Input|Rate of change'!N$25:N$30),INDEX('Input|Rate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K62" s="134">
        <f ca="1">'Input|Step changes'!K17*IF('Input|Step changes'!$F17="nominal",LOOKUP($F62,Nominal_to_Real,'Input|Rate of change'!O$25:O$30),INDEX('Input|Rate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L62" s="134">
        <f ca="1">'Input|Step changes'!L17*IF('Input|Step changes'!$F17="nominal",LOOKUP($F62,Nominal_to_Real,'Input|Rate of change'!P$25:P$30),INDEX('Input|Rate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M62" s="134">
        <f ca="1">'Input|Step changes'!M17*IF('Input|Step changes'!$F17="nominal",LOOKUP($F62,Nominal_to_Real,'Input|Rate of change'!Q$25:Q$30),INDEX('Input|Rate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N62" s="134">
        <f ca="1">'Input|Step changes'!N17*IF('Input|Step changes'!$F17="nominal",LOOKUP($F62,Nominal_to_Real,'Input|Rate of change'!R$25:R$30),INDEX('Input|Rate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O62" s="134">
        <f ca="1">'Input|Step changes'!O17*IF('Input|Step changes'!$F17="nominal",LOOKUP($F62,Nominal_to_Real,'Input|Rate of change'!S$25:S$30),INDEX('Input|Rate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P62" s="134">
        <f ca="1">'Input|Step changes'!P17*IF('Input|Step changes'!$F17="nominal",LOOKUP($F62,Nominal_to_Real,'Input|Rate of change'!T$25:T$30),INDEX('Input|Rate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Q62" s="134">
        <f ca="1">'Input|Step changes'!Q17*IF('Input|Step changes'!$F17="nominal",LOOKUP($F62,Nominal_to_Real,'Input|Rate of change'!U$25:U$30),INDEX('Input|Rate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R62" s="134">
        <f ca="1">'Input|Step changes'!R17*IF('Input|Step changes'!$F17="nominal",LOOKUP($F62,Nominal_to_Real,'Input|Rate of change'!V$25:V$30),INDEX('Input|Rate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S62" s="134">
        <f ca="1">'Input|Step changes'!S17*IF('Input|Step changes'!$F17="nominal",LOOKUP($F62,Nominal_to_Real,'Input|Rate of change'!W$25:W$30),INDEX('Input|Rate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</row>
    <row r="63" spans="1:47" outlineLevel="1">
      <c r="C63" s="128">
        <f>'Input|Step changes'!C18</f>
        <v>0</v>
      </c>
      <c r="D63" s="116" t="s">
        <v>30</v>
      </c>
      <c r="E63" s="30" t="str">
        <f t="shared" si="2"/>
        <v>$millions</v>
      </c>
      <c r="F63" s="178">
        <v>2017</v>
      </c>
      <c r="J63" s="134">
        <f ca="1">'Input|Step changes'!J18*IF('Input|Step changes'!$F18="nominal",LOOKUP($F63,Nominal_to_Real,'Input|Rate of change'!N$25:N$30),INDEX('Input|Rate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K63" s="134">
        <f ca="1">'Input|Step changes'!K18*IF('Input|Step changes'!$F18="nominal",LOOKUP($F63,Nominal_to_Real,'Input|Rate of change'!O$25:O$30),INDEX('Input|Rate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L63" s="134">
        <f ca="1">'Input|Step changes'!L18*IF('Input|Step changes'!$F18="nominal",LOOKUP($F63,Nominal_to_Real,'Input|Rate of change'!P$25:P$30),INDEX('Input|Rate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M63" s="134">
        <f ca="1">'Input|Step changes'!M18*IF('Input|Step changes'!$F18="nominal",LOOKUP($F63,Nominal_to_Real,'Input|Rate of change'!Q$25:Q$30),INDEX('Input|Rate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N63" s="134">
        <f ca="1">'Input|Step changes'!N18*IF('Input|Step changes'!$F18="nominal",LOOKUP($F63,Nominal_to_Real,'Input|Rate of change'!R$25:R$30),INDEX('Input|Rate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O63" s="134">
        <f ca="1">'Input|Step changes'!O18*IF('Input|Step changes'!$F18="nominal",LOOKUP($F63,Nominal_to_Real,'Input|Rate of change'!S$25:S$30),INDEX('Input|Rate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P63" s="134">
        <f ca="1">'Input|Step changes'!P18*IF('Input|Step changes'!$F18="nominal",LOOKUP($F63,Nominal_to_Real,'Input|Rate of change'!T$25:T$30),INDEX('Input|Rate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Q63" s="134">
        <f ca="1">'Input|Step changes'!Q18*IF('Input|Step changes'!$F18="nominal",LOOKUP($F63,Nominal_to_Real,'Input|Rate of change'!U$25:U$30),INDEX('Input|Rate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R63" s="134">
        <f ca="1">'Input|Step changes'!R18*IF('Input|Step changes'!$F18="nominal",LOOKUP($F63,Nominal_to_Real,'Input|Rate of change'!V$25:V$30),INDEX('Input|Rate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S63" s="134">
        <f ca="1">'Input|Step changes'!S18*IF('Input|Step changes'!$F18="nominal",LOOKUP($F63,Nominal_to_Real,'Input|Rate of change'!W$25:W$30),INDEX('Input|Rate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</row>
    <row r="64" spans="1:47" outlineLevel="1">
      <c r="C64" s="128">
        <f>'Input|Step changes'!C19</f>
        <v>0</v>
      </c>
      <c r="D64" s="116" t="s">
        <v>30</v>
      </c>
      <c r="E64" s="30" t="str">
        <f t="shared" si="2"/>
        <v>$millions</v>
      </c>
      <c r="F64" s="178">
        <v>2017</v>
      </c>
      <c r="J64" s="134">
        <f ca="1">'Input|Step changes'!J19*IF('Input|Step changes'!$F19="nominal",LOOKUP($F64,Nominal_to_Real,'Input|Rate of change'!N$25:N$30),INDEX('Input|Rate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K64" s="134">
        <f ca="1">'Input|Step changes'!K19*IF('Input|Step changes'!$F19="nominal",LOOKUP($F64,Nominal_to_Real,'Input|Rate of change'!O$25:O$30),INDEX('Input|Rate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L64" s="134">
        <f ca="1">'Input|Step changes'!L19*IF('Input|Step changes'!$F19="nominal",LOOKUP($F64,Nominal_to_Real,'Input|Rate of change'!P$25:P$30),INDEX('Input|Rate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M64" s="134">
        <f ca="1">'Input|Step changes'!M19*IF('Input|Step changes'!$F19="nominal",LOOKUP($F64,Nominal_to_Real,'Input|Rate of change'!Q$25:Q$30),INDEX('Input|Rate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N64" s="134">
        <f ca="1">'Input|Step changes'!N19*IF('Input|Step changes'!$F19="nominal",LOOKUP($F64,Nominal_to_Real,'Input|Rate of change'!R$25:R$30),INDEX('Input|Rate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O64" s="134">
        <f ca="1">'Input|Step changes'!O19*IF('Input|Step changes'!$F19="nominal",LOOKUP($F64,Nominal_to_Real,'Input|Rate of change'!S$25:S$30),INDEX('Input|Rate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P64" s="134">
        <f ca="1">'Input|Step changes'!P19*IF('Input|Step changes'!$F19="nominal",LOOKUP($F64,Nominal_to_Real,'Input|Rate of change'!T$25:T$30),INDEX('Input|Rate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Q64" s="134">
        <f ca="1">'Input|Step changes'!Q19*IF('Input|Step changes'!$F19="nominal",LOOKUP($F64,Nominal_to_Real,'Input|Rate of change'!U$25:U$30),INDEX('Input|Rate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R64" s="134">
        <f ca="1">'Input|Step changes'!R19*IF('Input|Step changes'!$F19="nominal",LOOKUP($F64,Nominal_to_Real,'Input|Rate of change'!V$25:V$30),INDEX('Input|Rate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S64" s="134">
        <f ca="1">'Input|Step changes'!S19*IF('Input|Step changes'!$F19="nominal",LOOKUP($F64,Nominal_to_Real,'Input|Rate of change'!W$25:W$30),INDEX('Input|Rate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</row>
    <row r="65" spans="1:47" outlineLevel="1">
      <c r="C65" s="128">
        <f>'Input|Step changes'!C20</f>
        <v>0</v>
      </c>
      <c r="D65" s="116" t="s">
        <v>30</v>
      </c>
      <c r="E65" s="30" t="str">
        <f t="shared" si="2"/>
        <v>$millions</v>
      </c>
      <c r="F65" s="178">
        <v>2017</v>
      </c>
      <c r="J65" s="134">
        <f ca="1">'Input|Step changes'!J20*IF('Input|Step changes'!$F20="nominal",LOOKUP($F65,Nominal_to_Real,'Input|Rate of change'!N$25:N$30),INDEX('Input|Rate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K65" s="134">
        <f ca="1">'Input|Step changes'!K20*IF('Input|Step changes'!$F20="nominal",LOOKUP($F65,Nominal_to_Real,'Input|Rate of change'!O$25:O$30),INDEX('Input|Rate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L65" s="134">
        <f ca="1">'Input|Step changes'!L20*IF('Input|Step changes'!$F20="nominal",LOOKUP($F65,Nominal_to_Real,'Input|Rate of change'!P$25:P$30),INDEX('Input|Rate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M65" s="134">
        <f ca="1">'Input|Step changes'!M20*IF('Input|Step changes'!$F20="nominal",LOOKUP($F65,Nominal_to_Real,'Input|Rate of change'!Q$25:Q$30),INDEX('Input|Rate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N65" s="134">
        <f ca="1">'Input|Step changes'!N20*IF('Input|Step changes'!$F20="nominal",LOOKUP($F65,Nominal_to_Real,'Input|Rate of change'!R$25:R$30),INDEX('Input|Rate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O65" s="134">
        <f ca="1">'Input|Step changes'!O20*IF('Input|Step changes'!$F20="nominal",LOOKUP($F65,Nominal_to_Real,'Input|Rate of change'!S$25:S$30),INDEX('Input|Rate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P65" s="134">
        <f ca="1">'Input|Step changes'!P20*IF('Input|Step changes'!$F20="nominal",LOOKUP($F65,Nominal_to_Real,'Input|Rate of change'!T$25:T$30),INDEX('Input|Rate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Q65" s="134">
        <f ca="1">'Input|Step changes'!Q20*IF('Input|Step changes'!$F20="nominal",LOOKUP($F65,Nominal_to_Real,'Input|Rate of change'!U$25:U$30),INDEX('Input|Rate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R65" s="134">
        <f ca="1">'Input|Step changes'!R20*IF('Input|Step changes'!$F20="nominal",LOOKUP($F65,Nominal_to_Real,'Input|Rate of change'!V$25:V$30),INDEX('Input|Rate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S65" s="134">
        <f ca="1">'Input|Step changes'!S20*IF('Input|Step changes'!$F20="nominal",LOOKUP($F65,Nominal_to_Real,'Input|Rate of change'!W$25:W$30),INDEX('Input|Rate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</row>
    <row r="66" spans="1:47" outlineLevel="1">
      <c r="C66" s="128"/>
      <c r="D66" s="116"/>
      <c r="F66" s="118"/>
      <c r="J66" s="135"/>
      <c r="K66" s="135"/>
      <c r="L66" s="135"/>
      <c r="M66" s="135"/>
      <c r="N66" s="135"/>
      <c r="O66" s="135"/>
      <c r="P66" s="135"/>
      <c r="Q66" s="135"/>
      <c r="R66" s="135"/>
      <c r="S66" s="135"/>
    </row>
    <row r="67" spans="1:47" outlineLevel="1">
      <c r="C67" s="120" t="s">
        <v>50</v>
      </c>
      <c r="D67" s="129" t="s">
        <v>30</v>
      </c>
      <c r="E67" s="129" t="str">
        <f>$E$8</f>
        <v>$millions</v>
      </c>
      <c r="F67" s="178">
        <v>2017</v>
      </c>
      <c r="G67" s="32"/>
      <c r="H67" s="32"/>
      <c r="I67" s="32"/>
      <c r="J67" s="136">
        <f ca="1">SUM(J56:J66)</f>
        <v>0</v>
      </c>
      <c r="K67" s="136">
        <f t="shared" ref="K67:S67" ca="1" si="3">SUM(K56:K66)</f>
        <v>0</v>
      </c>
      <c r="L67" s="136">
        <f t="shared" ca="1" si="3"/>
        <v>0</v>
      </c>
      <c r="M67" s="136">
        <f t="shared" ca="1" si="3"/>
        <v>0</v>
      </c>
      <c r="N67" s="136">
        <f t="shared" ca="1" si="3"/>
        <v>0</v>
      </c>
      <c r="O67" s="136">
        <f t="shared" ca="1" si="3"/>
        <v>0</v>
      </c>
      <c r="P67" s="136">
        <f t="shared" ca="1" si="3"/>
        <v>0</v>
      </c>
      <c r="Q67" s="136">
        <f t="shared" ca="1" si="3"/>
        <v>0</v>
      </c>
      <c r="R67" s="136">
        <f t="shared" ca="1" si="3"/>
        <v>0</v>
      </c>
      <c r="S67" s="136">
        <f t="shared" ca="1" si="3"/>
        <v>0</v>
      </c>
    </row>
    <row r="68" spans="1:47">
      <c r="C68" s="130"/>
      <c r="D68" s="116"/>
      <c r="E68" s="116"/>
      <c r="F68" s="116"/>
      <c r="J68" s="113"/>
      <c r="K68" s="113"/>
      <c r="L68" s="113"/>
      <c r="M68" s="113"/>
      <c r="N68" s="23"/>
      <c r="O68" s="23"/>
      <c r="P68" s="23"/>
      <c r="Q68" s="23"/>
      <c r="R68" s="23"/>
      <c r="S68" s="23"/>
    </row>
    <row r="69" spans="1:47" s="108" customFormat="1" ht="12.75">
      <c r="A69" s="99"/>
      <c r="B69" s="100" t="s">
        <v>139</v>
      </c>
      <c r="C69" s="99"/>
      <c r="D69" s="99"/>
      <c r="E69" s="99"/>
      <c r="F69" s="101"/>
      <c r="G69" s="101"/>
      <c r="H69" s="101"/>
      <c r="I69" s="101"/>
      <c r="J69" s="102"/>
      <c r="K69" s="103"/>
      <c r="L69" s="102"/>
      <c r="M69" s="103"/>
      <c r="N69" s="102"/>
      <c r="O69" s="102"/>
      <c r="P69" s="102"/>
      <c r="Q69" s="102"/>
      <c r="R69" s="102"/>
      <c r="S69" s="102"/>
      <c r="T69" s="102"/>
      <c r="U69" s="102"/>
      <c r="V69" s="103"/>
      <c r="W69" s="103"/>
      <c r="X69" s="104"/>
      <c r="Y69" s="104"/>
      <c r="Z69" s="104"/>
      <c r="AA69" s="104"/>
      <c r="AB69" s="105"/>
      <c r="AC69" s="106"/>
      <c r="AD69" s="106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</row>
    <row r="70" spans="1:47" outlineLevel="1">
      <c r="C70" s="112"/>
      <c r="J70" s="113"/>
      <c r="K70" s="113"/>
      <c r="L70" s="113"/>
    </row>
    <row r="71" spans="1:47" outlineLevel="1">
      <c r="C71" s="70" t="s">
        <v>119</v>
      </c>
      <c r="D71" s="32" t="s">
        <v>7</v>
      </c>
      <c r="E71" s="32" t="s">
        <v>8</v>
      </c>
      <c r="F71" s="32" t="s">
        <v>22</v>
      </c>
      <c r="J71" s="111" t="str">
        <f>IF(RIGHT(J$4,2)&gt;=RIGHT('Input|General'!$G$11,2),IF(RIGHT(J$4,2)&lt;=RIGHT('Input|General'!$G$12,2),J$4,""),"")</f>
        <v/>
      </c>
      <c r="K71" s="111" t="str">
        <f ca="1">IF(RIGHT(K$4,2)&gt;=RIGHT('Input|General'!$G$11,2),IF(RIGHT(K$4,2)&lt;=RIGHT('Input|General'!$G$12,2),K$4,""),"")</f>
        <v/>
      </c>
      <c r="L71" s="111" t="str">
        <f ca="1">IF(RIGHT(L$4,2)&gt;=RIGHT('Input|General'!$G$11,2),IF(RIGHT(L$4,2)&lt;=RIGHT('Input|General'!$G$12,2),L$4,""),"")</f>
        <v/>
      </c>
      <c r="M71" s="111" t="str">
        <f ca="1">IF(RIGHT(M$4,2)&gt;=RIGHT('Input|General'!$G$11,2),IF(RIGHT(M$4,2)&lt;=RIGHT('Input|General'!$G$12,2),M$4,""),"")</f>
        <v/>
      </c>
      <c r="N71" s="111" t="str">
        <f ca="1">IF(RIGHT(N$4,2)&gt;=RIGHT('Input|General'!$G$11,2),IF(RIGHT(N$4,2)&lt;=RIGHT('Input|General'!$G$12,2),N$4,""),"")</f>
        <v/>
      </c>
      <c r="O71" s="175">
        <f ca="1">IF(RIGHT(O$4,2)&gt;=RIGHT('Input|General'!$G$11,2),IF(RIGHT(O$4,2)&lt;=RIGHT('Input|General'!$G$12,2),O$4,""),"")</f>
        <v>2018</v>
      </c>
      <c r="P71" s="175">
        <f ca="1">IF(RIGHT(P$4,2)&gt;=RIGHT('Input|General'!$G$11,2),IF(RIGHT(P$4,2)&lt;=RIGHT('Input|General'!$G$12,2),P$4,""),"")</f>
        <v>2019</v>
      </c>
      <c r="Q71" s="175">
        <f ca="1">IF(RIGHT(Q$4,2)&gt;=RIGHT('Input|General'!$G$11,2),IF(RIGHT(Q$4,2)&lt;=RIGHT('Input|General'!$G$12,2),Q$4,""),"")</f>
        <v>2020</v>
      </c>
      <c r="R71" s="175">
        <f ca="1">IF(RIGHT(R$4,2)&gt;=RIGHT('Input|General'!$G$11,2),IF(RIGHT(R$4,2)&lt;=RIGHT('Input|General'!$G$12,2),R$4,""),"")</f>
        <v>2021</v>
      </c>
      <c r="S71" s="175">
        <f ca="1">IF(RIGHT(S$4,2)&gt;=RIGHT('Input|General'!$G$11,2),IF(RIGHT(S$4,2)&lt;=RIGHT('Input|General'!$G$12,2),S$4,""),"")</f>
        <v>2022</v>
      </c>
    </row>
    <row r="72" spans="1:47" outlineLevel="1">
      <c r="C72" s="70"/>
      <c r="J72" s="127"/>
      <c r="K72" s="127"/>
      <c r="L72" s="127"/>
      <c r="M72" s="127"/>
      <c r="N72" s="127"/>
      <c r="O72" s="127"/>
      <c r="P72" s="127"/>
      <c r="Q72" s="127"/>
      <c r="R72" s="127"/>
      <c r="S72" s="127"/>
    </row>
    <row r="73" spans="1:47" outlineLevel="1">
      <c r="C73" s="128" t="str">
        <f>'Input|Step changes'!C26</f>
        <v>Output growth</v>
      </c>
      <c r="D73" s="116" t="s">
        <v>30</v>
      </c>
      <c r="E73" s="30" t="str">
        <f t="shared" si="2"/>
        <v>$millions</v>
      </c>
      <c r="F73" s="178">
        <v>2017</v>
      </c>
      <c r="J73" s="134">
        <f ca="1">'Input|Step changes'!J26*IF('Input|Step changes'!$F26="nominal",LOOKUP($F73,Nominal_to_Real,'Input|Rate of change'!N$25:N$30),INDEX('Input|Rate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  <c r="K73" s="134">
        <f ca="1">'Input|Step changes'!K26*IF('Input|Step changes'!$F26="nominal",LOOKUP($F73,Nominal_to_Real,'Input|Rate of change'!O$25:O$30),INDEX('Input|Rate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  <c r="L73" s="134">
        <f ca="1">'Input|Step changes'!L26*IF('Input|Step changes'!$F26="nominal",LOOKUP($F73,Nominal_to_Real,'Input|Rate of change'!P$25:P$30),INDEX('Input|Rate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  <c r="M73" s="134">
        <f ca="1">'Input|Step changes'!M26*IF('Input|Step changes'!$F26="nominal",LOOKUP($F73,Nominal_to_Real,'Input|Rate of change'!Q$25:Q$30),INDEX('Input|Rate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  <c r="N73" s="134">
        <f ca="1">'Input|Step changes'!N26*IF('Input|Step changes'!$F26="nominal",LOOKUP($F73,Nominal_to_Real,'Input|Rate of change'!R$25:R$30),INDEX('Input|Rate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  <c r="O73" s="134">
        <f ca="1">'Input|Step changes'!O26*IF('Input|Step changes'!$F26="nominal",LOOKUP($F73,Nominal_to_Real,'Input|Rate of change'!S$25:S$30),INDEX('Input|Rate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0.18788711499179556</v>
      </c>
      <c r="P73" s="134">
        <f ca="1">'Input|Step changes'!P26*IF('Input|Step changes'!$F26="nominal",LOOKUP($F73,Nominal_to_Real,'Input|Rate of change'!T$25:T$30),INDEX('Input|Rate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0.4898932104395044</v>
      </c>
      <c r="Q73" s="134">
        <f ca="1">'Input|Step changes'!Q26*IF('Input|Step changes'!$F26="nominal",LOOKUP($F73,Nominal_to_Real,'Input|Rate of change'!U$25:U$30),INDEX('Input|Rate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0.7962860801504803</v>
      </c>
      <c r="R73" s="134">
        <f ca="1">'Input|Step changes'!R26*IF('Input|Step changes'!$F26="nominal",LOOKUP($F73,Nominal_to_Real,'Input|Rate of change'!V$25:V$30),INDEX('Input|Rate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1.1088436060983184</v>
      </c>
      <c r="S73" s="134">
        <f ca="1">'Input|Step changes'!S26*IF('Input|Step changes'!$F26="nominal",LOOKUP($F73,Nominal_to_Real,'Input|Rate of change'!W$25:W$30),INDEX('Input|Rate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1.4275897811953939</v>
      </c>
    </row>
    <row r="74" spans="1:47" outlineLevel="1">
      <c r="C74" s="128">
        <f>'Input|Step changes'!C27</f>
        <v>0</v>
      </c>
      <c r="D74" s="116" t="s">
        <v>30</v>
      </c>
      <c r="E74" s="30" t="str">
        <f t="shared" si="2"/>
        <v>$millions</v>
      </c>
      <c r="F74" s="178">
        <v>2017</v>
      </c>
      <c r="J74" s="134">
        <f ca="1">'Input|Step changes'!J27*IF('Input|Step changes'!$F27="nominal",LOOKUP($F74,Nominal_to_Real,'Input|Rate of change'!N$25:N$30),INDEX('Input|Rate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K74" s="134">
        <f ca="1">'Input|Step changes'!K27*IF('Input|Step changes'!$F27="nominal",LOOKUP($F74,Nominal_to_Real,'Input|Rate of change'!O$25:O$30),INDEX('Input|Rate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L74" s="134">
        <f ca="1">'Input|Step changes'!L27*IF('Input|Step changes'!$F27="nominal",LOOKUP($F74,Nominal_to_Real,'Input|Rate of change'!P$25:P$30),INDEX('Input|Rate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M74" s="134">
        <f ca="1">'Input|Step changes'!M27*IF('Input|Step changes'!$F27="nominal",LOOKUP($F74,Nominal_to_Real,'Input|Rate of change'!Q$25:Q$30),INDEX('Input|Rate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N74" s="134">
        <f ca="1">'Input|Step changes'!N27*IF('Input|Step changes'!$F27="nominal",LOOKUP($F74,Nominal_to_Real,'Input|Rate of change'!R$25:R$30),INDEX('Input|Rate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O74" s="134">
        <f ca="1">'Input|Step changes'!O27*IF('Input|Step changes'!$F27="nominal",LOOKUP($F74,Nominal_to_Real,'Input|Rate of change'!S$25:S$30),INDEX('Input|Rate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P74" s="134">
        <f ca="1">'Input|Step changes'!P27*IF('Input|Step changes'!$F27="nominal",LOOKUP($F74,Nominal_to_Real,'Input|Rate of change'!T$25:T$30),INDEX('Input|Rate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Q74" s="134">
        <f ca="1">'Input|Step changes'!Q27*IF('Input|Step changes'!$F27="nominal",LOOKUP($F74,Nominal_to_Real,'Input|Rate of change'!U$25:U$30),INDEX('Input|Rate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R74" s="134">
        <f ca="1">'Input|Step changes'!R27*IF('Input|Step changes'!$F27="nominal",LOOKUP($F74,Nominal_to_Real,'Input|Rate of change'!V$25:V$30),INDEX('Input|Rate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S74" s="134">
        <f ca="1">'Input|Step changes'!S27*IF('Input|Step changes'!$F27="nominal",LOOKUP($F74,Nominal_to_Real,'Input|Rate of change'!W$25:W$30),INDEX('Input|Rate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</row>
    <row r="75" spans="1:47" outlineLevel="1">
      <c r="C75" s="128">
        <f>'Input|Step changes'!C28</f>
        <v>0</v>
      </c>
      <c r="D75" s="116" t="s">
        <v>30</v>
      </c>
      <c r="E75" s="30" t="str">
        <f t="shared" si="2"/>
        <v>$millions</v>
      </c>
      <c r="F75" s="178">
        <v>2017</v>
      </c>
      <c r="J75" s="134">
        <f ca="1">'Input|Step changes'!J28*IF('Input|Step changes'!$F28="nominal",LOOKUP($F75,Nominal_to_Real,'Input|Rate of change'!N$25:N$30),INDEX('Input|Rate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K75" s="134">
        <f ca="1">'Input|Step changes'!K28*IF('Input|Step changes'!$F28="nominal",LOOKUP($F75,Nominal_to_Real,'Input|Rate of change'!O$25:O$30),INDEX('Input|Rate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L75" s="134">
        <f ca="1">'Input|Step changes'!L28*IF('Input|Step changes'!$F28="nominal",LOOKUP($F75,Nominal_to_Real,'Input|Rate of change'!P$25:P$30),INDEX('Input|Rate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M75" s="134">
        <f ca="1">'Input|Step changes'!M28*IF('Input|Step changes'!$F28="nominal",LOOKUP($F75,Nominal_to_Real,'Input|Rate of change'!Q$25:Q$30),INDEX('Input|Rate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N75" s="134">
        <f ca="1">'Input|Step changes'!N28*IF('Input|Step changes'!$F28="nominal",LOOKUP($F75,Nominal_to_Real,'Input|Rate of change'!R$25:R$30),INDEX('Input|Rate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O75" s="134">
        <f ca="1">'Input|Step changes'!O28*IF('Input|Step changes'!$F28="nominal",LOOKUP($F75,Nominal_to_Real,'Input|Rate of change'!S$25:S$30),INDEX('Input|Rate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P75" s="134">
        <f ca="1">'Input|Step changes'!P28*IF('Input|Step changes'!$F28="nominal",LOOKUP($F75,Nominal_to_Real,'Input|Rate of change'!T$25:T$30),INDEX('Input|Rate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Q75" s="134">
        <f ca="1">'Input|Step changes'!Q28*IF('Input|Step changes'!$F28="nominal",LOOKUP($F75,Nominal_to_Real,'Input|Rate of change'!U$25:U$30),INDEX('Input|Rate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R75" s="134">
        <f ca="1">'Input|Step changes'!R28*IF('Input|Step changes'!$F28="nominal",LOOKUP($F75,Nominal_to_Real,'Input|Rate of change'!V$25:V$30),INDEX('Input|Rate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S75" s="134">
        <f ca="1">'Input|Step changes'!S28*IF('Input|Step changes'!$F28="nominal",LOOKUP($F75,Nominal_to_Real,'Input|Rate of change'!W$25:W$30),INDEX('Input|Rate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</row>
    <row r="76" spans="1:47" outlineLevel="1">
      <c r="C76" s="128"/>
      <c r="D76" s="114"/>
      <c r="F76" s="118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</row>
    <row r="77" spans="1:47" outlineLevel="1">
      <c r="C77" s="120" t="s">
        <v>140</v>
      </c>
      <c r="D77" s="129" t="s">
        <v>30</v>
      </c>
      <c r="E77" s="129" t="str">
        <f>$E$8</f>
        <v>$millions</v>
      </c>
      <c r="F77" s="178">
        <v>2017</v>
      </c>
      <c r="G77" s="32"/>
      <c r="H77" s="32"/>
      <c r="I77" s="32"/>
      <c r="J77" s="136">
        <f ca="1">SUM(J72:J76)</f>
        <v>0</v>
      </c>
      <c r="K77" s="136">
        <f t="shared" ref="K77:S77" ca="1" si="4">SUM(K72:K76)</f>
        <v>0</v>
      </c>
      <c r="L77" s="136">
        <f t="shared" ca="1" si="4"/>
        <v>0</v>
      </c>
      <c r="M77" s="136">
        <f t="shared" ca="1" si="4"/>
        <v>0</v>
      </c>
      <c r="N77" s="136">
        <f t="shared" ca="1" si="4"/>
        <v>0</v>
      </c>
      <c r="O77" s="136">
        <f t="shared" ca="1" si="4"/>
        <v>0.18788711499179556</v>
      </c>
      <c r="P77" s="136">
        <f t="shared" ca="1" si="4"/>
        <v>0.4898932104395044</v>
      </c>
      <c r="Q77" s="136">
        <f t="shared" ca="1" si="4"/>
        <v>0.7962860801504803</v>
      </c>
      <c r="R77" s="136">
        <f t="shared" ca="1" si="4"/>
        <v>1.1088436060983184</v>
      </c>
      <c r="S77" s="136">
        <f t="shared" ca="1" si="4"/>
        <v>1.4275897811953939</v>
      </c>
    </row>
    <row r="78" spans="1:47">
      <c r="C78" s="130"/>
      <c r="D78" s="116"/>
      <c r="E78" s="116"/>
      <c r="F78" s="116"/>
      <c r="J78" s="113"/>
      <c r="K78" s="113"/>
      <c r="L78" s="113"/>
      <c r="M78" s="113"/>
      <c r="N78" s="23"/>
      <c r="O78" s="23"/>
      <c r="P78" s="23"/>
      <c r="Q78" s="23"/>
      <c r="R78" s="23"/>
      <c r="S78" s="23"/>
    </row>
    <row r="79" spans="1:47" s="108" customFormat="1" ht="12.75">
      <c r="A79" s="99"/>
      <c r="B79" s="100" t="s">
        <v>101</v>
      </c>
      <c r="C79" s="99"/>
      <c r="D79" s="99"/>
      <c r="E79" s="99"/>
      <c r="F79" s="101"/>
      <c r="G79" s="101"/>
      <c r="H79" s="101"/>
      <c r="I79" s="101"/>
      <c r="J79" s="102"/>
      <c r="K79" s="103"/>
      <c r="L79" s="102"/>
      <c r="M79" s="103"/>
      <c r="N79" s="102"/>
      <c r="O79" s="102"/>
      <c r="P79" s="102"/>
      <c r="Q79" s="102"/>
      <c r="R79" s="102"/>
      <c r="S79" s="102"/>
      <c r="T79" s="102"/>
      <c r="U79" s="102"/>
      <c r="V79" s="103"/>
      <c r="W79" s="103"/>
      <c r="X79" s="104"/>
      <c r="Y79" s="104"/>
      <c r="Z79" s="104"/>
      <c r="AA79" s="104"/>
      <c r="AB79" s="105"/>
      <c r="AC79" s="106"/>
      <c r="AD79" s="106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</row>
    <row r="80" spans="1:47" outlineLevel="1">
      <c r="C80" s="112"/>
      <c r="J80" s="113"/>
      <c r="K80" s="113"/>
      <c r="L80" s="113"/>
    </row>
    <row r="81" spans="1:47" outlineLevel="1">
      <c r="C81" s="70"/>
      <c r="J81" s="111" t="str">
        <f>IF(RIGHT(J$4,2)&gt;=RIGHT('Input|General'!$G$9,2),IF(RIGHT(J$4,2)&lt;=RIGHT('Input|General'!$G$12,2),J$4,""),"")</f>
        <v/>
      </c>
      <c r="K81" s="111" t="str">
        <f ca="1">IF(RIGHT(K$4,2)&gt;=RIGHT('Input|General'!$G$9,2),IF(RIGHT(K$4,2)&lt;=RIGHT('Input|General'!$G$12,2),K$4,""),"")</f>
        <v/>
      </c>
      <c r="L81" s="111" t="str">
        <f ca="1">IF(RIGHT(L$4,2)&gt;=RIGHT('Input|General'!$G$9,2),IF(RIGHT(L$4,2)&lt;=RIGHT('Input|General'!$G$12,2),L$4,""),"")</f>
        <v/>
      </c>
      <c r="M81" s="175">
        <f ca="1">IF(RIGHT(M$4,2)&gt;=RIGHT('Input|General'!$G$9,2),IF(RIGHT(M$4,2)&lt;=RIGHT('Input|General'!$G$12,2),M$4,""),"")</f>
        <v>2016</v>
      </c>
      <c r="N81" s="175">
        <f ca="1">IF(RIGHT(N$4,2)&gt;=RIGHT('Input|General'!$G$9,2),IF(RIGHT(N$4,2)&lt;=RIGHT('Input|General'!$G$12,2),N$4,""),"")</f>
        <v>2017</v>
      </c>
      <c r="O81" s="175">
        <f ca="1">IF(RIGHT(O$4,2)&gt;=RIGHT('Input|General'!$G$9,2),IF(RIGHT(O$4,2)&lt;=RIGHT('Input|General'!$G$12,2),O$4,""),"")</f>
        <v>2018</v>
      </c>
      <c r="P81" s="175">
        <f ca="1">IF(RIGHT(P$4,2)&gt;=RIGHT('Input|General'!$G$9,2),IF(RIGHT(P$4,2)&lt;=RIGHT('Input|General'!$G$12,2),P$4,""),"")</f>
        <v>2019</v>
      </c>
      <c r="Q81" s="175">
        <f ca="1">IF(RIGHT(Q$4,2)&gt;=RIGHT('Input|General'!$G$9,2),IF(RIGHT(Q$4,2)&lt;=RIGHT('Input|General'!$G$12,2),Q$4,""),"")</f>
        <v>2020</v>
      </c>
      <c r="R81" s="175">
        <f ca="1">IF(RIGHT(R$4,2)&gt;=RIGHT('Input|General'!$G$9,2),IF(RIGHT(R$4,2)&lt;=RIGHT('Input|General'!$G$12,2),R$4,""),"")</f>
        <v>2021</v>
      </c>
      <c r="S81" s="175">
        <f ca="1">IF(RIGHT(S$4,2)&gt;=RIGHT('Input|General'!$G$9,2),IF(RIGHT(S$4,2)&lt;=RIGHT('Input|General'!$G$12,2),S$4,""),"")</f>
        <v>2022</v>
      </c>
    </row>
    <row r="82" spans="1:47" outlineLevel="1">
      <c r="C82" s="131"/>
      <c r="D82" s="116"/>
      <c r="E82" s="116"/>
      <c r="F82" s="116"/>
      <c r="J82" s="132"/>
      <c r="K82" s="132"/>
      <c r="L82" s="132"/>
      <c r="M82" s="132"/>
      <c r="N82" s="132"/>
      <c r="O82" s="132"/>
      <c r="P82" s="132"/>
      <c r="Q82" s="132"/>
      <c r="R82" s="132"/>
      <c r="S82" s="132"/>
    </row>
    <row r="83" spans="1:47" outlineLevel="1">
      <c r="C83" s="130" t="s">
        <v>125</v>
      </c>
      <c r="D83" s="133" t="s">
        <v>30</v>
      </c>
      <c r="E83" s="133" t="str">
        <f>$E$8</f>
        <v>$millions</v>
      </c>
      <c r="F83" s="178">
        <v>2017</v>
      </c>
      <c r="J83" s="164">
        <f ca="1">J13</f>
        <v>0</v>
      </c>
      <c r="K83" s="164">
        <f ca="1">K13</f>
        <v>0</v>
      </c>
      <c r="L83" s="164">
        <f ca="1">L13</f>
        <v>0</v>
      </c>
      <c r="M83" s="164">
        <f ca="1">M13</f>
        <v>64.796377107178543</v>
      </c>
      <c r="N83" s="164">
        <f ca="1">N19</f>
        <v>65.911962593006621</v>
      </c>
      <c r="O83" s="164">
        <f t="array" aca="1" ref="O83" ca="1">IF(RIGHT(O$4,2)&gt;=RIGHT('Input|General'!$G$11,2),IF(RIGHT(O$4,2)&lt;=RIGHT('Input|General'!$G$12,2),IF(ISBLANK(O81),"",PRODUCT(1+$J51:O51)*SUM($J38:$S38)+O77),""),"")</f>
        <v>66.44385213882228</v>
      </c>
      <c r="P83" s="164">
        <f t="array" aca="1" ref="P83" ca="1">IF(RIGHT(P$4,2)&gt;=RIGHT('Input|General'!$G$11,2),IF(RIGHT(P$4,2)&lt;=RIGHT('Input|General'!$G$12,2),IF(ISBLANK(P81),"",PRODUCT(1+$J51:P51)*SUM($J38:$S38)+P77),""),"")</f>
        <v>67.131631766452116</v>
      </c>
      <c r="Q83" s="164">
        <f t="array" aca="1" ref="Q83" ca="1">IF(RIGHT(Q$4,2)&gt;=RIGHT('Input|General'!$G$11,2),IF(RIGHT(Q$4,2)&lt;=RIGHT('Input|General'!$G$12,2),IF(ISBLANK(Q81),"",PRODUCT(1+$J51:Q51)*SUM($J38:$S38)+Q77),""),"")</f>
        <v>67.878331651831289</v>
      </c>
      <c r="R83" s="164">
        <f t="array" aca="1" ref="R83" ca="1">IF(RIGHT(R$4,2)&gt;=RIGHT('Input|General'!$G$11,2),IF(RIGHT(R$4,2)&lt;=RIGHT('Input|General'!$G$12,2),IF(ISBLANK(R81),"",PRODUCT(1+$J51:R51)*SUM($J38:$S38)+R77),""),"")</f>
        <v>68.733147601627664</v>
      </c>
      <c r="S83" s="164">
        <f t="array" aca="1" ref="S83" ca="1">IF(RIGHT(S$4,2)&gt;=RIGHT('Input|General'!$G$11,2),IF(RIGHT(S$4,2)&lt;=RIGHT('Input|General'!$G$12,2),IF(ISBLANK(S81),"",PRODUCT(1+$J51:S51)*SUM($J38:$S38)+S77),""),"")</f>
        <v>69.65247759681543</v>
      </c>
    </row>
    <row r="84" spans="1:47" outlineLevel="1">
      <c r="C84" s="130" t="s">
        <v>126</v>
      </c>
      <c r="D84" s="133" t="s">
        <v>30</v>
      </c>
      <c r="E84" s="133" t="str">
        <f>$E$8</f>
        <v>$millions</v>
      </c>
      <c r="F84" s="178">
        <v>2017</v>
      </c>
      <c r="J84" s="164"/>
      <c r="K84" s="164"/>
      <c r="L84" s="164"/>
      <c r="M84" s="164"/>
      <c r="N84" s="164"/>
      <c r="O84" s="164">
        <f ca="1">O83+'Input|Step changes'!O34</f>
        <v>67.23244876442034</v>
      </c>
      <c r="P84" s="164">
        <f ca="1">P83+'Input|Step changes'!P34</f>
        <v>67.939416478752705</v>
      </c>
      <c r="Q84" s="164">
        <f ca="1">Q83+'Input|Step changes'!Q34</f>
        <v>68.711185419525506</v>
      </c>
      <c r="R84" s="164">
        <f ca="1">R83+'Input|Step changes'!R34</f>
        <v>69.583786168860925</v>
      </c>
      <c r="S84" s="164">
        <f ca="1">S83+'Input|Step changes'!S34</f>
        <v>70.513511018587749</v>
      </c>
    </row>
    <row r="85" spans="1:47">
      <c r="C85" s="130"/>
      <c r="D85" s="116"/>
      <c r="E85" s="116"/>
      <c r="F85" s="116"/>
      <c r="J85" s="113"/>
      <c r="K85" s="113"/>
      <c r="L85" s="113"/>
      <c r="M85" s="113"/>
      <c r="N85" s="23"/>
      <c r="O85" s="23"/>
      <c r="P85" s="23"/>
      <c r="Q85" s="23"/>
      <c r="R85" s="23"/>
      <c r="S85" s="23"/>
    </row>
    <row r="86" spans="1:47" s="108" customFormat="1" ht="12.75">
      <c r="A86" s="99"/>
      <c r="B86" s="100" t="s">
        <v>21</v>
      </c>
      <c r="C86" s="99"/>
      <c r="D86" s="99"/>
      <c r="E86" s="99"/>
      <c r="F86" s="101"/>
      <c r="G86" s="101"/>
      <c r="H86" s="101"/>
      <c r="I86" s="101"/>
      <c r="J86" s="102"/>
      <c r="K86" s="103"/>
      <c r="L86" s="102"/>
      <c r="M86" s="103"/>
      <c r="N86" s="102"/>
      <c r="O86" s="102"/>
      <c r="P86" s="102"/>
      <c r="Q86" s="102"/>
      <c r="R86" s="102"/>
      <c r="S86" s="102"/>
      <c r="T86" s="102"/>
      <c r="U86" s="102"/>
      <c r="V86" s="103"/>
      <c r="W86" s="103"/>
      <c r="X86" s="104"/>
      <c r="Y86" s="104"/>
      <c r="Z86" s="104"/>
      <c r="AA86" s="104"/>
      <c r="AB86" s="105"/>
      <c r="AC86" s="106"/>
      <c r="AD86" s="106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</row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</sheetData>
  <mergeCells count="2">
    <mergeCell ref="J3:L3"/>
    <mergeCell ref="N3:S3"/>
  </mergeCells>
  <conditionalFormatting sqref="S1">
    <cfRule type="cellIs" dxfId="63" priority="67" operator="equal">
      <formula>"Check"</formula>
    </cfRule>
    <cfRule type="cellIs" dxfId="62" priority="68" operator="equal">
      <formula>"Ok"</formula>
    </cfRule>
  </conditionalFormatting>
  <conditionalFormatting sqref="V1">
    <cfRule type="cellIs" dxfId="61" priority="69" operator="equal">
      <formula>"Check"</formula>
    </cfRule>
    <cfRule type="cellIs" dxfId="60" priority="70" operator="equal">
      <formula>"Ok"</formula>
    </cfRule>
  </conditionalFormatting>
  <conditionalFormatting sqref="J12:S17 R21:S21 R23:S24 R26:S27 R29:S30 R32:S32">
    <cfRule type="cellIs" dxfId="59" priority="66" operator="equal">
      <formula>0</formula>
    </cfRule>
  </conditionalFormatting>
  <conditionalFormatting sqref="J13:S13">
    <cfRule type="cellIs" dxfId="58" priority="65" operator="equal">
      <formula>0</formula>
    </cfRule>
  </conditionalFormatting>
  <conditionalFormatting sqref="J14:S14">
    <cfRule type="cellIs" dxfId="57" priority="64" operator="equal">
      <formula>0</formula>
    </cfRule>
  </conditionalFormatting>
  <conditionalFormatting sqref="J15:S15">
    <cfRule type="cellIs" dxfId="56" priority="63" operator="equal">
      <formula>0</formula>
    </cfRule>
  </conditionalFormatting>
  <conditionalFormatting sqref="J16:S16">
    <cfRule type="cellIs" dxfId="55" priority="62" operator="equal">
      <formula>0</formula>
    </cfRule>
  </conditionalFormatting>
  <conditionalFormatting sqref="J17:S17">
    <cfRule type="cellIs" dxfId="54" priority="61" operator="equal">
      <formula>0</formula>
    </cfRule>
  </conditionalFormatting>
  <conditionalFormatting sqref="J45:S49">
    <cfRule type="cellIs" dxfId="53" priority="60" operator="equal">
      <formula>0</formula>
    </cfRule>
  </conditionalFormatting>
  <conditionalFormatting sqref="J51:S51">
    <cfRule type="cellIs" dxfId="52" priority="59" operator="equal">
      <formula>0</formula>
    </cfRule>
  </conditionalFormatting>
  <conditionalFormatting sqref="J57:S65 J73:S75">
    <cfRule type="cellIs" dxfId="51" priority="58" operator="equal">
      <formula>0</formula>
    </cfRule>
  </conditionalFormatting>
  <conditionalFormatting sqref="J77:S77">
    <cfRule type="cellIs" dxfId="50" priority="57" operator="equal">
      <formula>0</formula>
    </cfRule>
  </conditionalFormatting>
  <conditionalFormatting sqref="J19:S20 J35:S38">
    <cfRule type="cellIs" dxfId="49" priority="56" operator="equal">
      <formula>0</formula>
    </cfRule>
  </conditionalFormatting>
  <conditionalFormatting sqref="J19:S20 J35:S38">
    <cfRule type="cellIs" dxfId="48" priority="55" operator="equal">
      <formula>0</formula>
    </cfRule>
  </conditionalFormatting>
  <conditionalFormatting sqref="J83:S84">
    <cfRule type="cellIs" dxfId="47" priority="54" operator="equal">
      <formula>0</formula>
    </cfRule>
  </conditionalFormatting>
  <conditionalFormatting sqref="J83:S84">
    <cfRule type="cellIs" dxfId="46" priority="53" operator="equal">
      <formula>0</formula>
    </cfRule>
  </conditionalFormatting>
  <conditionalFormatting sqref="J67:S67">
    <cfRule type="cellIs" dxfId="45" priority="39" operator="equal">
      <formula>0</formula>
    </cfRule>
  </conditionalFormatting>
  <conditionalFormatting sqref="J30:Q30">
    <cfRule type="cellIs" dxfId="44" priority="16" operator="equal">
      <formula>0</formula>
    </cfRule>
  </conditionalFormatting>
  <conditionalFormatting sqref="J23:Q23 J26:Q26 J29:Q29">
    <cfRule type="cellIs" dxfId="43" priority="34" operator="equal">
      <formula>0</formula>
    </cfRule>
  </conditionalFormatting>
  <conditionalFormatting sqref="J23:Q23 J26:Q26 J29:Q29">
    <cfRule type="cellIs" dxfId="42" priority="33" operator="equal">
      <formula>0</formula>
    </cfRule>
  </conditionalFormatting>
  <conditionalFormatting sqref="J21:Q21">
    <cfRule type="cellIs" dxfId="41" priority="29" operator="equal">
      <formula>0</formula>
    </cfRule>
  </conditionalFormatting>
  <conditionalFormatting sqref="J21:Q21">
    <cfRule type="cellIs" dxfId="40" priority="28" operator="equal">
      <formula>0</formula>
    </cfRule>
  </conditionalFormatting>
  <conditionalFormatting sqref="J32:Q32">
    <cfRule type="cellIs" dxfId="39" priority="19" operator="equal">
      <formula>0</formula>
    </cfRule>
  </conditionalFormatting>
  <conditionalFormatting sqref="J32:Q32">
    <cfRule type="cellIs" dxfId="38" priority="18" operator="equal">
      <formula>0</formula>
    </cfRule>
  </conditionalFormatting>
  <conditionalFormatting sqref="J24:Q24">
    <cfRule type="cellIs" dxfId="37" priority="25" operator="equal">
      <formula>0</formula>
    </cfRule>
  </conditionalFormatting>
  <conditionalFormatting sqref="J24:Q24">
    <cfRule type="cellIs" dxfId="36" priority="24" operator="equal">
      <formula>0</formula>
    </cfRule>
  </conditionalFormatting>
  <conditionalFormatting sqref="J30:Q30">
    <cfRule type="cellIs" dxfId="35" priority="17" operator="equal">
      <formula>0</formula>
    </cfRule>
  </conditionalFormatting>
  <conditionalFormatting sqref="J27:Q27">
    <cfRule type="cellIs" dxfId="34" priority="21" operator="equal">
      <formula>0</formula>
    </cfRule>
  </conditionalFormatting>
  <conditionalFormatting sqref="J27:Q27">
    <cfRule type="cellIs" dxfId="33" priority="20" operator="equal">
      <formula>0</formula>
    </cfRule>
  </conditionalFormatting>
  <conditionalFormatting sqref="J33:S33">
    <cfRule type="cellIs" dxfId="32" priority="11" operator="equal">
      <formula>0</formula>
    </cfRule>
  </conditionalFormatting>
  <conditionalFormatting sqref="J33:S33">
    <cfRule type="cellIs" dxfId="31" priority="12" operator="equal">
      <formula>0</formula>
    </cfRule>
  </conditionalFormatting>
  <conditionalFormatting sqref="J22:S22">
    <cfRule type="cellIs" dxfId="30" priority="10" operator="equal">
      <formula>0</formula>
    </cfRule>
  </conditionalFormatting>
  <conditionalFormatting sqref="J22:S22">
    <cfRule type="cellIs" dxfId="29" priority="9" operator="equal">
      <formula>0</formula>
    </cfRule>
  </conditionalFormatting>
  <conditionalFormatting sqref="J25:S25">
    <cfRule type="cellIs" dxfId="28" priority="8" operator="equal">
      <formula>0</formula>
    </cfRule>
  </conditionalFormatting>
  <conditionalFormatting sqref="J25:S25">
    <cfRule type="cellIs" dxfId="27" priority="7" operator="equal">
      <formula>0</formula>
    </cfRule>
  </conditionalFormatting>
  <conditionalFormatting sqref="J28:S28">
    <cfRule type="cellIs" dxfId="26" priority="6" operator="equal">
      <formula>0</formula>
    </cfRule>
  </conditionalFormatting>
  <conditionalFormatting sqref="J28:S28">
    <cfRule type="cellIs" dxfId="25" priority="5" operator="equal">
      <formula>0</formula>
    </cfRule>
  </conditionalFormatting>
  <conditionalFormatting sqref="J31:S31">
    <cfRule type="cellIs" dxfId="24" priority="4" operator="equal">
      <formula>0</formula>
    </cfRule>
  </conditionalFormatting>
  <conditionalFormatting sqref="J31:S31">
    <cfRule type="cellIs" dxfId="23" priority="3" operator="equal">
      <formula>0</formula>
    </cfRule>
  </conditionalFormatting>
  <conditionalFormatting sqref="J34:S34">
    <cfRule type="cellIs" dxfId="22" priority="2" operator="equal">
      <formula>0</formula>
    </cfRule>
  </conditionalFormatting>
  <conditionalFormatting sqref="J34:S34">
    <cfRule type="cellIs" dxfId="21" priority="1" operator="equal">
      <formula>0</formula>
    </cfRule>
  </conditionalFormatting>
  <dataValidations count="5">
    <dataValidation type="list" allowBlank="1" showInputMessage="1" showErrorMessage="1" sqref="F18">
      <formula1>$C$52:$C$52</formula1>
    </dataValidation>
    <dataValidation type="list" allowBlank="1" showInputMessage="1" showErrorMessage="1" sqref="F78 F76 F85 F68">
      <formula1>"Real 2010,Real 2011,Real 2012,Real 2013,Real 2014,Real 2015,Nominal"</formula1>
    </dataValidation>
    <dataValidation type="list" allowBlank="1" showInputMessage="1" showErrorMessage="1" sqref="F35 F66 F37">
      <formula1>$G$44:$G$50</formula1>
    </dataValidation>
    <dataValidation type="list" allowBlank="1" showInputMessage="1" showErrorMessage="1" sqref="F20">
      <formula1>$G$40:$G$47</formula1>
    </dataValidation>
    <dataValidation type="list" allowBlank="1" showInputMessage="1" showErrorMessage="1" sqref="F8">
      <formula1>J$4:S$4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'Lookup|Tables'!$G$25:$G$32</xm:f>
          </x14:formula1>
          <xm:sqref>F12 F14 F16</xm:sqref>
        </x14:dataValidation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'Lookup|Tables'!$G$25:$G$42</xm:f>
          </x14:formula1>
          <xm:sqref>F13 F15 F17 F22 F25 F28 F31 F34 F36 F38 F19 F57:F65 F67 F73:F75 F77 F83:F84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32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92</v>
      </c>
      <c r="S1" s="80" t="str">
        <f>IF(COUNTA($W$14:$W$471)=COUNTIF($W$14:$W$471,"OK"),"OK","Check")</f>
        <v>OK</v>
      </c>
      <c r="U1" s="183" t="s">
        <v>24</v>
      </c>
      <c r="V1" s="80" t="str">
        <f>'Check|List'!$S$1</f>
        <v>Ok</v>
      </c>
    </row>
    <row r="2" spans="1:47" s="81" customFormat="1" ht="13.5" thickBot="1">
      <c r="B2" s="82" t="str">
        <f>Index!$C$13</f>
        <v>Output | Models</v>
      </c>
      <c r="C2" s="82"/>
      <c r="D2" s="82"/>
      <c r="E2" s="82"/>
      <c r="F2" s="83"/>
      <c r="G2" s="83"/>
      <c r="H2" s="83"/>
      <c r="I2" s="83"/>
    </row>
    <row r="3" spans="1:47" s="84" customFormat="1">
      <c r="C3" s="85"/>
      <c r="D3" s="86"/>
      <c r="E3" s="86"/>
      <c r="F3" s="86"/>
      <c r="G3" s="86"/>
      <c r="H3" s="86"/>
      <c r="I3" s="86"/>
      <c r="J3" s="184"/>
      <c r="K3" s="184"/>
      <c r="L3" s="184"/>
      <c r="M3" s="86"/>
      <c r="N3" s="184"/>
      <c r="O3" s="184"/>
      <c r="P3" s="184"/>
      <c r="Q3" s="184"/>
      <c r="R3" s="184"/>
      <c r="S3" s="184"/>
      <c r="T3" s="87"/>
      <c r="U3" s="87"/>
      <c r="V3" s="87"/>
      <c r="W3" s="87"/>
      <c r="X3" s="87"/>
      <c r="Y3" s="87"/>
      <c r="Z3" s="87"/>
    </row>
    <row r="4" spans="1:47" s="98" customFormat="1" ht="10.5">
      <c r="A4" s="88"/>
      <c r="B4" s="88"/>
      <c r="C4" s="88"/>
      <c r="D4" s="89" t="s">
        <v>7</v>
      </c>
      <c r="E4" s="89" t="s">
        <v>8</v>
      </c>
      <c r="F4" s="90" t="s">
        <v>22</v>
      </c>
      <c r="G4" s="91"/>
      <c r="H4" s="91"/>
      <c r="I4" s="91"/>
      <c r="J4" s="152">
        <f>'Input|General'!$G$8</f>
        <v>2013</v>
      </c>
      <c r="K4" s="152">
        <f ca="1">IF(OFFSET('Lookup|Tables'!$G$28:$G$43,MATCH('Input|General'!$G$8,'Lookup|Tables'!$G$28:$G$42,0)+1,0,1,1)&lt;='Input|General'!$G$12,OFFSET('Lookup|Tables'!$G$28:$G$43,MATCH('Input|General'!$G$8,'Lookup|Tables'!$G$28:$G$42,0),0,1,1),"")</f>
        <v>2014</v>
      </c>
      <c r="L4" s="152">
        <f ca="1">IF(OFFSET('Lookup|Tables'!$G$28:$G$43,MATCH('Input|General'!$G$8,'Lookup|Tables'!$G$28:$G$42,0)+1,0,1,1)&lt;='Input|General'!$G$12,OFFSET('Lookup|Tables'!$G$28:$G$43,MATCH('Input|General'!$G$8,'Lookup|Tables'!$G$28:$G$42,0)+1,0,1,1),"")</f>
        <v>2015</v>
      </c>
      <c r="M4" s="152">
        <f ca="1">IF(OFFSET('Lookup|Tables'!$G$28:$G$43,MATCH('Input|General'!$G$8,'Lookup|Tables'!$G$28:$G$42,0)+2,0,1,1)&lt;='Input|General'!$G$12,OFFSET('Lookup|Tables'!$G$28:$G$43,MATCH('Input|General'!$G$8,'Lookup|Tables'!$G$28:$G$42,0)+2,0,1,1),"")</f>
        <v>2016</v>
      </c>
      <c r="N4" s="152">
        <f ca="1">IF(OFFSET('Lookup|Tables'!$G$28:$G$43,MATCH('Input|General'!$G$8,'Lookup|Tables'!$G$28:$G$42,0)+3,0,1,1)&lt;='Input|General'!$G$12,OFFSET('Lookup|Tables'!$G$28:$G$43,MATCH('Input|General'!$G$8,'Lookup|Tables'!$G$28:$G$42,0)+3,0,1,1),"")</f>
        <v>2017</v>
      </c>
      <c r="O4" s="152">
        <f ca="1">IF(OFFSET('Lookup|Tables'!$G$28:$G$43,MATCH('Input|General'!$G$8,'Lookup|Tables'!$G$28:$G$42,0)+4,0,1,1)&lt;='Input|General'!$G$12,OFFSET('Lookup|Tables'!$G$28:$G$43,MATCH('Input|General'!$G$8,'Lookup|Tables'!$G$28:$G$42,0)+4,0,1,1),"")</f>
        <v>2018</v>
      </c>
      <c r="P4" s="152">
        <f ca="1">IF(OFFSET('Lookup|Tables'!$G$28:$G$43,MATCH('Input|General'!$G$8,'Lookup|Tables'!$G$28:$G$42,0)+5,0,1,1)&lt;='Input|General'!$G$12,OFFSET('Lookup|Tables'!$G$28:$G$43,MATCH('Input|General'!$G$8,'Lookup|Tables'!$G$28:$G$42,0)+5,0,1,1),"")</f>
        <v>2019</v>
      </c>
      <c r="Q4" s="152">
        <f ca="1">IF(OFFSET('Lookup|Tables'!$G$28:$G$43,MATCH('Input|General'!$G$8,'Lookup|Tables'!$G$28:$G$42,0)+6,0,1,1)&lt;='Input|General'!$G$12,OFFSET('Lookup|Tables'!$G$28:$G$43,MATCH('Input|General'!$G$8,'Lookup|Tables'!$G$28:$G$42,0)+6,0,1,1),"")</f>
        <v>2020</v>
      </c>
      <c r="R4" s="152">
        <f ca="1">IF(OFFSET('Lookup|Tables'!$G$28:$G$43,MATCH('Input|General'!$G$8,'Lookup|Tables'!$G$28:$G$42,0)+7,0,1,1)&lt;='Input|General'!$G$12,OFFSET('Lookup|Tables'!$G$28:$G$43,MATCH('Input|General'!$G$8,'Lookup|Tables'!$G$28:$G$42,0)+7,0,1,1),"")</f>
        <v>2021</v>
      </c>
      <c r="S4" s="152">
        <f ca="1">IF(OFFSET('Lookup|Tables'!$G$28:$G$43,MATCH('Input|General'!$G$8,'Lookup|Tables'!$G$28:$G$42,0)+8,0,1,1)&lt;='Input|General'!$G$12,OFFSET('Lookup|Tables'!$G$28:$G$43,MATCH('Input|General'!$G$8,'Lookup|Tables'!$G$28:$G$42,0)+8,0,1,1),"")</f>
        <v>2022</v>
      </c>
      <c r="T4" s="92"/>
      <c r="U4" s="92"/>
      <c r="V4" s="93"/>
      <c r="W4" s="93"/>
      <c r="X4" s="94"/>
      <c r="Y4" s="94"/>
      <c r="Z4" s="94"/>
      <c r="AA4" s="94"/>
      <c r="AB4" s="95"/>
      <c r="AC4" s="96"/>
      <c r="AD4" s="96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8" customFormat="1" ht="12.75">
      <c r="A8" s="99"/>
      <c r="B8" s="100" t="s">
        <v>61</v>
      </c>
      <c r="C8" s="99"/>
      <c r="D8" s="99"/>
      <c r="E8" s="71" t="s">
        <v>15</v>
      </c>
      <c r="F8" s="180">
        <v>2017</v>
      </c>
      <c r="G8" s="101"/>
      <c r="H8" s="101"/>
      <c r="I8" s="101"/>
      <c r="J8" s="159" t="s">
        <v>62</v>
      </c>
      <c r="K8" s="103"/>
      <c r="L8" s="102"/>
      <c r="M8" s="103"/>
      <c r="N8" s="102"/>
      <c r="O8" s="102"/>
      <c r="P8" s="102"/>
      <c r="Q8" s="102"/>
      <c r="R8" s="102"/>
      <c r="S8" s="102"/>
      <c r="T8" s="102"/>
      <c r="U8" s="102"/>
      <c r="V8" s="103"/>
      <c r="W8" s="103"/>
    </row>
    <row r="9" spans="1:47" ht="4.5" customHeight="1"/>
    <row r="10" spans="1:47">
      <c r="M10" s="113"/>
      <c r="N10" s="113"/>
      <c r="O10" s="113"/>
      <c r="P10" s="113"/>
      <c r="Q10" s="113"/>
      <c r="R10" s="113"/>
      <c r="S10" s="113"/>
    </row>
    <row r="11" spans="1:47">
      <c r="C11" s="70" t="s">
        <v>47</v>
      </c>
      <c r="D11" s="32" t="s">
        <v>7</v>
      </c>
      <c r="E11" s="32" t="s">
        <v>8</v>
      </c>
      <c r="F11" s="32" t="s">
        <v>22</v>
      </c>
      <c r="H11" s="32"/>
      <c r="I11" s="32"/>
      <c r="J11" s="175" t="str">
        <f>IF(RIGHT(J$4,2)&gt;=RIGHT('Input|General'!$G$11,2),IF(RIGHT(J$4,2)&lt;=RIGHT('Input|General'!$G$12,2),J$4,""),"")</f>
        <v/>
      </c>
      <c r="K11" s="175" t="str">
        <f ca="1">IF(RIGHT(K$4,2)&gt;=RIGHT('Input|General'!$G$11,2),IF(RIGHT(K$4,2)&lt;=RIGHT('Input|General'!$G$12,2),K$4,""),"")</f>
        <v/>
      </c>
      <c r="L11" s="175" t="str">
        <f ca="1">IF(RIGHT(L$4,2)&gt;=RIGHT('Input|General'!$G$11,2),IF(RIGHT(L$4,2)&lt;=RIGHT('Input|General'!$G$12,2),L$4,""),"")</f>
        <v/>
      </c>
      <c r="M11" s="175" t="str">
        <f ca="1">IF(RIGHT(M$4,2)&gt;=RIGHT('Input|General'!$G$11,2),IF(RIGHT(M$4,2)&lt;=RIGHT('Input|General'!$G$12,2),M$4,""),"")</f>
        <v/>
      </c>
      <c r="N11" s="175" t="str">
        <f ca="1">IF(RIGHT(N$4,2)&gt;=RIGHT('Input|General'!$G$11,2),IF(RIGHT(N$4,2)&lt;=RIGHT('Input|General'!$G$12,2),N$4,""),"")</f>
        <v/>
      </c>
      <c r="O11" s="175">
        <f ca="1">IF(RIGHT(O$4,2)&gt;=RIGHT('Input|General'!$G$11,2),IF(RIGHT(O$4,2)&lt;=RIGHT('Input|General'!$G$12,2),O$4,""),"")</f>
        <v>2018</v>
      </c>
      <c r="P11" s="175">
        <f ca="1">IF(RIGHT(P$4,2)&gt;=RIGHT('Input|General'!$G$11,2),IF(RIGHT(P$4,2)&lt;=RIGHT('Input|General'!$G$12,2),P$4,""),"")</f>
        <v>2019</v>
      </c>
      <c r="Q11" s="175">
        <f ca="1">IF(RIGHT(Q$4,2)&gt;=RIGHT('Input|General'!$G$11,2),IF(RIGHT(Q$4,2)&lt;=RIGHT('Input|General'!$G$12,2),Q$4,""),"")</f>
        <v>2020</v>
      </c>
      <c r="R11" s="175">
        <f ca="1">IF(RIGHT(R$4,2)&gt;=RIGHT('Input|General'!$G$11,2),IF(RIGHT(R$4,2)&lt;=RIGHT('Input|General'!$G$12,2),R$4,""),"")</f>
        <v>2021</v>
      </c>
      <c r="S11" s="175">
        <f ca="1">IF(RIGHT(S$4,2)&gt;=RIGHT('Input|General'!$G$11,2),IF(RIGHT(S$4,2)&lt;=RIGHT('Input|General'!$G$12,2),S$4,""),"")</f>
        <v>2022</v>
      </c>
      <c r="U11" s="146" t="s">
        <v>59</v>
      </c>
      <c r="V11" s="147"/>
      <c r="W11" s="147"/>
    </row>
    <row r="12" spans="1:47">
      <c r="C12" s="117" t="s">
        <v>60</v>
      </c>
      <c r="D12" s="34" t="s">
        <v>120</v>
      </c>
      <c r="E12" s="30" t="str">
        <f>$E$8</f>
        <v>$millions</v>
      </c>
      <c r="F12" s="178">
        <f>$F$8</f>
        <v>2017</v>
      </c>
      <c r="H12" s="32"/>
      <c r="I12" s="32"/>
      <c r="J12" s="160">
        <f>IF(J11="",0,'Calc|Opex forecast'!J83*IF('Calc|Opex forecast'!$F$83="nominal",LOOKUP($F12,Nominal_to_Real,'Input|Rate of change'!P$25:P$30),INDEX('Input|Rate of change'!$C$14:$O$21,MATCH('Calc|Opex forecast'!$F$83,'Input|Rate of change'!$C$14:$C$21,0),MATCH('Output|Models'!$F12,'Input|Rate of change'!$C$14:$O$14,0)))*IF('Calc|Opex forecast'!$E$83="$millions",1000000,IF('Output|Models'!B47="$000",1000,1))/IF($E12="$millions",1000000,IF($E12="$000",1000,1)))</f>
        <v>0</v>
      </c>
      <c r="K12" s="160">
        <f ca="1">IF(K11="",0,'Calc|Opex forecast'!K83*IF('Calc|Opex forecast'!$F$83="nominal",LOOKUP($F12,Nominal_to_Real,'Input|Rate of change'!Q$25:Q$30),INDEX('Input|Rate of change'!$C$14:$O$21,MATCH('Calc|Opex forecast'!$F$83,'Input|Rate of change'!$C$14:$C$21,0),MATCH('Output|Models'!$F12,'Input|Rate of change'!$C$14:$O$14,0)))*IF('Calc|Opex forecast'!$E$83="$millions",1000000,IF('Output|Models'!C47="$000",1000,1))/IF($E12="$millions",1000000,IF($E12="$000",1000,1)))</f>
        <v>0</v>
      </c>
      <c r="L12" s="160">
        <f ca="1">IF(L11="",0,'Calc|Opex forecast'!L83*IF('Calc|Opex forecast'!$F$83="nominal",LOOKUP($F12,Nominal_to_Real,'Input|Rate of change'!R$25:R$30),INDEX('Input|Rate of change'!$C$14:$O$21,MATCH('Calc|Opex forecast'!$F$83,'Input|Rate of change'!$C$14:$C$21,0),MATCH('Output|Models'!$F12,'Input|Rate of change'!$C$14:$O$14,0)))*IF('Calc|Opex forecast'!$E$83="$millions",1000000,IF('Output|Models'!D47="$000",1000,1))/IF($E12="$millions",1000000,IF($E12="$000",1000,1)))</f>
        <v>0</v>
      </c>
      <c r="M12" s="160">
        <f ca="1">IF(M11="",0,'Calc|Opex forecast'!M83*IF('Calc|Opex forecast'!$F$83="nominal",LOOKUP($F12,Nominal_to_Real,'Input|Rate of change'!S$25:S$30),INDEX('Input|Rate of change'!$C$14:$O$21,MATCH('Calc|Opex forecast'!$F$83,'Input|Rate of change'!$C$14:$C$21,0),MATCH('Output|Models'!$F12,'Input|Rate of change'!$C$14:$O$14,0)))*IF('Calc|Opex forecast'!$E$83="$millions",1000000,IF('Output|Models'!E47="$000",1000,1))/IF($E12="$millions",1000000,IF($E12="$000",1000,1)))</f>
        <v>0</v>
      </c>
      <c r="N12" s="160">
        <f ca="1">IF(N11="",0,'Calc|Opex forecast'!N83*IF('Calc|Opex forecast'!$F$83="nominal",LOOKUP($F12,Nominal_to_Real,'Input|Rate of change'!T$25:T$30),INDEX('Input|Rate of change'!$C$14:$O$21,MATCH('Calc|Opex forecast'!$F$83,'Input|Rate of change'!$C$14:$C$21,0),MATCH('Output|Models'!$F12,'Input|Rate of change'!$C$14:$O$14,0)))*IF('Calc|Opex forecast'!$E$83="$millions",1000000,IF('Output|Models'!F47="$000",1000,1))/IF($E12="$millions",1000000,IF($E12="$000",1000,1)))</f>
        <v>0</v>
      </c>
      <c r="O12" s="160">
        <f ca="1">IF(O11="",0,'Calc|Opex forecast'!O83*IF('Calc|Opex forecast'!$F$83="nominal",LOOKUP($F12,Nominal_to_Real,'Input|Rate of change'!U$25:U$30),INDEX('Input|Rate of change'!$C$14:$O$21,MATCH('Calc|Opex forecast'!$F$83,'Input|Rate of change'!$C$14:$C$21,0),MATCH('Output|Models'!$F12,'Input|Rate of change'!$C$14:$O$14,0)))*IF('Calc|Opex forecast'!$E$83="$millions",1000000,IF('Output|Models'!G47="$000",1000,1))/IF($E12="$millions",1000000,IF($E12="$000",1000,1)))</f>
        <v>66.44385213882228</v>
      </c>
      <c r="P12" s="160">
        <f ca="1">IF(P11="",0,'Calc|Opex forecast'!P83*IF('Calc|Opex forecast'!$F$83="nominal",LOOKUP($F12,Nominal_to_Real,'Input|Rate of change'!V$25:V$30),INDEX('Input|Rate of change'!$C$14:$O$21,MATCH('Calc|Opex forecast'!$F$83,'Input|Rate of change'!$C$14:$C$21,0),MATCH('Output|Models'!$F12,'Input|Rate of change'!$C$14:$O$14,0)))*IF('Calc|Opex forecast'!$E$83="$millions",1000000,IF('Output|Models'!H47="$000",1000,1))/IF($E12="$millions",1000000,IF($E12="$000",1000,1)))</f>
        <v>67.131631766452116</v>
      </c>
      <c r="Q12" s="160">
        <f ca="1">IF(Q11="",0,'Calc|Opex forecast'!Q83*IF('Calc|Opex forecast'!$F$83="nominal",LOOKUP($F12,Nominal_to_Real,'Input|Rate of change'!W$25:W$30),INDEX('Input|Rate of change'!$C$14:$O$21,MATCH('Calc|Opex forecast'!$F$83,'Input|Rate of change'!$C$14:$C$21,0),MATCH('Output|Models'!$F12,'Input|Rate of change'!$C$14:$O$14,0)))*IF('Calc|Opex forecast'!$E$83="$millions",1000000,IF('Output|Models'!I47="$000",1000,1))/IF($E12="$millions",1000000,IF($E12="$000",1000,1)))</f>
        <v>67.878331651831289</v>
      </c>
      <c r="R12" s="160">
        <f ca="1">IF(R11="",0,'Calc|Opex forecast'!R83*IF('Calc|Opex forecast'!$F$83="nominal",LOOKUP($F12,Nominal_to_Real,'Input|Rate of change'!X$25:X$30),INDEX('Input|Rate of change'!$C$14:$O$21,MATCH('Calc|Opex forecast'!$F$83,'Input|Rate of change'!$C$14:$C$21,0),MATCH('Output|Models'!$F12,'Input|Rate of change'!$C$14:$O$14,0)))*IF('Calc|Opex forecast'!$E$83="$millions",1000000,IF('Output|Models'!J47="$000",1000,1))/IF($E12="$millions",1000000,IF($E12="$000",1000,1)))</f>
        <v>68.733147601627664</v>
      </c>
      <c r="S12" s="160">
        <f ca="1">IF(S11="",0,'Calc|Opex forecast'!S83*IF('Calc|Opex forecast'!$F$83="nominal",LOOKUP($F12,Nominal_to_Real,'Input|Rate of change'!Y$25:Y$30),INDEX('Input|Rate of change'!$C$14:$O$21,MATCH('Calc|Opex forecast'!$F$83,'Input|Rate of change'!$C$14:$C$21,0),MATCH('Output|Models'!$F12,'Input|Rate of change'!$C$14:$O$14,0)))*IF('Calc|Opex forecast'!$E$83="$millions",1000000,IF('Output|Models'!K47="$000",1000,1))/IF($E12="$millions",1000000,IF($E12="$000",1000,1)))</f>
        <v>69.65247759681543</v>
      </c>
      <c r="T12" s="117"/>
      <c r="U12" s="166"/>
    </row>
    <row r="13" spans="1:47">
      <c r="C13" s="117"/>
      <c r="D13" s="34"/>
      <c r="H13" s="32"/>
      <c r="I13" s="32"/>
      <c r="N13" s="151"/>
      <c r="S13" s="137">
        <f ca="1">SUM(O12:S12)</f>
        <v>339.83944075554871</v>
      </c>
    </row>
    <row r="14" spans="1:47">
      <c r="D14" s="34"/>
      <c r="H14" s="32"/>
      <c r="I14" s="32"/>
      <c r="N14" s="151"/>
      <c r="S14" s="23"/>
    </row>
    <row r="15" spans="1:47" s="108" customFormat="1" ht="12.75">
      <c r="A15" s="99"/>
      <c r="B15" s="100" t="s">
        <v>21</v>
      </c>
      <c r="C15" s="99"/>
      <c r="D15" s="99"/>
      <c r="E15" s="99"/>
      <c r="F15" s="101"/>
      <c r="G15" s="101"/>
      <c r="H15" s="101"/>
      <c r="I15" s="101"/>
      <c r="J15" s="102"/>
      <c r="K15" s="103"/>
      <c r="L15" s="102"/>
      <c r="M15" s="103"/>
      <c r="N15" s="102"/>
      <c r="O15" s="102"/>
      <c r="P15" s="102"/>
      <c r="Q15" s="102"/>
      <c r="R15" s="102"/>
      <c r="S15" s="102"/>
      <c r="T15" s="102"/>
      <c r="U15" s="102"/>
      <c r="V15" s="103"/>
      <c r="W15" s="103"/>
    </row>
    <row r="16" spans="1:47" hidden="1"/>
    <row r="17" spans="13:19" hidden="1"/>
    <row r="18" spans="13:19" hidden="1"/>
    <row r="19" spans="13:19" hidden="1"/>
    <row r="20" spans="13:19" hidden="1"/>
    <row r="21" spans="13:19" hidden="1">
      <c r="M21" s="156"/>
      <c r="N21" s="156"/>
      <c r="O21" s="156"/>
      <c r="P21" s="156"/>
      <c r="Q21" s="156"/>
      <c r="R21" s="156"/>
      <c r="S21" s="156"/>
    </row>
    <row r="22" spans="13:19" hidden="1"/>
    <row r="23" spans="13:19" hidden="1"/>
    <row r="24" spans="13:19" hidden="1"/>
    <row r="25" spans="13:19" hidden="1"/>
    <row r="26" spans="13:19" hidden="1"/>
    <row r="27" spans="13:19" hidden="1"/>
    <row r="28" spans="13:19" hidden="1"/>
    <row r="29" spans="13:19" hidden="1"/>
    <row r="30" spans="13:19" hidden="1"/>
    <row r="31" spans="13:19" hidden="1"/>
    <row r="32" spans="13:19" hidden="1"/>
  </sheetData>
  <mergeCells count="2">
    <mergeCell ref="J3:L3"/>
    <mergeCell ref="N3:S3"/>
  </mergeCells>
  <conditionalFormatting sqref="S1">
    <cfRule type="cellIs" dxfId="20" priority="4" operator="equal">
      <formula>"Check"</formula>
    </cfRule>
    <cfRule type="cellIs" dxfId="19" priority="5" operator="equal">
      <formula>"Ok"</formula>
    </cfRule>
  </conditionalFormatting>
  <conditionalFormatting sqref="V1">
    <cfRule type="cellIs" dxfId="18" priority="6" operator="equal">
      <formula>"Check"</formula>
    </cfRule>
    <cfRule type="cellIs" dxfId="17" priority="7" operator="equal">
      <formula>"Ok"</formula>
    </cfRule>
  </conditionalFormatting>
  <conditionalFormatting sqref="J12:S12">
    <cfRule type="cellIs" dxfId="16" priority="3" operator="equal">
      <formula>0</formula>
    </cfRule>
  </conditionalFormatting>
  <dataValidations count="2">
    <dataValidation type="list" allowBlank="1" showInputMessage="1" showErrorMessage="1" sqref="F13:F14">
      <formula1>#REF!</formula1>
    </dataValidation>
    <dataValidation type="list" allowBlank="1" showInputMessage="1" showErrorMessage="1" sqref="F12">
      <formula1>$G$17:$G$23</formula1>
    </dataValidation>
  </dataValidations>
  <hyperlinks>
    <hyperlink ref="J1" location="Index!A1" display="Back to Index"/>
    <hyperlink ref="D12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'Lookup|Tables'!$G$25:$G$42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51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3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79</v>
      </c>
      <c r="E10" s="16"/>
      <c r="F10" s="16"/>
      <c r="G10" s="52" t="s">
        <v>12</v>
      </c>
    </row>
    <row r="11" spans="1:47">
      <c r="C11" s="15" t="s">
        <v>13</v>
      </c>
      <c r="D11" s="16" t="s">
        <v>79</v>
      </c>
      <c r="E11" s="16"/>
      <c r="F11" s="16"/>
      <c r="G11" s="52" t="s">
        <v>20</v>
      </c>
    </row>
    <row r="12" spans="1:47">
      <c r="C12" s="15" t="s">
        <v>14</v>
      </c>
      <c r="D12" s="16" t="s">
        <v>79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79</v>
      </c>
      <c r="E14" s="16"/>
      <c r="F14" s="16"/>
      <c r="G14" s="52" t="s">
        <v>31</v>
      </c>
    </row>
    <row r="15" spans="1:47">
      <c r="C15" s="15" t="s">
        <v>8</v>
      </c>
      <c r="D15" s="16" t="s">
        <v>79</v>
      </c>
      <c r="E15" s="16"/>
      <c r="F15" s="16"/>
      <c r="G15" s="52" t="s">
        <v>11</v>
      </c>
    </row>
    <row r="16" spans="1:47">
      <c r="C16" s="15" t="s">
        <v>17</v>
      </c>
      <c r="D16" s="16" t="s">
        <v>79</v>
      </c>
      <c r="E16" s="16"/>
      <c r="F16" s="16"/>
      <c r="G16" s="52" t="s">
        <v>18</v>
      </c>
    </row>
    <row r="17" spans="1:47">
      <c r="C17" s="15" t="s">
        <v>37</v>
      </c>
      <c r="D17" s="16" t="s">
        <v>79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79</v>
      </c>
      <c r="E19" s="16"/>
      <c r="F19" s="16"/>
      <c r="G19" s="52" t="s">
        <v>23</v>
      </c>
    </row>
    <row r="20" spans="1:47">
      <c r="C20" s="15" t="s">
        <v>84</v>
      </c>
      <c r="D20" s="16" t="s">
        <v>79</v>
      </c>
      <c r="E20" s="16"/>
      <c r="F20" s="16"/>
      <c r="G20" s="52" t="s">
        <v>84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80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Years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115</v>
      </c>
      <c r="D25" s="16" t="s">
        <v>79</v>
      </c>
      <c r="E25" s="16"/>
      <c r="F25" s="16"/>
      <c r="G25" s="52" t="s">
        <v>115</v>
      </c>
      <c r="H25" s="14"/>
    </row>
    <row r="26" spans="1:47">
      <c r="C26" s="171">
        <v>2007</v>
      </c>
      <c r="D26" s="16" t="s">
        <v>79</v>
      </c>
      <c r="E26" s="16"/>
      <c r="F26" s="16"/>
      <c r="G26" s="170">
        <v>2007</v>
      </c>
      <c r="H26" s="14"/>
    </row>
    <row r="27" spans="1:47">
      <c r="C27" s="171">
        <v>2008</v>
      </c>
      <c r="D27" s="16" t="s">
        <v>79</v>
      </c>
      <c r="E27" s="16"/>
      <c r="F27" s="16"/>
      <c r="G27" s="170">
        <v>2008</v>
      </c>
      <c r="H27" s="14"/>
    </row>
    <row r="28" spans="1:47">
      <c r="C28" s="171">
        <v>2009</v>
      </c>
      <c r="D28" s="16" t="s">
        <v>79</v>
      </c>
      <c r="E28" s="16"/>
      <c r="F28" s="16"/>
      <c r="G28" s="170">
        <v>2009</v>
      </c>
    </row>
    <row r="29" spans="1:47">
      <c r="C29" s="171">
        <v>2010</v>
      </c>
      <c r="D29" s="16" t="s">
        <v>79</v>
      </c>
      <c r="E29" s="16"/>
      <c r="F29" s="16"/>
      <c r="G29" s="170">
        <v>2010</v>
      </c>
    </row>
    <row r="30" spans="1:47">
      <c r="C30" s="171">
        <v>2011</v>
      </c>
      <c r="D30" s="16" t="s">
        <v>79</v>
      </c>
      <c r="E30" s="16"/>
      <c r="F30" s="16"/>
      <c r="G30" s="170">
        <v>2011</v>
      </c>
      <c r="T30" s="17"/>
    </row>
    <row r="31" spans="1:47">
      <c r="C31" s="171">
        <v>2012</v>
      </c>
      <c r="D31" s="16" t="s">
        <v>79</v>
      </c>
      <c r="E31" s="16"/>
      <c r="F31" s="16"/>
      <c r="G31" s="170">
        <v>2012</v>
      </c>
      <c r="T31" s="17"/>
    </row>
    <row r="32" spans="1:47">
      <c r="C32" s="171">
        <v>2013</v>
      </c>
      <c r="D32" s="16" t="s">
        <v>79</v>
      </c>
      <c r="E32" s="16"/>
      <c r="F32" s="16"/>
      <c r="G32" s="170">
        <v>2013</v>
      </c>
      <c r="T32" s="17"/>
    </row>
    <row r="33" spans="1:47">
      <c r="C33" s="171">
        <v>2014</v>
      </c>
      <c r="D33" s="16" t="s">
        <v>79</v>
      </c>
      <c r="E33" s="16"/>
      <c r="F33" s="16"/>
      <c r="G33" s="170">
        <v>2014</v>
      </c>
      <c r="T33" s="17"/>
    </row>
    <row r="34" spans="1:47">
      <c r="C34" s="171">
        <v>2015</v>
      </c>
      <c r="D34" s="16" t="s">
        <v>79</v>
      </c>
      <c r="E34" s="16"/>
      <c r="F34" s="16"/>
      <c r="G34" s="170">
        <v>2015</v>
      </c>
      <c r="T34" s="17"/>
    </row>
    <row r="35" spans="1:47">
      <c r="C35" s="171">
        <v>2016</v>
      </c>
      <c r="D35" s="16" t="s">
        <v>79</v>
      </c>
      <c r="E35" s="16"/>
      <c r="F35" s="16"/>
      <c r="G35" s="170">
        <v>2016</v>
      </c>
      <c r="T35" s="17"/>
    </row>
    <row r="36" spans="1:47">
      <c r="C36" s="171">
        <v>2017</v>
      </c>
      <c r="D36" s="16" t="s">
        <v>79</v>
      </c>
      <c r="E36" s="16"/>
      <c r="F36" s="16"/>
      <c r="G36" s="170">
        <v>2017</v>
      </c>
      <c r="T36" s="17"/>
    </row>
    <row r="37" spans="1:47">
      <c r="C37" s="171">
        <v>2018</v>
      </c>
      <c r="D37" s="16" t="s">
        <v>79</v>
      </c>
      <c r="E37" s="16"/>
      <c r="F37" s="16"/>
      <c r="G37" s="170">
        <v>2018</v>
      </c>
      <c r="T37" s="17"/>
    </row>
    <row r="38" spans="1:47">
      <c r="C38" s="171">
        <v>2019</v>
      </c>
      <c r="D38" s="16" t="s">
        <v>79</v>
      </c>
      <c r="E38" s="16"/>
      <c r="F38" s="16"/>
      <c r="G38" s="170">
        <v>2019</v>
      </c>
      <c r="T38" s="17"/>
    </row>
    <row r="39" spans="1:47">
      <c r="C39" s="171">
        <v>2020</v>
      </c>
      <c r="D39" s="16" t="s">
        <v>79</v>
      </c>
      <c r="E39" s="16"/>
      <c r="F39" s="16"/>
      <c r="G39" s="170">
        <v>2020</v>
      </c>
      <c r="T39" s="17"/>
    </row>
    <row r="40" spans="1:47">
      <c r="C40" s="171">
        <v>2021</v>
      </c>
      <c r="D40" s="16" t="s">
        <v>79</v>
      </c>
      <c r="E40" s="16"/>
      <c r="F40" s="16"/>
      <c r="G40" s="170">
        <v>2021</v>
      </c>
      <c r="T40" s="17"/>
    </row>
    <row r="41" spans="1:47">
      <c r="C41" s="171">
        <v>2022</v>
      </c>
      <c r="D41" s="16" t="s">
        <v>79</v>
      </c>
      <c r="E41" s="16"/>
      <c r="F41" s="16"/>
      <c r="G41" s="170">
        <v>2022</v>
      </c>
      <c r="T41" s="17"/>
    </row>
    <row r="42" spans="1:47">
      <c r="C42" s="171">
        <v>2023</v>
      </c>
      <c r="D42" s="16" t="s">
        <v>79</v>
      </c>
      <c r="E42" s="16"/>
      <c r="F42" s="16"/>
      <c r="G42" s="170">
        <v>2023</v>
      </c>
      <c r="T42" s="17"/>
    </row>
    <row r="43" spans="1:47"/>
    <row r="44" spans="1:47" customFormat="1" ht="12.75">
      <c r="A44" s="43"/>
      <c r="B44" s="51" t="s">
        <v>21</v>
      </c>
      <c r="C44" s="43"/>
      <c r="D44" s="43"/>
      <c r="E44" s="43"/>
      <c r="F44" s="44"/>
      <c r="G44" s="44"/>
      <c r="H44" s="44"/>
      <c r="I44" s="44"/>
      <c r="J44" s="45"/>
      <c r="K44" s="46"/>
      <c r="L44" s="45"/>
      <c r="M44" s="46"/>
      <c r="N44" s="45"/>
      <c r="O44" s="45"/>
      <c r="P44" s="45"/>
      <c r="Q44" s="45"/>
      <c r="R44" s="45"/>
      <c r="S44" s="45"/>
      <c r="T44" s="45"/>
      <c r="U44" s="45"/>
      <c r="V44" s="46"/>
      <c r="W44" s="46"/>
      <c r="X44" s="47"/>
      <c r="Y44" s="47"/>
      <c r="Z44" s="47"/>
      <c r="AA44" s="47"/>
      <c r="AB44" s="48"/>
      <c r="AC44" s="49"/>
      <c r="AD44" s="49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</row>
    <row r="45" spans="1:47" hidden="1"/>
    <row r="46" spans="1:47" hidden="1"/>
    <row r="47" spans="1:47" hidden="1"/>
    <row r="48" spans="1:47" hidden="1"/>
    <row r="49" hidden="1"/>
    <row r="50" hidden="1"/>
    <row r="51" hidden="1"/>
  </sheetData>
  <conditionalFormatting sqref="P14:Q21">
    <cfRule type="expression" dxfId="15" priority="54" stopIfTrue="1">
      <formula>#REF!="Actual"</formula>
    </cfRule>
  </conditionalFormatting>
  <conditionalFormatting sqref="P14:P21">
    <cfRule type="expression" dxfId="14" priority="53" stopIfTrue="1">
      <formula>#REF!="Actual"</formula>
    </cfRule>
  </conditionalFormatting>
  <conditionalFormatting sqref="P43">
    <cfRule type="expression" dxfId="13" priority="51" stopIfTrue="1">
      <formula>#REF!="Actual"</formula>
    </cfRule>
  </conditionalFormatting>
  <conditionalFormatting sqref="Q43">
    <cfRule type="expression" dxfId="12" priority="48" stopIfTrue="1">
      <formula>#REF!="Actual"</formula>
    </cfRule>
  </conditionalFormatting>
  <conditionalFormatting sqref="V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S1">
    <cfRule type="cellIs" dxfId="9" priority="1" operator="equal">
      <formula>"Check"</formula>
    </cfRule>
    <cfRule type="cellIs" dxfId="8" priority="2" operator="equal">
      <formula>"Ok"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3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3" t="s">
        <v>24</v>
      </c>
      <c r="S1" s="40" t="str">
        <f>IF(COUNTIF(G10:G15,"Check")=0,"Ok","Check")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Index!C9</f>
        <v>Input | Reported opex</v>
      </c>
      <c r="D11" s="34" t="str">
        <f t="shared" ref="D11:D15" si="0">C11</f>
        <v>Input | Reported opex</v>
      </c>
      <c r="E11" s="16" t="s">
        <v>28</v>
      </c>
      <c r="G11" s="18" t="str">
        <f>'Input|Reported opex'!S1</f>
        <v>OK</v>
      </c>
      <c r="H11" s="16"/>
      <c r="T11" s="17"/>
    </row>
    <row r="12" spans="1:47">
      <c r="C12" s="15" t="str">
        <f>Index!C10</f>
        <v>Input | Rate of change</v>
      </c>
      <c r="D12" s="34" t="str">
        <f t="shared" si="0"/>
        <v>Input | Rate of change</v>
      </c>
      <c r="E12" s="16" t="s">
        <v>28</v>
      </c>
      <c r="F12" s="16"/>
      <c r="G12" s="18" t="str">
        <f>'Input|Rate of change'!T1</f>
        <v>Ok</v>
      </c>
      <c r="H12" s="16"/>
      <c r="T12" s="17"/>
    </row>
    <row r="13" spans="1:47">
      <c r="C13" s="15" t="str">
        <f>Index!C11</f>
        <v>Input | Step changes</v>
      </c>
      <c r="D13" s="34" t="str">
        <f t="shared" si="0"/>
        <v>Input | Step changes</v>
      </c>
      <c r="E13" s="16" t="s">
        <v>28</v>
      </c>
      <c r="F13" s="16"/>
      <c r="G13" s="18" t="str">
        <f>'Input|Step changes'!S1</f>
        <v>OK</v>
      </c>
      <c r="H13" s="16"/>
      <c r="T13" s="17"/>
    </row>
    <row r="14" spans="1:47">
      <c r="C14" s="15" t="str">
        <f>Index!C12</f>
        <v>Calc | Opex Forecast</v>
      </c>
      <c r="D14" s="34" t="str">
        <f t="shared" si="0"/>
        <v>Calc | Opex Forecast</v>
      </c>
      <c r="E14" s="16" t="s">
        <v>28</v>
      </c>
      <c r="F14" s="16"/>
      <c r="G14" s="18" t="str">
        <f>'Calc|Opex forecast'!S1</f>
        <v>n/a</v>
      </c>
      <c r="H14" s="16"/>
      <c r="T14" s="17"/>
    </row>
    <row r="15" spans="1:47">
      <c r="C15" s="15" t="str">
        <f>Index!C13</f>
        <v>Output | Models</v>
      </c>
      <c r="D15" s="34" t="str">
        <f t="shared" si="0"/>
        <v>Output | Models</v>
      </c>
      <c r="E15" s="16" t="s">
        <v>28</v>
      </c>
      <c r="F15" s="16"/>
      <c r="G15" s="18" t="str">
        <f>'Output|Models'!S1</f>
        <v>OK</v>
      </c>
      <c r="H15" s="16"/>
      <c r="T15" s="17"/>
    </row>
    <row r="16" spans="1:47">
      <c r="C16" s="15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C18" s="15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/>
    <row r="23" spans="1:47" hidden="1"/>
  </sheetData>
  <conditionalFormatting sqref="G10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1:G15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1" location="'Input|Reported opex'!A1" display="'Input|Reported opex'!A1"/>
    <hyperlink ref="D12" location="'Input|Rate of change'!A1" display="'Input|Rate of change'!A1"/>
    <hyperlink ref="D13" location="'Input|Step changes'!A1" display="'Input|Step changes'!A1"/>
    <hyperlink ref="D14" location="'Calc|Opex Forecast'!A1" display="'Calc|Opex Forecast'!A1"/>
    <hyperlink ref="D15" location="'Output|Models'!A1" display="'Output|Models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dollars</vt:lpstr>
      <vt:lpstr>factor</vt:lpstr>
      <vt:lpstr>millions</vt:lpstr>
      <vt:lpstr>Nominal_to_Real</vt:lpstr>
      <vt:lpstr>number</vt:lpstr>
      <vt:lpstr>percent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2017-07-03T01:52:37Z</dcterms:created>
  <dcterms:modified xsi:type="dcterms:W3CDTF">2017-07-03T01:52:42Z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