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130" yWindow="1380" windowWidth="23490" windowHeight="1077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F52" i="55" l="1"/>
  <c r="F56" i="55" s="1"/>
  <c r="F50" i="55"/>
  <c r="F54" i="55" s="1"/>
  <c r="F55" i="55" l="1"/>
  <c r="F51" i="55"/>
  <c r="F53" i="55"/>
  <c r="F56" i="58" l="1"/>
  <c r="F55" i="58"/>
  <c r="F54" i="58"/>
  <c r="F53" i="58"/>
  <c r="F52" i="58"/>
  <c r="S8" i="54" l="1"/>
  <c r="F33" i="42"/>
  <c r="E33" i="42"/>
  <c r="C33" i="42"/>
  <c r="F30" i="42"/>
  <c r="E30" i="42"/>
  <c r="C30" i="42"/>
  <c r="F27" i="42"/>
  <c r="E27" i="42"/>
  <c r="C27" i="42"/>
  <c r="F24" i="42"/>
  <c r="E24" i="42"/>
  <c r="C24" i="42"/>
  <c r="F21" i="42"/>
  <c r="E21" i="42"/>
  <c r="C21" i="42"/>
  <c r="F16" i="42"/>
  <c r="E16" i="42"/>
  <c r="F14" i="42"/>
  <c r="E14" i="42"/>
  <c r="F12" i="42"/>
  <c r="E12" i="42"/>
  <c r="U73" i="2"/>
  <c r="G12" i="16"/>
  <c r="E56" i="58" l="1"/>
  <c r="E55" i="58"/>
  <c r="E54" i="58"/>
  <c r="E53" i="58"/>
  <c r="E52" i="58"/>
  <c r="S46" i="58"/>
  <c r="R46" i="58"/>
  <c r="Q46" i="58"/>
  <c r="P46" i="58"/>
  <c r="O46" i="58"/>
  <c r="N46" i="58"/>
  <c r="M46" i="58"/>
  <c r="L46" i="58"/>
  <c r="K46" i="58"/>
  <c r="J46" i="58"/>
  <c r="F44" i="58"/>
  <c r="E44" i="58"/>
  <c r="F43" i="58"/>
  <c r="E43" i="58"/>
  <c r="F42" i="58"/>
  <c r="E42" i="58"/>
  <c r="F41" i="58"/>
  <c r="E41" i="58"/>
  <c r="F37" i="58"/>
  <c r="E37" i="58"/>
  <c r="F36" i="58"/>
  <c r="E36" i="58"/>
  <c r="F35" i="58"/>
  <c r="E35" i="58"/>
  <c r="F34" i="58"/>
  <c r="E34" i="58"/>
  <c r="F33" i="58"/>
  <c r="E33" i="58"/>
  <c r="F32" i="58"/>
  <c r="E32" i="58"/>
  <c r="S24" i="58"/>
  <c r="R24" i="58"/>
  <c r="Q24" i="58"/>
  <c r="P24" i="58"/>
  <c r="O24" i="58"/>
  <c r="N24" i="58"/>
  <c r="M24" i="58"/>
  <c r="L24" i="58"/>
  <c r="K24" i="58"/>
  <c r="J24" i="58"/>
  <c r="F22" i="58"/>
  <c r="E22" i="58"/>
  <c r="F21" i="58"/>
  <c r="E21" i="58"/>
  <c r="F20" i="58"/>
  <c r="E20" i="58"/>
  <c r="F19" i="58"/>
  <c r="E19" i="58"/>
  <c r="F18" i="58"/>
  <c r="E18" i="58"/>
  <c r="F17" i="58"/>
  <c r="E17" i="58"/>
  <c r="F16" i="58"/>
  <c r="E16" i="58"/>
  <c r="F15" i="58"/>
  <c r="E15" i="58"/>
  <c r="F14" i="58"/>
  <c r="E14" i="58"/>
  <c r="F13" i="58"/>
  <c r="E13" i="58"/>
  <c r="S4" i="58"/>
  <c r="S50" i="58" s="1"/>
  <c r="R4" i="58"/>
  <c r="R50" i="58" s="1"/>
  <c r="Q4" i="58"/>
  <c r="Q50" i="58" s="1"/>
  <c r="P4" i="58"/>
  <c r="P50" i="58" s="1"/>
  <c r="O4" i="58"/>
  <c r="O50" i="58" s="1"/>
  <c r="N4" i="58"/>
  <c r="N50" i="58" s="1"/>
  <c r="M4" i="58"/>
  <c r="M50" i="58" s="1"/>
  <c r="L4" i="58"/>
  <c r="L50" i="58" s="1"/>
  <c r="K4" i="58"/>
  <c r="K50" i="58" s="1"/>
  <c r="J4" i="58"/>
  <c r="J50" i="58" s="1"/>
  <c r="C2" i="58"/>
  <c r="S1" i="58"/>
  <c r="C1" i="58"/>
  <c r="K10" i="58" l="1"/>
  <c r="M10" i="58"/>
  <c r="O10" i="58"/>
  <c r="Q10" i="58"/>
  <c r="S10" i="58"/>
  <c r="K29" i="58"/>
  <c r="M29" i="58"/>
  <c r="O29" i="58"/>
  <c r="Q29" i="58"/>
  <c r="S29" i="58"/>
  <c r="J10" i="58"/>
  <c r="L10" i="58"/>
  <c r="N10" i="58"/>
  <c r="P10" i="58"/>
  <c r="R10" i="58"/>
  <c r="J29" i="58"/>
  <c r="L29" i="58"/>
  <c r="N29" i="58"/>
  <c r="P29" i="58"/>
  <c r="R29" i="58"/>
  <c r="F16" i="44"/>
  <c r="F15" i="44"/>
  <c r="F14" i="44"/>
  <c r="E16" i="44" l="1"/>
  <c r="E15" i="44"/>
  <c r="E14" i="44"/>
  <c r="C15" i="44"/>
  <c r="C16" i="44"/>
  <c r="C13" i="44"/>
  <c r="C14" i="44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J4" i="44"/>
  <c r="J11" i="44" s="1"/>
  <c r="F83" i="42"/>
  <c r="E83" i="42"/>
  <c r="K13" i="44" l="1"/>
  <c r="K15" i="44"/>
  <c r="K16" i="44"/>
  <c r="K14" i="44"/>
  <c r="M13" i="44"/>
  <c r="M15" i="44"/>
  <c r="M16" i="44"/>
  <c r="M14" i="44"/>
  <c r="J15" i="44"/>
  <c r="J16" i="44"/>
  <c r="J14" i="44"/>
  <c r="J13" i="44"/>
  <c r="L15" i="44"/>
  <c r="L16" i="44"/>
  <c r="L14" i="44"/>
  <c r="L13" i="44"/>
  <c r="N15" i="44"/>
  <c r="N16" i="44"/>
  <c r="N14" i="44"/>
  <c r="N13" i="44"/>
  <c r="F85" i="42"/>
  <c r="F84" i="42"/>
  <c r="F77" i="42"/>
  <c r="F75" i="42"/>
  <c r="F74" i="42"/>
  <c r="F73" i="42"/>
  <c r="F67" i="42"/>
  <c r="F65" i="42"/>
  <c r="F64" i="42"/>
  <c r="F63" i="42"/>
  <c r="F62" i="42"/>
  <c r="F61" i="42"/>
  <c r="F60" i="42"/>
  <c r="F59" i="42"/>
  <c r="F58" i="42"/>
  <c r="F57" i="42"/>
  <c r="S4" i="42"/>
  <c r="R4" i="42"/>
  <c r="Q4" i="42"/>
  <c r="P4" i="42"/>
  <c r="O4" i="42"/>
  <c r="N4" i="42"/>
  <c r="M4" i="42"/>
  <c r="L4" i="42"/>
  <c r="K4" i="42"/>
  <c r="J4" i="42"/>
  <c r="S4" i="53"/>
  <c r="S36" i="53" s="1"/>
  <c r="S40" i="53" s="1"/>
  <c r="R4" i="53"/>
  <c r="R10" i="53" s="1"/>
  <c r="R22" i="53" s="1"/>
  <c r="Q4" i="53"/>
  <c r="Q36" i="53" s="1"/>
  <c r="Q40" i="53" s="1"/>
  <c r="P4" i="53"/>
  <c r="P10" i="53" s="1"/>
  <c r="P22" i="53" s="1"/>
  <c r="O4" i="53"/>
  <c r="O36" i="53" s="1"/>
  <c r="O40" i="53" s="1"/>
  <c r="N4" i="53"/>
  <c r="N10" i="53" s="1"/>
  <c r="N22" i="53" s="1"/>
  <c r="M4" i="53"/>
  <c r="M36" i="53" s="1"/>
  <c r="M40" i="53" s="1"/>
  <c r="L4" i="53"/>
  <c r="L10" i="53" s="1"/>
  <c r="L22" i="53" s="1"/>
  <c r="K4" i="53"/>
  <c r="K36" i="53" s="1"/>
  <c r="K40" i="53" s="1"/>
  <c r="J4" i="53"/>
  <c r="J10" i="53" s="1"/>
  <c r="J22" i="53" s="1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J4" i="2"/>
  <c r="J82" i="2" s="1"/>
  <c r="J91" i="2" s="1"/>
  <c r="K4" i="2"/>
  <c r="K95" i="2" s="1"/>
  <c r="K99" i="2" s="1"/>
  <c r="T4" i="2"/>
  <c r="T82" i="2" s="1"/>
  <c r="T91" i="2" s="1"/>
  <c r="S4" i="2"/>
  <c r="S95" i="2" s="1"/>
  <c r="S99" i="2" s="1"/>
  <c r="R4" i="2"/>
  <c r="R82" i="2" s="1"/>
  <c r="R91" i="2" s="1"/>
  <c r="Q4" i="2"/>
  <c r="Q95" i="2" s="1"/>
  <c r="Q99" i="2" s="1"/>
  <c r="P4" i="2"/>
  <c r="P82" i="2" s="1"/>
  <c r="P91" i="2" s="1"/>
  <c r="O4" i="2"/>
  <c r="O95" i="2" s="1"/>
  <c r="O99" i="2" s="1"/>
  <c r="N4" i="2"/>
  <c r="N82" i="2" s="1"/>
  <c r="N91" i="2" s="1"/>
  <c r="M4" i="2"/>
  <c r="M95" i="2" s="1"/>
  <c r="M99" i="2" s="1"/>
  <c r="L4" i="2"/>
  <c r="L82" i="2" s="1"/>
  <c r="L91" i="2" s="1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42" i="4"/>
  <c r="C24" i="4"/>
  <c r="S9" i="54"/>
  <c r="J30" i="42" l="1"/>
  <c r="J24" i="42"/>
  <c r="J16" i="42"/>
  <c r="J14" i="42"/>
  <c r="J12" i="42"/>
  <c r="J33" i="42"/>
  <c r="J27" i="42"/>
  <c r="J21" i="42"/>
  <c r="L30" i="42"/>
  <c r="L24" i="42"/>
  <c r="L16" i="42"/>
  <c r="L14" i="42"/>
  <c r="L12" i="42"/>
  <c r="L33" i="42"/>
  <c r="L27" i="42"/>
  <c r="L21" i="42"/>
  <c r="N30" i="42"/>
  <c r="N24" i="42"/>
  <c r="N16" i="42"/>
  <c r="N14" i="42"/>
  <c r="N12" i="42"/>
  <c r="N33" i="42"/>
  <c r="N27" i="42"/>
  <c r="N21" i="42"/>
  <c r="P30" i="42"/>
  <c r="P24" i="42"/>
  <c r="P16" i="42"/>
  <c r="P14" i="42"/>
  <c r="P12" i="42"/>
  <c r="P33" i="42"/>
  <c r="P27" i="42"/>
  <c r="P21" i="42"/>
  <c r="R30" i="42"/>
  <c r="R24" i="42"/>
  <c r="R16" i="42"/>
  <c r="R14" i="42"/>
  <c r="R12" i="42"/>
  <c r="R33" i="42"/>
  <c r="R27" i="42"/>
  <c r="R21" i="42"/>
  <c r="K14" i="42"/>
  <c r="K12" i="42"/>
  <c r="K33" i="42"/>
  <c r="K27" i="42"/>
  <c r="K21" i="42"/>
  <c r="K30" i="42"/>
  <c r="K24" i="42"/>
  <c r="K16" i="42"/>
  <c r="M14" i="42"/>
  <c r="M12" i="42"/>
  <c r="M33" i="42"/>
  <c r="M27" i="42"/>
  <c r="M21" i="42"/>
  <c r="M30" i="42"/>
  <c r="M24" i="42"/>
  <c r="M16" i="42"/>
  <c r="O14" i="42"/>
  <c r="O12" i="42"/>
  <c r="O33" i="42"/>
  <c r="O27" i="42"/>
  <c r="O21" i="42"/>
  <c r="O30" i="42"/>
  <c r="O24" i="42"/>
  <c r="O16" i="42"/>
  <c r="Q14" i="42"/>
  <c r="Q12" i="42"/>
  <c r="Q33" i="42"/>
  <c r="Q27" i="42"/>
  <c r="Q21" i="42"/>
  <c r="Q30" i="42"/>
  <c r="Q24" i="42"/>
  <c r="Q16" i="42"/>
  <c r="S14" i="42"/>
  <c r="S12" i="42"/>
  <c r="S33" i="42"/>
  <c r="S27" i="42"/>
  <c r="S21" i="42"/>
  <c r="S30" i="42"/>
  <c r="S24" i="42"/>
  <c r="S16" i="42"/>
  <c r="S82" i="2"/>
  <c r="S91" i="2" s="1"/>
  <c r="Q82" i="2"/>
  <c r="Q91" i="2" s="1"/>
  <c r="O82" i="2"/>
  <c r="O91" i="2" s="1"/>
  <c r="M82" i="2"/>
  <c r="M91" i="2" s="1"/>
  <c r="K82" i="2"/>
  <c r="K91" i="2" s="1"/>
  <c r="J84" i="42" a="1"/>
  <c r="J84" i="42" s="1"/>
  <c r="J81" i="42"/>
  <c r="J10" i="42"/>
  <c r="J83" i="42" a="1"/>
  <c r="J83" i="42" s="1"/>
  <c r="J85" i="42"/>
  <c r="L10" i="42"/>
  <c r="L83" i="42" a="1"/>
  <c r="L83" i="42" s="1"/>
  <c r="L85" i="42"/>
  <c r="L84" i="42" a="1"/>
  <c r="L84" i="42" s="1"/>
  <c r="L81" i="42"/>
  <c r="N10" i="42"/>
  <c r="N83" i="42" a="1"/>
  <c r="N83" i="42" s="1"/>
  <c r="N85" i="42"/>
  <c r="N84" i="42" a="1"/>
  <c r="N84" i="42" s="1"/>
  <c r="N81" i="42"/>
  <c r="P10" i="42"/>
  <c r="P81" i="42"/>
  <c r="R10" i="42"/>
  <c r="R81" i="42"/>
  <c r="K10" i="42"/>
  <c r="K85" i="42"/>
  <c r="K84" i="42" a="1"/>
  <c r="K84" i="42" s="1"/>
  <c r="K81" i="42"/>
  <c r="K83" i="42" a="1"/>
  <c r="K83" i="42" s="1"/>
  <c r="M83" i="42" a="1"/>
  <c r="M83" i="42" s="1"/>
  <c r="M85" i="42"/>
  <c r="M84" i="42" a="1"/>
  <c r="M84" i="42" s="1"/>
  <c r="M81" i="42"/>
  <c r="M10" i="42"/>
  <c r="O81" i="42"/>
  <c r="O10" i="42"/>
  <c r="Q81" i="42"/>
  <c r="Q10" i="42"/>
  <c r="S10" i="42"/>
  <c r="S81" i="42"/>
  <c r="J71" i="42"/>
  <c r="J55" i="42"/>
  <c r="J42" i="42"/>
  <c r="L71" i="42"/>
  <c r="L55" i="42"/>
  <c r="L42" i="42"/>
  <c r="N71" i="42"/>
  <c r="N55" i="42"/>
  <c r="N42" i="42"/>
  <c r="P71" i="42"/>
  <c r="P55" i="42"/>
  <c r="P42" i="42"/>
  <c r="R71" i="42"/>
  <c r="R55" i="42"/>
  <c r="R42" i="42"/>
  <c r="J19" i="42"/>
  <c r="P19" i="42"/>
  <c r="L19" i="42"/>
  <c r="R19" i="42"/>
  <c r="S19" i="42"/>
  <c r="Q19" i="42"/>
  <c r="O19" i="42"/>
  <c r="M19" i="42"/>
  <c r="K19" i="42"/>
  <c r="K42" i="42"/>
  <c r="M42" i="42"/>
  <c r="O42" i="42"/>
  <c r="Q42" i="42"/>
  <c r="S42" i="42"/>
  <c r="K55" i="42"/>
  <c r="M55" i="42"/>
  <c r="O55" i="42"/>
  <c r="Q55" i="42"/>
  <c r="S55" i="42"/>
  <c r="K71" i="42"/>
  <c r="M71" i="42"/>
  <c r="O71" i="42"/>
  <c r="Q71" i="42"/>
  <c r="S71" i="42"/>
  <c r="S10" i="53"/>
  <c r="S22" i="53" s="1"/>
  <c r="Q10" i="53"/>
  <c r="Q22" i="53" s="1"/>
  <c r="O10" i="53"/>
  <c r="O22" i="53" s="1"/>
  <c r="M10" i="53"/>
  <c r="M22" i="53" s="1"/>
  <c r="K10" i="53"/>
  <c r="K22" i="53" s="1"/>
  <c r="J26" i="53"/>
  <c r="J32" i="53" s="1"/>
  <c r="L26" i="53"/>
  <c r="L32" i="53" s="1"/>
  <c r="N26" i="53"/>
  <c r="N32" i="53" s="1"/>
  <c r="P26" i="53"/>
  <c r="P32" i="53" s="1"/>
  <c r="R26" i="53"/>
  <c r="R32" i="53" s="1"/>
  <c r="J36" i="53"/>
  <c r="J40" i="53" s="1"/>
  <c r="L36" i="53"/>
  <c r="L40" i="53" s="1"/>
  <c r="N36" i="53"/>
  <c r="N40" i="53" s="1"/>
  <c r="P36" i="53"/>
  <c r="P40" i="53" s="1"/>
  <c r="R36" i="53"/>
  <c r="R40" i="53" s="1"/>
  <c r="K26" i="53"/>
  <c r="K32" i="53" s="1"/>
  <c r="M26" i="53"/>
  <c r="M32" i="53" s="1"/>
  <c r="O26" i="53"/>
  <c r="O32" i="53" s="1"/>
  <c r="Q26" i="53"/>
  <c r="Q32" i="53" s="1"/>
  <c r="S26" i="53"/>
  <c r="S32" i="53" s="1"/>
  <c r="M23" i="2"/>
  <c r="K34" i="2"/>
  <c r="K45" i="2" s="1"/>
  <c r="M34" i="2"/>
  <c r="M45" i="2" s="1"/>
  <c r="Q47" i="2"/>
  <c r="Q58" i="2" s="1"/>
  <c r="O73" i="2"/>
  <c r="Q23" i="2"/>
  <c r="Q34" i="2"/>
  <c r="M47" i="2"/>
  <c r="M58" i="2" s="1"/>
  <c r="K73" i="2"/>
  <c r="S73" i="2"/>
  <c r="K23" i="2"/>
  <c r="O23" i="2"/>
  <c r="S23" i="2"/>
  <c r="S34" i="2"/>
  <c r="O34" i="2"/>
  <c r="O45" i="2" s="1"/>
  <c r="K47" i="2"/>
  <c r="K58" i="2" s="1"/>
  <c r="O47" i="2"/>
  <c r="O58" i="2" s="1"/>
  <c r="S47" i="2"/>
  <c r="S58" i="2" s="1"/>
  <c r="M73" i="2"/>
  <c r="Q73" i="2"/>
  <c r="L73" i="2"/>
  <c r="L47" i="2"/>
  <c r="L58" i="2" s="1"/>
  <c r="L34" i="2"/>
  <c r="L45" i="2" s="1"/>
  <c r="L23" i="2"/>
  <c r="L95" i="2"/>
  <c r="L99" i="2" s="1"/>
  <c r="L62" i="2"/>
  <c r="L71" i="2" s="1"/>
  <c r="L14" i="2"/>
  <c r="N73" i="2"/>
  <c r="N47" i="2"/>
  <c r="N58" i="2" s="1"/>
  <c r="N34" i="2"/>
  <c r="N45" i="2" s="1"/>
  <c r="N23" i="2"/>
  <c r="N95" i="2"/>
  <c r="N99" i="2" s="1"/>
  <c r="N62" i="2"/>
  <c r="N71" i="2" s="1"/>
  <c r="N14" i="2"/>
  <c r="P73" i="2"/>
  <c r="P47" i="2"/>
  <c r="P58" i="2" s="1"/>
  <c r="P34" i="2"/>
  <c r="P23" i="2"/>
  <c r="P95" i="2"/>
  <c r="P99" i="2" s="1"/>
  <c r="P62" i="2"/>
  <c r="P71" i="2" s="1"/>
  <c r="P14" i="2"/>
  <c r="R73" i="2"/>
  <c r="R47" i="2"/>
  <c r="R58" i="2" s="1"/>
  <c r="R34" i="2"/>
  <c r="R23" i="2"/>
  <c r="R95" i="2"/>
  <c r="R99" i="2" s="1"/>
  <c r="R62" i="2"/>
  <c r="R71" i="2" s="1"/>
  <c r="R14" i="2"/>
  <c r="T73" i="2"/>
  <c r="T47" i="2"/>
  <c r="T58" i="2" s="1"/>
  <c r="T34" i="2"/>
  <c r="T23" i="2"/>
  <c r="T95" i="2"/>
  <c r="T99" i="2" s="1"/>
  <c r="T62" i="2"/>
  <c r="T71" i="2" s="1"/>
  <c r="T14" i="2"/>
  <c r="J73" i="2"/>
  <c r="J47" i="2"/>
  <c r="J58" i="2" s="1"/>
  <c r="J23" i="2"/>
  <c r="J10" i="2"/>
  <c r="J12" i="2" s="1"/>
  <c r="J95" i="2"/>
  <c r="J99" i="2" s="1"/>
  <c r="J62" i="2"/>
  <c r="J71" i="2" s="1"/>
  <c r="J34" i="2"/>
  <c r="J45" i="2" s="1"/>
  <c r="R10" i="2"/>
  <c r="R12" i="2" s="1"/>
  <c r="N10" i="2"/>
  <c r="N12" i="2" s="1"/>
  <c r="J14" i="2"/>
  <c r="T10" i="2"/>
  <c r="T12" i="2" s="1"/>
  <c r="P10" i="2"/>
  <c r="P12" i="2" s="1"/>
  <c r="L10" i="2"/>
  <c r="L12" i="2" s="1"/>
  <c r="S10" i="2"/>
  <c r="S12" i="2" s="1"/>
  <c r="Q10" i="2"/>
  <c r="Q12" i="2" s="1"/>
  <c r="O10" i="2"/>
  <c r="O12" i="2" s="1"/>
  <c r="M10" i="2"/>
  <c r="M12" i="2" s="1"/>
  <c r="K10" i="2"/>
  <c r="K12" i="2" s="1"/>
  <c r="K14" i="2"/>
  <c r="M14" i="2"/>
  <c r="O14" i="2"/>
  <c r="Q14" i="2"/>
  <c r="S14" i="2"/>
  <c r="S62" i="2"/>
  <c r="S71" i="2" s="1"/>
  <c r="Q62" i="2"/>
  <c r="Q71" i="2" s="1"/>
  <c r="O62" i="2"/>
  <c r="O71" i="2" s="1"/>
  <c r="M62" i="2"/>
  <c r="M71" i="2" s="1"/>
  <c r="K62" i="2"/>
  <c r="K71" i="2" s="1"/>
  <c r="W71" i="2" l="1"/>
  <c r="W22" i="53"/>
  <c r="W40" i="53"/>
  <c r="W32" i="53"/>
  <c r="W58" i="2"/>
  <c r="W99" i="2"/>
  <c r="P45" i="2" l="1"/>
  <c r="S45" i="2"/>
  <c r="Q45" i="2"/>
  <c r="R45" i="2"/>
  <c r="T45" i="2"/>
  <c r="W45" i="2" l="1"/>
  <c r="C34" i="42" l="1"/>
  <c r="F34" i="42"/>
  <c r="E34" i="42"/>
  <c r="C31" i="42"/>
  <c r="C28" i="42"/>
  <c r="C25" i="42"/>
  <c r="C22" i="42"/>
  <c r="F31" i="42"/>
  <c r="E31" i="42"/>
  <c r="F28" i="42"/>
  <c r="E28" i="42"/>
  <c r="F25" i="42"/>
  <c r="E25" i="42"/>
  <c r="F22" i="42"/>
  <c r="E22" i="42"/>
  <c r="E67" i="42" l="1"/>
  <c r="E85" i="42" l="1"/>
  <c r="F17" i="42" l="1"/>
  <c r="F15" i="42"/>
  <c r="F38" i="42"/>
  <c r="F36" i="42"/>
  <c r="C58" i="42" l="1"/>
  <c r="C59" i="42"/>
  <c r="C60" i="42"/>
  <c r="C61" i="42"/>
  <c r="C62" i="42"/>
  <c r="C63" i="42"/>
  <c r="C64" i="42"/>
  <c r="C65" i="42"/>
  <c r="C73" i="42"/>
  <c r="C74" i="42"/>
  <c r="C75" i="42"/>
  <c r="F13" i="44"/>
  <c r="K16" i="2"/>
  <c r="L16" i="2" s="1"/>
  <c r="L17" i="2"/>
  <c r="M18" i="2"/>
  <c r="O30" i="2"/>
  <c r="K18" i="2"/>
  <c r="M20" i="2"/>
  <c r="E38" i="42"/>
  <c r="F19" i="42"/>
  <c r="E36" i="42"/>
  <c r="F13" i="42"/>
  <c r="E13" i="42"/>
  <c r="E15" i="42"/>
  <c r="E13" i="44"/>
  <c r="E84" i="42"/>
  <c r="E17" i="42"/>
  <c r="E57" i="42"/>
  <c r="E58" i="42"/>
  <c r="E59" i="42"/>
  <c r="E60" i="42"/>
  <c r="E61" i="42"/>
  <c r="E62" i="42"/>
  <c r="E63" i="42"/>
  <c r="E64" i="42"/>
  <c r="E65" i="42"/>
  <c r="E73" i="42"/>
  <c r="E74" i="42"/>
  <c r="E75" i="42"/>
  <c r="E77" i="42"/>
  <c r="E19" i="42"/>
  <c r="L27" i="2"/>
  <c r="N19" i="2"/>
  <c r="N28" i="2" s="1"/>
  <c r="N29" i="2"/>
  <c r="B2" i="55"/>
  <c r="W91" i="2"/>
  <c r="S11" i="54"/>
  <c r="S14" i="54"/>
  <c r="G15" i="16"/>
  <c r="G16" i="16"/>
  <c r="T1" i="55"/>
  <c r="G11" i="16" s="1"/>
  <c r="B1" i="55"/>
  <c r="E12" i="2"/>
  <c r="O47" i="42"/>
  <c r="P75" i="2"/>
  <c r="P76" i="2"/>
  <c r="P77" i="2"/>
  <c r="P78" i="2"/>
  <c r="P79" i="2"/>
  <c r="P80" i="2"/>
  <c r="O49" i="42"/>
  <c r="J45" i="42"/>
  <c r="J47" i="42"/>
  <c r="J49" i="42"/>
  <c r="K45" i="42"/>
  <c r="K47" i="42"/>
  <c r="K49" i="42"/>
  <c r="L45" i="42"/>
  <c r="L47" i="42"/>
  <c r="L49" i="42"/>
  <c r="M45" i="42"/>
  <c r="M47" i="42"/>
  <c r="M49" i="42"/>
  <c r="N45" i="42"/>
  <c r="N47" i="42"/>
  <c r="N49" i="42"/>
  <c r="P47" i="42"/>
  <c r="Q47" i="42"/>
  <c r="R47" i="42"/>
  <c r="S47" i="42"/>
  <c r="C57" i="42"/>
  <c r="P49" i="42"/>
  <c r="Q49" i="42"/>
  <c r="R49" i="42"/>
  <c r="S49" i="42"/>
  <c r="Q76" i="2"/>
  <c r="R76" i="2"/>
  <c r="S76" i="2"/>
  <c r="T76" i="2"/>
  <c r="Q77" i="2"/>
  <c r="R77" i="2"/>
  <c r="S77" i="2"/>
  <c r="T77" i="2"/>
  <c r="Q78" i="2"/>
  <c r="R78" i="2"/>
  <c r="S78" i="2"/>
  <c r="T78" i="2"/>
  <c r="Q79" i="2"/>
  <c r="R79" i="2"/>
  <c r="S79" i="2"/>
  <c r="T79" i="2"/>
  <c r="Q80" i="2"/>
  <c r="R80" i="2"/>
  <c r="S80" i="2"/>
  <c r="T80" i="2"/>
  <c r="R75" i="2"/>
  <c r="S75" i="2"/>
  <c r="T75" i="2"/>
  <c r="Q75" i="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 s="1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97" i="2"/>
  <c r="B2" i="2"/>
  <c r="B1" i="2"/>
  <c r="C40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51" i="42" l="1"/>
  <c r="K51" i="42"/>
  <c r="L51" i="42"/>
  <c r="R45" i="42"/>
  <c r="R51" i="42" s="1"/>
  <c r="T1" i="2"/>
  <c r="G13" i="16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N51" i="42"/>
  <c r="J51" i="42"/>
  <c r="P45" i="42"/>
  <c r="N21" i="2"/>
  <c r="M21" i="2" s="1"/>
  <c r="L26" i="2"/>
  <c r="M17" i="2"/>
  <c r="M29" i="2"/>
  <c r="K27" i="2"/>
  <c r="K25" i="2"/>
  <c r="J25" i="2"/>
  <c r="M16" i="2"/>
  <c r="M25" i="2" s="1"/>
  <c r="L25" i="2"/>
  <c r="O19" i="2"/>
  <c r="O28" i="2" s="1"/>
  <c r="Q45" i="42"/>
  <c r="S45" i="42"/>
  <c r="O45" i="42"/>
  <c r="N30" i="2" l="1"/>
  <c r="O18" i="2"/>
  <c r="O27" i="2" s="1"/>
  <c r="N16" i="2"/>
  <c r="N25" i="2" s="1"/>
  <c r="S1" i="16"/>
  <c r="K20" i="2"/>
  <c r="J20" i="2" s="1"/>
  <c r="J29" i="2" s="1"/>
  <c r="C25" i="2" a="1"/>
  <c r="C16" i="2" a="1"/>
  <c r="K19" i="2"/>
  <c r="P51" i="42"/>
  <c r="O51" i="42"/>
  <c r="S51" i="42"/>
  <c r="Q51" i="42"/>
  <c r="L21" i="2"/>
  <c r="M30" i="2"/>
  <c r="M26" i="2"/>
  <c r="N17" i="2"/>
  <c r="K29" i="2"/>
  <c r="W1" i="55" l="1"/>
  <c r="V1" i="58"/>
  <c r="O16" i="2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P25" i="42" l="1"/>
  <c r="J34" i="42"/>
  <c r="K34" i="42"/>
  <c r="Q34" i="42"/>
  <c r="N34" i="42"/>
  <c r="P34" i="42"/>
  <c r="M34" i="42"/>
  <c r="O34" i="42"/>
  <c r="R34" i="42"/>
  <c r="S34" i="42"/>
  <c r="L34" i="42"/>
  <c r="P31" i="42"/>
  <c r="S31" i="42"/>
  <c r="R31" i="42"/>
  <c r="J31" i="42"/>
  <c r="K31" i="42"/>
  <c r="N31" i="42"/>
  <c r="Q31" i="42"/>
  <c r="M31" i="42"/>
  <c r="O31" i="42"/>
  <c r="L31" i="42"/>
  <c r="S28" i="42"/>
  <c r="R28" i="42"/>
  <c r="J28" i="42"/>
  <c r="K28" i="42"/>
  <c r="P28" i="42"/>
  <c r="O28" i="42"/>
  <c r="L28" i="42"/>
  <c r="Q28" i="42"/>
  <c r="M28" i="42"/>
  <c r="N28" i="42"/>
  <c r="S25" i="42"/>
  <c r="R25" i="42"/>
  <c r="J25" i="42"/>
  <c r="K25" i="42"/>
  <c r="Q25" i="42"/>
  <c r="O25" i="42"/>
  <c r="L25" i="42"/>
  <c r="M25" i="42"/>
  <c r="N25" i="42"/>
  <c r="S22" i="42"/>
  <c r="R22" i="42"/>
  <c r="R36" i="42" s="1"/>
  <c r="P22" i="42"/>
  <c r="Q22" i="42"/>
  <c r="Q36" i="42" s="1"/>
  <c r="M22" i="42"/>
  <c r="O22" i="42"/>
  <c r="O36" i="42" s="1"/>
  <c r="N22" i="42"/>
  <c r="M15" i="42"/>
  <c r="J22" i="42"/>
  <c r="K22" i="42"/>
  <c r="K36" i="42" s="1"/>
  <c r="L22" i="42"/>
  <c r="N13" i="42"/>
  <c r="P13" i="42"/>
  <c r="L17" i="42"/>
  <c r="S13" i="42"/>
  <c r="M17" i="42"/>
  <c r="O17" i="42"/>
  <c r="M13" i="42"/>
  <c r="Q13" i="42"/>
  <c r="J57" i="42"/>
  <c r="O57" i="42"/>
  <c r="N57" i="42"/>
  <c r="R57" i="42"/>
  <c r="P57" i="42"/>
  <c r="L57" i="42"/>
  <c r="K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64" i="42"/>
  <c r="P64" i="42"/>
  <c r="J65" i="42"/>
  <c r="N65" i="42"/>
  <c r="R65" i="42"/>
  <c r="L73" i="42"/>
  <c r="P73" i="42"/>
  <c r="P14" i="44" s="1"/>
  <c r="J74" i="42"/>
  <c r="N74" i="42"/>
  <c r="R74" i="42"/>
  <c r="R15" i="44" s="1"/>
  <c r="L75" i="42"/>
  <c r="P75" i="42"/>
  <c r="P16" i="44" s="1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64" i="42"/>
  <c r="O64" i="42"/>
  <c r="S64" i="42"/>
  <c r="M65" i="42"/>
  <c r="Q65" i="42"/>
  <c r="K73" i="42"/>
  <c r="O73" i="42"/>
  <c r="O14" i="44" s="1"/>
  <c r="S73" i="42"/>
  <c r="S14" i="44" s="1"/>
  <c r="M74" i="42"/>
  <c r="Q74" i="42"/>
  <c r="Q15" i="44" s="1"/>
  <c r="K75" i="42"/>
  <c r="O75" i="42"/>
  <c r="O16" i="44" s="1"/>
  <c r="S75" i="42"/>
  <c r="S16" i="44" s="1"/>
  <c r="M57" i="42"/>
  <c r="Q57" i="42"/>
  <c r="S57" i="42"/>
  <c r="J58" i="42"/>
  <c r="N58" i="42"/>
  <c r="R58" i="42"/>
  <c r="L59" i="42"/>
  <c r="P59" i="42"/>
  <c r="J60" i="42"/>
  <c r="N60" i="42"/>
  <c r="R60" i="42"/>
  <c r="L61" i="42"/>
  <c r="P61" i="42"/>
  <c r="J62" i="42"/>
  <c r="R62" i="42"/>
  <c r="P63" i="42"/>
  <c r="N64" i="42"/>
  <c r="L65" i="42"/>
  <c r="J73" i="42"/>
  <c r="R73" i="42"/>
  <c r="R14" i="44" s="1"/>
  <c r="P74" i="42"/>
  <c r="P15" i="44" s="1"/>
  <c r="N75" i="42"/>
  <c r="M58" i="42"/>
  <c r="K59" i="42"/>
  <c r="S59" i="42"/>
  <c r="Q60" i="42"/>
  <c r="O61" i="42"/>
  <c r="M62" i="42"/>
  <c r="K63" i="42"/>
  <c r="S63" i="42"/>
  <c r="Q64" i="42"/>
  <c r="O65" i="42"/>
  <c r="M73" i="42"/>
  <c r="K74" i="42"/>
  <c r="S74" i="42"/>
  <c r="S15" i="44" s="1"/>
  <c r="Q75" i="42"/>
  <c r="Q16" i="44" s="1"/>
  <c r="N62" i="42"/>
  <c r="L63" i="42"/>
  <c r="J64" i="42"/>
  <c r="R64" i="42"/>
  <c r="P65" i="42"/>
  <c r="N73" i="42"/>
  <c r="L74" i="42"/>
  <c r="J75" i="42"/>
  <c r="R75" i="42"/>
  <c r="R16" i="44" s="1"/>
  <c r="Q58" i="42"/>
  <c r="O59" i="42"/>
  <c r="M60" i="42"/>
  <c r="K61" i="42"/>
  <c r="S61" i="42"/>
  <c r="Q62" i="42"/>
  <c r="O63" i="42"/>
  <c r="M64" i="42"/>
  <c r="K65" i="42"/>
  <c r="S65" i="42"/>
  <c r="Q73" i="42"/>
  <c r="Q14" i="44" s="1"/>
  <c r="O74" i="42"/>
  <c r="O15" i="44" s="1"/>
  <c r="M75" i="42"/>
  <c r="R13" i="42"/>
  <c r="K15" i="42"/>
  <c r="J15" i="42"/>
  <c r="J17" i="42"/>
  <c r="K17" i="42"/>
  <c r="R15" i="42"/>
  <c r="O13" i="42"/>
  <c r="R17" i="42"/>
  <c r="Q15" i="42"/>
  <c r="L15" i="42"/>
  <c r="S15" i="42"/>
  <c r="Q17" i="42"/>
  <c r="P17" i="42"/>
  <c r="N17" i="42"/>
  <c r="N15" i="42"/>
  <c r="O15" i="42"/>
  <c r="S17" i="42"/>
  <c r="P15" i="42"/>
  <c r="K13" i="42"/>
  <c r="J21" i="2"/>
  <c r="J30" i="2" s="1"/>
  <c r="K30" i="2"/>
  <c r="L36" i="42" l="1"/>
  <c r="L38" i="42" s="1"/>
  <c r="J36" i="42"/>
  <c r="J38" i="42" s="1"/>
  <c r="M36" i="42"/>
  <c r="P36" i="42"/>
  <c r="S36" i="42"/>
  <c r="N77" i="42"/>
  <c r="Q77" i="42"/>
  <c r="Q38" i="42"/>
  <c r="R38" i="42"/>
  <c r="M77" i="42"/>
  <c r="J77" i="42"/>
  <c r="O77" i="42"/>
  <c r="L77" i="42"/>
  <c r="R77" i="42"/>
  <c r="S77" i="42"/>
  <c r="K77" i="42"/>
  <c r="P77" i="42"/>
  <c r="S67" i="42"/>
  <c r="M67" i="42"/>
  <c r="L67" i="42"/>
  <c r="R67" i="42"/>
  <c r="O67" i="42"/>
  <c r="Q67" i="42"/>
  <c r="K67" i="42"/>
  <c r="P67" i="42"/>
  <c r="N67" i="42"/>
  <c r="J67" i="42"/>
  <c r="J13" i="42"/>
  <c r="M38" i="42" l="1"/>
  <c r="L13" i="42"/>
  <c r="N19" i="42" l="1"/>
  <c r="N36" i="42" s="1"/>
  <c r="S38" i="42"/>
  <c r="O38" i="42"/>
  <c r="K38" i="42"/>
  <c r="P38" i="42"/>
  <c r="N38" i="42" l="1"/>
  <c r="Q84" i="42" s="1" a="1"/>
  <c r="Q84" i="42" s="1"/>
  <c r="Q85" i="42" s="1"/>
  <c r="O83" i="42" l="1" a="1"/>
  <c r="O83" i="42" s="1"/>
  <c r="O13" i="44" s="1"/>
  <c r="S84" i="42" a="1"/>
  <c r="S84" i="42" s="1"/>
  <c r="S85" i="42" s="1"/>
  <c r="R84" i="42" a="1"/>
  <c r="R84" i="42" s="1"/>
  <c r="R85" i="42" s="1"/>
  <c r="O84" i="42" a="1"/>
  <c r="O84" i="42" s="1"/>
  <c r="O85" i="42" s="1"/>
  <c r="R83" i="42" a="1"/>
  <c r="R83" i="42" s="1"/>
  <c r="R13" i="44" s="1"/>
  <c r="Q83" i="42" a="1"/>
  <c r="Q83" i="42" s="1"/>
  <c r="Q13" i="44" s="1"/>
  <c r="S83" i="42" a="1"/>
  <c r="S83" i="42" s="1"/>
  <c r="S13" i="44" s="1"/>
  <c r="P83" i="42" a="1"/>
  <c r="P83" i="42" s="1"/>
  <c r="P13" i="44" s="1"/>
  <c r="P84" i="42" a="1"/>
  <c r="P84" i="42" s="1"/>
  <c r="P85" i="42" s="1"/>
</calcChain>
</file>

<file path=xl/sharedStrings.xml><?xml version="1.0" encoding="utf-8"?>
<sst xmlns="http://schemas.openxmlformats.org/spreadsheetml/2006/main" count="630" uniqueCount="162">
  <si>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</si>
  <si>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</si>
  <si>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</si>
  <si>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</si>
  <si>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</si>
  <si>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</si>
  <si>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</si>
  <si>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</si>
  <si>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</si>
  <si>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</si>
  <si>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</si>
  <si>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</si>
  <si>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</si>
  <si>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</si>
  <si>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</si>
  <si>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</si>
  <si>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</si>
  <si>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</si>
  <si>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</si>
  <si>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</si>
  <si>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</si>
  <si>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</si>
  <si>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</si>
  <si>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</si>
  <si>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</si>
  <si>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</si>
  <si>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</si>
  <si>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</si>
  <si>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</si>
  <si>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</si>
  <si>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</si>
  <si>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</si>
  <si>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</si>
  <si>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</si>
  <si>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</si>
  <si>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</si>
  <si>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</si>
  <si>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</si>
  <si>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</si>
  <si>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</si>
  <si>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</si>
  <si>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</si>
  <si>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</si>
  <si>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</si>
  <si>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</si>
  <si>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</si>
  <si>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</si>
  <si>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</si>
  <si>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</si>
  <si>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</si>
  <si>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</si>
  <si>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</si>
  <si>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</si>
  <si>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</si>
  <si>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</si>
  <si>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</si>
  <si>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</si>
  <si>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</si>
  <si>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</si>
  <si>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</si>
  <si>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</si>
  <si>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</si>
  <si>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</si>
  <si>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</si>
  <si>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</si>
  <si>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</si>
  <si>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</si>
  <si>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</si>
  <si>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</si>
  <si>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</si>
  <si>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</si>
  <si>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</si>
  <si>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</si>
  <si>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</si>
  <si>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</si>
  <si>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</si>
  <si>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</si>
  <si>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</si>
  <si>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</si>
  <si>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</si>
  <si>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</si>
  <si>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</si>
  <si>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</si>
  <si>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</si>
  <si>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</si>
  <si>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</si>
  <si>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</si>
  <si>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</si>
  <si>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</si>
  <si>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</si>
  <si>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</si>
  <si>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</si>
  <si>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</si>
  <si>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</si>
  <si>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</si>
  <si>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</si>
  <si>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</si>
  <si>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</si>
  <si>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</si>
  <si>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</si>
  <si>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</si>
  <si>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</si>
  <si>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</si>
  <si>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</si>
  <si>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</si>
  <si>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</si>
  <si>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</si>
  <si>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</si>
  <si>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</si>
  <si>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</si>
  <si>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</si>
  <si>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</si>
  <si>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</si>
  <si>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</si>
  <si>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</si>
  <si>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Forecast rate of change</t>
  </si>
  <si>
    <t>Step changes</t>
  </si>
  <si>
    <t>Calc | Opex forecast</t>
  </si>
  <si>
    <t>Estimated final year opex</t>
  </si>
  <si>
    <t>Efficiency adjustment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</si>
  <si>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</si>
  <si>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</si>
  <si>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</si>
  <si>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</si>
  <si>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</si>
  <si>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</si>
  <si>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</si>
  <si>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</si>
  <si>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</si>
  <si>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</si>
  <si>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</si>
  <si>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</si>
  <si>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</si>
  <si>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</si>
  <si>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</si>
  <si>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</si>
  <si>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</si>
  <si>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</si>
  <si>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</si>
  <si>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</si>
  <si>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</si>
  <si>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</si>
  <si>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</si>
  <si>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</si>
  <si>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</si>
  <si>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</si>
  <si>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</si>
  <si>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</si>
  <si>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</si>
  <si>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</si>
  <si>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</si>
  <si>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</si>
  <si>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</si>
  <si>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</si>
  <si>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</si>
  <si>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APA VTS</t>
  </si>
  <si>
    <t>draft</t>
  </si>
  <si>
    <t>Source: FD PTRM</t>
  </si>
  <si>
    <t>RBA statement of monetary policy May 2017</t>
  </si>
  <si>
    <t>Interpolated</t>
  </si>
  <si>
    <t>Augmentation and expansion related opex</t>
  </si>
  <si>
    <t>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</si>
</sst>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8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264">
    <xf numFmtId="0" fontId="0" fillId="0" borderId="0"/>
    <xf numFmtId="166" fontId="3" fillId="8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/>
    <xf numFmtId="175" fontId="19" fillId="5" borderId="0" applyNumberFormat="0" applyFont="0" applyBorder="0" applyAlignment="0">
      <alignment horizontal="right"/>
    </xf>
    <xf numFmtId="175" fontId="19" fillId="5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5" borderId="11" applyNumberFormat="0" applyAlignment="0" applyProtection="0"/>
    <xf numFmtId="0" fontId="29" fillId="32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3" borderId="11" applyNumberFormat="0" applyAlignment="0" applyProtection="0"/>
    <xf numFmtId="175" fontId="19" fillId="37" borderId="0" applyFont="0" applyBorder="0" applyAlignment="0">
      <alignment horizontal="right"/>
      <protection locked="0"/>
    </xf>
    <xf numFmtId="175" fontId="19" fillId="37" borderId="0" applyFont="0" applyBorder="0" applyAlignment="0">
      <alignment horizontal="right"/>
      <protection locked="0"/>
    </xf>
    <xf numFmtId="181" fontId="19" fillId="7" borderId="0" applyFont="0" applyBorder="0">
      <alignment horizontal="right"/>
      <protection locked="0"/>
    </xf>
    <xf numFmtId="181" fontId="19" fillId="7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0" fontId="12" fillId="5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4" borderId="17" applyNumberFormat="0" applyFont="0" applyAlignment="0" applyProtection="0"/>
    <xf numFmtId="0" fontId="53" fillId="15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8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10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3" borderId="0"/>
    <xf numFmtId="200" fontId="74" fillId="0" borderId="23">
      <alignment horizontal="center"/>
    </xf>
    <xf numFmtId="0" fontId="75" fillId="44" borderId="6">
      <alignment horizontal="center" vertical="center"/>
    </xf>
    <xf numFmtId="0" fontId="19" fillId="45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6" borderId="0"/>
    <xf numFmtId="0" fontId="19" fillId="39" borderId="24" applyNumberFormat="0" applyFont="0" applyAlignment="0"/>
    <xf numFmtId="0" fontId="81" fillId="8" borderId="25" applyNumberFormat="0"/>
    <xf numFmtId="0" fontId="82" fillId="47" borderId="0"/>
    <xf numFmtId="0" fontId="83" fillId="47" borderId="0" applyNumberFormat="0"/>
    <xf numFmtId="0" fontId="84" fillId="47" borderId="0"/>
    <xf numFmtId="0" fontId="85" fillId="48" borderId="6" applyNumberFormat="0">
      <alignment horizontal="center" vertical="center"/>
    </xf>
    <xf numFmtId="0" fontId="86" fillId="49" borderId="11" applyNumberFormat="0" applyAlignment="0">
      <alignment horizontal="right"/>
    </xf>
    <xf numFmtId="0" fontId="21" fillId="39" borderId="24" applyNumberFormat="0" applyAlignment="0"/>
    <xf numFmtId="0" fontId="74" fillId="0" borderId="0" applyNumberFormat="0" applyFill="0" applyBorder="0"/>
    <xf numFmtId="0" fontId="87" fillId="50" borderId="24" applyNumberFormat="0">
      <protection locked="0"/>
    </xf>
  </cellStyleXfs>
  <cellXfs count="19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6" borderId="0" xfId="0" applyFont="1" applyFill="1" applyBorder="1"/>
    <xf numFmtId="0" fontId="3" fillId="7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9" borderId="0" xfId="0" applyFont="1" applyFill="1" applyBorder="1" applyAlignment="1">
      <alignment horizontal="left" vertical="center"/>
    </xf>
    <xf numFmtId="0" fontId="68" fillId="39" borderId="0" xfId="0" applyFont="1" applyFill="1" applyBorder="1" applyAlignment="1">
      <alignment horizontal="left" indent="9"/>
    </xf>
    <xf numFmtId="0" fontId="69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0" fillId="39" borderId="0" xfId="0" applyNumberFormat="1" applyFont="1" applyFill="1" applyBorder="1" applyAlignment="1">
      <alignment horizontal="center"/>
    </xf>
    <xf numFmtId="0" fontId="70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1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1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40" borderId="4" xfId="0" applyFont="1" applyFill="1" applyBorder="1"/>
    <xf numFmtId="165" fontId="3" fillId="42" borderId="3" xfId="0" applyNumberFormat="1" applyFont="1" applyFill="1" applyBorder="1" applyAlignment="1" applyProtection="1">
      <alignment horizontal="center"/>
      <protection locked="0"/>
    </xf>
    <xf numFmtId="0" fontId="70" fillId="39" borderId="0" xfId="0" applyFont="1" applyFill="1" applyBorder="1" applyAlignment="1">
      <alignment horizontal="left"/>
    </xf>
    <xf numFmtId="0" fontId="70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1" borderId="0" xfId="0" applyFont="1" applyFill="1" applyBorder="1" applyAlignment="1">
      <alignment horizontal="center"/>
    </xf>
    <xf numFmtId="10" fontId="3" fillId="42" borderId="3" xfId="2" applyNumberFormat="1" applyFont="1" applyFill="1" applyBorder="1" applyAlignment="1" applyProtection="1">
      <alignment horizontal="center"/>
      <protection locked="0"/>
    </xf>
    <xf numFmtId="49" fontId="3" fillId="42" borderId="3" xfId="0" applyNumberFormat="1" applyFont="1" applyFill="1" applyBorder="1" applyAlignment="1" applyProtection="1">
      <alignment horizontal="left" indent="1"/>
      <protection locked="0"/>
    </xf>
    <xf numFmtId="1" fontId="3" fillId="42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2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1" borderId="9" xfId="0" applyNumberFormat="1" applyFont="1" applyFill="1" applyBorder="1" applyAlignment="1" applyProtection="1">
      <alignment horizontal="center"/>
      <protection locked="0"/>
    </xf>
    <xf numFmtId="194" fontId="3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8" fillId="39" borderId="0" xfId="0" applyFont="1" applyFill="1" applyBorder="1" applyAlignment="1" applyProtection="1">
      <alignment horizontal="left" vertical="center"/>
    </xf>
    <xf numFmtId="0" fontId="68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3" fillId="41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7" borderId="0" xfId="0" applyFont="1" applyFill="1" applyBorder="1" applyProtection="1"/>
    <xf numFmtId="43" fontId="20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0" fillId="39" borderId="1" xfId="0" applyFont="1" applyFill="1" applyBorder="1" applyAlignment="1" applyProtection="1">
      <alignment horizontal="left"/>
    </xf>
    <xf numFmtId="0" fontId="70" fillId="39" borderId="1" xfId="0" applyFont="1" applyFill="1" applyBorder="1" applyAlignment="1" applyProtection="1">
      <alignment horizontal="left" indent="9"/>
    </xf>
    <xf numFmtId="0" fontId="20" fillId="39" borderId="2" xfId="0" applyNumberFormat="1" applyFont="1" applyFill="1" applyBorder="1" applyProtection="1"/>
    <xf numFmtId="0" fontId="20" fillId="39" borderId="2" xfId="0" applyFont="1" applyFill="1" applyBorder="1" applyProtection="1"/>
    <xf numFmtId="0" fontId="71" fillId="39" borderId="2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Protection="1"/>
    <xf numFmtId="0" fontId="71" fillId="40" borderId="4" xfId="0" applyFont="1" applyFill="1" applyBorder="1" applyProtection="1"/>
    <xf numFmtId="0" fontId="71" fillId="40" borderId="4" xfId="0" applyFont="1" applyFill="1" applyBorder="1" applyAlignment="1" applyProtection="1">
      <alignment horizontal="center"/>
    </xf>
    <xf numFmtId="0" fontId="16" fillId="40" borderId="4" xfId="0" applyFont="1" applyFill="1" applyBorder="1" applyAlignment="1" applyProtection="1">
      <alignment horizontal="center" vertical="center"/>
    </xf>
    <xf numFmtId="0" fontId="16" fillId="40" borderId="4" xfId="0" applyFont="1" applyFill="1" applyBorder="1" applyAlignment="1" applyProtection="1">
      <alignment vertical="center"/>
    </xf>
    <xf numFmtId="0" fontId="71" fillId="40" borderId="4" xfId="0" applyFont="1" applyFill="1" applyBorder="1" applyAlignment="1" applyProtection="1">
      <alignment wrapText="1"/>
    </xf>
    <xf numFmtId="44" fontId="16" fillId="40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40" borderId="4" xfId="0" applyFill="1" applyBorder="1" applyProtection="1"/>
    <xf numFmtId="0" fontId="20" fillId="40" borderId="4" xfId="0" applyFont="1" applyFill="1" applyBorder="1" applyProtection="1"/>
    <xf numFmtId="0" fontId="21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1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2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9" borderId="2" xfId="0" applyNumberFormat="1" applyFont="1" applyFill="1" applyBorder="1" applyProtection="1"/>
    <xf numFmtId="0" fontId="7" fillId="39" borderId="2" xfId="0" applyFont="1" applyFill="1" applyBorder="1" applyProtection="1"/>
    <xf numFmtId="0" fontId="8" fillId="39" borderId="2" xfId="0" applyNumberFormat="1" applyFont="1" applyFill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9" borderId="3" xfId="0" applyNumberFormat="1" applyFont="1" applyFill="1" applyBorder="1" applyAlignment="1" applyProtection="1">
      <alignment horizontal="left" indent="1"/>
    </xf>
    <xf numFmtId="0" fontId="72" fillId="40" borderId="4" xfId="0" applyFont="1" applyFill="1" applyBorder="1" applyAlignment="1" applyProtection="1"/>
    <xf numFmtId="194" fontId="4" fillId="42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1" fontId="5" fillId="0" borderId="0" xfId="0" applyNumberFormat="1" applyFont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  <xf numFmtId="202" fontId="3" fillId="42" borderId="3" xfId="0" applyNumberFormat="1" applyFont="1" applyFill="1" applyBorder="1" applyAlignment="1" applyProtection="1">
      <alignment horizontal="center"/>
      <protection locked="0"/>
    </xf>
    <xf numFmtId="1" fontId="3" fillId="42" borderId="3" xfId="0" applyNumberFormat="1" applyFont="1" applyFill="1" applyBorder="1" applyAlignment="1" applyProtection="1">
      <alignment horizontal="center"/>
      <protection locked="0"/>
    </xf>
    <xf numFmtId="203" fontId="71" fillId="40" borderId="4" xfId="0" applyNumberFormat="1" applyFont="1" applyFill="1" applyBorder="1" applyAlignment="1" applyProtection="1">
      <alignment horizontal="center" wrapText="1"/>
    </xf>
    <xf numFmtId="203" fontId="88" fillId="39" borderId="2" xfId="0" applyNumberFormat="1" applyFont="1" applyFill="1" applyBorder="1" applyAlignment="1" applyProtection="1">
      <alignment horizontal="center"/>
    </xf>
    <xf numFmtId="203" fontId="71" fillId="39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2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4" fontId="11" fillId="0" borderId="0" xfId="3" applyNumberFormat="1" applyAlignment="1" applyProtection="1">
      <alignment horizontal="center"/>
    </xf>
    <xf numFmtId="10" fontId="3" fillId="42" borderId="26" xfId="2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Alignment="1" applyProtection="1">
      <alignment horizontal="center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3" fontId="3" fillId="42" borderId="3" xfId="2" applyNumberFormat="1" applyFont="1" applyFill="1" applyBorder="1" applyAlignment="1" applyProtection="1">
      <alignment horizontal="center"/>
      <protection locked="0"/>
    </xf>
    <xf numFmtId="0" fontId="71" fillId="39" borderId="27" xfId="0" applyNumberFormat="1" applyFont="1" applyFill="1" applyBorder="1" applyAlignment="1" applyProtection="1"/>
    <xf numFmtId="203" fontId="16" fillId="41" borderId="9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</xf>
    <xf numFmtId="180" fontId="3" fillId="0" borderId="0" xfId="2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205" fontId="3" fillId="0" borderId="0" xfId="0" applyNumberFormat="1" applyFont="1" applyProtection="1">
      <protection locked="0"/>
    </xf>
    <xf numFmtId="0" fontId="11" fillId="39" borderId="0" xfId="3" applyFill="1" applyBorder="1" applyAlignment="1">
      <alignment horizontal="right"/>
    </xf>
    <xf numFmtId="193" fontId="3" fillId="0" borderId="0" xfId="0" applyNumberFormat="1" applyFont="1" applyProtection="1">
      <protection locked="0"/>
    </xf>
    <xf numFmtId="203" fontId="3" fillId="42" borderId="22" xfId="2" applyNumberFormat="1" applyFont="1" applyFill="1" applyBorder="1" applyAlignment="1" applyProtection="1">
      <alignment horizontal="center"/>
      <protection locked="0"/>
    </xf>
    <xf numFmtId="0" fontId="3" fillId="42" borderId="3" xfId="0" applyNumberFormat="1" applyFont="1" applyFill="1" applyBorder="1" applyAlignment="1" applyProtection="1">
      <alignment horizontal="left" indent="1"/>
      <protection locked="0"/>
    </xf>
    <xf numFmtId="191" fontId="89" fillId="51" borderId="3" xfId="0" applyNumberFormat="1" applyFont="1" applyFill="1" applyBorder="1" applyAlignment="1" applyProtection="1">
      <alignment horizontal="center"/>
      <protection locked="0"/>
    </xf>
    <xf numFmtId="0" fontId="71" fillId="39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7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106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69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67</v>
      </c>
      <c r="D7" s="7" t="s">
        <v>68</v>
      </c>
    </row>
    <row r="8" spans="1:47">
      <c r="C8" s="19" t="s">
        <v>35</v>
      </c>
      <c r="D8" s="7" t="s">
        <v>108</v>
      </c>
    </row>
    <row r="9" spans="1:47">
      <c r="C9" s="19" t="s">
        <v>62</v>
      </c>
      <c r="D9" s="7" t="s">
        <v>63</v>
      </c>
    </row>
    <row r="10" spans="1:47">
      <c r="C10" s="19" t="s">
        <v>61</v>
      </c>
      <c r="D10" s="7" t="s">
        <v>51</v>
      </c>
    </row>
    <row r="11" spans="1:47">
      <c r="C11" s="19" t="s">
        <v>66</v>
      </c>
      <c r="D11" s="7" t="s">
        <v>52</v>
      </c>
    </row>
    <row r="12" spans="1:47">
      <c r="C12" s="19" t="s">
        <v>57</v>
      </c>
      <c r="D12" s="7" t="s">
        <v>53</v>
      </c>
    </row>
    <row r="13" spans="1:47">
      <c r="C13" s="19" t="s">
        <v>56</v>
      </c>
      <c r="D13" s="7" t="s">
        <v>64</v>
      </c>
    </row>
    <row r="14" spans="1:47">
      <c r="C14" s="19" t="s">
        <v>55</v>
      </c>
      <c r="D14" s="7" t="s">
        <v>65</v>
      </c>
    </row>
    <row r="15" spans="1:47">
      <c r="C15" s="19" t="s">
        <v>25</v>
      </c>
      <c r="D15" s="7" t="s">
        <v>54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U1" sqref="U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7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90</v>
      </c>
      <c r="S1" s="78" t="str">
        <f>IF(COUNTA($S$5:$S$15)=COUNTIF($S5:$S16,"OK"),"OK","Check")</f>
        <v>OK</v>
      </c>
      <c r="U1" s="190" t="s">
        <v>24</v>
      </c>
      <c r="V1" s="78" t="str">
        <f>'Check|List'!$S$1</f>
        <v>Ok</v>
      </c>
    </row>
    <row r="2" spans="1:47" s="79" customFormat="1" ht="13.5" thickBot="1">
      <c r="B2" s="80" t="str">
        <f>Index!$C$7</f>
        <v>Input | General</v>
      </c>
      <c r="C2" s="80"/>
      <c r="D2" s="80"/>
      <c r="E2" s="80"/>
      <c r="F2" s="81"/>
      <c r="G2" s="81"/>
      <c r="H2" s="81"/>
      <c r="I2" s="81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6" customFormat="1" ht="12.75">
      <c r="A4" s="97"/>
      <c r="B4" s="98" t="s">
        <v>104</v>
      </c>
      <c r="C4" s="97"/>
      <c r="D4" s="97"/>
      <c r="E4" s="97"/>
      <c r="F4" s="99"/>
      <c r="G4" s="99"/>
      <c r="H4" s="99"/>
      <c r="I4" s="99"/>
      <c r="J4" s="100"/>
      <c r="K4" s="101"/>
      <c r="L4" s="100"/>
      <c r="M4" s="101"/>
      <c r="N4" s="100"/>
      <c r="O4" s="100"/>
      <c r="P4" s="100"/>
      <c r="Q4" s="100"/>
      <c r="R4" s="100"/>
      <c r="S4" s="100"/>
      <c r="T4" s="100"/>
      <c r="U4" s="100"/>
      <c r="V4" s="101"/>
      <c r="W4" s="101"/>
      <c r="X4" s="102"/>
      <c r="Y4" s="102"/>
      <c r="Z4" s="102"/>
      <c r="AA4" s="102"/>
      <c r="AB4" s="103"/>
      <c r="AC4" s="104"/>
      <c r="AD4" s="104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</row>
    <row r="5" spans="1:47"/>
    <row r="6" spans="1:47">
      <c r="C6" s="31" t="s">
        <v>105</v>
      </c>
      <c r="D6" s="32" t="s">
        <v>7</v>
      </c>
      <c r="E6" s="32"/>
      <c r="F6" s="33"/>
      <c r="G6" s="33" t="s">
        <v>75</v>
      </c>
      <c r="H6" s="33"/>
      <c r="I6" s="29"/>
    </row>
    <row r="7" spans="1:47">
      <c r="C7" s="29" t="s">
        <v>70</v>
      </c>
      <c r="D7" s="30" t="s">
        <v>76</v>
      </c>
      <c r="E7" s="29"/>
      <c r="F7" s="29"/>
      <c r="G7" s="52" t="s">
        <v>155</v>
      </c>
      <c r="H7" s="29"/>
      <c r="I7" s="29"/>
      <c r="S7" s="134" t="str">
        <f>IF(COUNTBLANK($G7),"Check","Ok")</f>
        <v>Ok</v>
      </c>
    </row>
    <row r="8" spans="1:47">
      <c r="C8" s="29" t="s">
        <v>154</v>
      </c>
      <c r="D8" s="30" t="s">
        <v>77</v>
      </c>
      <c r="E8" s="29"/>
      <c r="F8" s="29"/>
      <c r="G8" s="52" t="s">
        <v>156</v>
      </c>
      <c r="H8" s="29"/>
      <c r="I8" s="29"/>
      <c r="S8" s="134" t="str">
        <f>IF(COUNTBLANK($G8),"Check","Ok")</f>
        <v>Ok</v>
      </c>
    </row>
    <row r="9" spans="1:47">
      <c r="C9" s="29" t="s">
        <v>138</v>
      </c>
      <c r="D9" s="30" t="s">
        <v>76</v>
      </c>
      <c r="E9" s="29"/>
      <c r="F9" s="29"/>
      <c r="G9" s="158">
        <v>36861</v>
      </c>
      <c r="H9" s="29"/>
      <c r="I9" s="29"/>
      <c r="S9" s="134" t="str">
        <f>IF(COUNTBLANK($G9),"Check","Ok")</f>
        <v>Ok</v>
      </c>
    </row>
    <row r="10" spans="1:47">
      <c r="C10" s="29" t="s">
        <v>71</v>
      </c>
      <c r="D10" s="30" t="s">
        <v>76</v>
      </c>
      <c r="E10" s="29"/>
      <c r="F10" s="29"/>
      <c r="G10" s="159">
        <v>2013</v>
      </c>
      <c r="H10" s="29"/>
      <c r="I10" s="29"/>
      <c r="S10" s="134" t="str">
        <f t="shared" ref="S10:S14" si="0">IF(COUNTBLANK($G10),"Check","Ok")</f>
        <v>Ok</v>
      </c>
    </row>
    <row r="11" spans="1:47">
      <c r="C11" s="29" t="s">
        <v>79</v>
      </c>
      <c r="D11" s="30" t="s">
        <v>76</v>
      </c>
      <c r="E11" s="29"/>
      <c r="F11" s="29"/>
      <c r="G11" s="159">
        <v>2016</v>
      </c>
      <c r="H11" s="29"/>
      <c r="I11" s="29"/>
      <c r="S11" s="134" t="str">
        <f t="shared" si="0"/>
        <v>Ok</v>
      </c>
    </row>
    <row r="12" spans="1:47">
      <c r="C12" s="29" t="s">
        <v>72</v>
      </c>
      <c r="D12" s="30" t="s">
        <v>76</v>
      </c>
      <c r="E12" s="29"/>
      <c r="F12" s="29"/>
      <c r="G12" s="159">
        <v>2017</v>
      </c>
      <c r="H12" s="29"/>
      <c r="I12" s="29"/>
      <c r="S12" s="134" t="str">
        <f t="shared" si="0"/>
        <v>Ok</v>
      </c>
    </row>
    <row r="13" spans="1:47">
      <c r="C13" s="29" t="s">
        <v>73</v>
      </c>
      <c r="D13" s="30" t="s">
        <v>76</v>
      </c>
      <c r="E13" s="29"/>
      <c r="F13" s="29"/>
      <c r="G13" s="159">
        <v>2018</v>
      </c>
      <c r="H13" s="29"/>
      <c r="I13" s="29"/>
      <c r="S13" s="134" t="str">
        <f t="shared" si="0"/>
        <v>Ok</v>
      </c>
    </row>
    <row r="14" spans="1:47">
      <c r="C14" s="29" t="s">
        <v>74</v>
      </c>
      <c r="D14" s="30" t="s">
        <v>76</v>
      </c>
      <c r="E14" s="29"/>
      <c r="F14" s="29"/>
      <c r="G14" s="159">
        <v>2022</v>
      </c>
      <c r="H14" s="29"/>
      <c r="I14" s="29"/>
      <c r="S14" s="134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6" customFormat="1" ht="12.75">
      <c r="A16" s="97"/>
      <c r="B16" s="98" t="s">
        <v>21</v>
      </c>
      <c r="C16" s="97"/>
      <c r="D16" s="97"/>
      <c r="E16" s="97"/>
      <c r="F16" s="99"/>
      <c r="G16" s="99"/>
      <c r="H16" s="99"/>
      <c r="I16" s="99"/>
      <c r="J16" s="100"/>
      <c r="K16" s="101"/>
      <c r="L16" s="100"/>
      <c r="M16" s="101"/>
      <c r="N16" s="100"/>
      <c r="O16" s="100"/>
      <c r="P16" s="100"/>
      <c r="Q16" s="100"/>
      <c r="R16" s="100"/>
      <c r="S16" s="100"/>
      <c r="T16" s="100"/>
      <c r="U16" s="100"/>
      <c r="V16" s="101"/>
      <c r="W16" s="101"/>
      <c r="X16" s="102"/>
      <c r="Y16" s="102"/>
      <c r="Z16" s="102"/>
      <c r="AA16" s="102"/>
      <c r="AB16" s="103"/>
      <c r="AC16" s="104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172" priority="13" operator="equal">
      <formula>"Check"</formula>
    </cfRule>
    <cfRule type="cellIs" dxfId="171" priority="14" operator="equal">
      <formula>"Ok"</formula>
    </cfRule>
  </conditionalFormatting>
  <conditionalFormatting sqref="V1">
    <cfRule type="cellIs" dxfId="170" priority="3" operator="equal">
      <formula>"Check"</formula>
    </cfRule>
    <cfRule type="cellIs" dxfId="169" priority="4" operator="equal">
      <formula>"Ok"</formula>
    </cfRule>
  </conditionalFormatting>
  <conditionalFormatting sqref="S7:S14">
    <cfRule type="cellIs" dxfId="168" priority="5" operator="equal">
      <formula>"Check"</formula>
    </cfRule>
    <cfRule type="cellIs" dxfId="167" priority="6" operator="equal">
      <formula>"Ok"</formula>
    </cfRule>
  </conditionalFormatting>
  <conditionalFormatting sqref="S1">
    <cfRule type="cellIs" dxfId="166" priority="1" operator="equal">
      <formula>"Check"</formula>
    </cfRule>
    <cfRule type="cellIs" dxfId="165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'Lookup|Tables'!$G$42:$G$61</xm:f>
          </x14:formula1>
          <xm:sqref>G10:G14</xm:sqref>
        </x14:dataValidation>
        <x14:dataValidation type="list" allowBlank="1" showInputMessage="1" showErrorMessage="1">
          <x14:formula1>
            <xm:f>'Lookup|Tables'!$G$25:$G$36</xm:f>
          </x14:formula1>
          <xm:sqref>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workbookViewId="0">
      <selection activeCell="V1" sqref="V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71" customFormat="1" ht="15.75">
      <c r="B1" s="72" t="str">
        <f>Index!$B$1</f>
        <v>AER opex model</v>
      </c>
      <c r="C1" s="72"/>
      <c r="D1" s="72"/>
      <c r="E1" s="72"/>
      <c r="F1" s="72"/>
      <c r="G1" s="73"/>
      <c r="H1" s="73"/>
      <c r="I1" s="73"/>
      <c r="J1" s="73"/>
      <c r="K1" s="37" t="s">
        <v>2</v>
      </c>
      <c r="M1" s="74" t="s">
        <v>3</v>
      </c>
      <c r="N1" s="75" t="s">
        <v>4</v>
      </c>
      <c r="O1" s="76" t="s">
        <v>5</v>
      </c>
      <c r="P1" s="77" t="s">
        <v>6</v>
      </c>
      <c r="S1" s="74" t="s">
        <v>90</v>
      </c>
      <c r="T1" s="78" t="str">
        <f>IF(COUNTA($T$5:$T$65)=COUNTIF($T5:$T66,"OK"),"OK","Check")</f>
        <v>OK</v>
      </c>
      <c r="V1" s="190" t="s">
        <v>24</v>
      </c>
      <c r="W1" s="78" t="str">
        <f>'Check|List'!$S$1</f>
        <v>Ok</v>
      </c>
    </row>
    <row r="2" spans="1:48" s="79" customFormat="1" ht="13.5" thickBot="1">
      <c r="B2" s="80" t="str">
        <f>Index!$C$7</f>
        <v>Input | General</v>
      </c>
      <c r="C2" s="80"/>
      <c r="D2" s="80"/>
      <c r="E2" s="80"/>
      <c r="F2" s="80"/>
      <c r="G2" s="81"/>
      <c r="H2" s="81"/>
      <c r="I2" s="81"/>
      <c r="J2" s="81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6" customFormat="1" ht="12.75">
      <c r="A4" s="97"/>
      <c r="B4" s="98" t="s">
        <v>104</v>
      </c>
      <c r="C4" s="97"/>
      <c r="D4" s="97"/>
      <c r="E4" s="97"/>
      <c r="F4" s="97"/>
      <c r="G4" s="99"/>
      <c r="H4" s="99"/>
      <c r="I4" s="99"/>
      <c r="J4" s="99"/>
      <c r="K4" s="100"/>
      <c r="L4" s="101"/>
      <c r="M4" s="100"/>
      <c r="N4" s="101"/>
      <c r="O4" s="100"/>
      <c r="P4" s="100"/>
      <c r="Q4" s="100"/>
      <c r="R4" s="100"/>
      <c r="S4" s="100"/>
      <c r="T4" s="100"/>
      <c r="U4" s="100"/>
      <c r="V4" s="100"/>
      <c r="W4" s="101"/>
      <c r="X4" s="101"/>
      <c r="Y4" s="102"/>
      <c r="Z4" s="102"/>
      <c r="AA4" s="102"/>
      <c r="AB4" s="102"/>
      <c r="AC4" s="103"/>
      <c r="AD4" s="104"/>
      <c r="AE4" s="104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</row>
    <row r="5" spans="1:48" ht="11.25" customHeight="1"/>
    <row r="6" spans="1:48" ht="53.25">
      <c r="D6" s="63" t="s">
        <v>109</v>
      </c>
      <c r="E6" s="63" t="s">
        <v>152</v>
      </c>
      <c r="F6" s="63" t="s">
        <v>109</v>
      </c>
      <c r="G6" s="63" t="s">
        <v>152</v>
      </c>
      <c r="H6" s="63"/>
      <c r="I6" s="29"/>
      <c r="J6" s="29"/>
    </row>
    <row r="7" spans="1:48">
      <c r="C7" s="68" t="s">
        <v>7</v>
      </c>
      <c r="D7" s="67" t="s">
        <v>107</v>
      </c>
      <c r="E7" s="67" t="s">
        <v>30</v>
      </c>
      <c r="F7" s="67" t="s">
        <v>107</v>
      </c>
      <c r="G7" s="67" t="s">
        <v>30</v>
      </c>
      <c r="H7" s="67"/>
      <c r="I7" s="29"/>
      <c r="J7" s="29"/>
    </row>
    <row r="8" spans="1:48">
      <c r="C8" s="68" t="s">
        <v>8</v>
      </c>
      <c r="D8" s="67" t="s">
        <v>91</v>
      </c>
      <c r="E8" s="67" t="s">
        <v>16</v>
      </c>
      <c r="F8" s="67" t="s">
        <v>91</v>
      </c>
      <c r="G8" s="67" t="s">
        <v>16</v>
      </c>
      <c r="H8" s="67"/>
      <c r="I8" s="29"/>
      <c r="J8" s="29"/>
    </row>
    <row r="9" spans="1:48">
      <c r="C9" s="65">
        <v>39172</v>
      </c>
      <c r="D9" s="64">
        <v>155.6</v>
      </c>
      <c r="E9" s="29"/>
      <c r="F9" s="29"/>
      <c r="G9" s="29"/>
      <c r="H9" s="155"/>
      <c r="I9" s="29"/>
      <c r="J9" s="29"/>
      <c r="T9" s="134" t="str">
        <f>IF(C9&gt;EOMONTH(DATE('Input|General'!$G$12,MONTH('Input|General'!$G$9),1),0),"Ok",IF(ISBLANK($D9),"Check","Ok"))</f>
        <v>Ok</v>
      </c>
    </row>
    <row r="10" spans="1:48">
      <c r="C10" s="65">
        <v>39263</v>
      </c>
      <c r="D10" s="64">
        <v>157.5</v>
      </c>
      <c r="E10" s="29"/>
      <c r="F10" s="29"/>
      <c r="G10" s="29"/>
      <c r="H10" s="155"/>
      <c r="I10" s="29"/>
      <c r="J10" s="29"/>
      <c r="T10" s="134" t="str">
        <f>IF(C10&gt;EOMONTH(DATE('Input|General'!$G$12,MONTH('Input|General'!$G$9),1),0),"Ok",IF(ISBLANK($D10),"Check","Ok"))</f>
        <v>Ok</v>
      </c>
    </row>
    <row r="11" spans="1:48">
      <c r="C11" s="65">
        <v>39355</v>
      </c>
      <c r="D11" s="64">
        <v>158.6</v>
      </c>
      <c r="E11" s="29"/>
      <c r="F11" s="29"/>
      <c r="G11" s="29"/>
      <c r="H11" s="155"/>
      <c r="I11" s="29"/>
      <c r="J11" s="29"/>
      <c r="T11" s="134" t="str">
        <f>IF(C11&gt;EOMONTH(DATE('Input|General'!$G$12,MONTH('Input|General'!$G$9),1),0),"Ok",IF(ISBLANK($D11),"Check","Ok"))</f>
        <v>Ok</v>
      </c>
    </row>
    <row r="12" spans="1:48">
      <c r="C12" s="65">
        <v>39447</v>
      </c>
      <c r="D12" s="64">
        <v>160.1</v>
      </c>
      <c r="E12" s="29"/>
      <c r="F12" s="29"/>
      <c r="G12" s="66"/>
      <c r="H12" s="155"/>
      <c r="I12" s="29"/>
      <c r="J12" s="29"/>
      <c r="T12" s="134" t="str">
        <f>IF(C12&gt;EOMONTH(DATE('Input|General'!$G$12,MONTH('Input|General'!$G$9),1),0),"Ok",IF(ISBLANK($D12),"Check","Ok"))</f>
        <v>Ok</v>
      </c>
    </row>
    <row r="13" spans="1:48">
      <c r="C13" s="65">
        <v>39538</v>
      </c>
      <c r="D13" s="64">
        <v>162.19999999999999</v>
      </c>
      <c r="E13" s="120">
        <f>D13/D9-1</f>
        <v>4.2416452442159303E-2</v>
      </c>
      <c r="F13" s="29"/>
      <c r="G13" s="66"/>
      <c r="H13" s="155"/>
      <c r="I13" s="29"/>
      <c r="J13" s="29"/>
      <c r="T13" s="134" t="str">
        <f>IF(C13&gt;EOMONTH(DATE('Input|General'!$G$12,MONTH('Input|General'!$G$9),1),0),"Ok",IF(ISBLANK($D13),"Check","Ok"))</f>
        <v>Ok</v>
      </c>
    </row>
    <row r="14" spans="1:48">
      <c r="C14" s="65">
        <v>39629</v>
      </c>
      <c r="D14" s="64">
        <v>164.6</v>
      </c>
      <c r="E14" s="120">
        <f t="shared" ref="E14:E29" si="0">D14/D10-1</f>
        <v>4.5079365079365052E-2</v>
      </c>
      <c r="F14" s="29"/>
      <c r="G14" s="66"/>
      <c r="H14" s="155"/>
      <c r="I14" s="29"/>
      <c r="J14" s="29"/>
      <c r="T14" s="134" t="str">
        <f>IF(C14&gt;EOMONTH(DATE('Input|General'!$G$12,MONTH('Input|General'!$G$9),1),0),"Ok",IF(ISBLANK($D14),"Check","Ok"))</f>
        <v>Ok</v>
      </c>
    </row>
    <row r="15" spans="1:48">
      <c r="C15" s="65">
        <v>39721</v>
      </c>
      <c r="D15" s="64">
        <v>166.5</v>
      </c>
      <c r="E15" s="120">
        <f t="shared" si="0"/>
        <v>4.9810844892812067E-2</v>
      </c>
      <c r="F15" s="29"/>
      <c r="G15" s="66"/>
      <c r="H15" s="155"/>
      <c r="I15" s="29"/>
      <c r="J15" s="29"/>
      <c r="T15" s="134" t="str">
        <f>IF(C15&gt;EOMONTH(DATE('Input|General'!$G$12,MONTH('Input|General'!$G$9),1),0),"Ok",IF(ISBLANK($D15),"Check","Ok"))</f>
        <v>Ok</v>
      </c>
    </row>
    <row r="16" spans="1:48">
      <c r="C16" s="65">
        <v>39813</v>
      </c>
      <c r="D16" s="64">
        <v>166</v>
      </c>
      <c r="E16" s="120">
        <f t="shared" si="0"/>
        <v>3.6851967520299844E-2</v>
      </c>
      <c r="F16" s="29"/>
      <c r="G16" s="66"/>
      <c r="H16" s="155"/>
      <c r="I16" s="29"/>
      <c r="J16" s="29"/>
      <c r="T16" s="134" t="str">
        <f>IF(C16&gt;EOMONTH(DATE('Input|General'!$G$12,MONTH('Input|General'!$G$9),1),0),"Ok",IF(ISBLANK($D16),"Check","Ok"))</f>
        <v>Ok</v>
      </c>
    </row>
    <row r="17" spans="3:20">
      <c r="C17" s="65">
        <v>39903</v>
      </c>
      <c r="D17" s="64">
        <v>166.2</v>
      </c>
      <c r="E17" s="120">
        <f t="shared" si="0"/>
        <v>2.4660912453760897E-2</v>
      </c>
      <c r="F17" s="29"/>
      <c r="G17" s="66"/>
      <c r="H17" s="155"/>
      <c r="I17" s="29"/>
      <c r="J17" s="29"/>
      <c r="T17" s="134" t="str">
        <f>IF(C17&gt;EOMONTH(DATE('Input|General'!$G$12,MONTH('Input|General'!$G$9),1),0),"Ok",IF(ISBLANK($D17),"Check","Ok"))</f>
        <v>Ok</v>
      </c>
    </row>
    <row r="18" spans="3:20">
      <c r="C18" s="65">
        <v>39994</v>
      </c>
      <c r="D18" s="64">
        <v>167</v>
      </c>
      <c r="E18" s="120">
        <f t="shared" si="0"/>
        <v>1.4580801944106936E-2</v>
      </c>
      <c r="F18" s="29"/>
      <c r="G18" s="66"/>
      <c r="H18" s="155"/>
      <c r="I18" s="29"/>
      <c r="J18" s="29"/>
      <c r="T18" s="134" t="str">
        <f>IF(C18&gt;EOMONTH(DATE('Input|General'!$G$12,MONTH('Input|General'!$G$9),1),0),"Ok",IF(ISBLANK($D18),"Check","Ok"))</f>
        <v>Ok</v>
      </c>
    </row>
    <row r="19" spans="3:20">
      <c r="C19" s="65">
        <v>40086</v>
      </c>
      <c r="D19" s="64">
        <v>168.6</v>
      </c>
      <c r="E19" s="120">
        <f t="shared" si="0"/>
        <v>1.2612612612612484E-2</v>
      </c>
      <c r="F19" s="29"/>
      <c r="G19" s="66"/>
      <c r="H19" s="155"/>
      <c r="I19" s="29"/>
      <c r="J19" s="29"/>
      <c r="T19" s="134" t="str">
        <f>IF(C19&gt;EOMONTH(DATE('Input|General'!$G$12,MONTH('Input|General'!$G$9),1),0),"Ok",IF(ISBLANK($D19),"Check","Ok"))</f>
        <v>Ok</v>
      </c>
    </row>
    <row r="20" spans="3:20">
      <c r="C20" s="65">
        <v>40178</v>
      </c>
      <c r="D20" s="64">
        <v>169.5</v>
      </c>
      <c r="E20" s="120">
        <f t="shared" si="0"/>
        <v>2.108433734939763E-2</v>
      </c>
      <c r="F20" s="29"/>
      <c r="G20" s="66"/>
      <c r="H20" s="155"/>
      <c r="I20" s="29"/>
      <c r="J20" s="29"/>
      <c r="T20" s="134" t="str">
        <f>IF(C20&gt;EOMONTH(DATE('Input|General'!$G$12,MONTH('Input|General'!$G$9),1),0),"Ok",IF(ISBLANK($D20),"Check","Ok"))</f>
        <v>Ok</v>
      </c>
    </row>
    <row r="21" spans="3:20">
      <c r="C21" s="65">
        <v>40268</v>
      </c>
      <c r="D21" s="64">
        <v>171</v>
      </c>
      <c r="E21" s="120">
        <f t="shared" si="0"/>
        <v>2.8880866425992746E-2</v>
      </c>
      <c r="F21" s="64">
        <v>95.2</v>
      </c>
      <c r="G21" s="66"/>
      <c r="H21" s="191"/>
      <c r="I21" s="29"/>
      <c r="J21" s="29"/>
      <c r="T21" s="134" t="str">
        <f>IF(C21&gt;EOMONTH(DATE('Input|General'!$G$12,MONTH('Input|General'!$G$9),1),0),"Ok",IF(ISBLANK($F21),"Check","Ok"))</f>
        <v>Ok</v>
      </c>
    </row>
    <row r="22" spans="3:20">
      <c r="C22" s="65">
        <v>40359</v>
      </c>
      <c r="D22" s="64">
        <v>172.1</v>
      </c>
      <c r="E22" s="120">
        <f t="shared" si="0"/>
        <v>3.0538922155688653E-2</v>
      </c>
      <c r="F22" s="64">
        <v>95.8</v>
      </c>
      <c r="G22" s="66"/>
      <c r="H22" s="191"/>
      <c r="I22" s="29"/>
      <c r="J22" s="29"/>
      <c r="T22" s="134" t="str">
        <f>IF(C22&gt;EOMONTH(DATE('Input|General'!$G$12,MONTH('Input|General'!$G$9),1),0),"Ok",IF(ISBLANK($F22),"Check","Ok"))</f>
        <v>Ok</v>
      </c>
    </row>
    <row r="23" spans="3:20">
      <c r="C23" s="65">
        <v>40451</v>
      </c>
      <c r="D23" s="64">
        <v>173.3</v>
      </c>
      <c r="E23" s="120">
        <f t="shared" si="0"/>
        <v>2.7876631079478242E-2</v>
      </c>
      <c r="F23" s="64">
        <v>96.5</v>
      </c>
      <c r="G23" s="66"/>
      <c r="H23" s="191"/>
      <c r="I23" s="29"/>
      <c r="J23" s="29"/>
      <c r="T23" s="134" t="str">
        <f>IF(C23&gt;EOMONTH(DATE('Input|General'!$G$12,MONTH('Input|General'!$G$9),1),0),"Ok",IF(ISBLANK($F23),"Check","Ok"))</f>
        <v>Ok</v>
      </c>
    </row>
    <row r="24" spans="3:20">
      <c r="C24" s="65">
        <v>40543</v>
      </c>
      <c r="D24" s="64">
        <v>174</v>
      </c>
      <c r="E24" s="120">
        <f t="shared" si="0"/>
        <v>2.6548672566371723E-2</v>
      </c>
      <c r="F24" s="64">
        <v>96.9</v>
      </c>
      <c r="G24" s="66"/>
      <c r="H24" s="191"/>
      <c r="I24" s="29"/>
      <c r="J24" s="29"/>
      <c r="T24" s="134" t="str">
        <f>IF(C24&gt;EOMONTH(DATE('Input|General'!$G$12,MONTH('Input|General'!$G$9),1),0),"Ok",IF(ISBLANK($F24),"Check","Ok"))</f>
        <v>Ok</v>
      </c>
    </row>
    <row r="25" spans="3:20">
      <c r="C25" s="65">
        <v>40633</v>
      </c>
      <c r="D25" s="64">
        <v>176.7</v>
      </c>
      <c r="E25" s="120">
        <f t="shared" si="0"/>
        <v>3.3333333333333215E-2</v>
      </c>
      <c r="F25" s="64">
        <v>98.3</v>
      </c>
      <c r="G25" s="120">
        <f>IF(ISBLANK(F25),"",F25/F21-1)</f>
        <v>3.2563025210083918E-2</v>
      </c>
      <c r="H25" s="191"/>
      <c r="I25" s="29"/>
      <c r="J25" s="29"/>
      <c r="T25" s="134" t="str">
        <f>IF(C25&gt;EOMONTH(DATE('Input|General'!$G$12,MONTH('Input|General'!$G$9),1),0),"Ok",IF(ISBLANK($F25),"Check","Ok"))</f>
        <v>Ok</v>
      </c>
    </row>
    <row r="26" spans="3:20">
      <c r="C26" s="65">
        <v>40724</v>
      </c>
      <c r="D26" s="64">
        <v>178.3</v>
      </c>
      <c r="E26" s="120">
        <f t="shared" si="0"/>
        <v>3.6025566531086683E-2</v>
      </c>
      <c r="F26" s="64">
        <v>99.2</v>
      </c>
      <c r="G26" s="120">
        <f t="shared" ref="G26:G64" si="1">IF(ISBLANK(F26),"",F26/F22-1)</f>
        <v>3.5490605427975108E-2</v>
      </c>
      <c r="H26" s="191"/>
      <c r="I26" s="29"/>
      <c r="J26" s="29"/>
      <c r="T26" s="134" t="str">
        <f>IF(C26&gt;EOMONTH(DATE('Input|General'!$G$12,MONTH('Input|General'!$G$9),1),0),"Ok",IF(ISBLANK($F26),"Check","Ok"))</f>
        <v>Ok</v>
      </c>
    </row>
    <row r="27" spans="3:20">
      <c r="C27" s="65">
        <v>40816</v>
      </c>
      <c r="D27" s="64">
        <v>179.4</v>
      </c>
      <c r="E27" s="120">
        <f t="shared" si="0"/>
        <v>3.5199076745527913E-2</v>
      </c>
      <c r="F27" s="64">
        <v>99.8</v>
      </c>
      <c r="G27" s="120">
        <f t="shared" si="1"/>
        <v>3.4196891191709877E-2</v>
      </c>
      <c r="H27" s="191"/>
      <c r="I27" s="29"/>
      <c r="J27" s="29"/>
      <c r="T27" s="134" t="str">
        <f>IF(C27&gt;EOMONTH(DATE('Input|General'!$G$12,MONTH('Input|General'!$G$9),1),0),"Ok",IF(ISBLANK($F27),"Check","Ok"))</f>
        <v>Ok</v>
      </c>
    </row>
    <row r="28" spans="3:20">
      <c r="C28" s="65">
        <v>40908</v>
      </c>
      <c r="D28" s="64">
        <v>179.4</v>
      </c>
      <c r="E28" s="120">
        <f t="shared" si="0"/>
        <v>3.1034482758620641E-2</v>
      </c>
      <c r="F28" s="64">
        <v>99.8</v>
      </c>
      <c r="G28" s="120">
        <f t="shared" si="1"/>
        <v>2.9927760577915352E-2</v>
      </c>
      <c r="H28" s="191"/>
      <c r="I28" s="29"/>
      <c r="J28" s="29"/>
      <c r="T28" s="134" t="str">
        <f>IF(C28&gt;EOMONTH(DATE('Input|General'!$G$12,MONTH('Input|General'!$G$9),1),0),"Ok",IF(ISBLANK($F28),"Check","Ok"))</f>
        <v>Ok</v>
      </c>
    </row>
    <row r="29" spans="3:20">
      <c r="C29" s="65">
        <v>40999</v>
      </c>
      <c r="D29" s="64">
        <v>179.5</v>
      </c>
      <c r="E29" s="120">
        <f t="shared" si="0"/>
        <v>1.5846066779853007E-2</v>
      </c>
      <c r="F29" s="64">
        <v>99.9</v>
      </c>
      <c r="G29" s="120">
        <f t="shared" si="1"/>
        <v>1.6276703967446737E-2</v>
      </c>
      <c r="H29" s="191"/>
      <c r="I29" s="29"/>
      <c r="J29" s="29"/>
      <c r="T29" s="134" t="str">
        <f>IF(C29&gt;EOMONTH(DATE('Input|General'!$G$12,MONTH('Input|General'!$G$9),1),0),"Ok",IF(ISBLANK($F29),"Check","Ok"))</f>
        <v>Ok</v>
      </c>
    </row>
    <row r="30" spans="3:20">
      <c r="C30" s="65">
        <v>41090</v>
      </c>
      <c r="D30" s="29"/>
      <c r="E30" s="29"/>
      <c r="F30" s="64">
        <v>100.4</v>
      </c>
      <c r="G30" s="120">
        <f t="shared" si="1"/>
        <v>1.2096774193548487E-2</v>
      </c>
      <c r="H30" s="191"/>
      <c r="I30" s="29"/>
      <c r="J30" s="29"/>
      <c r="T30" s="134" t="str">
        <f>IF(C30&gt;EOMONTH(DATE('Input|General'!$G$12,MONTH('Input|General'!$G$9),1),0),"Ok",IF(ISBLANK($F30),"Check","Ok"))</f>
        <v>Ok</v>
      </c>
    </row>
    <row r="31" spans="3:20">
      <c r="C31" s="65">
        <v>41182</v>
      </c>
      <c r="D31" s="29"/>
      <c r="E31" s="29"/>
      <c r="F31" s="64">
        <v>101.8</v>
      </c>
      <c r="G31" s="120">
        <f t="shared" si="1"/>
        <v>2.0040080160320661E-2</v>
      </c>
      <c r="H31" s="191"/>
      <c r="I31" s="29"/>
      <c r="J31" s="29"/>
      <c r="T31" s="134" t="str">
        <f>IF(C31&gt;EOMONTH(DATE('Input|General'!$G$12,MONTH('Input|General'!$G$9),1),0),"Ok",IF(ISBLANK($F31),"Check","Ok"))</f>
        <v>Ok</v>
      </c>
    </row>
    <row r="32" spans="3:20">
      <c r="C32" s="65">
        <v>41274</v>
      </c>
      <c r="D32" s="29"/>
      <c r="E32" s="29"/>
      <c r="F32" s="64">
        <v>102</v>
      </c>
      <c r="G32" s="120">
        <f t="shared" si="1"/>
        <v>2.2044088176352838E-2</v>
      </c>
      <c r="H32" s="191"/>
      <c r="I32" s="29"/>
      <c r="J32" s="29"/>
      <c r="T32" s="134" t="str">
        <f>IF(C32&gt;EOMONTH(DATE('Input|General'!$G$12,MONTH('Input|General'!$G$9),1),0),"Ok",IF(ISBLANK($F32),"Check","Ok"))</f>
        <v>Ok</v>
      </c>
    </row>
    <row r="33" spans="3:20">
      <c r="C33" s="65">
        <v>41364</v>
      </c>
      <c r="D33" s="29"/>
      <c r="E33" s="29"/>
      <c r="F33" s="64">
        <v>102.4</v>
      </c>
      <c r="G33" s="120">
        <f t="shared" si="1"/>
        <v>2.5025025025025016E-2</v>
      </c>
      <c r="H33" s="191"/>
      <c r="I33" s="29"/>
      <c r="J33" s="29"/>
      <c r="T33" s="134" t="str">
        <f>IF(C33&gt;EOMONTH(DATE('Input|General'!$G$12,MONTH('Input|General'!$G$9),1),0),"Ok",IF(ISBLANK($F33),"Check","Ok"))</f>
        <v>Ok</v>
      </c>
    </row>
    <row r="34" spans="3:20">
      <c r="C34" s="65">
        <v>41455</v>
      </c>
      <c r="D34" s="29"/>
      <c r="E34" s="29"/>
      <c r="F34" s="64">
        <v>102.8</v>
      </c>
      <c r="G34" s="120">
        <f t="shared" si="1"/>
        <v>2.3904382470119501E-2</v>
      </c>
      <c r="H34" s="191"/>
      <c r="I34" s="29"/>
      <c r="J34" s="29"/>
      <c r="T34" s="134" t="str">
        <f>IF(C34&gt;EOMONTH(DATE('Input|General'!$G$12,MONTH('Input|General'!$G$9),1),0),"Ok",IF(ISBLANK($F34),"Check","Ok"))</f>
        <v>Ok</v>
      </c>
    </row>
    <row r="35" spans="3:20">
      <c r="C35" s="65">
        <v>41547</v>
      </c>
      <c r="D35" s="29"/>
      <c r="E35" s="29"/>
      <c r="F35" s="64">
        <v>104</v>
      </c>
      <c r="G35" s="120">
        <f t="shared" si="1"/>
        <v>2.16110019646365E-2</v>
      </c>
      <c r="H35" s="191"/>
      <c r="I35" s="29"/>
      <c r="J35" s="29"/>
      <c r="T35" s="134" t="str">
        <f>IF(C35&gt;EOMONTH(DATE('Input|General'!$G$12,MONTH('Input|General'!$G$9),1),0),"Ok",IF(ISBLANK($F35),"Check","Ok"))</f>
        <v>Ok</v>
      </c>
    </row>
    <row r="36" spans="3:20">
      <c r="C36" s="65">
        <v>41639</v>
      </c>
      <c r="D36" s="29"/>
      <c r="E36" s="29"/>
      <c r="F36" s="64">
        <v>104.8</v>
      </c>
      <c r="G36" s="120">
        <f t="shared" si="1"/>
        <v>2.7450980392156765E-2</v>
      </c>
      <c r="H36" s="191"/>
      <c r="I36" s="29"/>
      <c r="J36" s="29"/>
      <c r="T36" s="134" t="str">
        <f>IF(C36&gt;EOMONTH(DATE('Input|General'!$G$12,MONTH('Input|General'!$G$9),1),0),"Ok",IF(ISBLANK($F36),"Check","Ok"))</f>
        <v>Ok</v>
      </c>
    </row>
    <row r="37" spans="3:20">
      <c r="C37" s="65">
        <v>41729</v>
      </c>
      <c r="D37" s="29"/>
      <c r="E37" s="29"/>
      <c r="F37" s="64">
        <v>105.4</v>
      </c>
      <c r="G37" s="120">
        <f t="shared" si="1"/>
        <v>2.9296875E-2</v>
      </c>
      <c r="H37" s="191"/>
      <c r="I37" s="29"/>
      <c r="J37" s="29"/>
      <c r="T37" s="134" t="str">
        <f>IF(C37&gt;EOMONTH(DATE('Input|General'!$G$12,MONTH('Input|General'!$G$9),1),0),"Ok",IF(ISBLANK($F37),"Check","Ok"))</f>
        <v>Ok</v>
      </c>
    </row>
    <row r="38" spans="3:20">
      <c r="C38" s="65">
        <v>41820</v>
      </c>
      <c r="D38" s="29"/>
      <c r="E38" s="29"/>
      <c r="F38" s="64">
        <v>105.9</v>
      </c>
      <c r="G38" s="120">
        <f t="shared" si="1"/>
        <v>3.0155642023346418E-2</v>
      </c>
      <c r="H38" s="191"/>
      <c r="I38" s="29"/>
      <c r="J38" s="29"/>
      <c r="T38" s="134" t="str">
        <f>IF(C38&gt;EOMONTH(DATE('Input|General'!$G$12,MONTH('Input|General'!$G$9),1),0),"Ok",IF(ISBLANK($F38),"Check","Ok"))</f>
        <v>Ok</v>
      </c>
    </row>
    <row r="39" spans="3:20">
      <c r="C39" s="65">
        <v>41912</v>
      </c>
      <c r="D39" s="29"/>
      <c r="E39" s="29"/>
      <c r="F39" s="64">
        <v>106.4</v>
      </c>
      <c r="G39" s="120">
        <f t="shared" si="1"/>
        <v>2.3076923076923217E-2</v>
      </c>
      <c r="H39" s="191"/>
      <c r="I39" s="29"/>
      <c r="J39" s="29"/>
      <c r="T39" s="134" t="str">
        <f>IF(C39&gt;EOMONTH(DATE('Input|General'!$G$12,MONTH('Input|General'!$G$9),1),0),"Ok",IF(ISBLANK($F39),"Check","Ok"))</f>
        <v>Ok</v>
      </c>
    </row>
    <row r="40" spans="3:20">
      <c r="C40" s="65">
        <v>42004</v>
      </c>
      <c r="D40" s="29"/>
      <c r="E40" s="29"/>
      <c r="F40" s="64">
        <v>106.6</v>
      </c>
      <c r="G40" s="120">
        <f t="shared" si="1"/>
        <v>1.7175572519083859E-2</v>
      </c>
      <c r="H40" s="191"/>
      <c r="I40" s="29"/>
      <c r="J40" s="29"/>
      <c r="T40" s="134" t="str">
        <f>IF(C40&gt;EOMONTH(DATE('Input|General'!$G$12,MONTH('Input|General'!$G$9),1),0),"Ok",IF(ISBLANK($F40),"Check","Ok"))</f>
        <v>Ok</v>
      </c>
    </row>
    <row r="41" spans="3:20">
      <c r="C41" s="65">
        <v>42094</v>
      </c>
      <c r="D41" s="29"/>
      <c r="E41" s="29"/>
      <c r="F41" s="64">
        <v>106.8</v>
      </c>
      <c r="G41" s="120">
        <f t="shared" si="1"/>
        <v>1.3282732447817747E-2</v>
      </c>
      <c r="H41" s="191"/>
      <c r="I41" s="29"/>
      <c r="J41" s="29"/>
      <c r="T41" s="134" t="str">
        <f>IF(C41&gt;EOMONTH(DATE('Input|General'!$G$12,MONTH('Input|General'!$G$9),1),0),"Ok",IF(ISBLANK($F41),"Check","Ok"))</f>
        <v>Ok</v>
      </c>
    </row>
    <row r="42" spans="3:20">
      <c r="C42" s="65">
        <v>42185</v>
      </c>
      <c r="D42" s="29"/>
      <c r="E42" s="29"/>
      <c r="F42" s="64">
        <v>107.5</v>
      </c>
      <c r="G42" s="120">
        <f t="shared" si="1"/>
        <v>1.5108593012275628E-2</v>
      </c>
      <c r="H42" s="191"/>
      <c r="I42" s="29"/>
      <c r="J42" s="29"/>
      <c r="T42" s="134" t="str">
        <f>IF(C42&gt;EOMONTH(DATE('Input|General'!$G$12,MONTH('Input|General'!$G$9),1),0),"Ok",IF(ISBLANK($F42),"Check","Ok"))</f>
        <v>Ok</v>
      </c>
    </row>
    <row r="43" spans="3:20">
      <c r="C43" s="65">
        <v>42277</v>
      </c>
      <c r="D43" s="29"/>
      <c r="E43" s="29"/>
      <c r="F43" s="64">
        <v>108</v>
      </c>
      <c r="G43" s="120">
        <f t="shared" si="1"/>
        <v>1.5037593984962294E-2</v>
      </c>
      <c r="H43" s="191"/>
      <c r="I43" s="29"/>
      <c r="J43" s="29"/>
      <c r="T43" s="134" t="str">
        <f>IF(C43&gt;EOMONTH(DATE('Input|General'!$G$12,MONTH('Input|General'!$G$9),1),0),"Ok",IF(ISBLANK($F43),"Check","Ok"))</f>
        <v>Ok</v>
      </c>
    </row>
    <row r="44" spans="3:20">
      <c r="C44" s="65">
        <v>42369</v>
      </c>
      <c r="D44" s="29"/>
      <c r="E44" s="29"/>
      <c r="F44" s="64">
        <v>108.4</v>
      </c>
      <c r="G44" s="120">
        <f t="shared" si="1"/>
        <v>1.6885553470919357E-2</v>
      </c>
      <c r="H44" s="191"/>
      <c r="I44" s="29"/>
      <c r="J44" s="29"/>
      <c r="T44" s="134" t="str">
        <f>IF(C44&gt;EOMONTH(DATE('Input|General'!$G$12,MONTH('Input|General'!$G$9),1),0),"Ok",IF(ISBLANK($F44),"Check","Ok"))</f>
        <v>Ok</v>
      </c>
    </row>
    <row r="45" spans="3:20">
      <c r="C45" s="65">
        <v>42460</v>
      </c>
      <c r="D45" s="29"/>
      <c r="E45" s="29"/>
      <c r="F45" s="64">
        <v>108.2</v>
      </c>
      <c r="G45" s="120">
        <f t="shared" si="1"/>
        <v>1.3108614232209881E-2</v>
      </c>
      <c r="H45" s="191"/>
      <c r="I45" s="29"/>
      <c r="J45" s="29"/>
      <c r="T45" s="134" t="str">
        <f>IF(C45&gt;EOMONTH(DATE('Input|General'!$G$12,MONTH('Input|General'!$G$9),1),0),"Ok",IF(ISBLANK($F45),"Check","Ok"))</f>
        <v>Ok</v>
      </c>
    </row>
    <row r="46" spans="3:20">
      <c r="C46" s="65">
        <v>42551</v>
      </c>
      <c r="D46" s="29"/>
      <c r="E46" s="29"/>
      <c r="F46" s="64">
        <v>108.6</v>
      </c>
      <c r="G46" s="120">
        <f t="shared" si="1"/>
        <v>1.0232558139534831E-2</v>
      </c>
      <c r="H46" s="191"/>
      <c r="I46" s="29"/>
      <c r="J46" s="29"/>
      <c r="T46" s="134" t="str">
        <f>IF(C46&gt;EOMONTH(DATE('Input|General'!$G$12,MONTH('Input|General'!$G$9),1),0),"Ok",IF(ISBLANK($F46),"Check","Ok"))</f>
        <v>Ok</v>
      </c>
    </row>
    <row r="47" spans="3:20">
      <c r="C47" s="65">
        <v>42643</v>
      </c>
      <c r="D47" s="29"/>
      <c r="E47" s="29"/>
      <c r="F47" s="64">
        <v>109.4</v>
      </c>
      <c r="G47" s="120">
        <f t="shared" si="1"/>
        <v>1.2962962962963065E-2</v>
      </c>
      <c r="H47" s="191"/>
      <c r="I47" s="29"/>
      <c r="J47" s="29"/>
      <c r="T47" s="134" t="str">
        <f>IF(C47&gt;EOMONTH(DATE('Input|General'!$G$12,MONTH('Input|General'!$G$9),1),0),"Ok",IF(ISBLANK($F47),"Check","Ok"))</f>
        <v>Ok</v>
      </c>
    </row>
    <row r="48" spans="3:20">
      <c r="C48" s="65">
        <v>42735</v>
      </c>
      <c r="D48" s="29"/>
      <c r="E48" s="29"/>
      <c r="F48" s="64">
        <v>110</v>
      </c>
      <c r="G48" s="120">
        <f t="shared" si="1"/>
        <v>1.4760147601476037E-2</v>
      </c>
      <c r="H48" s="191"/>
      <c r="I48" s="29"/>
      <c r="J48" s="29"/>
      <c r="T48" s="134" t="str">
        <f>IF(C48&gt;EOMONTH(DATE('Input|General'!$G$12,MONTH('Input|General'!$G$9),1),0),"Ok",IF(ISBLANK($F48),"Check","Ok"))</f>
        <v>Ok</v>
      </c>
    </row>
    <row r="49" spans="3:20">
      <c r="C49" s="65">
        <v>42825</v>
      </c>
      <c r="D49" s="29"/>
      <c r="E49" s="29"/>
      <c r="F49" s="194">
        <v>110.5</v>
      </c>
      <c r="G49" s="120">
        <f t="shared" si="1"/>
        <v>2.1256931608133023E-2</v>
      </c>
      <c r="H49" s="191"/>
      <c r="I49" s="29"/>
      <c r="J49" s="29"/>
      <c r="T49" s="134" t="str">
        <f>IF(C49&gt;EOMONTH(DATE('Input|General'!$G$12,MONTH('Input|General'!$G$9),1),0),"Ok",IF(ISBLANK($F49),"Check","Ok"))</f>
        <v>Ok</v>
      </c>
    </row>
    <row r="50" spans="3:20">
      <c r="C50" s="65">
        <v>42916</v>
      </c>
      <c r="D50" s="29"/>
      <c r="E50" s="29"/>
      <c r="F50" s="194">
        <f>F46*1.02</f>
        <v>110.77199999999999</v>
      </c>
      <c r="G50" s="120">
        <f t="shared" si="1"/>
        <v>2.0000000000000018E-2</v>
      </c>
      <c r="H50" s="191" t="s">
        <v>158</v>
      </c>
      <c r="I50" s="29"/>
      <c r="J50" s="29"/>
      <c r="T50" s="134" t="str">
        <f>IF(C50&gt;EOMONTH(DATE('Input|General'!$G$12,MONTH('Input|General'!$G$9),1),0),"Ok",IF(ISBLANK($F50),"Check","Ok"))</f>
        <v>Ok</v>
      </c>
    </row>
    <row r="51" spans="3:20">
      <c r="C51" s="65">
        <v>43008</v>
      </c>
      <c r="D51" s="29"/>
      <c r="E51" s="29"/>
      <c r="F51" s="194">
        <f>AVERAGE(F50,F52)</f>
        <v>111.48599999999999</v>
      </c>
      <c r="G51" s="120">
        <f t="shared" si="1"/>
        <v>1.9067641681901115E-2</v>
      </c>
      <c r="H51" s="191" t="s">
        <v>159</v>
      </c>
      <c r="I51" s="29"/>
      <c r="J51" s="29"/>
      <c r="T51" s="134" t="str">
        <f>IF(C51&gt;EOMONTH(DATE('Input|General'!$G$12,MONTH('Input|General'!$G$9),1),0),"Ok",IF(ISBLANK($F51),"Check","Ok"))</f>
        <v>Ok</v>
      </c>
    </row>
    <row r="52" spans="3:20">
      <c r="C52" s="65">
        <v>43100</v>
      </c>
      <c r="D52" s="29"/>
      <c r="E52" s="29"/>
      <c r="F52" s="194">
        <f t="shared" ref="F52:F56" si="2">F48*1.02</f>
        <v>112.2</v>
      </c>
      <c r="G52" s="120">
        <f t="shared" si="1"/>
        <v>2.0000000000000018E-2</v>
      </c>
      <c r="H52" s="191" t="s">
        <v>158</v>
      </c>
      <c r="I52" s="29"/>
      <c r="J52" s="29"/>
      <c r="T52" s="134" t="str">
        <f>IF(C52&gt;EOMONTH(DATE('Input|General'!$G$12,MONTH('Input|General'!$G$9),1),0),"Ok",IF(ISBLANK($F52),"Check","Ok"))</f>
        <v>Ok</v>
      </c>
    </row>
    <row r="53" spans="3:20">
      <c r="C53" s="65">
        <v>43190</v>
      </c>
      <c r="D53" s="29"/>
      <c r="E53" s="29"/>
      <c r="F53" s="194">
        <f>AVERAGE(F52,F54)</f>
        <v>112.59371999999999</v>
      </c>
      <c r="G53" s="120">
        <f t="shared" si="1"/>
        <v>1.8947692307692332E-2</v>
      </c>
      <c r="H53" s="191" t="s">
        <v>159</v>
      </c>
      <c r="I53" s="29"/>
      <c r="J53" s="29"/>
      <c r="T53" s="134" t="str">
        <f>IF(C53&gt;EOMONTH(DATE('Input|General'!$G$12,MONTH('Input|General'!$G$9),1),0),"Ok",IF(ISBLANK($F53),"Check","Ok"))</f>
        <v>Ok</v>
      </c>
    </row>
    <row r="54" spans="3:20">
      <c r="C54" s="65">
        <v>43281</v>
      </c>
      <c r="D54" s="29"/>
      <c r="E54" s="29"/>
      <c r="F54" s="194">
        <f t="shared" si="2"/>
        <v>112.98743999999999</v>
      </c>
      <c r="G54" s="120">
        <f t="shared" si="1"/>
        <v>2.0000000000000018E-2</v>
      </c>
      <c r="H54" s="191" t="s">
        <v>158</v>
      </c>
      <c r="I54" s="29"/>
      <c r="J54" s="29"/>
      <c r="T54" s="134" t="str">
        <f>IF(C54&gt;EOMONTH(DATE('Input|General'!$G$12,MONTH('Input|General'!$G$9),1),0),"Ok",IF(ISBLANK($F54),"Check","Ok"))</f>
        <v>Ok</v>
      </c>
    </row>
    <row r="55" spans="3:20">
      <c r="C55" s="65">
        <v>43373</v>
      </c>
      <c r="D55" s="29"/>
      <c r="E55" s="29"/>
      <c r="F55" s="194">
        <f>AVERAGE(F54,F56)</f>
        <v>113.71572</v>
      </c>
      <c r="G55" s="120">
        <f t="shared" si="1"/>
        <v>2.000000000000024E-2</v>
      </c>
      <c r="H55" s="191" t="s">
        <v>159</v>
      </c>
      <c r="I55" s="29"/>
      <c r="J55" s="29"/>
      <c r="T55" s="134" t="str">
        <f>IF(C55&gt;EOMONTH(DATE('Input|General'!$G$12,MONTH('Input|General'!$G$9),1),0),"Ok",IF(ISBLANK($F55),"Check","Ok"))</f>
        <v>Ok</v>
      </c>
    </row>
    <row r="56" spans="3:20">
      <c r="C56" s="65">
        <v>43465</v>
      </c>
      <c r="D56" s="29"/>
      <c r="E56" s="29"/>
      <c r="F56" s="194">
        <f t="shared" si="2"/>
        <v>114.444</v>
      </c>
      <c r="G56" s="120">
        <f t="shared" si="1"/>
        <v>2.0000000000000018E-2</v>
      </c>
      <c r="H56" s="191" t="s">
        <v>158</v>
      </c>
      <c r="I56" s="29"/>
      <c r="J56" s="29"/>
      <c r="T56" s="134" t="str">
        <f>IF(C56&gt;EOMONTH(DATE('Input|General'!$G$12,MONTH('Input|General'!$G$9),1),0),"Ok",IF(ISBLANK($F56),"Check","Ok"))</f>
        <v>Ok</v>
      </c>
    </row>
    <row r="57" spans="3:20">
      <c r="C57" s="65">
        <v>43555</v>
      </c>
      <c r="D57" s="29"/>
      <c r="E57" s="29"/>
      <c r="F57" s="64"/>
      <c r="G57" s="120" t="str">
        <f t="shared" si="1"/>
        <v/>
      </c>
      <c r="H57" s="191"/>
      <c r="I57" s="29"/>
      <c r="J57" s="29"/>
      <c r="T57" s="134" t="str">
        <f>IF(C57&gt;EOMONTH(DATE('Input|General'!$G$12,MONTH('Input|General'!$G$9),1),0),"Ok",IF(ISBLANK($F57),"Check","Ok"))</f>
        <v>Ok</v>
      </c>
    </row>
    <row r="58" spans="3:20">
      <c r="C58" s="65">
        <v>43646</v>
      </c>
      <c r="D58" s="29"/>
      <c r="E58" s="29"/>
      <c r="F58" s="64"/>
      <c r="G58" s="120" t="str">
        <f t="shared" si="1"/>
        <v/>
      </c>
      <c r="H58" s="191"/>
      <c r="I58" s="29"/>
      <c r="J58" s="29"/>
      <c r="T58" s="134" t="str">
        <f>IF(C58&gt;EOMONTH(DATE('Input|General'!$G$12,MONTH('Input|General'!$G$9),1),0),"Ok",IF(ISBLANK($F58),"Check","Ok"))</f>
        <v>Ok</v>
      </c>
    </row>
    <row r="59" spans="3:20">
      <c r="C59" s="65">
        <v>43738</v>
      </c>
      <c r="D59" s="29"/>
      <c r="E59" s="29"/>
      <c r="F59" s="64"/>
      <c r="G59" s="120" t="str">
        <f t="shared" si="1"/>
        <v/>
      </c>
      <c r="H59" s="191"/>
      <c r="I59" s="29"/>
      <c r="J59" s="29"/>
      <c r="T59" s="134" t="str">
        <f>IF(C59&gt;EOMONTH(DATE('Input|General'!$G$12,MONTH('Input|General'!$G$9),1),0),"Ok",IF(ISBLANK($F59),"Check","Ok"))</f>
        <v>Ok</v>
      </c>
    </row>
    <row r="60" spans="3:20">
      <c r="C60" s="65">
        <v>43830</v>
      </c>
      <c r="D60" s="29"/>
      <c r="E60" s="29"/>
      <c r="F60" s="64"/>
      <c r="G60" s="120" t="str">
        <f t="shared" si="1"/>
        <v/>
      </c>
      <c r="H60" s="191"/>
      <c r="I60" s="29"/>
      <c r="J60" s="29"/>
      <c r="T60" s="134" t="str">
        <f>IF(C60&gt;EOMONTH(DATE('Input|General'!$G$12,MONTH('Input|General'!$G$9),1),0),"Ok",IF(ISBLANK($F60),"Check","Ok"))</f>
        <v>Ok</v>
      </c>
    </row>
    <row r="61" spans="3:20">
      <c r="C61" s="65">
        <v>43921</v>
      </c>
      <c r="D61" s="29"/>
      <c r="E61" s="29"/>
      <c r="F61" s="64"/>
      <c r="G61" s="120" t="str">
        <f t="shared" si="1"/>
        <v/>
      </c>
      <c r="H61" s="191"/>
      <c r="I61" s="29"/>
      <c r="J61" s="29"/>
      <c r="T61" s="134" t="str">
        <f>IF(C61&gt;EOMONTH(DATE('Input|General'!$G$12,MONTH('Input|General'!$G$9),1),0),"Ok",IF(ISBLANK($F61),"Check","Ok"))</f>
        <v>Ok</v>
      </c>
    </row>
    <row r="62" spans="3:20">
      <c r="C62" s="65">
        <v>44012</v>
      </c>
      <c r="D62" s="29"/>
      <c r="E62" s="29"/>
      <c r="F62" s="64"/>
      <c r="G62" s="120" t="str">
        <f t="shared" si="1"/>
        <v/>
      </c>
      <c r="H62" s="191"/>
      <c r="I62" s="29"/>
      <c r="J62" s="29"/>
      <c r="T62" s="134" t="str">
        <f>IF(C62&gt;EOMONTH(DATE('Input|General'!$G$12,MONTH('Input|General'!$G$9),1),0),"Ok",IF(ISBLANK($F62),"Check","Ok"))</f>
        <v>Ok</v>
      </c>
    </row>
    <row r="63" spans="3:20">
      <c r="C63" s="65">
        <v>44104</v>
      </c>
      <c r="D63" s="29"/>
      <c r="E63" s="29"/>
      <c r="F63" s="64"/>
      <c r="G63" s="120" t="str">
        <f t="shared" si="1"/>
        <v/>
      </c>
      <c r="H63" s="191"/>
      <c r="I63" s="29"/>
      <c r="J63" s="29"/>
      <c r="T63" s="134" t="str">
        <f>IF(C63&gt;EOMONTH(DATE('Input|General'!$G$12,MONTH('Input|General'!$G$9),1),0),"Ok",IF(ISBLANK($F63),"Check","Ok"))</f>
        <v>Ok</v>
      </c>
    </row>
    <row r="64" spans="3:20">
      <c r="C64" s="65">
        <v>44196</v>
      </c>
      <c r="D64" s="29"/>
      <c r="E64" s="29"/>
      <c r="F64" s="64"/>
      <c r="G64" s="120" t="str">
        <f t="shared" si="1"/>
        <v/>
      </c>
      <c r="H64" s="191"/>
      <c r="I64" s="29"/>
      <c r="J64" s="29"/>
      <c r="T64" s="134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155"/>
      <c r="I65" s="29"/>
      <c r="J65" s="29"/>
      <c r="T65" s="135"/>
    </row>
    <row r="66" spans="1:48" s="106" customFormat="1" ht="12.75">
      <c r="A66" s="97"/>
      <c r="B66" s="98" t="s">
        <v>21</v>
      </c>
      <c r="C66" s="97"/>
      <c r="D66" s="97"/>
      <c r="E66" s="97"/>
      <c r="F66" s="97"/>
      <c r="G66" s="99"/>
      <c r="H66" s="99"/>
      <c r="I66" s="99"/>
      <c r="J66" s="99"/>
      <c r="K66" s="100"/>
      <c r="L66" s="101"/>
      <c r="M66" s="100"/>
      <c r="N66" s="101"/>
      <c r="O66" s="100"/>
      <c r="P66" s="100"/>
      <c r="Q66" s="100"/>
      <c r="R66" s="100"/>
      <c r="S66" s="100"/>
      <c r="T66" s="100"/>
      <c r="U66" s="100"/>
      <c r="V66" s="100"/>
      <c r="W66" s="101"/>
      <c r="X66" s="101"/>
      <c r="Y66" s="102"/>
      <c r="Z66" s="102"/>
      <c r="AA66" s="102"/>
      <c r="AB66" s="102"/>
      <c r="AC66" s="103"/>
      <c r="AD66" s="104"/>
      <c r="AE66" s="104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64" priority="11" operator="equal">
      <formula>"Check"</formula>
    </cfRule>
    <cfRule type="cellIs" dxfId="163" priority="12" operator="equal">
      <formula>"Ok"</formula>
    </cfRule>
  </conditionalFormatting>
  <conditionalFormatting sqref="W1">
    <cfRule type="cellIs" dxfId="162" priority="7" operator="equal">
      <formula>"Check"</formula>
    </cfRule>
    <cfRule type="cellIs" dxfId="161" priority="8" operator="equal">
      <formula>"Ok"</formula>
    </cfRule>
  </conditionalFormatting>
  <conditionalFormatting sqref="T1">
    <cfRule type="cellIs" dxfId="160" priority="5" operator="equal">
      <formula>"Check"</formula>
    </cfRule>
    <cfRule type="cellIs" dxfId="159" priority="6" operator="equal">
      <formula>"Ok"</formula>
    </cfRule>
  </conditionalFormatting>
  <conditionalFormatting sqref="X51:X57">
    <cfRule type="cellIs" dxfId="158" priority="3" operator="equal">
      <formula>"Check"</formula>
    </cfRule>
    <cfRule type="cellIs" dxfId="157" priority="4" operator="equal">
      <formula>"Ok"</formula>
    </cfRule>
  </conditionalFormatting>
  <conditionalFormatting sqref="X58:X62 T9:T64">
    <cfRule type="cellIs" dxfId="156" priority="1" operator="equal">
      <formula>"Check"</formula>
    </cfRule>
    <cfRule type="cellIs" dxfId="155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59"/>
  <sheetViews>
    <sheetView workbookViewId="0">
      <selection activeCell="U1" sqref="U1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3" width="10.83203125" customWidth="1"/>
    <col min="24" max="16384" width="9.33203125" hidden="1"/>
  </cols>
  <sheetData>
    <row r="1" spans="1:23" ht="15.75">
      <c r="A1" s="71"/>
      <c r="B1" s="72"/>
      <c r="C1" s="72" t="str">
        <f>Index!$B$1</f>
        <v>AER opex model</v>
      </c>
      <c r="D1" s="72"/>
      <c r="E1" s="72"/>
      <c r="F1" s="73"/>
      <c r="G1" s="73"/>
      <c r="H1" s="73"/>
      <c r="I1" s="73"/>
      <c r="J1" s="37" t="s">
        <v>2</v>
      </c>
      <c r="K1" s="71"/>
      <c r="L1" s="74" t="s">
        <v>3</v>
      </c>
      <c r="M1" s="75" t="s">
        <v>4</v>
      </c>
      <c r="N1" s="76" t="s">
        <v>5</v>
      </c>
      <c r="O1" s="77" t="s">
        <v>6</v>
      </c>
      <c r="P1" s="71"/>
      <c r="Q1" s="71"/>
      <c r="R1" s="74" t="s">
        <v>90</v>
      </c>
      <c r="S1" s="78" t="str">
        <f>IF(COUNTA($W$32:$W$252)=COUNTIF($W$32:$W$252,"OK"),"OK","Check")</f>
        <v>OK</v>
      </c>
      <c r="T1" s="71"/>
      <c r="U1" s="190" t="s">
        <v>24</v>
      </c>
      <c r="V1" s="78" t="str">
        <f>'Check|List'!$S$1</f>
        <v>Ok</v>
      </c>
      <c r="W1" s="71"/>
    </row>
    <row r="2" spans="1:23" ht="13.5" thickBot="1">
      <c r="A2" s="79"/>
      <c r="B2" s="80"/>
      <c r="C2" s="80" t="str">
        <f>Index!$C$9</f>
        <v>Input | Reported opex</v>
      </c>
      <c r="D2" s="80"/>
      <c r="E2" s="80"/>
      <c r="F2" s="81"/>
      <c r="G2" s="81"/>
      <c r="H2" s="81"/>
      <c r="I2" s="81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>
      <c r="A3" s="136"/>
      <c r="B3" s="136"/>
      <c r="C3" s="137"/>
      <c r="D3" s="138"/>
      <c r="E3" s="138"/>
      <c r="F3" s="138"/>
      <c r="G3" s="138"/>
      <c r="H3" s="138"/>
      <c r="I3" s="138"/>
      <c r="J3" s="162" t="s">
        <v>138</v>
      </c>
      <c r="K3" s="161"/>
      <c r="L3" s="161"/>
      <c r="M3" s="161"/>
      <c r="N3" s="161"/>
      <c r="O3" s="161"/>
      <c r="P3" s="161"/>
      <c r="Q3" s="161"/>
      <c r="R3" s="161"/>
      <c r="S3" s="161"/>
      <c r="T3" s="139"/>
      <c r="U3" s="139"/>
      <c r="V3" s="139"/>
      <c r="W3" s="139"/>
    </row>
    <row r="4" spans="1:23">
      <c r="A4" s="86"/>
      <c r="B4" s="86"/>
      <c r="C4" s="86"/>
      <c r="D4" s="87" t="s">
        <v>7</v>
      </c>
      <c r="E4" s="87" t="s">
        <v>8</v>
      </c>
      <c r="F4" s="88" t="s">
        <v>22</v>
      </c>
      <c r="G4" s="89"/>
      <c r="H4" s="89"/>
      <c r="I4" s="89"/>
      <c r="J4" s="160">
        <f>DATE('Input|General'!$G$10,MONTH('Input|General'!$G$9),1)</f>
        <v>41609</v>
      </c>
      <c r="K4" s="160">
        <f>IF(DATE('Input|General'!$G$10+1,MONTH('Input|General'!$G$9),1)&lt;=DATE('Input|General'!$G$14,MONTH('Input|General'!$G$9),1),DATE('Input|General'!$G$10+1,MONTH('Input|General'!$G$9),1),"")</f>
        <v>41974</v>
      </c>
      <c r="L4" s="160">
        <f>IF(DATE('Input|General'!$G$10+2,MONTH('Input|General'!$G$9),1)&lt;=DATE('Input|General'!$G$14,MONTH('Input|General'!$G$9),1),DATE('Input|General'!$G$10+2,MONTH('Input|General'!$G$9),1),"")</f>
        <v>42339</v>
      </c>
      <c r="M4" s="160">
        <f>IF(DATE('Input|General'!$G$10+3,MONTH('Input|General'!$G$9),1)&lt;=DATE('Input|General'!$G$14,MONTH('Input|General'!$G$9),1),DATE('Input|General'!$G$10+3,MONTH('Input|General'!$G$9),1),"")</f>
        <v>42705</v>
      </c>
      <c r="N4" s="160">
        <f>IF(DATE('Input|General'!$G$10+4,MONTH('Input|General'!$G$9),1)&lt;=DATE('Input|General'!$G$14,MONTH('Input|General'!$G$9),1),DATE('Input|General'!$G$10+4,MONTH('Input|General'!$G$9),1),"")</f>
        <v>43070</v>
      </c>
      <c r="O4" s="160">
        <f>IF(DATE('Input|General'!$G$10+5,MONTH('Input|General'!$G$9),1)&lt;=DATE('Input|General'!$G$14,MONTH('Input|General'!$G$9),1),DATE('Input|General'!$G$10+5,MONTH('Input|General'!$G$9),1),"")</f>
        <v>43435</v>
      </c>
      <c r="P4" s="160">
        <f>IF(DATE('Input|General'!$G$10+6,MONTH('Input|General'!$G$9),1)&lt;=DATE('Input|General'!$G$14,MONTH('Input|General'!$G$9),1),DATE('Input|General'!$G$10+6,MONTH('Input|General'!$G$9),1),"")</f>
        <v>43800</v>
      </c>
      <c r="Q4" s="160">
        <f>IF(DATE('Input|General'!$G$10+7,MONTH('Input|General'!$G$9),1)&lt;=DATE('Input|General'!$G$14,MONTH('Input|General'!$G$9),1),DATE('Input|General'!$G$10+7,MONTH('Input|General'!$G$9),1),"")</f>
        <v>44166</v>
      </c>
      <c r="R4" s="160">
        <f>IF(DATE('Input|General'!$G$10+8,MONTH('Input|General'!$G$9),1)&lt;=DATE('Input|General'!$G$14,MONTH('Input|General'!$G$9),1),DATE('Input|General'!$G$10+8,MONTH('Input|General'!$G$9),1),"")</f>
        <v>44531</v>
      </c>
      <c r="S4" s="160">
        <f>IF(DATE('Input|General'!$G$10+9,MONTH('Input|General'!$G$9),1)&lt;=DATE('Input|General'!$G$14,MONTH('Input|General'!$G$9),1),DATE('Input|General'!$G$10+9,MONTH('Input|General'!$G$9),1),"")</f>
        <v>44896</v>
      </c>
      <c r="T4" s="90"/>
      <c r="U4" s="90"/>
      <c r="V4" s="91"/>
      <c r="W4" s="91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7"/>
      <c r="B8" s="98" t="s">
        <v>45</v>
      </c>
      <c r="C8" s="97"/>
      <c r="D8" s="97"/>
      <c r="E8" s="97"/>
      <c r="F8" s="99"/>
      <c r="G8" s="99"/>
      <c r="H8" s="99"/>
      <c r="I8" s="99"/>
      <c r="J8" s="100"/>
      <c r="K8" s="101"/>
      <c r="L8" s="100"/>
      <c r="M8" s="101"/>
      <c r="N8" s="100"/>
      <c r="O8" s="100"/>
      <c r="P8" s="100"/>
      <c r="Q8" s="100"/>
      <c r="R8" s="100"/>
      <c r="S8" s="100"/>
      <c r="T8" s="100"/>
      <c r="U8" s="100"/>
      <c r="V8" s="101"/>
      <c r="W8" s="101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8" t="s">
        <v>84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63">
        <f>IF(YEAR(J$4)&lt;='Input|General'!$G$12,J$4,"")</f>
        <v>41609</v>
      </c>
      <c r="K10" s="163">
        <f>IF(YEAR(K$4)&lt;='Input|General'!$G$12,K$4,"")</f>
        <v>41974</v>
      </c>
      <c r="L10" s="163">
        <f>IF(YEAR(L$4)&lt;='Input|General'!$G$12,L$4,"")</f>
        <v>42339</v>
      </c>
      <c r="M10" s="163">
        <f>IF(YEAR(M$4)&lt;='Input|General'!$G$12,M$4,"")</f>
        <v>42705</v>
      </c>
      <c r="N10" s="163">
        <f>IF(YEAR(N$4)&lt;='Input|General'!$G$12,N$4,"")</f>
        <v>43070</v>
      </c>
      <c r="O10" s="163" t="str">
        <f>IF(YEAR(O$4)&lt;='Input|General'!$G$12,O$4,"")</f>
        <v/>
      </c>
      <c r="P10" s="163" t="str">
        <f>IF(YEAR(P$4)&lt;='Input|General'!$G$12,P$4,"")</f>
        <v/>
      </c>
      <c r="Q10" s="163" t="str">
        <f>IF(YEAR(Q$4)&lt;='Input|General'!$G$12,Q$4,"")</f>
        <v/>
      </c>
      <c r="R10" s="163" t="str">
        <f>IF(YEAR(R$4)&lt;='Input|General'!$G$12,R$4,"")</f>
        <v/>
      </c>
      <c r="S10" s="163" t="str">
        <f>IF(YEAR(S$4)&lt;='Input|General'!$G$12,S$4,"")</f>
        <v/>
      </c>
      <c r="T10" s="140" t="s">
        <v>58</v>
      </c>
      <c r="U10" s="141"/>
      <c r="V10" s="141"/>
      <c r="W10" s="29"/>
    </row>
    <row r="11" spans="1:23">
      <c r="A11" s="29"/>
      <c r="B11" s="29"/>
      <c r="C11" s="114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4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81</v>
      </c>
      <c r="D13" s="30" t="s">
        <v>77</v>
      </c>
      <c r="E13" s="30" t="str">
        <f>$E$24</f>
        <v>$millions</v>
      </c>
      <c r="F13" s="165">
        <f>$F$24</f>
        <v>41244</v>
      </c>
      <c r="G13" s="32"/>
      <c r="H13" s="32"/>
      <c r="I13" s="30"/>
      <c r="J13" s="168">
        <v>29.82121224933065</v>
      </c>
      <c r="K13" s="168">
        <v>29.219163384403124</v>
      </c>
      <c r="L13" s="168">
        <v>30.111737880998284</v>
      </c>
      <c r="M13" s="168">
        <v>31.06508979206469</v>
      </c>
      <c r="N13" s="168">
        <v>31.02780261311581</v>
      </c>
      <c r="O13" s="29"/>
      <c r="P13" s="29"/>
      <c r="Q13" s="29"/>
      <c r="R13" s="29"/>
      <c r="S13" s="29"/>
      <c r="T13" s="155" t="s">
        <v>157</v>
      </c>
      <c r="U13" s="29"/>
      <c r="V13" s="29"/>
      <c r="W13" s="29"/>
    </row>
    <row r="14" spans="1:23">
      <c r="A14" s="29"/>
      <c r="B14" s="29"/>
      <c r="C14" s="61" t="s">
        <v>120</v>
      </c>
      <c r="D14" s="30" t="s">
        <v>77</v>
      </c>
      <c r="E14" s="30" t="str">
        <f t="shared" ref="E14:E22" si="0">$E$24</f>
        <v>$millions</v>
      </c>
      <c r="F14" s="165">
        <f t="shared" ref="F14:F22" si="1">$F$24</f>
        <v>41244</v>
      </c>
      <c r="G14" s="32"/>
      <c r="H14" s="32"/>
      <c r="I14" s="30"/>
      <c r="J14" s="168">
        <v>-0.35064996719308417</v>
      </c>
      <c r="K14" s="168">
        <v>-0.35468486226850932</v>
      </c>
      <c r="L14" s="168">
        <v>-0.39617893019380412</v>
      </c>
      <c r="M14" s="168">
        <v>-0.39395329051854</v>
      </c>
      <c r="N14" s="168">
        <v>-0.38512714291400052</v>
      </c>
      <c r="O14" s="29"/>
      <c r="P14" s="29"/>
      <c r="Q14" s="29"/>
      <c r="R14" s="29"/>
      <c r="S14" s="29"/>
      <c r="T14" s="155" t="s">
        <v>157</v>
      </c>
      <c r="U14" s="29"/>
      <c r="V14" s="29"/>
      <c r="W14" s="29"/>
    </row>
    <row r="15" spans="1:23">
      <c r="A15" s="29"/>
      <c r="B15" s="29"/>
      <c r="C15" s="61"/>
      <c r="D15" s="30" t="s">
        <v>77</v>
      </c>
      <c r="E15" s="30" t="str">
        <f t="shared" si="0"/>
        <v>$millions</v>
      </c>
      <c r="F15" s="165">
        <f t="shared" si="1"/>
        <v>41244</v>
      </c>
      <c r="G15" s="32"/>
      <c r="H15" s="32"/>
      <c r="I15" s="30"/>
      <c r="J15" s="168"/>
      <c r="K15" s="168"/>
      <c r="L15" s="168"/>
      <c r="M15" s="168"/>
      <c r="N15" s="168"/>
      <c r="O15" s="29"/>
      <c r="P15" s="29"/>
      <c r="Q15" s="29"/>
      <c r="R15" s="29"/>
      <c r="S15" s="29"/>
      <c r="T15" s="155"/>
      <c r="U15" s="29"/>
      <c r="V15" s="29"/>
      <c r="W15" s="29"/>
    </row>
    <row r="16" spans="1:23">
      <c r="A16" s="29"/>
      <c r="B16" s="29"/>
      <c r="C16" s="61"/>
      <c r="D16" s="30" t="s">
        <v>77</v>
      </c>
      <c r="E16" s="30" t="str">
        <f t="shared" si="0"/>
        <v>$millions</v>
      </c>
      <c r="F16" s="165">
        <f t="shared" si="1"/>
        <v>41244</v>
      </c>
      <c r="G16" s="32"/>
      <c r="H16" s="32"/>
      <c r="I16" s="30"/>
      <c r="J16" s="168"/>
      <c r="K16" s="168"/>
      <c r="L16" s="168"/>
      <c r="M16" s="168"/>
      <c r="N16" s="168"/>
      <c r="O16" s="29"/>
      <c r="P16" s="29"/>
      <c r="Q16" s="29"/>
      <c r="R16" s="29"/>
      <c r="S16" s="29"/>
      <c r="T16" s="155"/>
      <c r="U16" s="29"/>
      <c r="V16" s="29"/>
      <c r="W16" s="29"/>
    </row>
    <row r="17" spans="1:23">
      <c r="A17" s="29"/>
      <c r="B17" s="29"/>
      <c r="C17" s="61"/>
      <c r="D17" s="30" t="s">
        <v>77</v>
      </c>
      <c r="E17" s="30" t="str">
        <f t="shared" si="0"/>
        <v>$millions</v>
      </c>
      <c r="F17" s="165">
        <f t="shared" si="1"/>
        <v>41244</v>
      </c>
      <c r="G17" s="32"/>
      <c r="H17" s="32"/>
      <c r="I17" s="30"/>
      <c r="J17" s="168"/>
      <c r="K17" s="168"/>
      <c r="L17" s="168"/>
      <c r="M17" s="168"/>
      <c r="N17" s="168"/>
      <c r="O17" s="29"/>
      <c r="P17" s="29"/>
      <c r="Q17" s="29"/>
      <c r="R17" s="29"/>
      <c r="S17" s="29"/>
      <c r="T17" s="155"/>
      <c r="U17" s="29"/>
      <c r="V17" s="29"/>
      <c r="W17" s="29"/>
    </row>
    <row r="18" spans="1:23">
      <c r="A18" s="29"/>
      <c r="B18" s="29"/>
      <c r="C18" s="61"/>
      <c r="D18" s="30" t="s">
        <v>77</v>
      </c>
      <c r="E18" s="30" t="str">
        <f t="shared" si="0"/>
        <v>$millions</v>
      </c>
      <c r="F18" s="165">
        <f t="shared" si="1"/>
        <v>41244</v>
      </c>
      <c r="G18" s="32"/>
      <c r="H18" s="32"/>
      <c r="I18" s="30"/>
      <c r="J18" s="168"/>
      <c r="K18" s="168"/>
      <c r="L18" s="168"/>
      <c r="M18" s="168"/>
      <c r="N18" s="168"/>
      <c r="O18" s="29"/>
      <c r="P18" s="29"/>
      <c r="Q18" s="29"/>
      <c r="R18" s="29"/>
      <c r="S18" s="29"/>
      <c r="T18" s="155"/>
      <c r="U18" s="29"/>
      <c r="V18" s="29"/>
      <c r="W18" s="29"/>
    </row>
    <row r="19" spans="1:23">
      <c r="A19" s="29"/>
      <c r="B19" s="29"/>
      <c r="C19" s="61"/>
      <c r="D19" s="30" t="s">
        <v>77</v>
      </c>
      <c r="E19" s="30" t="str">
        <f t="shared" si="0"/>
        <v>$millions</v>
      </c>
      <c r="F19" s="165">
        <f t="shared" si="1"/>
        <v>41244</v>
      </c>
      <c r="G19" s="32"/>
      <c r="H19" s="32"/>
      <c r="I19" s="30"/>
      <c r="J19" s="168"/>
      <c r="K19" s="168"/>
      <c r="L19" s="168"/>
      <c r="M19" s="168"/>
      <c r="N19" s="168"/>
      <c r="O19" s="29"/>
      <c r="P19" s="29"/>
      <c r="Q19" s="29"/>
      <c r="R19" s="29"/>
      <c r="S19" s="29"/>
      <c r="T19" s="155"/>
      <c r="U19" s="29"/>
      <c r="V19" s="29"/>
      <c r="W19" s="29"/>
    </row>
    <row r="20" spans="1:23">
      <c r="A20" s="29"/>
      <c r="B20" s="29"/>
      <c r="C20" s="61"/>
      <c r="D20" s="30" t="s">
        <v>77</v>
      </c>
      <c r="E20" s="30" t="str">
        <f t="shared" si="0"/>
        <v>$millions</v>
      </c>
      <c r="F20" s="165">
        <f t="shared" si="1"/>
        <v>41244</v>
      </c>
      <c r="G20" s="32"/>
      <c r="H20" s="32"/>
      <c r="I20" s="30"/>
      <c r="J20" s="168"/>
      <c r="K20" s="168"/>
      <c r="L20" s="168"/>
      <c r="M20" s="168"/>
      <c r="N20" s="168"/>
      <c r="O20" s="29"/>
      <c r="P20" s="29"/>
      <c r="Q20" s="29"/>
      <c r="R20" s="29"/>
      <c r="S20" s="29"/>
      <c r="T20" s="155"/>
      <c r="U20" s="29"/>
      <c r="V20" s="29"/>
      <c r="W20" s="29"/>
    </row>
    <row r="21" spans="1:23">
      <c r="A21" s="29"/>
      <c r="B21" s="29"/>
      <c r="C21" s="61"/>
      <c r="D21" s="30" t="s">
        <v>77</v>
      </c>
      <c r="E21" s="30" t="str">
        <f t="shared" si="0"/>
        <v>$millions</v>
      </c>
      <c r="F21" s="165">
        <f t="shared" si="1"/>
        <v>41244</v>
      </c>
      <c r="G21" s="32"/>
      <c r="H21" s="32"/>
      <c r="I21" s="30"/>
      <c r="J21" s="168"/>
      <c r="K21" s="168"/>
      <c r="L21" s="168"/>
      <c r="M21" s="168"/>
      <c r="N21" s="168"/>
      <c r="O21" s="29"/>
      <c r="P21" s="29"/>
      <c r="Q21" s="29"/>
      <c r="R21" s="29"/>
      <c r="S21" s="29"/>
      <c r="T21" s="155"/>
      <c r="U21" s="29"/>
      <c r="V21" s="29"/>
      <c r="W21" s="29"/>
    </row>
    <row r="22" spans="1:23">
      <c r="A22" s="29"/>
      <c r="B22" s="29"/>
      <c r="C22" s="61"/>
      <c r="D22" s="30" t="s">
        <v>77</v>
      </c>
      <c r="E22" s="30" t="str">
        <f t="shared" si="0"/>
        <v>$millions</v>
      </c>
      <c r="F22" s="165">
        <f t="shared" si="1"/>
        <v>41244</v>
      </c>
      <c r="G22" s="32"/>
      <c r="H22" s="32"/>
      <c r="I22" s="30"/>
      <c r="J22" s="168"/>
      <c r="K22" s="168"/>
      <c r="L22" s="168"/>
      <c r="M22" s="168"/>
      <c r="N22" s="168"/>
      <c r="O22" s="29"/>
      <c r="P22" s="29"/>
      <c r="Q22" s="29"/>
      <c r="R22" s="29"/>
      <c r="S22" s="29"/>
      <c r="T22" s="155"/>
      <c r="U22" s="29"/>
      <c r="V22" s="29"/>
      <c r="W22" s="29"/>
    </row>
    <row r="23" spans="1:23">
      <c r="A23" s="29"/>
      <c r="B23" s="29"/>
      <c r="C23" s="114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42" t="s">
        <v>81</v>
      </c>
      <c r="D24" s="143" t="s">
        <v>30</v>
      </c>
      <c r="E24" s="133" t="s">
        <v>15</v>
      </c>
      <c r="F24" s="192">
        <v>41244</v>
      </c>
      <c r="G24" s="32"/>
      <c r="H24" s="32"/>
      <c r="I24" s="30"/>
      <c r="J24" s="132">
        <f t="shared" ref="J24:S24" si="2">SUM(J13:J22)</f>
        <v>29.470562282137564</v>
      </c>
      <c r="K24" s="132">
        <f t="shared" si="2"/>
        <v>28.864478522134615</v>
      </c>
      <c r="L24" s="132">
        <f t="shared" si="2"/>
        <v>29.715558950804478</v>
      </c>
      <c r="M24" s="132">
        <f t="shared" si="2"/>
        <v>30.671136501546151</v>
      </c>
      <c r="N24" s="132">
        <f t="shared" si="2"/>
        <v>30.642675470201809</v>
      </c>
      <c r="O24" s="132">
        <f t="shared" si="2"/>
        <v>0</v>
      </c>
      <c r="P24" s="132">
        <f t="shared" si="2"/>
        <v>0</v>
      </c>
      <c r="Q24" s="132">
        <f t="shared" si="2"/>
        <v>0</v>
      </c>
      <c r="R24" s="132">
        <f t="shared" si="2"/>
        <v>0</v>
      </c>
      <c r="S24" s="132">
        <f t="shared" si="2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7"/>
      <c r="B26" s="98" t="s">
        <v>62</v>
      </c>
      <c r="C26" s="97"/>
      <c r="D26" s="97"/>
      <c r="E26" s="97"/>
      <c r="F26" s="99"/>
      <c r="G26" s="99"/>
      <c r="H26" s="99"/>
      <c r="I26" s="99"/>
      <c r="J26" s="100"/>
      <c r="K26" s="101"/>
      <c r="L26" s="100"/>
      <c r="M26" s="101"/>
      <c r="N26" s="100"/>
      <c r="O26" s="100"/>
      <c r="P26" s="100"/>
      <c r="Q26" s="100"/>
      <c r="R26" s="100"/>
      <c r="S26" s="100"/>
      <c r="T26" s="100"/>
      <c r="U26" s="100"/>
      <c r="V26" s="101"/>
      <c r="W26" s="101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82</v>
      </c>
      <c r="N28" s="52" t="s">
        <v>82</v>
      </c>
      <c r="O28" s="29"/>
      <c r="P28" s="29"/>
      <c r="Q28" s="29"/>
      <c r="R28" s="29"/>
      <c r="S28" s="29"/>
      <c r="T28" s="29"/>
      <c r="U28" s="29"/>
      <c r="V28" s="29"/>
      <c r="W28" s="29"/>
    </row>
    <row r="29" spans="1:23">
      <c r="A29" s="29"/>
      <c r="B29" s="29"/>
      <c r="C29" s="68" t="s">
        <v>84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63">
        <f>IF(YEAR(J$4)&lt;='Input|General'!$G$12,J$4,"")</f>
        <v>41609</v>
      </c>
      <c r="K29" s="163">
        <f>IF(YEAR(K$4)&lt;='Input|General'!$G$12,K$4,"")</f>
        <v>41974</v>
      </c>
      <c r="L29" s="163">
        <f>IF(YEAR(L$4)&lt;='Input|General'!$G$12,L$4,"")</f>
        <v>42339</v>
      </c>
      <c r="M29" s="163">
        <f>IF(YEAR(M$4)&lt;='Input|General'!$G$12,M$4,"")</f>
        <v>42705</v>
      </c>
      <c r="N29" s="163">
        <f>IF(YEAR(N$4)&lt;='Input|General'!$G$12,N$4,"")</f>
        <v>43070</v>
      </c>
      <c r="O29" s="163" t="str">
        <f>IF(YEAR(O$4)&lt;='Input|General'!$G$12,O$4,"")</f>
        <v/>
      </c>
      <c r="P29" s="163" t="str">
        <f>IF(YEAR(P$4)&lt;='Input|General'!$G$12,P$4,"")</f>
        <v/>
      </c>
      <c r="Q29" s="163" t="str">
        <f>IF(YEAR(Q$4)&lt;='Input|General'!$G$12,Q$4,"")</f>
        <v/>
      </c>
      <c r="R29" s="163" t="str">
        <f>IF(YEAR(R$4)&lt;='Input|General'!$G$12,R$4,"")</f>
        <v/>
      </c>
      <c r="S29" s="163" t="str">
        <f>IF(YEAR(S$4)&lt;='Input|General'!$G$12,S$4,"")</f>
        <v/>
      </c>
      <c r="T29" s="140" t="s">
        <v>58</v>
      </c>
      <c r="U29" s="141"/>
      <c r="V29" s="141"/>
      <c r="W29" s="29"/>
    </row>
    <row r="30" spans="1:23">
      <c r="A30" s="29"/>
      <c r="B30" s="29"/>
      <c r="C30" s="114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4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55"/>
      <c r="U31" s="29"/>
      <c r="V31" s="29"/>
      <c r="W31" s="29"/>
    </row>
    <row r="32" spans="1:23">
      <c r="A32" s="29"/>
      <c r="B32" s="29"/>
      <c r="C32" s="61" t="s">
        <v>81</v>
      </c>
      <c r="D32" s="30" t="s">
        <v>83</v>
      </c>
      <c r="E32" s="30" t="str">
        <f t="shared" ref="E32:E37" si="3">$E$46</f>
        <v>$millions</v>
      </c>
      <c r="F32" s="165" t="str">
        <f>$F$46</f>
        <v>nominal</v>
      </c>
      <c r="G32" s="32"/>
      <c r="H32" s="32"/>
      <c r="I32" s="30"/>
      <c r="J32" s="168">
        <v>23.703469315999996</v>
      </c>
      <c r="K32" s="168">
        <v>24.461374757999998</v>
      </c>
      <c r="L32" s="168">
        <v>25.095370709468007</v>
      </c>
      <c r="M32" s="168">
        <v>24.720518632267257</v>
      </c>
      <c r="N32" s="168"/>
      <c r="O32" s="29"/>
      <c r="P32" s="29"/>
      <c r="Q32" s="29"/>
      <c r="R32" s="29"/>
      <c r="S32" s="29"/>
      <c r="T32" s="155"/>
      <c r="U32" s="29"/>
      <c r="V32" s="29"/>
      <c r="W32" s="29"/>
    </row>
    <row r="33" spans="1:23">
      <c r="A33" s="29"/>
      <c r="B33" s="29"/>
      <c r="C33" s="61"/>
      <c r="D33" s="30" t="s">
        <v>83</v>
      </c>
      <c r="E33" s="30" t="str">
        <f t="shared" si="3"/>
        <v>$millions</v>
      </c>
      <c r="F33" s="165" t="str">
        <f t="shared" ref="F33:F37" si="4">$F$46</f>
        <v>nominal</v>
      </c>
      <c r="G33" s="32"/>
      <c r="H33" s="32"/>
      <c r="I33" s="30"/>
      <c r="J33" s="168"/>
      <c r="K33" s="168"/>
      <c r="L33" s="168"/>
      <c r="M33" s="168"/>
      <c r="N33" s="168"/>
      <c r="O33" s="29"/>
      <c r="P33" s="29"/>
      <c r="Q33" s="29"/>
      <c r="R33" s="29"/>
      <c r="S33" s="29"/>
      <c r="T33" s="155"/>
      <c r="U33" s="29"/>
      <c r="V33" s="29"/>
      <c r="W33" s="29"/>
    </row>
    <row r="34" spans="1:23">
      <c r="A34" s="29"/>
      <c r="B34" s="29"/>
      <c r="C34" s="61"/>
      <c r="D34" s="30" t="s">
        <v>83</v>
      </c>
      <c r="E34" s="30" t="str">
        <f t="shared" si="3"/>
        <v>$millions</v>
      </c>
      <c r="F34" s="165" t="str">
        <f t="shared" si="4"/>
        <v>nominal</v>
      </c>
      <c r="G34" s="32"/>
      <c r="H34" s="32"/>
      <c r="I34" s="30"/>
      <c r="J34" s="168"/>
      <c r="K34" s="168"/>
      <c r="L34" s="168"/>
      <c r="M34" s="168"/>
      <c r="N34" s="168"/>
      <c r="O34" s="29"/>
      <c r="P34" s="29"/>
      <c r="Q34" s="29"/>
      <c r="R34" s="29"/>
      <c r="S34" s="29"/>
      <c r="T34" s="155"/>
      <c r="U34" s="29"/>
      <c r="V34" s="29"/>
      <c r="W34" s="29"/>
    </row>
    <row r="35" spans="1:23">
      <c r="A35" s="29"/>
      <c r="B35" s="29"/>
      <c r="C35" s="61"/>
      <c r="D35" s="30" t="s">
        <v>83</v>
      </c>
      <c r="E35" s="30" t="str">
        <f t="shared" si="3"/>
        <v>$millions</v>
      </c>
      <c r="F35" s="165" t="str">
        <f t="shared" si="4"/>
        <v>nominal</v>
      </c>
      <c r="G35" s="32"/>
      <c r="H35" s="32"/>
      <c r="I35" s="30"/>
      <c r="J35" s="168"/>
      <c r="K35" s="168"/>
      <c r="L35" s="168"/>
      <c r="M35" s="168"/>
      <c r="N35" s="168"/>
      <c r="O35" s="29"/>
      <c r="P35" s="29"/>
      <c r="Q35" s="29"/>
      <c r="R35" s="29"/>
      <c r="S35" s="29"/>
      <c r="T35" s="155"/>
      <c r="U35" s="29"/>
      <c r="V35" s="29"/>
      <c r="W35" s="29"/>
    </row>
    <row r="36" spans="1:23">
      <c r="A36" s="29"/>
      <c r="B36" s="29"/>
      <c r="C36" s="61"/>
      <c r="D36" s="30" t="s">
        <v>83</v>
      </c>
      <c r="E36" s="30" t="str">
        <f t="shared" si="3"/>
        <v>$millions</v>
      </c>
      <c r="F36" s="165" t="str">
        <f t="shared" si="4"/>
        <v>nominal</v>
      </c>
      <c r="G36" s="32"/>
      <c r="H36" s="32"/>
      <c r="I36" s="30"/>
      <c r="J36" s="168"/>
      <c r="K36" s="168"/>
      <c r="L36" s="168"/>
      <c r="M36" s="168"/>
      <c r="N36" s="168"/>
      <c r="O36" s="29"/>
      <c r="P36" s="29"/>
      <c r="Q36" s="29"/>
      <c r="R36" s="29"/>
      <c r="S36" s="29"/>
      <c r="T36" s="155"/>
      <c r="U36" s="29"/>
      <c r="V36" s="29"/>
      <c r="W36" s="29"/>
    </row>
    <row r="37" spans="1:23">
      <c r="A37" s="29"/>
      <c r="B37" s="29"/>
      <c r="C37" s="61" t="s">
        <v>125</v>
      </c>
      <c r="D37" s="30" t="s">
        <v>83</v>
      </c>
      <c r="E37" s="30" t="str">
        <f t="shared" si="3"/>
        <v>$millions</v>
      </c>
      <c r="F37" s="165" t="str">
        <f t="shared" si="4"/>
        <v>nominal</v>
      </c>
      <c r="G37" s="32"/>
      <c r="H37" s="32"/>
      <c r="I37" s="30"/>
      <c r="J37" s="168">
        <v>0</v>
      </c>
      <c r="K37" s="168">
        <v>0</v>
      </c>
      <c r="L37" s="168">
        <v>0</v>
      </c>
      <c r="M37" s="168">
        <v>0</v>
      </c>
      <c r="N37" s="168"/>
      <c r="O37" s="29"/>
      <c r="P37" s="29"/>
      <c r="Q37" s="29"/>
      <c r="R37" s="29"/>
      <c r="S37" s="29"/>
      <c r="T37" s="155"/>
      <c r="U37" s="29"/>
      <c r="V37" s="29"/>
      <c r="W37" s="29"/>
    </row>
    <row r="38" spans="1:23">
      <c r="A38" s="29"/>
      <c r="B38" s="29"/>
      <c r="C38" s="29"/>
      <c r="D38" s="30"/>
      <c r="E38" s="30"/>
      <c r="F38" s="30"/>
      <c r="G38" s="30"/>
      <c r="H38" s="30"/>
      <c r="I38" s="30"/>
      <c r="J38" s="169"/>
      <c r="K38" s="169"/>
      <c r="L38" s="169"/>
      <c r="M38" s="169"/>
      <c r="N38" s="169"/>
      <c r="O38" s="29"/>
      <c r="P38" s="29"/>
      <c r="Q38" s="29"/>
      <c r="R38" s="29"/>
      <c r="S38" s="29"/>
      <c r="T38" s="155"/>
      <c r="U38" s="29"/>
      <c r="V38" s="29"/>
      <c r="W38" s="29"/>
    </row>
    <row r="39" spans="1:23">
      <c r="A39" s="29"/>
      <c r="B39" s="29"/>
      <c r="C39" s="68" t="s">
        <v>126</v>
      </c>
      <c r="D39" s="30"/>
      <c r="E39" s="30"/>
      <c r="F39" s="30"/>
      <c r="G39" s="30"/>
      <c r="H39" s="30"/>
      <c r="I39" s="30"/>
      <c r="J39" s="169"/>
      <c r="K39" s="169"/>
      <c r="L39" s="169"/>
      <c r="M39" s="169"/>
      <c r="N39" s="169"/>
      <c r="O39" s="29"/>
      <c r="P39" s="29"/>
      <c r="Q39" s="29"/>
      <c r="R39" s="29"/>
      <c r="S39" s="29"/>
      <c r="T39" s="155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169"/>
      <c r="K40" s="169"/>
      <c r="L40" s="169"/>
      <c r="M40" s="169"/>
      <c r="N40" s="169"/>
      <c r="O40" s="29"/>
      <c r="P40" s="29"/>
      <c r="Q40" s="29"/>
      <c r="R40" s="29"/>
      <c r="S40" s="29"/>
      <c r="T40" s="155"/>
      <c r="U40" s="29"/>
      <c r="V40" s="29"/>
      <c r="W40" s="29"/>
    </row>
    <row r="41" spans="1:23">
      <c r="A41" s="29"/>
      <c r="B41" s="29"/>
      <c r="C41" s="61" t="s">
        <v>120</v>
      </c>
      <c r="D41" s="30" t="s">
        <v>83</v>
      </c>
      <c r="E41" s="30" t="str">
        <f>$E$46</f>
        <v>$millions</v>
      </c>
      <c r="F41" s="165" t="str">
        <f t="shared" ref="F41:F44" si="5">$F$46</f>
        <v>nominal</v>
      </c>
      <c r="G41" s="32"/>
      <c r="H41" s="32"/>
      <c r="I41" s="30"/>
      <c r="J41" s="168">
        <v>0</v>
      </c>
      <c r="K41" s="168">
        <v>0</v>
      </c>
      <c r="L41" s="168">
        <v>0</v>
      </c>
      <c r="M41" s="168">
        <v>0</v>
      </c>
      <c r="N41" s="168"/>
      <c r="O41" s="29"/>
      <c r="P41" s="29"/>
      <c r="Q41" s="29"/>
      <c r="R41" s="29"/>
      <c r="S41" s="29"/>
      <c r="T41" s="155"/>
      <c r="U41" s="29"/>
      <c r="V41" s="29"/>
      <c r="W41" s="29"/>
    </row>
    <row r="42" spans="1:23">
      <c r="A42" s="29"/>
      <c r="B42" s="29"/>
      <c r="C42" s="61"/>
      <c r="D42" s="30" t="s">
        <v>83</v>
      </c>
      <c r="E42" s="30" t="str">
        <f>$E$46</f>
        <v>$millions</v>
      </c>
      <c r="F42" s="165" t="str">
        <f t="shared" si="5"/>
        <v>nominal</v>
      </c>
      <c r="G42" s="32"/>
      <c r="H42" s="32"/>
      <c r="I42" s="30"/>
      <c r="J42" s="168"/>
      <c r="K42" s="168"/>
      <c r="L42" s="168"/>
      <c r="M42" s="168"/>
      <c r="N42" s="168"/>
      <c r="O42" s="29"/>
      <c r="P42" s="29"/>
      <c r="Q42" s="29"/>
      <c r="R42" s="29"/>
      <c r="S42" s="29"/>
      <c r="T42" s="155"/>
      <c r="U42" s="29"/>
      <c r="V42" s="29"/>
      <c r="W42" s="29"/>
    </row>
    <row r="43" spans="1:23">
      <c r="A43" s="29"/>
      <c r="B43" s="29"/>
      <c r="C43" s="61"/>
      <c r="D43" s="30" t="s">
        <v>83</v>
      </c>
      <c r="E43" s="30" t="str">
        <f>$E$46</f>
        <v>$millions</v>
      </c>
      <c r="F43" s="165" t="str">
        <f t="shared" si="5"/>
        <v>nominal</v>
      </c>
      <c r="G43" s="32"/>
      <c r="H43" s="32"/>
      <c r="I43" s="30"/>
      <c r="J43" s="168"/>
      <c r="K43" s="168"/>
      <c r="L43" s="168"/>
      <c r="M43" s="168"/>
      <c r="N43" s="168"/>
      <c r="O43" s="29"/>
      <c r="P43" s="29"/>
      <c r="Q43" s="29"/>
      <c r="R43" s="29"/>
      <c r="S43" s="29"/>
      <c r="T43" s="155"/>
      <c r="U43" s="29"/>
      <c r="V43" s="29"/>
      <c r="W43" s="29"/>
    </row>
    <row r="44" spans="1:23">
      <c r="A44" s="29"/>
      <c r="B44" s="29"/>
      <c r="C44" s="61"/>
      <c r="D44" s="30" t="s">
        <v>83</v>
      </c>
      <c r="E44" s="30" t="str">
        <f>$E$46</f>
        <v>$millions</v>
      </c>
      <c r="F44" s="165" t="str">
        <f t="shared" si="5"/>
        <v>nominal</v>
      </c>
      <c r="G44" s="32"/>
      <c r="H44" s="32"/>
      <c r="I44" s="30"/>
      <c r="J44" s="168"/>
      <c r="K44" s="168"/>
      <c r="L44" s="168"/>
      <c r="M44" s="168"/>
      <c r="N44" s="168"/>
      <c r="O44" s="29"/>
      <c r="P44" s="29"/>
      <c r="Q44" s="29"/>
      <c r="R44" s="29"/>
      <c r="S44" s="29"/>
      <c r="T44" s="155"/>
      <c r="U44" s="29"/>
      <c r="V44" s="29"/>
      <c r="W44" s="29"/>
    </row>
    <row r="45" spans="1:23">
      <c r="A45" s="29"/>
      <c r="B45" s="29"/>
      <c r="C45" s="114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44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142" t="s">
        <v>81</v>
      </c>
      <c r="D46" s="143" t="s">
        <v>30</v>
      </c>
      <c r="E46" s="133" t="s">
        <v>15</v>
      </c>
      <c r="F46" s="166" t="s">
        <v>112</v>
      </c>
      <c r="G46" s="32"/>
      <c r="H46" s="32"/>
      <c r="I46" s="30"/>
      <c r="J46" s="132">
        <f>SUM(J32:J44)</f>
        <v>23.703469315999996</v>
      </c>
      <c r="K46" s="132">
        <f t="shared" ref="K46:S46" si="6">SUM(K32:K44)</f>
        <v>24.461374757999998</v>
      </c>
      <c r="L46" s="132">
        <f t="shared" si="6"/>
        <v>25.095370709468007</v>
      </c>
      <c r="M46" s="132">
        <f t="shared" si="6"/>
        <v>24.720518632267257</v>
      </c>
      <c r="N46" s="132">
        <f t="shared" si="6"/>
        <v>0</v>
      </c>
      <c r="O46" s="132">
        <f t="shared" si="6"/>
        <v>0</v>
      </c>
      <c r="P46" s="132">
        <f t="shared" si="6"/>
        <v>0</v>
      </c>
      <c r="Q46" s="132">
        <f t="shared" si="6"/>
        <v>0</v>
      </c>
      <c r="R46" s="132">
        <f t="shared" si="6"/>
        <v>0</v>
      </c>
      <c r="S46" s="132">
        <f t="shared" si="6"/>
        <v>0</v>
      </c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12.75">
      <c r="A48" s="97"/>
      <c r="B48" s="98" t="s">
        <v>127</v>
      </c>
      <c r="C48" s="97"/>
      <c r="D48" s="97"/>
      <c r="E48" s="97"/>
      <c r="F48" s="99"/>
      <c r="G48" s="99"/>
      <c r="H48" s="99"/>
      <c r="I48" s="99"/>
      <c r="J48" s="100"/>
      <c r="K48" s="101"/>
      <c r="L48" s="100"/>
      <c r="M48" s="101"/>
      <c r="N48" s="100"/>
      <c r="O48" s="100"/>
      <c r="P48" s="100"/>
      <c r="Q48" s="100"/>
      <c r="R48" s="100"/>
      <c r="S48" s="100"/>
      <c r="T48" s="100"/>
      <c r="U48" s="100"/>
      <c r="V48" s="101"/>
      <c r="W48" s="101"/>
    </row>
    <row r="49" spans="1:23">
      <c r="A49" s="29"/>
      <c r="B49" s="29"/>
      <c r="C49" s="29"/>
      <c r="D49" s="30"/>
      <c r="E49" s="30"/>
      <c r="F49" s="30"/>
      <c r="G49" s="30"/>
      <c r="H49" s="30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68" t="s">
        <v>128</v>
      </c>
      <c r="D50" s="32" t="s">
        <v>7</v>
      </c>
      <c r="E50" s="32" t="s">
        <v>8</v>
      </c>
      <c r="F50" s="32" t="s">
        <v>22</v>
      </c>
      <c r="G50" s="32"/>
      <c r="H50" s="32"/>
      <c r="I50" s="32"/>
      <c r="J50" s="163" t="str">
        <f>IF(YEAR(J$4)='Input|General'!$G$12,J$4,"")</f>
        <v/>
      </c>
      <c r="K50" s="163" t="str">
        <f>IF(YEAR(K$4)='Input|General'!$G$12,K$4,"")</f>
        <v/>
      </c>
      <c r="L50" s="163" t="str">
        <f>IF(YEAR(L$4)='Input|General'!$G$12,L$4,"")</f>
        <v/>
      </c>
      <c r="M50" s="163" t="str">
        <f>IF(YEAR(M$4)='Input|General'!$G$12,M$4,"")</f>
        <v/>
      </c>
      <c r="N50" s="163">
        <f>IF(YEAR(N$4)='Input|General'!$G$12,N$4,"")</f>
        <v>43070</v>
      </c>
      <c r="O50" s="163" t="str">
        <f>IF(YEAR(O$4)='Input|General'!$G$12,O$4,"")</f>
        <v/>
      </c>
      <c r="P50" s="163" t="str">
        <f>IF(YEAR(P$4)='Input|General'!$G$12,P$4,"")</f>
        <v/>
      </c>
      <c r="Q50" s="163" t="str">
        <f>IF(YEAR(Q$4)='Input|General'!$G$12,Q$4,"")</f>
        <v/>
      </c>
      <c r="R50" s="163" t="str">
        <f>IF(YEAR(R$4)='Input|General'!$G$12,R$4,"")</f>
        <v/>
      </c>
      <c r="S50" s="163" t="str">
        <f>IF(YEAR(S$4)='Input|General'!$G$12,S$4,"")</f>
        <v/>
      </c>
      <c r="T50" s="29"/>
      <c r="U50" s="29"/>
      <c r="V50" s="29"/>
      <c r="W50" s="29"/>
    </row>
    <row r="51" spans="1:23">
      <c r="A51" s="29"/>
      <c r="B51" s="29"/>
      <c r="C51" s="68"/>
      <c r="D51" s="32"/>
      <c r="E51" s="32"/>
      <c r="F51" s="32"/>
      <c r="G51" s="32"/>
      <c r="H51" s="32"/>
      <c r="I51" s="32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29"/>
      <c r="U51" s="29"/>
      <c r="V51" s="29"/>
      <c r="W51" s="29"/>
    </row>
    <row r="52" spans="1:23">
      <c r="A52" s="29"/>
      <c r="B52" s="29"/>
      <c r="C52" s="61" t="s">
        <v>129</v>
      </c>
      <c r="D52" s="30" t="s">
        <v>34</v>
      </c>
      <c r="E52" s="30" t="str">
        <f>$E$46</f>
        <v>$millions</v>
      </c>
      <c r="F52" s="165">
        <f t="shared" ref="F52:F56" si="7">$F$24</f>
        <v>41244</v>
      </c>
      <c r="G52" s="32"/>
      <c r="H52" s="32"/>
      <c r="I52" s="32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27"/>
      <c r="U52" s="145"/>
      <c r="V52" s="145"/>
      <c r="W52" s="29"/>
    </row>
    <row r="53" spans="1:23">
      <c r="A53" s="29"/>
      <c r="B53" s="29"/>
      <c r="C53" s="61" t="s">
        <v>130</v>
      </c>
      <c r="D53" s="30" t="s">
        <v>34</v>
      </c>
      <c r="E53" s="30" t="str">
        <f t="shared" ref="E53:E56" si="8">$E$46</f>
        <v>$millions</v>
      </c>
      <c r="F53" s="165">
        <f t="shared" si="7"/>
        <v>41244</v>
      </c>
      <c r="G53" s="32"/>
      <c r="H53" s="32"/>
      <c r="I53" s="32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27"/>
      <c r="U53" s="145"/>
      <c r="V53" s="145"/>
      <c r="W53" s="29"/>
    </row>
    <row r="54" spans="1:23">
      <c r="A54" s="29"/>
      <c r="B54" s="29"/>
      <c r="C54" s="61" t="s">
        <v>131</v>
      </c>
      <c r="D54" s="30" t="s">
        <v>34</v>
      </c>
      <c r="E54" s="30" t="str">
        <f t="shared" si="8"/>
        <v>$millions</v>
      </c>
      <c r="F54" s="165">
        <f t="shared" si="7"/>
        <v>41244</v>
      </c>
      <c r="G54" s="32"/>
      <c r="H54" s="32"/>
      <c r="I54" s="32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27"/>
      <c r="U54" s="145"/>
      <c r="V54" s="145"/>
      <c r="W54" s="29"/>
    </row>
    <row r="55" spans="1:23">
      <c r="A55" s="29"/>
      <c r="B55" s="29"/>
      <c r="C55" s="61" t="s">
        <v>132</v>
      </c>
      <c r="D55" s="30" t="s">
        <v>34</v>
      </c>
      <c r="E55" s="30" t="str">
        <f t="shared" si="8"/>
        <v>$millions</v>
      </c>
      <c r="F55" s="165">
        <f t="shared" si="7"/>
        <v>41244</v>
      </c>
      <c r="G55" s="32"/>
      <c r="H55" s="32"/>
      <c r="I55" s="32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27"/>
      <c r="U55" s="145"/>
      <c r="V55" s="145"/>
      <c r="W55" s="29"/>
    </row>
    <row r="56" spans="1:23">
      <c r="A56" s="29"/>
      <c r="B56" s="29"/>
      <c r="C56" s="61" t="s">
        <v>133</v>
      </c>
      <c r="D56" s="30" t="s">
        <v>34</v>
      </c>
      <c r="E56" s="30" t="str">
        <f t="shared" si="8"/>
        <v>$millions</v>
      </c>
      <c r="F56" s="165">
        <f t="shared" si="7"/>
        <v>41244</v>
      </c>
      <c r="G56" s="32"/>
      <c r="H56" s="32"/>
      <c r="I56" s="32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27"/>
      <c r="U56" s="145"/>
      <c r="V56" s="145"/>
      <c r="W56" s="29"/>
    </row>
    <row r="57" spans="1:23">
      <c r="A57" s="29"/>
      <c r="B57" s="29"/>
      <c r="C57" s="61" t="s">
        <v>97</v>
      </c>
      <c r="D57" s="30" t="s">
        <v>34</v>
      </c>
      <c r="E57" s="30" t="s">
        <v>31</v>
      </c>
      <c r="F57" s="32"/>
      <c r="G57" s="32"/>
      <c r="H57" s="32"/>
      <c r="I57" s="32"/>
      <c r="J57" s="29"/>
      <c r="K57" s="180"/>
      <c r="L57" s="180"/>
      <c r="M57" s="180"/>
      <c r="N57" s="181"/>
      <c r="O57" s="146"/>
      <c r="P57" s="180"/>
      <c r="Q57" s="180"/>
      <c r="R57" s="180"/>
      <c r="S57" s="180"/>
      <c r="T57" s="127"/>
      <c r="U57" s="145"/>
      <c r="V57" s="145"/>
      <c r="W57" s="29"/>
    </row>
    <row r="58" spans="1:23">
      <c r="A58" s="29"/>
      <c r="B58" s="29"/>
      <c r="C58" s="114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12.75">
      <c r="A59" s="97"/>
      <c r="B59" s="98" t="s">
        <v>21</v>
      </c>
      <c r="C59" s="97"/>
      <c r="D59" s="97"/>
      <c r="E59" s="97"/>
      <c r="F59" s="99"/>
      <c r="G59" s="99"/>
      <c r="H59" s="99"/>
      <c r="I59" s="99"/>
      <c r="J59" s="100"/>
      <c r="K59" s="101"/>
      <c r="L59" s="100"/>
      <c r="M59" s="101"/>
      <c r="N59" s="100"/>
      <c r="O59" s="100"/>
      <c r="P59" s="100"/>
      <c r="Q59" s="100"/>
      <c r="R59" s="100"/>
      <c r="S59" s="100"/>
      <c r="T59" s="100"/>
      <c r="U59" s="100"/>
      <c r="V59" s="101"/>
      <c r="W59" s="101"/>
    </row>
  </sheetData>
  <conditionalFormatting sqref="W32:W37 W41:W44">
    <cfRule type="cellIs" dxfId="154" priority="16" operator="equal">
      <formula>"Check"</formula>
    </cfRule>
    <cfRule type="cellIs" dxfId="153" priority="17" operator="equal">
      <formula>"Ok"</formula>
    </cfRule>
  </conditionalFormatting>
  <conditionalFormatting sqref="W46">
    <cfRule type="cellIs" dxfId="152" priority="14" operator="equal">
      <formula>"Check"</formula>
    </cfRule>
    <cfRule type="cellIs" dxfId="151" priority="15" operator="equal">
      <formula>"Ok"</formula>
    </cfRule>
  </conditionalFormatting>
  <conditionalFormatting sqref="W24">
    <cfRule type="cellIs" dxfId="150" priority="12" operator="equal">
      <formula>"Check"</formula>
    </cfRule>
    <cfRule type="cellIs" dxfId="149" priority="13" operator="equal">
      <formula>"Ok"</formula>
    </cfRule>
  </conditionalFormatting>
  <conditionalFormatting sqref="V1">
    <cfRule type="cellIs" dxfId="148" priority="10" operator="equal">
      <formula>"Check"</formula>
    </cfRule>
    <cfRule type="cellIs" dxfId="147" priority="11" operator="equal">
      <formula>"Ok"</formula>
    </cfRule>
  </conditionalFormatting>
  <conditionalFormatting sqref="S1">
    <cfRule type="cellIs" dxfId="146" priority="8" operator="equal">
      <formula>"Check"</formula>
    </cfRule>
    <cfRule type="cellIs" dxfId="145" priority="9" operator="equal">
      <formula>"Ok"</formula>
    </cfRule>
  </conditionalFormatting>
  <conditionalFormatting sqref="J24:S24">
    <cfRule type="cellIs" dxfId="144" priority="7" operator="equal">
      <formula>0</formula>
    </cfRule>
  </conditionalFormatting>
  <conditionalFormatting sqref="J46:S46">
    <cfRule type="cellIs" dxfId="143" priority="6" operator="equal">
      <formula>0</formula>
    </cfRule>
  </conditionalFormatting>
  <conditionalFormatting sqref="W38:W40">
    <cfRule type="cellIs" dxfId="142" priority="4" operator="equal">
      <formula>"Check"</formula>
    </cfRule>
    <cfRule type="cellIs" dxfId="141" priority="5" operator="equal">
      <formula>"Ok"</formula>
    </cfRule>
  </conditionalFormatting>
  <conditionalFormatting sqref="J52:S57">
    <cfRule type="expression" dxfId="140" priority="3">
      <formula>J$50=J$4</formula>
    </cfRule>
  </conditionalFormatting>
  <conditionalFormatting sqref="J41:S44 J32:S37">
    <cfRule type="expression" dxfId="139" priority="2">
      <formula>J$29=J$4</formula>
    </cfRule>
  </conditionalFormatting>
  <conditionalFormatting sqref="J13:S22">
    <cfRule type="expression" dxfId="138" priority="1">
      <formula>J$10=J$4</formula>
    </cfRule>
  </conditionalFormatting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'Lookup|Tables'!$C$41:$C$61</xm:f>
          </x14:formula1>
          <xm:sqref>F24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63"/>
  <sheetViews>
    <sheetView showGridLines="0" workbookViewId="0">
      <selection activeCell="V1" sqref="V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73"/>
      <c r="K1" s="37" t="s">
        <v>2</v>
      </c>
      <c r="M1" s="74" t="s">
        <v>3</v>
      </c>
      <c r="N1" s="75" t="s">
        <v>4</v>
      </c>
      <c r="O1" s="76" t="s">
        <v>5</v>
      </c>
      <c r="P1" s="77" t="s">
        <v>6</v>
      </c>
      <c r="S1" s="74" t="s">
        <v>90</v>
      </c>
      <c r="T1" s="78" t="str">
        <f>IF(COUNTIF(W5:W100,"Check")=0,"Ok","Check")</f>
        <v>Ok</v>
      </c>
      <c r="V1" s="190" t="s">
        <v>24</v>
      </c>
      <c r="W1" s="78" t="str">
        <f>'Check|List'!$S$1</f>
        <v>Ok</v>
      </c>
    </row>
    <row r="2" spans="1:50" s="79" customFormat="1" ht="13.5" thickBot="1">
      <c r="B2" s="80" t="str">
        <f>Index!$C$10</f>
        <v>Input | Rate of change</v>
      </c>
      <c r="C2" s="80"/>
      <c r="D2" s="80"/>
      <c r="E2" s="80"/>
      <c r="F2" s="81"/>
      <c r="G2" s="81"/>
      <c r="H2" s="81"/>
      <c r="I2" s="81"/>
      <c r="J2" s="81"/>
    </row>
    <row r="3" spans="1:50" s="82" customFormat="1">
      <c r="C3" s="83"/>
      <c r="D3" s="84"/>
      <c r="E3" s="84"/>
      <c r="F3" s="84"/>
      <c r="G3" s="84"/>
      <c r="H3" s="84"/>
      <c r="I3" s="84"/>
      <c r="J3" s="162" t="s">
        <v>138</v>
      </c>
      <c r="K3" s="195"/>
      <c r="L3" s="195"/>
      <c r="M3" s="195"/>
      <c r="N3" s="84"/>
      <c r="O3" s="195"/>
      <c r="P3" s="195"/>
      <c r="Q3" s="195"/>
      <c r="R3" s="195"/>
      <c r="S3" s="195"/>
      <c r="T3" s="195"/>
      <c r="U3" s="85"/>
      <c r="V3" s="85"/>
      <c r="W3" s="85"/>
      <c r="X3" s="85"/>
      <c r="Y3" s="85"/>
      <c r="Z3" s="85"/>
      <c r="AA3" s="85"/>
      <c r="AB3" s="85"/>
      <c r="AC3" s="85"/>
    </row>
    <row r="4" spans="1:50" s="96" customFormat="1" ht="10.5">
      <c r="A4" s="86"/>
      <c r="B4" s="86"/>
      <c r="C4" s="86"/>
      <c r="D4" s="87" t="s">
        <v>7</v>
      </c>
      <c r="E4" s="87" t="s">
        <v>8</v>
      </c>
      <c r="F4" s="88" t="s">
        <v>22</v>
      </c>
      <c r="G4" s="89"/>
      <c r="H4" s="89"/>
      <c r="I4" s="89"/>
      <c r="J4" s="160">
        <f>DATE('Input|General'!$G$10-1,MONTH('Input|General'!$G$9),1)</f>
        <v>41244</v>
      </c>
      <c r="K4" s="160">
        <f>DATE('Input|General'!$G$10,MONTH('Input|General'!$G$9),1)</f>
        <v>41609</v>
      </c>
      <c r="L4" s="160">
        <f>IF(DATE('Input|General'!$G$10+1,MONTH('Input|General'!$G$9),1)&lt;=DATE('Input|General'!$G$14,MONTH('Input|General'!$G$9),1),DATE('Input|General'!$G$10+1,MONTH('Input|General'!$G$9),1),"")</f>
        <v>41974</v>
      </c>
      <c r="M4" s="160">
        <f>IF(DATE('Input|General'!$G$10+2,MONTH('Input|General'!$G$9),1)&lt;=DATE('Input|General'!$G$14,MONTH('Input|General'!$G$9),1),DATE('Input|General'!$G$10+2,MONTH('Input|General'!$G$9),1),"")</f>
        <v>42339</v>
      </c>
      <c r="N4" s="160">
        <f>IF(DATE('Input|General'!$G$10+3,MONTH('Input|General'!$G$9),1)&lt;=DATE('Input|General'!$G$14,MONTH('Input|General'!$G$9),1),DATE('Input|General'!$G$10+3,MONTH('Input|General'!$G$9),1),"")</f>
        <v>42705</v>
      </c>
      <c r="O4" s="160">
        <f>IF(DATE('Input|General'!$G$10+4,MONTH('Input|General'!$G$9),1)&lt;=DATE('Input|General'!$G$14,MONTH('Input|General'!$G$9),1),DATE('Input|General'!$G$10+4,MONTH('Input|General'!$G$9),1),"")</f>
        <v>43070</v>
      </c>
      <c r="P4" s="160">
        <f>IF(DATE('Input|General'!$G$10+5,MONTH('Input|General'!$G$9),1)&lt;=DATE('Input|General'!$G$14,MONTH('Input|General'!$G$9),1),DATE('Input|General'!$G$10+5,MONTH('Input|General'!$G$9),1),"")</f>
        <v>43435</v>
      </c>
      <c r="Q4" s="160">
        <f>IF(DATE('Input|General'!$G$10+6,MONTH('Input|General'!$G$9),1)&lt;=DATE('Input|General'!$G$14,MONTH('Input|General'!$G$9),1),DATE('Input|General'!$G$10+6,MONTH('Input|General'!$G$9),1),"")</f>
        <v>43800</v>
      </c>
      <c r="R4" s="160">
        <f>IF(DATE('Input|General'!$G$10+7,MONTH('Input|General'!$G$9),1)&lt;=DATE('Input|General'!$G$14,MONTH('Input|General'!$G$9),1),DATE('Input|General'!$G$10+7,MONTH('Input|General'!$G$9),1),"")</f>
        <v>44166</v>
      </c>
      <c r="S4" s="160">
        <f>IF(DATE('Input|General'!$G$10+8,MONTH('Input|General'!$G$9),1)&lt;=DATE('Input|General'!$G$14,MONTH('Input|General'!$G$9),1),DATE('Input|General'!$G$10+8,MONTH('Input|General'!$G$9),1),"")</f>
        <v>44531</v>
      </c>
      <c r="T4" s="160">
        <f>IF(DATE('Input|General'!$G$10+9,MONTH('Input|General'!$G$9),1)&lt;=DATE('Input|General'!$G$14,MONTH('Input|General'!$G$9),1),DATE('Input|General'!$G$10+9,MONTH('Input|General'!$G$9),1),"")</f>
        <v>44896</v>
      </c>
      <c r="U4" s="90"/>
      <c r="V4" s="90"/>
      <c r="W4" s="91"/>
      <c r="X4" s="92"/>
      <c r="Y4" s="92"/>
      <c r="Z4" s="92"/>
      <c r="AA4" s="92"/>
      <c r="AB4" s="92"/>
      <c r="AC4" s="92"/>
      <c r="AD4" s="92"/>
      <c r="AE4" s="93"/>
      <c r="AF4" s="94"/>
      <c r="AG4" s="94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6" customFormat="1" ht="12.75">
      <c r="A8" s="97"/>
      <c r="B8" s="98" t="s">
        <v>35</v>
      </c>
      <c r="C8" s="97"/>
      <c r="D8" s="97"/>
      <c r="E8" s="97"/>
      <c r="F8" s="99"/>
      <c r="G8" s="99"/>
      <c r="H8" s="99"/>
      <c r="I8" s="99"/>
      <c r="J8" s="99"/>
      <c r="K8" s="100"/>
      <c r="L8" s="101"/>
      <c r="M8" s="100"/>
      <c r="N8" s="101"/>
      <c r="O8" s="100"/>
      <c r="P8" s="100"/>
      <c r="Q8" s="100"/>
      <c r="R8" s="100"/>
      <c r="S8" s="100"/>
      <c r="T8" s="100"/>
      <c r="U8" s="100"/>
      <c r="V8" s="100"/>
      <c r="W8" s="101"/>
      <c r="X8" s="102"/>
      <c r="Y8" s="102"/>
      <c r="Z8" s="102"/>
      <c r="AA8" s="102"/>
      <c r="AB8" s="102"/>
      <c r="AC8" s="102"/>
      <c r="AD8" s="102"/>
      <c r="AE8" s="103"/>
      <c r="AF8" s="104"/>
      <c r="AG8" s="104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</row>
    <row r="9" spans="1:50" ht="11.25" customHeight="1" outlineLevel="1"/>
    <row r="10" spans="1:50" ht="11.25" customHeight="1" outlineLevel="1">
      <c r="C10" s="68" t="s">
        <v>33</v>
      </c>
      <c r="J10" s="167">
        <f>IF(J$4&lt;=DATE('Input|General'!$G$12,MONTH('Input|General'!$G$9),1),'Input|Rate of change'!J$4,"")</f>
        <v>41244</v>
      </c>
      <c r="K10" s="167">
        <f>IF(K$4&lt;=DATE('Input|General'!$G$12,MONTH('Input|General'!$G$9),1),'Input|Rate of change'!K$4,"")</f>
        <v>41609</v>
      </c>
      <c r="L10" s="167">
        <f>IF(L$4&lt;=DATE('Input|General'!$G$12,MONTH('Input|General'!$G$9),1),'Input|Rate of change'!L$4,"")</f>
        <v>41974</v>
      </c>
      <c r="M10" s="167">
        <f>IF(M$4&lt;=DATE('Input|General'!$G$12,MONTH('Input|General'!$G$9),1),'Input|Rate of change'!M$4,"")</f>
        <v>42339</v>
      </c>
      <c r="N10" s="167">
        <f>IF(N$4&lt;=DATE('Input|General'!$G$12,MONTH('Input|General'!$G$9),1),'Input|Rate of change'!N$4,"")</f>
        <v>42705</v>
      </c>
      <c r="O10" s="167">
        <f>IF(O$4&lt;=DATE('Input|General'!$G$12,MONTH('Input|General'!$G$9),1),'Input|Rate of change'!O$4,"")</f>
        <v>43070</v>
      </c>
      <c r="P10" s="167" t="str">
        <f>IF(P$4&lt;=DATE('Input|General'!$G$12,MONTH('Input|General'!$G$9),1),'Input|Rate of change'!P$4,"")</f>
        <v/>
      </c>
      <c r="Q10" s="167" t="str">
        <f>IF(Q$4&lt;=DATE('Input|General'!$G$12,MONTH('Input|General'!$G$9),1),'Input|Rate of change'!Q$4,"")</f>
        <v/>
      </c>
      <c r="R10" s="167" t="str">
        <f>IF(R$4&lt;=DATE('Input|General'!$G$12,MONTH('Input|General'!$G$9),1),'Input|Rate of change'!R$4,"")</f>
        <v/>
      </c>
      <c r="S10" s="167" t="str">
        <f>IF(S$4&lt;=DATE('Input|General'!$G$12,MONTH('Input|General'!$G$9),1),'Input|Rate of change'!S$4,"")</f>
        <v/>
      </c>
      <c r="T10" s="167" t="str">
        <f>IF(T$4&lt;=DATE('Input|General'!$G$12,MONTH('Input|General'!$G$9),1),'Input|Rate of change'!T$4,"")</f>
        <v/>
      </c>
    </row>
    <row r="11" spans="1:50" ht="11.25" customHeight="1" outlineLevel="1">
      <c r="C11" s="68"/>
      <c r="J11" s="29"/>
      <c r="P11" s="146"/>
      <c r="Q11" s="146"/>
      <c r="R11" s="146"/>
      <c r="S11" s="146"/>
      <c r="T11" s="146"/>
      <c r="U11" s="123"/>
      <c r="V11" s="123"/>
      <c r="W11" s="123"/>
    </row>
    <row r="12" spans="1:50" ht="11.25" customHeight="1" outlineLevel="1">
      <c r="C12" s="114" t="s">
        <v>33</v>
      </c>
      <c r="D12" s="147" t="s">
        <v>110</v>
      </c>
      <c r="E12" s="30" t="str">
        <f>percent</f>
        <v>Per cent</v>
      </c>
      <c r="J12" s="146">
        <f>IF(J10=J4,LOOKUP(EOMONTH(J4,0),'Input|Inflation'!$C$9:$C$64,'Input|Inflation'!$G$9:$G$64),"")</f>
        <v>2.2044088176352838E-2</v>
      </c>
      <c r="K12" s="146">
        <f>IF(K10=K4,LOOKUP(EOMONTH(K4,0),'Input|Inflation'!$C$9:$C$64,'Input|Inflation'!$G$9:$G$64),"")</f>
        <v>2.7450980392156765E-2</v>
      </c>
      <c r="L12" s="146">
        <f>IF(L10=L4,LOOKUP(EOMONTH(L4,0),'Input|Inflation'!$C$9:$C$64,'Input|Inflation'!$G$9:$G$64),"")</f>
        <v>1.7175572519083859E-2</v>
      </c>
      <c r="M12" s="146">
        <f>IF(M10=M4,LOOKUP(EOMONTH(M4,0),'Input|Inflation'!$C$9:$C$64,'Input|Inflation'!$G$9:$G$64),"")</f>
        <v>1.6885553470919357E-2</v>
      </c>
      <c r="N12" s="146">
        <f>IF(N10=N4,LOOKUP(EOMONTH(N4,0),'Input|Inflation'!$C$9:$C$64,'Input|Inflation'!$G$9:$G$64),"")</f>
        <v>1.4760147601476037E-2</v>
      </c>
      <c r="O12" s="146">
        <f>IF(O10=O4,LOOKUP(EOMONTH(O4,0),'Input|Inflation'!$C$9:$C$64,'Input|Inflation'!$G$9:$G$64),"")</f>
        <v>2.0000000000000018E-2</v>
      </c>
      <c r="P12" s="146" t="str">
        <f>IF(P10=P4,LOOKUP(EOMONTH(P4,0),'Input|Inflation'!$C$9:$C$64,'Input|Inflation'!$G$9:$G$64),"")</f>
        <v/>
      </c>
      <c r="Q12" s="146" t="str">
        <f>IF(Q10=Q4,LOOKUP(EOMONTH(Q4,0),'Input|Inflation'!$C$9:$C$64,'Input|Inflation'!$G$9:$G$64),"")</f>
        <v/>
      </c>
      <c r="R12" s="146" t="str">
        <f>IF(R10=R4,LOOKUP(EOMONTH(R4,0),'Input|Inflation'!$C$9:$C$64,'Input|Inflation'!$G$9:$G$64),"")</f>
        <v/>
      </c>
      <c r="S12" s="146" t="str">
        <f>IF(S10=S4,LOOKUP(EOMONTH(S4,0),'Input|Inflation'!$C$9:$C$64,'Input|Inflation'!$G$9:$G$64),"")</f>
        <v/>
      </c>
      <c r="T12" s="146" t="str">
        <f>IF(T10=T4,LOOKUP(EOMONTH(T4,0),'Input|Inflation'!$C$9:$C$64,'Input|Inflation'!$G$9:$G$64),"")</f>
        <v/>
      </c>
      <c r="U12" s="148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8" t="s">
        <v>111</v>
      </c>
      <c r="I14" s="29"/>
      <c r="J14" s="167">
        <f>IF(J$4&lt;=DATE('Input|General'!$G$12,MONTH('Input|General'!$G$9),1),'Input|Rate of change'!J$4,"")</f>
        <v>41244</v>
      </c>
      <c r="K14" s="167">
        <f>IF(K$4&lt;=DATE('Input|General'!$G$12,MONTH('Input|General'!$G$9),1),'Input|Rate of change'!K$4,"")</f>
        <v>41609</v>
      </c>
      <c r="L14" s="167">
        <f>IF(L$4&lt;=DATE('Input|General'!$G$12,MONTH('Input|General'!$G$9),1),'Input|Rate of change'!L$4,"")</f>
        <v>41974</v>
      </c>
      <c r="M14" s="167">
        <f>IF(M$4&lt;=DATE('Input|General'!$G$12,MONTH('Input|General'!$G$9),1),'Input|Rate of change'!M$4,"")</f>
        <v>42339</v>
      </c>
      <c r="N14" s="167">
        <f>IF(N$4&lt;=DATE('Input|General'!$G$12,MONTH('Input|General'!$G$9),1),'Input|Rate of change'!N$4,"")</f>
        <v>42705</v>
      </c>
      <c r="O14" s="167">
        <f>IF(O$4&lt;=DATE('Input|General'!$G$12,MONTH('Input|General'!$G$9),1),'Input|Rate of change'!O$4,"")</f>
        <v>43070</v>
      </c>
      <c r="P14" s="167" t="str">
        <f>IF(P$4&lt;=DATE('Input|General'!$G$12,MONTH('Input|General'!$G$9),1),'Input|Rate of change'!P$4,"")</f>
        <v/>
      </c>
      <c r="Q14" s="167" t="str">
        <f>IF(Q$4&lt;=DATE('Input|General'!$G$12,MONTH('Input|General'!$G$9),1),'Input|Rate of change'!Q$4,"")</f>
        <v/>
      </c>
      <c r="R14" s="167" t="str">
        <f>IF(R$4&lt;=DATE('Input|General'!$G$12,MONTH('Input|General'!$G$9),1),'Input|Rate of change'!R$4,"")</f>
        <v/>
      </c>
      <c r="S14" s="167" t="str">
        <f>IF(S$4&lt;=DATE('Input|General'!$G$12,MONTH('Input|General'!$G$9),1),'Input|Rate of change'!S$4,"")</f>
        <v/>
      </c>
      <c r="T14" s="167" t="str">
        <f>IF(T$4&lt;=DATE('Input|General'!$G$12,MONTH('Input|General'!$G$9),1),'Input|Rate of change'!T$4,"")</f>
        <v/>
      </c>
    </row>
    <row r="15" spans="1:50" ht="11.25" customHeight="1" outlineLevel="1">
      <c r="C15" s="68"/>
      <c r="I15" s="29"/>
      <c r="J15" s="123"/>
      <c r="K15" s="123"/>
      <c r="L15" s="123"/>
      <c r="M15" s="123"/>
      <c r="N15" s="123"/>
      <c r="O15" s="123"/>
      <c r="P15" s="26"/>
      <c r="Q15" s="26"/>
      <c r="R15" s="26"/>
      <c r="S15" s="26"/>
      <c r="T15" s="26"/>
    </row>
    <row r="16" spans="1:50" ht="11.25" customHeight="1" outlineLevel="1">
      <c r="C16" s="170">
        <f t="array" ref="C16:C21">TRANSPOSE(J10:O10)</f>
        <v>41244</v>
      </c>
      <c r="D16" s="147" t="s">
        <v>110</v>
      </c>
      <c r="E16" s="30" t="s">
        <v>91</v>
      </c>
      <c r="J16" s="22">
        <v>1</v>
      </c>
      <c r="K16" s="22">
        <f t="shared" ref="K16:N16" si="0">J16*(1+K$12)</f>
        <v>1.0274509803921568</v>
      </c>
      <c r="L16" s="22">
        <f t="shared" si="0"/>
        <v>1.0450980392156861</v>
      </c>
      <c r="M16" s="22">
        <f t="shared" si="0"/>
        <v>1.0627450980392155</v>
      </c>
      <c r="N16" s="22">
        <f t="shared" si="0"/>
        <v>1.0784313725490193</v>
      </c>
      <c r="O16" s="22">
        <f>N16*(1+O$12)</f>
        <v>1.0999999999999996</v>
      </c>
      <c r="P16" s="145"/>
    </row>
    <row r="17" spans="1:50" ht="11.25" customHeight="1" outlineLevel="1">
      <c r="C17" s="170">
        <v>41609</v>
      </c>
      <c r="D17" s="147" t="s">
        <v>110</v>
      </c>
      <c r="E17" s="30" t="s">
        <v>91</v>
      </c>
      <c r="I17" s="22"/>
      <c r="J17" s="22">
        <f>K17/(1+K$12)</f>
        <v>0.97328244274809173</v>
      </c>
      <c r="K17" s="22">
        <v>1</v>
      </c>
      <c r="L17" s="22">
        <f>K17*(1+L$12)</f>
        <v>1.0171755725190839</v>
      </c>
      <c r="M17" s="22">
        <f t="shared" ref="M17:O17" si="1">L17*(1+M$12)</f>
        <v>1.0343511450381679</v>
      </c>
      <c r="N17" s="22">
        <f t="shared" si="1"/>
        <v>1.0496183206106871</v>
      </c>
      <c r="O17" s="22">
        <f t="shared" si="1"/>
        <v>1.0706106870229009</v>
      </c>
      <c r="P17" s="145"/>
    </row>
    <row r="18" spans="1:50" ht="11.25" customHeight="1" outlineLevel="1">
      <c r="C18" s="170">
        <v>41974</v>
      </c>
      <c r="D18" s="147" t="s">
        <v>110</v>
      </c>
      <c r="E18" s="30" t="s">
        <v>91</v>
      </c>
      <c r="I18" s="22"/>
      <c r="J18" s="22">
        <f>K18/(1+K$12)</f>
        <v>0.95684803001876184</v>
      </c>
      <c r="K18" s="22">
        <f>L18/(1+L$12)</f>
        <v>0.98311444652908075</v>
      </c>
      <c r="L18" s="22">
        <v>1</v>
      </c>
      <c r="M18" s="22">
        <f t="shared" ref="M18:O18" si="2">L18*(1+M$12)</f>
        <v>1.0168855534709194</v>
      </c>
      <c r="N18" s="22">
        <f t="shared" si="2"/>
        <v>1.0318949343339587</v>
      </c>
      <c r="O18" s="22">
        <f t="shared" si="2"/>
        <v>1.0525328330206378</v>
      </c>
      <c r="P18" s="145"/>
    </row>
    <row r="19" spans="1:50" ht="11.25" customHeight="1" outlineLevel="1">
      <c r="C19" s="170">
        <v>42339</v>
      </c>
      <c r="D19" s="147" t="s">
        <v>110</v>
      </c>
      <c r="E19" s="30" t="s">
        <v>91</v>
      </c>
      <c r="I19" s="22"/>
      <c r="J19" s="22">
        <f t="shared" ref="J19:N21" si="3">K19/(1+K$12)</f>
        <v>0.94095940959409619</v>
      </c>
      <c r="K19" s="22">
        <f t="shared" si="3"/>
        <v>0.96678966789667908</v>
      </c>
      <c r="L19" s="22">
        <f t="shared" si="3"/>
        <v>0.98339483394833949</v>
      </c>
      <c r="M19" s="22">
        <v>1</v>
      </c>
      <c r="N19" s="22">
        <f t="shared" ref="N19:O19" si="4">M19*(1+N$12)</f>
        <v>1.014760147601476</v>
      </c>
      <c r="O19" s="22">
        <f t="shared" si="4"/>
        <v>1.0350553505535056</v>
      </c>
      <c r="P19" s="145"/>
    </row>
    <row r="20" spans="1:50" ht="11.25" customHeight="1" outlineLevel="1">
      <c r="C20" s="170">
        <v>42705</v>
      </c>
      <c r="D20" s="147" t="s">
        <v>110</v>
      </c>
      <c r="E20" s="30" t="s">
        <v>91</v>
      </c>
      <c r="I20" s="22"/>
      <c r="J20" s="22">
        <f t="shared" si="3"/>
        <v>0.92727272727272747</v>
      </c>
      <c r="K20" s="22">
        <f t="shared" si="3"/>
        <v>0.95272727272727287</v>
      </c>
      <c r="L20" s="22">
        <f t="shared" si="3"/>
        <v>0.96909090909090911</v>
      </c>
      <c r="M20" s="22">
        <f t="shared" si="3"/>
        <v>0.98545454545454547</v>
      </c>
      <c r="N20" s="22">
        <v>1</v>
      </c>
      <c r="O20" s="22">
        <f t="shared" ref="O20" si="5">N20*(1+O$12)</f>
        <v>1.02</v>
      </c>
      <c r="P20" s="145"/>
      <c r="Q20" s="149"/>
    </row>
    <row r="21" spans="1:50" ht="11.25" customHeight="1" outlineLevel="1">
      <c r="C21" s="170">
        <v>43070</v>
      </c>
      <c r="D21" s="147" t="s">
        <v>110</v>
      </c>
      <c r="E21" s="30" t="s">
        <v>91</v>
      </c>
      <c r="I21" s="22"/>
      <c r="J21" s="22">
        <f t="shared" si="3"/>
        <v>0.90909090909090917</v>
      </c>
      <c r="K21" s="22">
        <f t="shared" si="3"/>
        <v>0.93404634581105173</v>
      </c>
      <c r="L21" s="22">
        <f t="shared" si="3"/>
        <v>0.95008912655971467</v>
      </c>
      <c r="M21" s="22">
        <f t="shared" si="3"/>
        <v>0.96613190730837784</v>
      </c>
      <c r="N21" s="22">
        <f t="shared" si="3"/>
        <v>0.98039215686274506</v>
      </c>
      <c r="O21" s="22">
        <v>1</v>
      </c>
    </row>
    <row r="22" spans="1:50" ht="11.25" customHeight="1" outlineLevel="1">
      <c r="C22" s="114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8" t="s">
        <v>47</v>
      </c>
      <c r="J23" s="167">
        <f>IF(J$4&lt;=DATE('Input|General'!$G$12,MONTH('Input|General'!$G$9),1),'Input|Rate of change'!J$4,"")</f>
        <v>41244</v>
      </c>
      <c r="K23" s="167">
        <f>IF(K$4&lt;=DATE('Input|General'!$G$12,MONTH('Input|General'!$G$9),1),'Input|Rate of change'!K$4,"")</f>
        <v>41609</v>
      </c>
      <c r="L23" s="167">
        <f>IF(L$4&lt;=DATE('Input|General'!$G$12,MONTH('Input|General'!$G$9),1),'Input|Rate of change'!L$4,"")</f>
        <v>41974</v>
      </c>
      <c r="M23" s="167">
        <f>IF(M$4&lt;=DATE('Input|General'!$G$12,MONTH('Input|General'!$G$9),1),'Input|Rate of change'!M$4,"")</f>
        <v>42339</v>
      </c>
      <c r="N23" s="167">
        <f>IF(N$4&lt;=DATE('Input|General'!$G$12,MONTH('Input|General'!$G$9),1),'Input|Rate of change'!N$4,"")</f>
        <v>42705</v>
      </c>
      <c r="O23" s="167">
        <f>IF(O$4&lt;=DATE('Input|General'!$G$12,MONTH('Input|General'!$G$9),1),'Input|Rate of change'!O$4,"")</f>
        <v>43070</v>
      </c>
      <c r="P23" s="167" t="str">
        <f>IF(P$4&lt;=DATE('Input|General'!$G$12,MONTH('Input|General'!$G$9),1),'Input|Rate of change'!P$4,"")</f>
        <v/>
      </c>
      <c r="Q23" s="167" t="str">
        <f>IF(Q$4&lt;=DATE('Input|General'!$G$12,MONTH('Input|General'!$G$9),1),'Input|Rate of change'!Q$4,"")</f>
        <v/>
      </c>
      <c r="R23" s="167" t="str">
        <f>IF(R$4&lt;=DATE('Input|General'!$G$12,MONTH('Input|General'!$G$9),1),'Input|Rate of change'!R$4,"")</f>
        <v/>
      </c>
      <c r="S23" s="167" t="str">
        <f>IF(S$4&lt;=DATE('Input|General'!$G$12,MONTH('Input|General'!$G$9),1),'Input|Rate of change'!S$4,"")</f>
        <v/>
      </c>
      <c r="T23" s="167" t="str">
        <f>IF(T$4&lt;=DATE('Input|General'!$G$12,MONTH('Input|General'!$G$9),1),'Input|Rate of change'!T$4,"")</f>
        <v/>
      </c>
    </row>
    <row r="24" spans="1:50" ht="11.25" customHeight="1" outlineLevel="1">
      <c r="C24" s="114"/>
      <c r="J24" s="29"/>
      <c r="P24" s="145"/>
      <c r="Q24" s="22"/>
      <c r="R24" s="22"/>
      <c r="S24" s="22"/>
      <c r="T24" s="22"/>
    </row>
    <row r="25" spans="1:50" ht="11.25" customHeight="1" outlineLevel="1">
      <c r="C25" s="170">
        <f t="array" ref="C25:C30">TRANSPOSE(J10:O10)</f>
        <v>41244</v>
      </c>
      <c r="D25" s="147" t="s">
        <v>110</v>
      </c>
      <c r="E25" s="30" t="s">
        <v>91</v>
      </c>
      <c r="I25" s="22"/>
      <c r="J25" s="22">
        <f t="shared" ref="J25:O30" si="6">1/J16*(1+J$12)^0.5</f>
        <v>1.0109619617850876</v>
      </c>
      <c r="K25" s="22">
        <f t="shared" si="6"/>
        <v>0.98655078062312229</v>
      </c>
      <c r="L25" s="22">
        <f t="shared" si="6"/>
        <v>0.96503025237313667</v>
      </c>
      <c r="M25" s="22">
        <f t="shared" si="6"/>
        <v>0.94887046397162589</v>
      </c>
      <c r="N25" s="22">
        <f t="shared" si="6"/>
        <v>0.93409100091332264</v>
      </c>
      <c r="O25" s="22">
        <f t="shared" si="6"/>
        <v>0.9181368125783711</v>
      </c>
      <c r="P25" s="145"/>
      <c r="Q25" s="149"/>
      <c r="R25" s="149"/>
      <c r="S25" s="149"/>
      <c r="T25" s="149"/>
      <c r="U25" s="149"/>
      <c r="V25" s="149"/>
    </row>
    <row r="26" spans="1:50" ht="11.25" customHeight="1" outlineLevel="1">
      <c r="C26" s="170">
        <v>41609</v>
      </c>
      <c r="D26" s="147" t="s">
        <v>110</v>
      </c>
      <c r="E26" s="30" t="s">
        <v>91</v>
      </c>
      <c r="I26" s="22"/>
      <c r="J26" s="22">
        <f t="shared" si="6"/>
        <v>1.0387138587752665</v>
      </c>
      <c r="K26" s="22">
        <f t="shared" si="6"/>
        <v>1.0136325667578745</v>
      </c>
      <c r="L26" s="22">
        <f t="shared" si="6"/>
        <v>0.99152127890886976</v>
      </c>
      <c r="M26" s="22">
        <f t="shared" si="6"/>
        <v>0.97491788847280747</v>
      </c>
      <c r="N26" s="22">
        <f t="shared" si="6"/>
        <v>0.95973271466388432</v>
      </c>
      <c r="O26" s="22">
        <f t="shared" si="6"/>
        <v>0.9433405682177769</v>
      </c>
      <c r="P26" s="145"/>
      <c r="Q26" s="149"/>
      <c r="R26" s="149"/>
      <c r="S26" s="149"/>
      <c r="T26" s="149"/>
      <c r="U26" s="149"/>
      <c r="V26" s="149"/>
    </row>
    <row r="27" spans="1:50" ht="11.25" customHeight="1" outlineLevel="1">
      <c r="C27" s="170">
        <v>41974</v>
      </c>
      <c r="D27" s="147" t="s">
        <v>110</v>
      </c>
      <c r="E27" s="30" t="s">
        <v>91</v>
      </c>
      <c r="I27" s="22"/>
      <c r="J27" s="22">
        <f t="shared" si="6"/>
        <v>1.0565543639832384</v>
      </c>
      <c r="K27" s="22">
        <f t="shared" si="6"/>
        <v>1.0310422864159294</v>
      </c>
      <c r="L27" s="22">
        <f t="shared" si="6"/>
        <v>1.0085512245389838</v>
      </c>
      <c r="M27" s="22">
        <f t="shared" si="6"/>
        <v>0.99166266136642445</v>
      </c>
      <c r="N27" s="22">
        <f t="shared" si="6"/>
        <v>0.97621667350353114</v>
      </c>
      <c r="O27" s="22">
        <f t="shared" si="6"/>
        <v>0.95954298255739545</v>
      </c>
      <c r="P27" s="145"/>
      <c r="Q27" s="149"/>
      <c r="R27" s="149"/>
      <c r="S27" s="149"/>
      <c r="T27" s="149"/>
      <c r="U27" s="149"/>
      <c r="V27" s="149"/>
    </row>
    <row r="28" spans="1:50" ht="11.25" customHeight="1" outlineLevel="1">
      <c r="C28" s="170">
        <v>42339</v>
      </c>
      <c r="D28" s="147" t="s">
        <v>110</v>
      </c>
      <c r="E28" s="30" t="s">
        <v>91</v>
      </c>
      <c r="I28" s="22"/>
      <c r="J28" s="22">
        <f t="shared" si="6"/>
        <v>1.0743948691912104</v>
      </c>
      <c r="K28" s="22">
        <f t="shared" si="6"/>
        <v>1.0484520060739844</v>
      </c>
      <c r="L28" s="22">
        <f t="shared" si="6"/>
        <v>1.025581170169098</v>
      </c>
      <c r="M28" s="22">
        <f t="shared" si="6"/>
        <v>1.0084074342600413</v>
      </c>
      <c r="N28" s="22">
        <f t="shared" si="6"/>
        <v>0.99270063234317796</v>
      </c>
      <c r="O28" s="22">
        <f t="shared" si="6"/>
        <v>0.97574539689701356</v>
      </c>
      <c r="P28" s="145"/>
      <c r="Q28" s="149"/>
      <c r="R28" s="149"/>
      <c r="S28" s="149"/>
      <c r="T28" s="149"/>
      <c r="U28" s="149"/>
      <c r="V28" s="149"/>
    </row>
    <row r="29" spans="1:50" ht="11.25" customHeight="1" outlineLevel="1">
      <c r="C29" s="170">
        <v>42705</v>
      </c>
      <c r="D29" s="147" t="s">
        <v>110</v>
      </c>
      <c r="E29" s="30" t="s">
        <v>91</v>
      </c>
      <c r="I29" s="22"/>
      <c r="J29" s="22">
        <f t="shared" si="6"/>
        <v>1.0902530960427412</v>
      </c>
      <c r="K29" s="22">
        <f t="shared" si="6"/>
        <v>1.0639273124367001</v>
      </c>
      <c r="L29" s="22">
        <f t="shared" si="6"/>
        <v>1.0407188996180883</v>
      </c>
      <c r="M29" s="22">
        <f t="shared" si="6"/>
        <v>1.0232916768321452</v>
      </c>
      <c r="N29" s="22">
        <f t="shared" si="6"/>
        <v>1.0073530402006419</v>
      </c>
      <c r="O29" s="22">
        <f t="shared" si="6"/>
        <v>0.99014754297667429</v>
      </c>
      <c r="Q29" s="149"/>
      <c r="R29" s="149"/>
      <c r="S29" s="149"/>
      <c r="T29" s="149"/>
      <c r="U29" s="149"/>
      <c r="V29" s="149"/>
    </row>
    <row r="30" spans="1:50" ht="11.25" customHeight="1" outlineLevel="1">
      <c r="C30" s="170">
        <v>43070</v>
      </c>
      <c r="D30" s="147" t="s">
        <v>110</v>
      </c>
      <c r="E30" s="30" t="s">
        <v>91</v>
      </c>
      <c r="I30" s="22"/>
      <c r="J30" s="22">
        <f t="shared" si="6"/>
        <v>1.1120581579635962</v>
      </c>
      <c r="K30" s="22">
        <f t="shared" si="6"/>
        <v>1.0852058586854343</v>
      </c>
      <c r="L30" s="22">
        <f t="shared" si="6"/>
        <v>1.0615332776104502</v>
      </c>
      <c r="M30" s="22">
        <f t="shared" si="6"/>
        <v>1.0437575103687882</v>
      </c>
      <c r="N30" s="22">
        <f t="shared" si="6"/>
        <v>1.0275001010046547</v>
      </c>
      <c r="O30" s="22">
        <f t="shared" si="6"/>
        <v>1.0099504938362078</v>
      </c>
      <c r="P30" s="145"/>
      <c r="Q30" s="149"/>
      <c r="R30" s="149"/>
      <c r="S30" s="149"/>
      <c r="T30" s="149"/>
      <c r="U30" s="149"/>
      <c r="V30" s="149"/>
    </row>
    <row r="31" spans="1:50">
      <c r="C31" s="114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6" customFormat="1" ht="12.75">
      <c r="A32" s="97"/>
      <c r="B32" s="98" t="s">
        <v>85</v>
      </c>
      <c r="C32" s="97"/>
      <c r="D32" s="97"/>
      <c r="E32" s="97"/>
      <c r="F32" s="99"/>
      <c r="G32" s="99"/>
      <c r="H32" s="99"/>
      <c r="I32" s="99"/>
      <c r="J32" s="99"/>
      <c r="K32" s="100"/>
      <c r="L32" s="101"/>
      <c r="M32" s="100"/>
      <c r="N32" s="101"/>
      <c r="O32" s="100"/>
      <c r="P32" s="100"/>
      <c r="Q32" s="100"/>
      <c r="R32" s="100"/>
      <c r="S32" s="100"/>
      <c r="T32" s="100"/>
      <c r="U32" s="100"/>
      <c r="V32" s="100"/>
      <c r="W32" s="101"/>
      <c r="X32" s="102"/>
      <c r="Y32" s="102"/>
      <c r="Z32" s="102"/>
      <c r="AA32" s="102"/>
      <c r="AB32" s="102"/>
      <c r="AC32" s="102"/>
      <c r="AD32" s="102"/>
      <c r="AE32" s="103"/>
      <c r="AF32" s="104"/>
      <c r="AG32" s="104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8" t="s">
        <v>88</v>
      </c>
      <c r="D34" s="32" t="s">
        <v>7</v>
      </c>
      <c r="E34" s="32" t="s">
        <v>8</v>
      </c>
      <c r="J34" s="167" t="str">
        <f>IF(YEAR(J$4)&gt;='Input|General'!$G$13,IF(YEAR(J$4)&lt;='Input|General'!$G$14,J$4,""),"")</f>
        <v/>
      </c>
      <c r="K34" s="167" t="str">
        <f>IF(YEAR(K$4)&gt;='Input|General'!$G$13,IF(YEAR(K$4)&lt;='Input|General'!$G$14,K$4,""),"")</f>
        <v/>
      </c>
      <c r="L34" s="167" t="str">
        <f>IF(YEAR(L$4)&gt;='Input|General'!$G$13,IF(YEAR(L$4)&lt;='Input|General'!$G$14,L$4,""),"")</f>
        <v/>
      </c>
      <c r="M34" s="167" t="str">
        <f>IF(YEAR(M$4)&gt;='Input|General'!$G$13,IF(YEAR(M$4)&lt;='Input|General'!$G$14,M$4,""),"")</f>
        <v/>
      </c>
      <c r="N34" s="167" t="str">
        <f>IF(YEAR(N$4)&gt;='Input|General'!$G$13,IF(YEAR(N$4)&lt;='Input|General'!$G$14,N$4,""),"")</f>
        <v/>
      </c>
      <c r="O34" s="167" t="str">
        <f>IF(YEAR(O$4)&gt;='Input|General'!$G$13,IF(YEAR(O$4)&lt;='Input|General'!$G$14,O$4,""),"")</f>
        <v/>
      </c>
      <c r="P34" s="167">
        <f>IF(YEAR(P$4)&gt;='Input|General'!$G$13,IF(YEAR(P$4)&lt;='Input|General'!$G$14,P$4,""),"")</f>
        <v>43435</v>
      </c>
      <c r="Q34" s="167">
        <f>IF(YEAR(Q$4)&gt;='Input|General'!$G$13,IF(YEAR(Q$4)&lt;='Input|General'!$G$14,Q$4,""),"")</f>
        <v>43800</v>
      </c>
      <c r="R34" s="167">
        <f>IF(YEAR(R$4)&gt;='Input|General'!$G$13,IF(YEAR(R$4)&lt;='Input|General'!$G$14,R$4,""),"")</f>
        <v>44166</v>
      </c>
      <c r="S34" s="167">
        <f>IF(YEAR(S$4)&gt;='Input|General'!$G$13,IF(YEAR(S$4)&lt;='Input|General'!$G$14,S$4,""),"")</f>
        <v>44531</v>
      </c>
      <c r="T34" s="167">
        <f>IF(YEAR(T$4)&gt;='Input|General'!$G$13,IF(YEAR(T$4)&lt;='Input|General'!$G$14,T$4,""),"")</f>
        <v>44896</v>
      </c>
    </row>
    <row r="35" spans="3:23" ht="11.25" customHeight="1" outlineLevel="1">
      <c r="J35" s="113"/>
      <c r="K35" s="145"/>
      <c r="L35" s="145"/>
      <c r="M35" s="145"/>
      <c r="N35" s="145"/>
      <c r="O35" s="145"/>
      <c r="P35" s="145"/>
      <c r="Q35" s="145"/>
      <c r="R35" s="145"/>
      <c r="S35" s="145"/>
      <c r="T35" s="145"/>
    </row>
    <row r="36" spans="3:23" ht="11.25" customHeight="1" outlineLevel="1">
      <c r="C36" s="61" t="s">
        <v>137</v>
      </c>
      <c r="D36" s="30" t="s">
        <v>113</v>
      </c>
      <c r="E36" s="30" t="str">
        <f t="shared" ref="E36:E43" si="7">percent</f>
        <v>Per cent</v>
      </c>
      <c r="P36" s="172">
        <v>5.8358704105689885E-3</v>
      </c>
      <c r="Q36" s="172">
        <v>9.7821692511312897E-3</v>
      </c>
      <c r="R36" s="172">
        <v>9.3131476250294387E-3</v>
      </c>
      <c r="S36" s="172">
        <v>9.0758405201420977E-3</v>
      </c>
      <c r="T36" s="172">
        <v>8.6489774698599309E-3</v>
      </c>
    </row>
    <row r="37" spans="3:23" ht="11.25" customHeight="1" outlineLevel="1">
      <c r="C37" s="61"/>
      <c r="D37" s="30" t="s">
        <v>113</v>
      </c>
      <c r="E37" s="30" t="str">
        <f t="shared" si="7"/>
        <v>Per cent</v>
      </c>
      <c r="P37" s="60"/>
      <c r="Q37" s="60"/>
      <c r="R37" s="60"/>
      <c r="S37" s="60"/>
      <c r="T37" s="60"/>
    </row>
    <row r="38" spans="3:23" ht="11.25" customHeight="1" outlineLevel="1">
      <c r="C38" s="61"/>
      <c r="D38" s="30" t="s">
        <v>113</v>
      </c>
      <c r="E38" s="30" t="str">
        <f t="shared" si="7"/>
        <v>Per cent</v>
      </c>
      <c r="P38" s="60"/>
      <c r="Q38" s="60"/>
      <c r="R38" s="60"/>
      <c r="S38" s="60"/>
      <c r="T38" s="60"/>
    </row>
    <row r="39" spans="3:23" ht="11.25" customHeight="1" outlineLevel="1">
      <c r="C39" s="61"/>
      <c r="D39" s="30" t="s">
        <v>113</v>
      </c>
      <c r="E39" s="30" t="str">
        <f t="shared" si="7"/>
        <v>Per cent</v>
      </c>
      <c r="P39" s="60"/>
      <c r="Q39" s="60"/>
      <c r="R39" s="60"/>
      <c r="S39" s="60"/>
      <c r="T39" s="60"/>
      <c r="U39" s="150"/>
    </row>
    <row r="40" spans="3:23" ht="11.25" customHeight="1" outlineLevel="1">
      <c r="C40" s="61"/>
      <c r="D40" s="30" t="s">
        <v>113</v>
      </c>
      <c r="E40" s="30" t="str">
        <f t="shared" si="7"/>
        <v>Per cent</v>
      </c>
      <c r="P40" s="60"/>
      <c r="Q40" s="60"/>
      <c r="R40" s="60"/>
      <c r="S40" s="60"/>
      <c r="T40" s="60"/>
    </row>
    <row r="41" spans="3:23" ht="11.25" customHeight="1" outlineLevel="1">
      <c r="C41" s="61"/>
      <c r="D41" s="30" t="s">
        <v>113</v>
      </c>
      <c r="E41" s="30" t="str">
        <f t="shared" si="7"/>
        <v>Per cent</v>
      </c>
      <c r="P41" s="60"/>
      <c r="Q41" s="60"/>
      <c r="R41" s="60"/>
      <c r="S41" s="60"/>
      <c r="T41" s="60"/>
    </row>
    <row r="42" spans="3:23" ht="11.25" customHeight="1" outlineLevel="1">
      <c r="C42" s="61"/>
      <c r="D42" s="30" t="s">
        <v>113</v>
      </c>
      <c r="E42" s="30" t="str">
        <f t="shared" si="7"/>
        <v>Per cent</v>
      </c>
      <c r="P42" s="60"/>
      <c r="Q42" s="60"/>
      <c r="R42" s="60"/>
      <c r="S42" s="60"/>
      <c r="T42" s="60"/>
    </row>
    <row r="43" spans="3:23" ht="11.25" customHeight="1" outlineLevel="1">
      <c r="C43" s="61" t="s">
        <v>89</v>
      </c>
      <c r="D43" s="30" t="s">
        <v>113</v>
      </c>
      <c r="E43" s="30" t="str">
        <f t="shared" si="7"/>
        <v>Per cent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110</v>
      </c>
      <c r="E45" s="30" t="s">
        <v>28</v>
      </c>
      <c r="F45" s="30" t="s">
        <v>36</v>
      </c>
      <c r="J45" s="135" t="str">
        <f t="shared" ref="J45:S45" si="8">IF(J34=J4,IF(COUNTA($C36:$C43)=COUNT(J36:J43),"Ok","Check"),"")</f>
        <v/>
      </c>
      <c r="K45" s="135" t="str">
        <f t="shared" si="8"/>
        <v/>
      </c>
      <c r="L45" s="135" t="str">
        <f t="shared" si="8"/>
        <v/>
      </c>
      <c r="M45" s="135" t="str">
        <f t="shared" si="8"/>
        <v/>
      </c>
      <c r="N45" s="135" t="str">
        <f t="shared" si="8"/>
        <v/>
      </c>
      <c r="O45" s="135" t="str">
        <f t="shared" si="8"/>
        <v/>
      </c>
      <c r="P45" s="135" t="str">
        <f t="shared" si="8"/>
        <v>Ok</v>
      </c>
      <c r="Q45" s="135" t="str">
        <f t="shared" si="8"/>
        <v>Ok</v>
      </c>
      <c r="R45" s="135" t="str">
        <f t="shared" si="8"/>
        <v>Ok</v>
      </c>
      <c r="S45" s="135" t="str">
        <f t="shared" si="8"/>
        <v>Ok</v>
      </c>
      <c r="T45" s="135" t="str">
        <f>IF(T34=T4,IF(COUNTA($C36:$C43)=COUNT(T36:T43),"Ok","Check"),"")</f>
        <v>Ok</v>
      </c>
      <c r="U45" s="24"/>
      <c r="W45" s="134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8" t="s">
        <v>43</v>
      </c>
      <c r="D47" s="32" t="s">
        <v>7</v>
      </c>
      <c r="E47" s="32" t="s">
        <v>8</v>
      </c>
      <c r="J47" s="167" t="str">
        <f>IF(YEAR(J$4)&gt;='Input|General'!$G$13,IF(YEAR(J$4)&lt;='Input|General'!$G$14,J$4,""),"")</f>
        <v/>
      </c>
      <c r="K47" s="167" t="str">
        <f>IF(YEAR(K$4)&gt;='Input|General'!$G$13,IF(YEAR(K$4)&lt;='Input|General'!$G$14,K$4,""),"")</f>
        <v/>
      </c>
      <c r="L47" s="167" t="str">
        <f>IF(YEAR(L$4)&gt;='Input|General'!$G$13,IF(YEAR(L$4)&lt;='Input|General'!$G$14,L$4,""),"")</f>
        <v/>
      </c>
      <c r="M47" s="167" t="str">
        <f>IF(YEAR(M$4)&gt;='Input|General'!$G$13,IF(YEAR(M$4)&lt;='Input|General'!$G$14,M$4,""),"")</f>
        <v/>
      </c>
      <c r="N47" s="167" t="str">
        <f>IF(YEAR(N$4)&gt;='Input|General'!$G$13,IF(YEAR(N$4)&lt;='Input|General'!$G$14,N$4,""),"")</f>
        <v/>
      </c>
      <c r="O47" s="167" t="str">
        <f>IF(YEAR(O$4)&gt;='Input|General'!$G$13,IF(YEAR(O$4)&lt;='Input|General'!$G$14,O$4,""),"")</f>
        <v/>
      </c>
      <c r="P47" s="167">
        <f>IF(YEAR(P$4)&gt;='Input|General'!$G$13,IF(YEAR(P$4)&lt;='Input|General'!$G$14,P$4,""),"")</f>
        <v>43435</v>
      </c>
      <c r="Q47" s="167">
        <f>IF(YEAR(Q$4)&gt;='Input|General'!$G$13,IF(YEAR(Q$4)&lt;='Input|General'!$G$14,Q$4,""),"")</f>
        <v>43800</v>
      </c>
      <c r="R47" s="167">
        <f>IF(YEAR(R$4)&gt;='Input|General'!$G$13,IF(YEAR(R$4)&lt;='Input|General'!$G$14,R$4,""),"")</f>
        <v>44166</v>
      </c>
      <c r="S47" s="167">
        <f>IF(YEAR(S$4)&gt;='Input|General'!$G$13,IF(YEAR(S$4)&lt;='Input|General'!$G$14,S$4,""),"")</f>
        <v>44531</v>
      </c>
      <c r="T47" s="167">
        <f>IF(YEAR(T$4)&gt;='Input|General'!$G$13,IF(YEAR(T$4)&lt;='Input|General'!$G$14,T$4,""),"")</f>
        <v>44896</v>
      </c>
    </row>
    <row r="48" spans="3:23" ht="11.25" customHeight="1" outlineLevel="1"/>
    <row r="49" spans="1:50" ht="11.25" customHeight="1" outlineLevel="1">
      <c r="C49" s="151" t="str">
        <f t="shared" ref="C49:C56" si="9">C36</f>
        <v>WPI - DAE</v>
      </c>
      <c r="D49" s="30" t="s">
        <v>113</v>
      </c>
      <c r="E49" s="30" t="str">
        <f t="shared" ref="E49:E56" si="10">percent</f>
        <v>Per cent</v>
      </c>
      <c r="P49" s="60">
        <v>0.62</v>
      </c>
      <c r="Q49" s="60">
        <v>0.62</v>
      </c>
      <c r="R49" s="60">
        <v>0.62</v>
      </c>
      <c r="S49" s="60">
        <v>0.62</v>
      </c>
      <c r="T49" s="60">
        <v>0.62</v>
      </c>
    </row>
    <row r="50" spans="1:50" ht="11.25" customHeight="1" outlineLevel="1">
      <c r="C50" s="151">
        <f t="shared" si="9"/>
        <v>0</v>
      </c>
      <c r="D50" s="30" t="s">
        <v>113</v>
      </c>
      <c r="E50" s="30" t="str">
        <f t="shared" si="10"/>
        <v>Per cent</v>
      </c>
      <c r="P50" s="60"/>
      <c r="Q50" s="60"/>
      <c r="R50" s="60"/>
      <c r="S50" s="60"/>
      <c r="T50" s="60"/>
    </row>
    <row r="51" spans="1:50" ht="11.25" customHeight="1" outlineLevel="1">
      <c r="C51" s="151">
        <f t="shared" si="9"/>
        <v>0</v>
      </c>
      <c r="D51" s="30" t="s">
        <v>113</v>
      </c>
      <c r="E51" s="30" t="str">
        <f t="shared" si="10"/>
        <v>Per cent</v>
      </c>
      <c r="P51" s="60"/>
      <c r="Q51" s="60"/>
      <c r="R51" s="60"/>
      <c r="S51" s="60"/>
      <c r="T51" s="60"/>
    </row>
    <row r="52" spans="1:50" ht="11.25" customHeight="1" outlineLevel="1">
      <c r="C52" s="151">
        <f t="shared" si="9"/>
        <v>0</v>
      </c>
      <c r="D52" s="30" t="s">
        <v>113</v>
      </c>
      <c r="E52" s="30" t="str">
        <f t="shared" si="10"/>
        <v>Per cent</v>
      </c>
      <c r="P52" s="60"/>
      <c r="Q52" s="60"/>
      <c r="R52" s="60"/>
      <c r="S52" s="60"/>
      <c r="T52" s="60"/>
      <c r="U52" s="150"/>
    </row>
    <row r="53" spans="1:50" ht="11.25" customHeight="1" outlineLevel="1">
      <c r="C53" s="151">
        <f t="shared" si="9"/>
        <v>0</v>
      </c>
      <c r="D53" s="30" t="s">
        <v>113</v>
      </c>
      <c r="E53" s="30" t="str">
        <f t="shared" si="10"/>
        <v>Per cent</v>
      </c>
      <c r="P53" s="60"/>
      <c r="Q53" s="60"/>
      <c r="R53" s="60"/>
      <c r="S53" s="60"/>
      <c r="T53" s="60"/>
    </row>
    <row r="54" spans="1:50" ht="11.25" customHeight="1" outlineLevel="1">
      <c r="C54" s="151">
        <f t="shared" si="9"/>
        <v>0</v>
      </c>
      <c r="D54" s="30" t="s">
        <v>113</v>
      </c>
      <c r="E54" s="30" t="str">
        <f t="shared" si="10"/>
        <v>Per cent</v>
      </c>
      <c r="P54" s="60"/>
      <c r="Q54" s="60"/>
      <c r="R54" s="60"/>
      <c r="S54" s="60"/>
      <c r="T54" s="60"/>
    </row>
    <row r="55" spans="1:50" ht="11.25" customHeight="1" outlineLevel="1">
      <c r="C55" s="151">
        <f t="shared" si="9"/>
        <v>0</v>
      </c>
      <c r="D55" s="30" t="s">
        <v>113</v>
      </c>
      <c r="E55" s="30" t="str">
        <f t="shared" si="10"/>
        <v>Per cent</v>
      </c>
      <c r="P55" s="60"/>
      <c r="Q55" s="60"/>
      <c r="R55" s="60"/>
      <c r="S55" s="60"/>
      <c r="T55" s="60"/>
    </row>
    <row r="56" spans="1:50" ht="11.25" customHeight="1" outlineLevel="1">
      <c r="C56" s="151" t="str">
        <f t="shared" si="9"/>
        <v>CPI</v>
      </c>
      <c r="D56" s="30" t="s">
        <v>113</v>
      </c>
      <c r="E56" s="30" t="str">
        <f t="shared" si="10"/>
        <v>Per cent</v>
      </c>
      <c r="P56" s="60">
        <v>0.38</v>
      </c>
      <c r="Q56" s="60">
        <v>0.38</v>
      </c>
      <c r="R56" s="60">
        <v>0.38</v>
      </c>
      <c r="S56" s="60">
        <v>0.38</v>
      </c>
      <c r="T56" s="60">
        <v>0.38</v>
      </c>
    </row>
    <row r="57" spans="1:50" ht="11.25" customHeight="1" outlineLevel="1"/>
    <row r="58" spans="1:50" outlineLevel="1">
      <c r="C58" s="29" t="s">
        <v>40</v>
      </c>
      <c r="D58" s="30" t="s">
        <v>110</v>
      </c>
      <c r="E58" s="30" t="s">
        <v>28</v>
      </c>
      <c r="F58" s="30" t="s">
        <v>36</v>
      </c>
      <c r="J58" s="135" t="str">
        <f t="shared" ref="J58:S58" si="11">IF(J47=J$4,IF(SUM(J49:J56)=1,"Ok","Check"),"")</f>
        <v/>
      </c>
      <c r="K58" s="135" t="str">
        <f t="shared" si="11"/>
        <v/>
      </c>
      <c r="L58" s="135" t="str">
        <f t="shared" si="11"/>
        <v/>
      </c>
      <c r="M58" s="135" t="str">
        <f t="shared" si="11"/>
        <v/>
      </c>
      <c r="N58" s="135" t="str">
        <f t="shared" si="11"/>
        <v/>
      </c>
      <c r="O58" s="135" t="str">
        <f t="shared" si="11"/>
        <v/>
      </c>
      <c r="P58" s="135" t="str">
        <f t="shared" si="11"/>
        <v>Ok</v>
      </c>
      <c r="Q58" s="135" t="str">
        <f t="shared" si="11"/>
        <v>Ok</v>
      </c>
      <c r="R58" s="135" t="str">
        <f t="shared" si="11"/>
        <v>Ok</v>
      </c>
      <c r="S58" s="135" t="str">
        <f t="shared" si="11"/>
        <v>Ok</v>
      </c>
      <c r="T58" s="135" t="str">
        <f>IF(T47=T$4,IF(SUM(T49:T56)=1,"Ok","Check"),"")</f>
        <v>Ok</v>
      </c>
      <c r="U58" s="24"/>
      <c r="W58" s="134" t="str">
        <f>IF(COUNTIF(J58:T58,"Check")=0,"Ok","Check")</f>
        <v>Ok</v>
      </c>
    </row>
    <row r="59" spans="1:50"/>
    <row r="60" spans="1:50" s="106" customFormat="1" ht="12.75">
      <c r="A60" s="97"/>
      <c r="B60" s="98" t="s">
        <v>92</v>
      </c>
      <c r="C60" s="97"/>
      <c r="D60" s="97"/>
      <c r="E60" s="97"/>
      <c r="F60" s="99"/>
      <c r="G60" s="99"/>
      <c r="H60" s="99"/>
      <c r="I60" s="99"/>
      <c r="J60" s="99"/>
      <c r="K60" s="100"/>
      <c r="L60" s="101"/>
      <c r="M60" s="100"/>
      <c r="N60" s="101"/>
      <c r="O60" s="100"/>
      <c r="P60" s="100"/>
      <c r="Q60" s="100"/>
      <c r="R60" s="100"/>
      <c r="S60" s="100"/>
      <c r="T60" s="100"/>
      <c r="U60" s="100"/>
      <c r="V60" s="100"/>
      <c r="W60" s="101"/>
      <c r="X60" s="102"/>
      <c r="Y60" s="102"/>
      <c r="Z60" s="102"/>
      <c r="AA60" s="102"/>
      <c r="AB60" s="102"/>
      <c r="AC60" s="102"/>
      <c r="AD60" s="102"/>
      <c r="AE60" s="103"/>
      <c r="AF60" s="104"/>
      <c r="AG60" s="104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</row>
    <row r="61" spans="1:50" outlineLevel="1">
      <c r="G61" s="32"/>
      <c r="H61" s="32"/>
    </row>
    <row r="62" spans="1:50" outlineLevel="1">
      <c r="C62" s="68" t="s">
        <v>93</v>
      </c>
      <c r="D62" s="32" t="s">
        <v>7</v>
      </c>
      <c r="E62" s="32" t="s">
        <v>8</v>
      </c>
      <c r="F62" s="32" t="s">
        <v>22</v>
      </c>
      <c r="G62" s="32"/>
      <c r="H62" s="32"/>
      <c r="J62" s="167" t="str">
        <f>IF(YEAR(J$4)&gt;='Input|General'!$G$12,IF(YEAR(J$4)&lt;='Input|General'!$G$14,J$4,""),"")</f>
        <v/>
      </c>
      <c r="K62" s="167" t="str">
        <f>IF(YEAR(K$4)&gt;='Input|General'!$G$12,IF(YEAR(K$4)&lt;='Input|General'!$G$14,K$4,""),"")</f>
        <v/>
      </c>
      <c r="L62" s="167" t="str">
        <f>IF(YEAR(L$4)&gt;='Input|General'!$G$12,IF(YEAR(L$4)&lt;='Input|General'!$G$14,L$4,""),"")</f>
        <v/>
      </c>
      <c r="M62" s="167" t="str">
        <f>IF(YEAR(M$4)&gt;='Input|General'!$G$12,IF(YEAR(M$4)&lt;='Input|General'!$G$14,M$4,""),"")</f>
        <v/>
      </c>
      <c r="N62" s="167" t="str">
        <f>IF(YEAR(N$4)&gt;='Input|General'!$G$12,IF(YEAR(N$4)&lt;='Input|General'!$G$14,N$4,""),"")</f>
        <v/>
      </c>
      <c r="O62" s="167">
        <f>IF(YEAR(O$4)&gt;='Input|General'!$G$12,IF(YEAR(O$4)&lt;='Input|General'!$G$14,O$4,""),"")</f>
        <v>43070</v>
      </c>
      <c r="P62" s="167">
        <f>IF(YEAR(P$4)&gt;='Input|General'!$G$12,IF(YEAR(P$4)&lt;='Input|General'!$G$14,P$4,""),"")</f>
        <v>43435</v>
      </c>
      <c r="Q62" s="167">
        <f>IF(YEAR(Q$4)&gt;='Input|General'!$G$12,IF(YEAR(Q$4)&lt;='Input|General'!$G$14,Q$4,""),"")</f>
        <v>43800</v>
      </c>
      <c r="R62" s="167">
        <f>IF(YEAR(R$4)&gt;='Input|General'!$G$12,IF(YEAR(R$4)&lt;='Input|General'!$G$14,R$4,""),"")</f>
        <v>44166</v>
      </c>
      <c r="S62" s="167">
        <f>IF(YEAR(S$4)&gt;='Input|General'!$G$12,IF(YEAR(S$4)&lt;='Input|General'!$G$14,S$4,""),"")</f>
        <v>44531</v>
      </c>
      <c r="T62" s="167">
        <f>IF(YEAR(T$4)&gt;='Input|General'!$G$12,IF(YEAR(T$4)&lt;='Input|General'!$G$14,T$4,""),"")</f>
        <v>44896</v>
      </c>
    </row>
    <row r="63" spans="1:50" outlineLevel="1">
      <c r="C63" s="114"/>
      <c r="G63" s="32"/>
      <c r="H63" s="32"/>
      <c r="K63" s="23"/>
      <c r="L63" s="23"/>
      <c r="M63" s="23"/>
      <c r="N63" s="23"/>
      <c r="O63" s="23"/>
    </row>
    <row r="64" spans="1:50" outlineLevel="1">
      <c r="C64" s="61"/>
      <c r="D64" s="30" t="s">
        <v>113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62"/>
      <c r="P64" s="62"/>
      <c r="Q64" s="62"/>
      <c r="R64" s="62"/>
      <c r="S64" s="62"/>
      <c r="T64" s="62"/>
    </row>
    <row r="65" spans="3:23" outlineLevel="1">
      <c r="C65" s="61"/>
      <c r="D65" s="30" t="s">
        <v>113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62"/>
      <c r="P65" s="62"/>
      <c r="Q65" s="62"/>
      <c r="R65" s="62"/>
      <c r="S65" s="62"/>
      <c r="T65" s="62"/>
    </row>
    <row r="66" spans="3:23" outlineLevel="1">
      <c r="C66" s="61"/>
      <c r="D66" s="30" t="s">
        <v>113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2"/>
      <c r="P66" s="62"/>
      <c r="Q66" s="62"/>
      <c r="R66" s="62"/>
      <c r="S66" s="62"/>
      <c r="T66" s="62"/>
    </row>
    <row r="67" spans="3:23" outlineLevel="1">
      <c r="C67" s="61"/>
      <c r="D67" s="30" t="s">
        <v>113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2"/>
      <c r="P67" s="62"/>
      <c r="Q67" s="62"/>
      <c r="R67" s="62"/>
      <c r="S67" s="62"/>
      <c r="T67" s="62"/>
    </row>
    <row r="68" spans="3:23" outlineLevel="1">
      <c r="C68" s="61"/>
      <c r="D68" s="30" t="s">
        <v>113</v>
      </c>
      <c r="E68" s="30" t="s">
        <v>18</v>
      </c>
      <c r="F68" s="30" t="s">
        <v>36</v>
      </c>
      <c r="G68" s="32"/>
      <c r="H68" s="32"/>
      <c r="K68" s="23"/>
      <c r="L68" s="23"/>
      <c r="M68" s="23"/>
      <c r="N68" s="23"/>
      <c r="O68" s="62"/>
      <c r="P68" s="62"/>
      <c r="Q68" s="62"/>
      <c r="R68" s="62"/>
      <c r="S68" s="62"/>
      <c r="T68" s="62"/>
    </row>
    <row r="69" spans="3:23" outlineLevel="1">
      <c r="C69" s="61"/>
      <c r="D69" s="30" t="s">
        <v>113</v>
      </c>
      <c r="E69" s="30" t="s">
        <v>18</v>
      </c>
      <c r="F69" s="30" t="s">
        <v>36</v>
      </c>
      <c r="G69" s="32"/>
      <c r="H69" s="32"/>
      <c r="K69" s="23"/>
      <c r="L69" s="23"/>
      <c r="M69" s="23"/>
      <c r="N69" s="23"/>
      <c r="O69" s="62"/>
      <c r="P69" s="62"/>
      <c r="Q69" s="62"/>
      <c r="R69" s="62"/>
      <c r="S69" s="62"/>
      <c r="T69" s="62"/>
    </row>
    <row r="70" spans="3:23" outlineLevel="1">
      <c r="C70" s="114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110</v>
      </c>
      <c r="E71" s="30" t="s">
        <v>28</v>
      </c>
      <c r="F71" s="30" t="s">
        <v>36</v>
      </c>
      <c r="J71" s="135" t="str">
        <f t="shared" ref="J71:S71" si="12">IF(J62=J$4,IF(COUNTA($C64:$C69)=COUNT(J64:J69),"Ok","Check"),"")</f>
        <v/>
      </c>
      <c r="K71" s="135" t="str">
        <f t="shared" si="12"/>
        <v/>
      </c>
      <c r="L71" s="135" t="str">
        <f t="shared" si="12"/>
        <v/>
      </c>
      <c r="M71" s="135" t="str">
        <f t="shared" si="12"/>
        <v/>
      </c>
      <c r="N71" s="135" t="str">
        <f t="shared" si="12"/>
        <v/>
      </c>
      <c r="O71" s="135" t="str">
        <f t="shared" si="12"/>
        <v>Ok</v>
      </c>
      <c r="P71" s="135" t="str">
        <f t="shared" si="12"/>
        <v>Ok</v>
      </c>
      <c r="Q71" s="135" t="str">
        <f t="shared" si="12"/>
        <v>Ok</v>
      </c>
      <c r="R71" s="135" t="str">
        <f t="shared" si="12"/>
        <v>Ok</v>
      </c>
      <c r="S71" s="135" t="str">
        <f t="shared" si="12"/>
        <v>Ok</v>
      </c>
      <c r="T71" s="135" t="str">
        <f>IF(T62=T$4,IF(COUNTA($C64:$C69)=COUNT(T64:T69),"Ok","Check"),"")</f>
        <v>Ok</v>
      </c>
      <c r="U71" s="24"/>
      <c r="W71" s="134" t="str">
        <f>IF(COUNTIF(J71:T71,"Check")=0,"Ok","Check")</f>
        <v>Ok</v>
      </c>
    </row>
    <row r="72" spans="3:23" outlineLevel="1">
      <c r="C72" s="114"/>
      <c r="G72" s="32"/>
      <c r="H72" s="32"/>
      <c r="K72" s="23"/>
      <c r="L72" s="23"/>
      <c r="M72" s="23"/>
      <c r="N72" s="23"/>
      <c r="O72" s="23"/>
    </row>
    <row r="73" spans="3:23" outlineLevel="1">
      <c r="C73" s="68" t="s">
        <v>96</v>
      </c>
      <c r="D73" s="32" t="s">
        <v>7</v>
      </c>
      <c r="E73" s="32" t="s">
        <v>8</v>
      </c>
      <c r="F73" s="32" t="s">
        <v>22</v>
      </c>
      <c r="G73" s="32"/>
      <c r="H73" s="32"/>
      <c r="J73" s="167" t="str">
        <f>IF(YEAR(J$4)&gt;='Input|General'!$G$13,IF(YEAR(J$4)&lt;='Input|General'!$G$14,J$4,""),"")</f>
        <v/>
      </c>
      <c r="K73" s="167" t="str">
        <f>IF(YEAR(K$4)&gt;='Input|General'!$G$13,IF(YEAR(K$4)&lt;='Input|General'!$G$14,K$4,""),"")</f>
        <v/>
      </c>
      <c r="L73" s="167" t="str">
        <f>IF(YEAR(L$4)&gt;='Input|General'!$G$13,IF(YEAR(L$4)&lt;='Input|General'!$G$14,L$4,""),"")</f>
        <v/>
      </c>
      <c r="M73" s="167" t="str">
        <f>IF(YEAR(M$4)&gt;='Input|General'!$G$13,IF(YEAR(M$4)&lt;='Input|General'!$G$14,M$4,""),"")</f>
        <v/>
      </c>
      <c r="N73" s="167" t="str">
        <f>IF(YEAR(N$4)&gt;='Input|General'!$G$13,IF(YEAR(N$4)&lt;='Input|General'!$G$14,N$4,""),"")</f>
        <v/>
      </c>
      <c r="O73" s="167" t="str">
        <f>IF(YEAR(O$4)&gt;='Input|General'!$G$13,IF(YEAR(O$4)&lt;='Input|General'!$G$14,O$4,""),"")</f>
        <v/>
      </c>
      <c r="P73" s="167">
        <f>IF(YEAR(P$4)&gt;='Input|General'!$G$13,IF(YEAR(P$4)&lt;='Input|General'!$G$14,P$4,""),"")</f>
        <v>43435</v>
      </c>
      <c r="Q73" s="167">
        <f>IF(YEAR(Q$4)&gt;='Input|General'!$G$13,IF(YEAR(Q$4)&lt;='Input|General'!$G$14,Q$4,""),"")</f>
        <v>43800</v>
      </c>
      <c r="R73" s="167">
        <f>IF(YEAR(R$4)&gt;='Input|General'!$G$13,IF(YEAR(R$4)&lt;='Input|General'!$G$14,R$4,""),"")</f>
        <v>44166</v>
      </c>
      <c r="S73" s="167">
        <f>IF(YEAR(S$4)&gt;='Input|General'!$G$13,IF(YEAR(S$4)&lt;='Input|General'!$G$14,S$4,""),"")</f>
        <v>44531</v>
      </c>
      <c r="T73" s="167">
        <f>IF(YEAR(T$4)&gt;='Input|General'!$G$13,IF(YEAR(T$4)&lt;='Input|General'!$G$14,T$4,""),"")</f>
        <v>44896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4"/>
      <c r="G74" s="32"/>
      <c r="H74" s="32"/>
      <c r="K74" s="23"/>
      <c r="L74" s="23"/>
      <c r="M74" s="23"/>
      <c r="N74" s="23"/>
      <c r="O74" s="23"/>
    </row>
    <row r="75" spans="3:23" outlineLevel="1">
      <c r="C75" s="151">
        <f>C64</f>
        <v>0</v>
      </c>
      <c r="D75" s="30" t="s">
        <v>110</v>
      </c>
      <c r="E75" s="30" t="s">
        <v>18</v>
      </c>
      <c r="F75" s="30" t="s">
        <v>36</v>
      </c>
      <c r="G75" s="32"/>
      <c r="H75" s="32"/>
      <c r="K75" s="23"/>
      <c r="L75" s="23"/>
      <c r="M75" s="23"/>
      <c r="N75" s="23"/>
      <c r="O75" s="23"/>
      <c r="P75" s="120" t="str">
        <f>IF(ISBLANK(P64),"",LN(P64)-LN(O64))</f>
        <v/>
      </c>
      <c r="Q75" s="120" t="str">
        <f>IF(ISBLANK(Q64),"",LN(Q64)-LN(P64))</f>
        <v/>
      </c>
      <c r="R75" s="120" t="str">
        <f t="shared" ref="R75:T75" si="13">IF(ISBLANK(R64),"",LN(R64)-LN(Q64))</f>
        <v/>
      </c>
      <c r="S75" s="120" t="str">
        <f t="shared" si="13"/>
        <v/>
      </c>
      <c r="T75" s="120" t="str">
        <f t="shared" si="13"/>
        <v/>
      </c>
    </row>
    <row r="76" spans="3:23" outlineLevel="1">
      <c r="C76" s="151">
        <f t="shared" ref="C76:C80" si="14">C65</f>
        <v>0</v>
      </c>
      <c r="D76" s="30" t="s">
        <v>110</v>
      </c>
      <c r="E76" s="30" t="s">
        <v>18</v>
      </c>
      <c r="F76" s="30" t="s">
        <v>36</v>
      </c>
      <c r="G76" s="32"/>
      <c r="H76" s="32"/>
      <c r="K76" s="23"/>
      <c r="L76" s="23"/>
      <c r="M76" s="23"/>
      <c r="N76" s="23"/>
      <c r="O76" s="23"/>
      <c r="P76" s="120" t="str">
        <f t="shared" ref="P76:T76" si="15">IF(ISBLANK(P65),"",LN(P65)-LN(O65))</f>
        <v/>
      </c>
      <c r="Q76" s="120" t="str">
        <f t="shared" si="15"/>
        <v/>
      </c>
      <c r="R76" s="120" t="str">
        <f t="shared" si="15"/>
        <v/>
      </c>
      <c r="S76" s="120" t="str">
        <f t="shared" si="15"/>
        <v/>
      </c>
      <c r="T76" s="120" t="str">
        <f t="shared" si="15"/>
        <v/>
      </c>
    </row>
    <row r="77" spans="3:23" outlineLevel="1">
      <c r="C77" s="151">
        <f t="shared" si="14"/>
        <v>0</v>
      </c>
      <c r="D77" s="30" t="s">
        <v>110</v>
      </c>
      <c r="E77" s="30" t="s">
        <v>18</v>
      </c>
      <c r="F77" s="30" t="s">
        <v>36</v>
      </c>
      <c r="G77" s="32"/>
      <c r="H77" s="32"/>
      <c r="K77" s="23"/>
      <c r="L77" s="23"/>
      <c r="M77" s="23"/>
      <c r="N77" s="23"/>
      <c r="O77" s="23"/>
      <c r="P77" s="120" t="str">
        <f t="shared" ref="P77:T77" si="16">IF(ISBLANK(P66),"",LN(P66)-LN(O66))</f>
        <v/>
      </c>
      <c r="Q77" s="120" t="str">
        <f t="shared" si="16"/>
        <v/>
      </c>
      <c r="R77" s="120" t="str">
        <f t="shared" si="16"/>
        <v/>
      </c>
      <c r="S77" s="120" t="str">
        <f t="shared" si="16"/>
        <v/>
      </c>
      <c r="T77" s="120" t="str">
        <f t="shared" si="16"/>
        <v/>
      </c>
    </row>
    <row r="78" spans="3:23" outlineLevel="1">
      <c r="C78" s="151">
        <f t="shared" si="14"/>
        <v>0</v>
      </c>
      <c r="D78" s="30" t="s">
        <v>110</v>
      </c>
      <c r="E78" s="30" t="s">
        <v>18</v>
      </c>
      <c r="F78" s="30" t="s">
        <v>36</v>
      </c>
      <c r="G78" s="32"/>
      <c r="H78" s="32"/>
      <c r="K78" s="23"/>
      <c r="L78" s="23"/>
      <c r="M78" s="23"/>
      <c r="N78" s="23"/>
      <c r="O78" s="23"/>
      <c r="P78" s="120" t="str">
        <f t="shared" ref="P78:T78" si="17">IF(ISBLANK(P67),"",LN(P67)-LN(O67))</f>
        <v/>
      </c>
      <c r="Q78" s="120" t="str">
        <f t="shared" si="17"/>
        <v/>
      </c>
      <c r="R78" s="120" t="str">
        <f t="shared" si="17"/>
        <v/>
      </c>
      <c r="S78" s="120" t="str">
        <f t="shared" si="17"/>
        <v/>
      </c>
      <c r="T78" s="120" t="str">
        <f t="shared" si="17"/>
        <v/>
      </c>
    </row>
    <row r="79" spans="3:23" outlineLevel="1">
      <c r="C79" s="151">
        <f t="shared" si="14"/>
        <v>0</v>
      </c>
      <c r="D79" s="30" t="s">
        <v>110</v>
      </c>
      <c r="E79" s="30" t="s">
        <v>18</v>
      </c>
      <c r="F79" s="30" t="s">
        <v>36</v>
      </c>
      <c r="G79" s="32"/>
      <c r="H79" s="32"/>
      <c r="K79" s="23"/>
      <c r="L79" s="23"/>
      <c r="M79" s="23"/>
      <c r="N79" s="23"/>
      <c r="O79" s="23"/>
      <c r="P79" s="120" t="str">
        <f t="shared" ref="P79:T79" si="18">IF(ISBLANK(P68),"",LN(P68)-LN(O68))</f>
        <v/>
      </c>
      <c r="Q79" s="120" t="str">
        <f t="shared" si="18"/>
        <v/>
      </c>
      <c r="R79" s="120" t="str">
        <f t="shared" si="18"/>
        <v/>
      </c>
      <c r="S79" s="120" t="str">
        <f t="shared" si="18"/>
        <v/>
      </c>
      <c r="T79" s="120" t="str">
        <f t="shared" si="18"/>
        <v/>
      </c>
    </row>
    <row r="80" spans="3:23" outlineLevel="1">
      <c r="C80" s="151">
        <f t="shared" si="14"/>
        <v>0</v>
      </c>
      <c r="D80" s="30" t="s">
        <v>110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O80" s="23"/>
      <c r="P80" s="120" t="str">
        <f t="shared" ref="P80:T80" si="19">IF(ISBLANK(P69),"",LN(P69)-LN(O69))</f>
        <v/>
      </c>
      <c r="Q80" s="120" t="str">
        <f t="shared" si="19"/>
        <v/>
      </c>
      <c r="R80" s="120" t="str">
        <f t="shared" si="19"/>
        <v/>
      </c>
      <c r="S80" s="120" t="str">
        <f t="shared" si="19"/>
        <v/>
      </c>
      <c r="T80" s="120" t="str">
        <f t="shared" si="19"/>
        <v/>
      </c>
    </row>
    <row r="81" spans="1:50" outlineLevel="1">
      <c r="C81" s="114"/>
      <c r="G81" s="32"/>
      <c r="H81" s="32"/>
      <c r="K81" s="23"/>
      <c r="L81" s="23"/>
      <c r="M81" s="23"/>
      <c r="N81" s="23"/>
      <c r="O81" s="23"/>
    </row>
    <row r="82" spans="1:50" outlineLevel="1">
      <c r="C82" s="68" t="s">
        <v>43</v>
      </c>
      <c r="D82" s="32" t="s">
        <v>7</v>
      </c>
      <c r="E82" s="32" t="s">
        <v>8</v>
      </c>
      <c r="F82" s="32" t="s">
        <v>22</v>
      </c>
      <c r="G82" s="32"/>
      <c r="H82" s="129"/>
      <c r="I82" s="113"/>
      <c r="J82" s="167" t="str">
        <f>IF(YEAR(J$4)='Input|General'!$G$12,J$4,"")</f>
        <v/>
      </c>
      <c r="K82" s="167" t="str">
        <f>IF(YEAR(K$4)='Input|General'!$G$12,K$4,"")</f>
        <v/>
      </c>
      <c r="L82" s="167" t="str">
        <f>IF(YEAR(L$4)='Input|General'!$G$12,L$4,"")</f>
        <v/>
      </c>
      <c r="M82" s="167" t="str">
        <f>IF(YEAR(M$4)='Input|General'!$G$12,M$4,"")</f>
        <v/>
      </c>
      <c r="N82" s="167" t="str">
        <f>IF(YEAR(N$4)='Input|General'!$G$12,N$4,"")</f>
        <v/>
      </c>
      <c r="O82" s="167">
        <f>IF(YEAR(O$4)='Input|General'!$G$12,O$4,"")</f>
        <v>43070</v>
      </c>
      <c r="P82" s="167" t="str">
        <f>IF(YEAR(P$4)='Input|General'!$G$12,P$4,"")</f>
        <v/>
      </c>
      <c r="Q82" s="167" t="str">
        <f>IF(YEAR(Q$4)='Input|General'!$G$12,Q$4,"")</f>
        <v/>
      </c>
      <c r="R82" s="167" t="str">
        <f>IF(YEAR(R$4)='Input|General'!$G$12,R$4,"")</f>
        <v/>
      </c>
      <c r="S82" s="167" t="str">
        <f>IF(YEAR(S$4)='Input|General'!$G$12,S$4,"")</f>
        <v/>
      </c>
      <c r="T82" s="167" t="str">
        <f>IF(YEAR(T$4)='Input|General'!$G$12,T$4,"")</f>
        <v/>
      </c>
    </row>
    <row r="83" spans="1:50" outlineLevel="1">
      <c r="C83" s="114"/>
      <c r="G83" s="32"/>
      <c r="H83" s="32"/>
      <c r="K83" s="23"/>
      <c r="L83" s="23"/>
      <c r="M83" s="23"/>
      <c r="N83" s="23"/>
      <c r="O83" s="110"/>
      <c r="P83" s="110"/>
      <c r="Q83" s="110"/>
      <c r="R83" s="110"/>
      <c r="S83" s="110"/>
      <c r="T83" s="110"/>
    </row>
    <row r="84" spans="1:50" outlineLevel="1">
      <c r="C84" s="151">
        <f>C64</f>
        <v>0</v>
      </c>
      <c r="D84" s="30" t="s">
        <v>113</v>
      </c>
      <c r="E84" s="30" t="s">
        <v>18</v>
      </c>
      <c r="F84" s="30" t="s">
        <v>36</v>
      </c>
      <c r="G84" s="32"/>
      <c r="H84" s="32"/>
      <c r="J84" s="175"/>
      <c r="K84" s="175"/>
      <c r="L84" s="175"/>
      <c r="M84" s="175"/>
      <c r="N84" s="175"/>
      <c r="O84" s="175">
        <v>1</v>
      </c>
      <c r="P84" s="175"/>
      <c r="Q84" s="175"/>
      <c r="R84" s="175"/>
      <c r="S84" s="175"/>
      <c r="T84" s="175"/>
    </row>
    <row r="85" spans="1:50" outlineLevel="1">
      <c r="C85" s="151">
        <f t="shared" ref="C85:C89" si="20">C65</f>
        <v>0</v>
      </c>
      <c r="D85" s="30" t="s">
        <v>113</v>
      </c>
      <c r="E85" s="30" t="s">
        <v>18</v>
      </c>
      <c r="F85" s="30" t="s">
        <v>36</v>
      </c>
      <c r="G85" s="32"/>
      <c r="H85" s="32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</row>
    <row r="86" spans="1:50" outlineLevel="1">
      <c r="C86" s="151">
        <f t="shared" si="20"/>
        <v>0</v>
      </c>
      <c r="D86" s="30" t="s">
        <v>113</v>
      </c>
      <c r="E86" s="30" t="s">
        <v>18</v>
      </c>
      <c r="F86" s="30" t="s">
        <v>36</v>
      </c>
      <c r="G86" s="32"/>
      <c r="H86" s="32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</row>
    <row r="87" spans="1:50" outlineLevel="1">
      <c r="C87" s="151">
        <f t="shared" si="20"/>
        <v>0</v>
      </c>
      <c r="D87" s="30" t="s">
        <v>113</v>
      </c>
      <c r="E87" s="30" t="s">
        <v>18</v>
      </c>
      <c r="F87" s="30" t="s">
        <v>36</v>
      </c>
      <c r="G87" s="32"/>
      <c r="H87" s="32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</row>
    <row r="88" spans="1:50" outlineLevel="1">
      <c r="C88" s="151">
        <f t="shared" si="20"/>
        <v>0</v>
      </c>
      <c r="D88" s="30" t="s">
        <v>113</v>
      </c>
      <c r="E88" s="30" t="s">
        <v>18</v>
      </c>
      <c r="F88" s="30" t="s">
        <v>36</v>
      </c>
      <c r="G88" s="32"/>
      <c r="H88" s="32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</row>
    <row r="89" spans="1:50" outlineLevel="1">
      <c r="C89" s="151">
        <f t="shared" si="20"/>
        <v>0</v>
      </c>
      <c r="D89" s="30" t="s">
        <v>113</v>
      </c>
      <c r="E89" s="30" t="s">
        <v>18</v>
      </c>
      <c r="F89" s="30" t="s">
        <v>36</v>
      </c>
      <c r="G89" s="32"/>
      <c r="H89" s="32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</row>
    <row r="90" spans="1:50" outlineLevel="1">
      <c r="G90" s="32"/>
      <c r="H90" s="32"/>
    </row>
    <row r="91" spans="1:50" outlineLevel="1">
      <c r="C91" s="29" t="s">
        <v>40</v>
      </c>
      <c r="D91" s="30" t="s">
        <v>110</v>
      </c>
      <c r="E91" s="30" t="s">
        <v>28</v>
      </c>
      <c r="F91" s="30" t="s">
        <v>36</v>
      </c>
      <c r="J91" s="135" t="str">
        <f t="shared" ref="J91:N91" si="21">IF(J82=J$4,IF(SUM(J84:J89)=1,"Ok","Check"),"")</f>
        <v/>
      </c>
      <c r="K91" s="135" t="str">
        <f t="shared" si="21"/>
        <v/>
      </c>
      <c r="L91" s="135" t="str">
        <f t="shared" si="21"/>
        <v/>
      </c>
      <c r="M91" s="135" t="str">
        <f t="shared" si="21"/>
        <v/>
      </c>
      <c r="N91" s="135" t="str">
        <f t="shared" si="21"/>
        <v/>
      </c>
      <c r="O91" s="135" t="str">
        <f>IF(O82=O$4,IF(SUM(O84:O89)=1,"Ok","Check"),"")</f>
        <v>Ok</v>
      </c>
      <c r="P91" s="135" t="str">
        <f t="shared" ref="P91:T91" si="22">IF(P82=P$4,IF(SUM(P84:P89)=1,"Ok","Check"),"")</f>
        <v/>
      </c>
      <c r="Q91" s="135" t="str">
        <f t="shared" si="22"/>
        <v/>
      </c>
      <c r="R91" s="135" t="str">
        <f t="shared" si="22"/>
        <v/>
      </c>
      <c r="S91" s="135" t="str">
        <f t="shared" si="22"/>
        <v/>
      </c>
      <c r="T91" s="135" t="str">
        <f t="shared" si="22"/>
        <v/>
      </c>
      <c r="U91" s="24"/>
      <c r="W91" s="134" t="str">
        <f>IF(COUNTIF(K91:T91,"Check")=0,"Ok","Check")</f>
        <v>Ok</v>
      </c>
    </row>
    <row r="92" spans="1:50"/>
    <row r="93" spans="1:50" s="106" customFormat="1" ht="12.75">
      <c r="A93" s="97"/>
      <c r="B93" s="98" t="s">
        <v>86</v>
      </c>
      <c r="C93" s="97"/>
      <c r="D93" s="97"/>
      <c r="E93" s="97"/>
      <c r="F93" s="99"/>
      <c r="G93" s="99"/>
      <c r="H93" s="99"/>
      <c r="I93" s="99"/>
      <c r="J93" s="99"/>
      <c r="K93" s="100"/>
      <c r="L93" s="101"/>
      <c r="M93" s="100"/>
      <c r="N93" s="101"/>
      <c r="O93" s="100"/>
      <c r="P93" s="100"/>
      <c r="Q93" s="100"/>
      <c r="R93" s="100"/>
      <c r="S93" s="100"/>
      <c r="T93" s="100"/>
      <c r="U93" s="100"/>
      <c r="V93" s="100"/>
      <c r="W93" s="101"/>
      <c r="X93" s="102"/>
      <c r="Y93" s="102"/>
      <c r="Z93" s="102"/>
      <c r="AA93" s="102"/>
      <c r="AB93" s="102"/>
      <c r="AC93" s="102"/>
      <c r="AD93" s="102"/>
      <c r="AE93" s="103"/>
      <c r="AF93" s="104"/>
      <c r="AG93" s="104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</row>
    <row r="94" spans="1:50" outlineLevel="1">
      <c r="G94" s="32"/>
      <c r="H94" s="32"/>
    </row>
    <row r="95" spans="1:50" outlineLevel="1">
      <c r="C95" s="68" t="s">
        <v>48</v>
      </c>
      <c r="D95" s="32" t="s">
        <v>7</v>
      </c>
      <c r="E95" s="32" t="s">
        <v>8</v>
      </c>
      <c r="F95" s="32" t="s">
        <v>22</v>
      </c>
      <c r="G95" s="32"/>
      <c r="H95" s="32"/>
      <c r="J95" s="167" t="str">
        <f>IF(YEAR(J$4)&gt;='Input|General'!$G$13,IF(YEAR(J$4)&lt;='Input|General'!$G$14,J$4,""),"")</f>
        <v/>
      </c>
      <c r="K95" s="167" t="str">
        <f>IF(YEAR(K$4)&gt;='Input|General'!$G$13,IF(YEAR(K$4)&lt;='Input|General'!$G$14,K$4,""),"")</f>
        <v/>
      </c>
      <c r="L95" s="167" t="str">
        <f>IF(YEAR(L$4)&gt;='Input|General'!$G$13,IF(YEAR(L$4)&lt;='Input|General'!$G$14,L$4,""),"")</f>
        <v/>
      </c>
      <c r="M95" s="167" t="str">
        <f>IF(YEAR(M$4)&gt;='Input|General'!$G$13,IF(YEAR(M$4)&lt;='Input|General'!$G$14,M$4,""),"")</f>
        <v/>
      </c>
      <c r="N95" s="167" t="str">
        <f>IF(YEAR(N$4)&gt;='Input|General'!$G$13,IF(YEAR(N$4)&lt;='Input|General'!$G$14,N$4,""),"")</f>
        <v/>
      </c>
      <c r="O95" s="167" t="str">
        <f>IF(YEAR(O$4)&gt;='Input|General'!$G$13,IF(YEAR(O$4)&lt;='Input|General'!$G$14,O$4,""),"")</f>
        <v/>
      </c>
      <c r="P95" s="167">
        <f>IF(YEAR(P$4)&gt;='Input|General'!$G$13,IF(YEAR(P$4)&lt;='Input|General'!$G$14,P$4,""),"")</f>
        <v>43435</v>
      </c>
      <c r="Q95" s="167">
        <f>IF(YEAR(Q$4)&gt;='Input|General'!$G$13,IF(YEAR(Q$4)&lt;='Input|General'!$G$14,Q$4,""),"")</f>
        <v>43800</v>
      </c>
      <c r="R95" s="167">
        <f>IF(YEAR(R$4)&gt;='Input|General'!$G$13,IF(YEAR(R$4)&lt;='Input|General'!$G$14,R$4,""),"")</f>
        <v>44166</v>
      </c>
      <c r="S95" s="167">
        <f>IF(YEAR(S$4)&gt;='Input|General'!$G$13,IF(YEAR(S$4)&lt;='Input|General'!$G$14,S$4,""),"")</f>
        <v>44531</v>
      </c>
      <c r="T95" s="167">
        <f>IF(YEAR(T$4)&gt;='Input|General'!$G$13,IF(YEAR(T$4)&lt;='Input|General'!$G$14,T$4,""),"")</f>
        <v>44896</v>
      </c>
    </row>
    <row r="96" spans="1:50" outlineLevel="1">
      <c r="C96" s="114"/>
      <c r="G96" s="32"/>
      <c r="H96" s="32"/>
      <c r="K96" s="23"/>
      <c r="L96" s="23"/>
      <c r="M96" s="23"/>
      <c r="N96" s="23"/>
      <c r="O96" s="23"/>
    </row>
    <row r="97" spans="1:50" outlineLevel="1">
      <c r="C97" s="114" t="s">
        <v>48</v>
      </c>
      <c r="D97" s="30" t="s">
        <v>113</v>
      </c>
      <c r="E97" s="30" t="str">
        <f>percent</f>
        <v>Per cent</v>
      </c>
      <c r="F97" s="30" t="s">
        <v>36</v>
      </c>
      <c r="G97" s="32"/>
      <c r="H97" s="32"/>
      <c r="J97" s="173"/>
      <c r="K97" s="23"/>
      <c r="L97" s="23"/>
      <c r="M97" s="23"/>
      <c r="N97" s="23"/>
      <c r="O97" s="23"/>
      <c r="P97" s="174">
        <v>0</v>
      </c>
      <c r="Q97" s="174">
        <v>0</v>
      </c>
      <c r="R97" s="174">
        <v>0</v>
      </c>
      <c r="S97" s="174">
        <v>0</v>
      </c>
      <c r="T97" s="174">
        <v>0</v>
      </c>
    </row>
    <row r="98" spans="1:50" outlineLevel="1">
      <c r="C98" s="114"/>
      <c r="G98" s="32"/>
      <c r="H98" s="32"/>
      <c r="J98" s="173"/>
      <c r="K98" s="23"/>
      <c r="L98" s="23"/>
      <c r="M98" s="23"/>
      <c r="N98" s="23"/>
      <c r="O98" s="23"/>
      <c r="P98" s="174"/>
      <c r="Q98" s="174"/>
      <c r="R98" s="174"/>
      <c r="S98" s="174"/>
      <c r="T98" s="174"/>
    </row>
    <row r="99" spans="1:50" outlineLevel="1">
      <c r="C99" s="29" t="s">
        <v>40</v>
      </c>
      <c r="D99" s="30" t="s">
        <v>110</v>
      </c>
      <c r="E99" s="30" t="s">
        <v>28</v>
      </c>
      <c r="F99" s="30" t="s">
        <v>36</v>
      </c>
      <c r="J99" s="135" t="str">
        <f t="shared" ref="J99:S99" si="23">IF(J95=J$4,IF(ISBLANK(J97),"Check","Ok"),"")</f>
        <v/>
      </c>
      <c r="K99" s="135" t="str">
        <f t="shared" si="23"/>
        <v/>
      </c>
      <c r="L99" s="135" t="str">
        <f t="shared" si="23"/>
        <v/>
      </c>
      <c r="M99" s="135" t="str">
        <f t="shared" si="23"/>
        <v/>
      </c>
      <c r="N99" s="135" t="str">
        <f t="shared" si="23"/>
        <v/>
      </c>
      <c r="O99" s="135" t="str">
        <f t="shared" si="23"/>
        <v/>
      </c>
      <c r="P99" s="135" t="str">
        <f t="shared" si="23"/>
        <v>Ok</v>
      </c>
      <c r="Q99" s="135" t="str">
        <f t="shared" si="23"/>
        <v>Ok</v>
      </c>
      <c r="R99" s="135" t="str">
        <f t="shared" si="23"/>
        <v>Ok</v>
      </c>
      <c r="S99" s="135" t="str">
        <f t="shared" si="23"/>
        <v>Ok</v>
      </c>
      <c r="T99" s="135" t="str">
        <f>IF(T95=T$4,IF(ISBLANK(T97),"Check","Ok"),"")</f>
        <v>Ok</v>
      </c>
      <c r="U99" s="24"/>
      <c r="W99" s="134" t="str">
        <f>IF(COUNTIF(J99:T99,"Check")=0,"Ok","Check")</f>
        <v>Ok</v>
      </c>
    </row>
    <row r="100" spans="1:50" outlineLevel="1">
      <c r="C100" s="114"/>
      <c r="G100" s="32"/>
      <c r="H100" s="32"/>
      <c r="K100" s="23"/>
      <c r="L100" s="23"/>
      <c r="M100" s="23"/>
      <c r="N100" s="23"/>
      <c r="O100" s="23"/>
    </row>
    <row r="101" spans="1:50" s="106" customFormat="1" ht="12.75">
      <c r="A101" s="97"/>
      <c r="B101" s="98" t="s">
        <v>21</v>
      </c>
      <c r="C101" s="97"/>
      <c r="D101" s="97"/>
      <c r="E101" s="97"/>
      <c r="F101" s="99"/>
      <c r="G101" s="99"/>
      <c r="H101" s="99"/>
      <c r="I101" s="99"/>
      <c r="J101" s="99"/>
      <c r="K101" s="100"/>
      <c r="L101" s="101"/>
      <c r="M101" s="100"/>
      <c r="N101" s="101"/>
      <c r="O101" s="100"/>
      <c r="P101" s="100"/>
      <c r="Q101" s="100"/>
      <c r="R101" s="100"/>
      <c r="S101" s="100"/>
      <c r="T101" s="100"/>
      <c r="U101" s="100"/>
      <c r="V101" s="100"/>
      <c r="W101" s="101"/>
      <c r="X101" s="102"/>
      <c r="Y101" s="102"/>
      <c r="Z101" s="102"/>
      <c r="AA101" s="102"/>
      <c r="AB101" s="102"/>
      <c r="AC101" s="102"/>
      <c r="AD101" s="102"/>
      <c r="AE101" s="103"/>
      <c r="AF101" s="104"/>
      <c r="AG101" s="104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</row>
    <row r="102" spans="1:50" hidden="1"/>
    <row r="103" spans="1:50" hidden="1"/>
    <row r="104" spans="1:50" hidden="1"/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2">
    <mergeCell ref="K3:M3"/>
    <mergeCell ref="O3:T3"/>
  </mergeCells>
  <conditionalFormatting sqref="W1">
    <cfRule type="cellIs" dxfId="137" priority="91" operator="equal">
      <formula>"Check"</formula>
    </cfRule>
    <cfRule type="cellIs" dxfId="136" priority="92" operator="equal">
      <formula>"Ok"</formula>
    </cfRule>
  </conditionalFormatting>
  <conditionalFormatting sqref="T1">
    <cfRule type="cellIs" dxfId="135" priority="55" operator="equal">
      <formula>"Check"</formula>
    </cfRule>
    <cfRule type="cellIs" dxfId="134" priority="56" operator="equal">
      <formula>"Ok"</formula>
    </cfRule>
  </conditionalFormatting>
  <conditionalFormatting sqref="W58">
    <cfRule type="cellIs" dxfId="133" priority="43" operator="equal">
      <formula>"Check"</formula>
    </cfRule>
    <cfRule type="cellIs" dxfId="132" priority="44" operator="equal">
      <formula>"Ok"</formula>
    </cfRule>
  </conditionalFormatting>
  <conditionalFormatting sqref="W91">
    <cfRule type="cellIs" dxfId="131" priority="39" operator="equal">
      <formula>"Check"</formula>
    </cfRule>
    <cfRule type="cellIs" dxfId="130" priority="40" operator="equal">
      <formula>"Ok"</formula>
    </cfRule>
  </conditionalFormatting>
  <conditionalFormatting sqref="J58:T58">
    <cfRule type="cellIs" dxfId="129" priority="35" operator="equal">
      <formula>"Check"</formula>
    </cfRule>
    <cfRule type="cellIs" dxfId="128" priority="36" operator="equal">
      <formula>"Ok"</formula>
    </cfRule>
  </conditionalFormatting>
  <conditionalFormatting sqref="J10:T10">
    <cfRule type="expression" dxfId="127" priority="34">
      <formula>J$10=J$4</formula>
    </cfRule>
  </conditionalFormatting>
  <conditionalFormatting sqref="J14:T14">
    <cfRule type="expression" dxfId="126" priority="30">
      <formula>J$10=J$4</formula>
    </cfRule>
  </conditionalFormatting>
  <conditionalFormatting sqref="J23:T23">
    <cfRule type="expression" dxfId="125" priority="29">
      <formula>J$10=J$4</formula>
    </cfRule>
  </conditionalFormatting>
  <conditionalFormatting sqref="J34:T34">
    <cfRule type="expression" dxfId="124" priority="26">
      <formula>J$34=J$4</formula>
    </cfRule>
  </conditionalFormatting>
  <conditionalFormatting sqref="J47:T47">
    <cfRule type="expression" dxfId="123" priority="25">
      <formula>J$34=J$4</formula>
    </cfRule>
  </conditionalFormatting>
  <conditionalFormatting sqref="J36:T43">
    <cfRule type="expression" dxfId="122" priority="24">
      <formula>J$34=J$4</formula>
    </cfRule>
  </conditionalFormatting>
  <conditionalFormatting sqref="J49:T56">
    <cfRule type="expression" dxfId="121" priority="23">
      <formula>J$47=J$4</formula>
    </cfRule>
  </conditionalFormatting>
  <conditionalFormatting sqref="J73:T73">
    <cfRule type="expression" dxfId="120" priority="21">
      <formula>J$34=J$4</formula>
    </cfRule>
  </conditionalFormatting>
  <conditionalFormatting sqref="J95:T95">
    <cfRule type="expression" dxfId="119" priority="20">
      <formula>J$34=J$4</formula>
    </cfRule>
  </conditionalFormatting>
  <conditionalFormatting sqref="J97:T97">
    <cfRule type="expression" dxfId="118" priority="19">
      <formula>J$95=J$4</formula>
    </cfRule>
  </conditionalFormatting>
  <conditionalFormatting sqref="W99">
    <cfRule type="cellIs" dxfId="117" priority="17" operator="equal">
      <formula>"Check"</formula>
    </cfRule>
    <cfRule type="cellIs" dxfId="116" priority="18" operator="equal">
      <formula>"Ok"</formula>
    </cfRule>
  </conditionalFormatting>
  <conditionalFormatting sqref="J99:T99">
    <cfRule type="cellIs" dxfId="115" priority="15" operator="equal">
      <formula>"Check"</formula>
    </cfRule>
    <cfRule type="cellIs" dxfId="114" priority="16" operator="equal">
      <formula>"Ok"</formula>
    </cfRule>
  </conditionalFormatting>
  <conditionalFormatting sqref="W45">
    <cfRule type="cellIs" dxfId="113" priority="13" operator="equal">
      <formula>"Check"</formula>
    </cfRule>
    <cfRule type="cellIs" dxfId="112" priority="14" operator="equal">
      <formula>"Ok"</formula>
    </cfRule>
  </conditionalFormatting>
  <conditionalFormatting sqref="J45:T45">
    <cfRule type="cellIs" dxfId="111" priority="11" operator="equal">
      <formula>"Check"</formula>
    </cfRule>
    <cfRule type="cellIs" dxfId="110" priority="12" operator="equal">
      <formula>"Ok"</formula>
    </cfRule>
  </conditionalFormatting>
  <conditionalFormatting sqref="W71">
    <cfRule type="cellIs" dxfId="109" priority="9" operator="equal">
      <formula>"Check"</formula>
    </cfRule>
    <cfRule type="cellIs" dxfId="108" priority="10" operator="equal">
      <formula>"Ok"</formula>
    </cfRule>
  </conditionalFormatting>
  <conditionalFormatting sqref="J71:T71">
    <cfRule type="cellIs" dxfId="107" priority="7" operator="equal">
      <formula>"Check"</formula>
    </cfRule>
    <cfRule type="cellIs" dxfId="106" priority="8" operator="equal">
      <formula>"Ok"</formula>
    </cfRule>
  </conditionalFormatting>
  <conditionalFormatting sqref="J82:T82">
    <cfRule type="expression" dxfId="105" priority="5">
      <formula>J$82=J$4</formula>
    </cfRule>
  </conditionalFormatting>
  <conditionalFormatting sqref="J84:T89">
    <cfRule type="expression" dxfId="104" priority="4">
      <formula>J$82=J$4</formula>
    </cfRule>
  </conditionalFormatting>
  <conditionalFormatting sqref="J91:T91">
    <cfRule type="cellIs" dxfId="103" priority="2" operator="equal">
      <formula>"Check"</formula>
    </cfRule>
    <cfRule type="cellIs" dxfId="102" priority="3" operator="equal">
      <formula>"Ok"</formula>
    </cfRule>
  </conditionalFormatting>
  <conditionalFormatting sqref="J62:T62">
    <cfRule type="expression" dxfId="101" priority="1">
      <formula>J$62=J$4</formula>
    </cfRule>
  </conditionalFormatting>
  <dataValidations disablePrompts="1" count="1">
    <dataValidation type="list" allowBlank="1" showInputMessage="1" showErrorMessage="1" sqref="F100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U1" sqref="U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7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90</v>
      </c>
      <c r="S1" s="78" t="str">
        <f>IF(COUNTA($W$8:$W$235)=COUNTIF($W$8:$W$235,"OK"),"OK","Check")</f>
        <v>OK</v>
      </c>
      <c r="U1" s="190" t="s">
        <v>24</v>
      </c>
      <c r="V1" s="78" t="str">
        <f>'Check|List'!$S$1</f>
        <v>Ok</v>
      </c>
    </row>
    <row r="2" spans="1:47" s="79" customFormat="1" ht="13.5" thickBot="1">
      <c r="B2" s="80" t="str">
        <f>Index!$C$11</f>
        <v>Input | Step changes</v>
      </c>
      <c r="C2" s="80"/>
      <c r="D2" s="80"/>
      <c r="E2" s="80"/>
      <c r="F2" s="81"/>
      <c r="G2" s="81"/>
      <c r="H2" s="81"/>
      <c r="I2" s="81"/>
    </row>
    <row r="3" spans="1:47" s="82" customFormat="1">
      <c r="C3" s="83"/>
      <c r="D3" s="84"/>
      <c r="E3" s="84"/>
      <c r="F3" s="84"/>
      <c r="G3" s="84"/>
      <c r="H3" s="84"/>
      <c r="I3" s="84"/>
      <c r="J3" s="162" t="s">
        <v>138</v>
      </c>
      <c r="K3" s="178"/>
      <c r="L3" s="178"/>
      <c r="M3" s="84"/>
      <c r="N3" s="195"/>
      <c r="O3" s="195"/>
      <c r="P3" s="195"/>
      <c r="Q3" s="195"/>
      <c r="R3" s="195"/>
      <c r="S3" s="195"/>
      <c r="T3" s="85"/>
      <c r="U3" s="85"/>
      <c r="V3" s="85"/>
      <c r="W3" s="85"/>
      <c r="X3" s="85"/>
      <c r="Y3" s="85"/>
      <c r="Z3" s="85"/>
    </row>
    <row r="4" spans="1:47" s="96" customFormat="1" ht="10.5">
      <c r="A4" s="86"/>
      <c r="B4" s="86"/>
      <c r="C4" s="86"/>
      <c r="D4" s="86" t="s">
        <v>7</v>
      </c>
      <c r="E4" s="86" t="s">
        <v>8</v>
      </c>
      <c r="F4" s="89" t="s">
        <v>22</v>
      </c>
      <c r="G4" s="89"/>
      <c r="H4" s="89"/>
      <c r="I4" s="89"/>
      <c r="J4" s="160">
        <f>DATE('Input|General'!$G$10,MONTH('Input|General'!$G$9),1)</f>
        <v>41609</v>
      </c>
      <c r="K4" s="160">
        <f>IF(DATE('Input|General'!$G$10+1,MONTH('Input|General'!$G$9),1)&lt;=DATE('Input|General'!$G$14,MONTH('Input|General'!$G$9),1),DATE('Input|General'!$G$10+1,MONTH('Input|General'!$G$9),1),"")</f>
        <v>41974</v>
      </c>
      <c r="L4" s="160">
        <f>IF(DATE('Input|General'!$G$10+2,MONTH('Input|General'!$G$9),1)&lt;=DATE('Input|General'!$G$14,MONTH('Input|General'!$G$9),1),DATE('Input|General'!$G$10+2,MONTH('Input|General'!$G$9),1),"")</f>
        <v>42339</v>
      </c>
      <c r="M4" s="160">
        <f>IF(DATE('Input|General'!$G$10+3,MONTH('Input|General'!$G$9),1)&lt;=DATE('Input|General'!$G$14,MONTH('Input|General'!$G$9),1),DATE('Input|General'!$G$10+3,MONTH('Input|General'!$G$9),1),"")</f>
        <v>42705</v>
      </c>
      <c r="N4" s="160">
        <f>IF(DATE('Input|General'!$G$10+4,MONTH('Input|General'!$G$9),1)&lt;=DATE('Input|General'!$G$14,MONTH('Input|General'!$G$9),1),DATE('Input|General'!$G$10+4,MONTH('Input|General'!$G$9),1),"")</f>
        <v>43070</v>
      </c>
      <c r="O4" s="160">
        <f>IF(DATE('Input|General'!$G$10+5,MONTH('Input|General'!$G$9),1)&lt;=DATE('Input|General'!$G$14,MONTH('Input|General'!$G$9),1),DATE('Input|General'!$G$10+5,MONTH('Input|General'!$G$9),1),"")</f>
        <v>43435</v>
      </c>
      <c r="P4" s="160">
        <f>IF(DATE('Input|General'!$G$10+6,MONTH('Input|General'!$G$9),1)&lt;=DATE('Input|General'!$G$14,MONTH('Input|General'!$G$9),1),DATE('Input|General'!$G$10+6,MONTH('Input|General'!$G$9),1),"")</f>
        <v>43800</v>
      </c>
      <c r="Q4" s="160">
        <f>IF(DATE('Input|General'!$G$10+7,MONTH('Input|General'!$G$9),1)&lt;=DATE('Input|General'!$G$14,MONTH('Input|General'!$G$9),1),DATE('Input|General'!$G$10+7,MONTH('Input|General'!$G$9),1),"")</f>
        <v>44166</v>
      </c>
      <c r="R4" s="160">
        <f>IF(DATE('Input|General'!$G$10+8,MONTH('Input|General'!$G$9),1)&lt;=DATE('Input|General'!$G$14,MONTH('Input|General'!$G$9),1),DATE('Input|General'!$G$10+8,MONTH('Input|General'!$G$9),1),"")</f>
        <v>44531</v>
      </c>
      <c r="S4" s="160">
        <f>IF(DATE('Input|General'!$G$10+9,MONTH('Input|General'!$G$9),1)&lt;=DATE('Input|General'!$G$14,MONTH('Input|General'!$G$9),1),DATE('Input|General'!$G$10+9,MONTH('Input|General'!$G$9),1),"")</f>
        <v>44896</v>
      </c>
      <c r="T4" s="90"/>
      <c r="U4" s="90"/>
      <c r="V4" s="91"/>
      <c r="W4" s="91"/>
      <c r="X4" s="92"/>
      <c r="Y4" s="92"/>
      <c r="Z4" s="92"/>
      <c r="AA4" s="92"/>
      <c r="AB4" s="93"/>
      <c r="AC4" s="94"/>
      <c r="AD4" s="94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6" customFormat="1" ht="12.75">
      <c r="A8" s="97"/>
      <c r="B8" s="98" t="s">
        <v>50</v>
      </c>
      <c r="C8" s="97"/>
      <c r="D8" s="97"/>
      <c r="E8" s="97"/>
      <c r="F8" s="99"/>
      <c r="G8" s="99"/>
      <c r="H8" s="99"/>
      <c r="I8" s="99"/>
      <c r="J8" s="100"/>
      <c r="K8" s="101"/>
      <c r="L8" s="100"/>
      <c r="M8" s="101"/>
      <c r="N8" s="100"/>
      <c r="O8" s="100"/>
      <c r="P8" s="100"/>
      <c r="Q8" s="100"/>
      <c r="R8" s="100"/>
      <c r="S8" s="100"/>
      <c r="T8" s="100"/>
      <c r="U8" s="100"/>
      <c r="V8" s="101"/>
      <c r="W8" s="101"/>
      <c r="X8" s="102"/>
      <c r="Y8" s="102"/>
      <c r="Z8" s="102"/>
      <c r="AA8" s="102"/>
      <c r="AB8" s="103"/>
      <c r="AC8" s="104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</row>
    <row r="9" spans="1:47" outlineLevel="1">
      <c r="G9" s="32"/>
      <c r="H9" s="32"/>
    </row>
    <row r="10" spans="1:47" outlineLevel="1">
      <c r="C10" s="68" t="s">
        <v>87</v>
      </c>
      <c r="D10" s="32" t="s">
        <v>7</v>
      </c>
      <c r="E10" s="32" t="s">
        <v>8</v>
      </c>
      <c r="F10" s="32" t="s">
        <v>22</v>
      </c>
      <c r="G10" s="32"/>
      <c r="H10" s="32"/>
      <c r="I10" s="167"/>
      <c r="J10" s="167" t="str">
        <f>IF(YEAR(J$4)&gt;='Input|General'!$G$13,IF(YEAR(J$4)&lt;='Input|General'!$G$14,J$4,""),"")</f>
        <v/>
      </c>
      <c r="K10" s="167" t="str">
        <f>IF(YEAR(K$4)&gt;='Input|General'!$G$13,IF(YEAR(K$4)&lt;='Input|General'!$G$14,K$4,""),"")</f>
        <v/>
      </c>
      <c r="L10" s="167" t="str">
        <f>IF(YEAR(L$4)&gt;='Input|General'!$G$13,IF(YEAR(L$4)&lt;='Input|General'!$G$14,L$4,""),"")</f>
        <v/>
      </c>
      <c r="M10" s="167" t="str">
        <f>IF(YEAR(M$4)&gt;='Input|General'!$G$13,IF(YEAR(M$4)&lt;='Input|General'!$G$14,M$4,""),"")</f>
        <v/>
      </c>
      <c r="N10" s="167" t="str">
        <f>IF(YEAR(N$4)&gt;='Input|General'!$G$13,IF(YEAR(N$4)&lt;='Input|General'!$G$14,N$4,""),"")</f>
        <v/>
      </c>
      <c r="O10" s="167">
        <f>IF(YEAR(O$4)&gt;='Input|General'!$G$13,IF(YEAR(O$4)&lt;='Input|General'!$G$14,O$4,""),"")</f>
        <v>43435</v>
      </c>
      <c r="P10" s="167">
        <f>IF(YEAR(P$4)&gt;='Input|General'!$G$13,IF(YEAR(P$4)&lt;='Input|General'!$G$14,P$4,""),"")</f>
        <v>43800</v>
      </c>
      <c r="Q10" s="167">
        <f>IF(YEAR(Q$4)&gt;='Input|General'!$G$13,IF(YEAR(Q$4)&lt;='Input|General'!$G$14,Q$4,""),"")</f>
        <v>44166</v>
      </c>
      <c r="R10" s="167">
        <f>IF(YEAR(R$4)&gt;='Input|General'!$G$13,IF(YEAR(R$4)&lt;='Input|General'!$G$14,R$4,""),"")</f>
        <v>44531</v>
      </c>
      <c r="S10" s="167">
        <f>IF(YEAR(S$4)&gt;='Input|General'!$G$13,IF(YEAR(S$4)&lt;='Input|General'!$G$14,S$4,""),"")</f>
        <v>44896</v>
      </c>
    </row>
    <row r="11" spans="1:47" outlineLevel="1">
      <c r="G11" s="32"/>
      <c r="H11" s="32"/>
    </row>
    <row r="12" spans="1:47" outlineLevel="1">
      <c r="C12" s="193" t="s">
        <v>160</v>
      </c>
      <c r="D12" s="30" t="s">
        <v>77</v>
      </c>
      <c r="E12" s="153" t="s">
        <v>15</v>
      </c>
      <c r="F12" s="177">
        <v>43070</v>
      </c>
      <c r="G12" s="32"/>
      <c r="H12" s="32"/>
      <c r="O12" s="176">
        <v>0.27883485000000002</v>
      </c>
      <c r="P12" s="176">
        <v>0.36932269285714286</v>
      </c>
      <c r="Q12" s="176">
        <v>0.36932269285714286</v>
      </c>
      <c r="R12" s="176">
        <v>0.59007109285714288</v>
      </c>
      <c r="S12" s="176">
        <v>0.59007109285714288</v>
      </c>
    </row>
    <row r="13" spans="1:47" outlineLevel="1">
      <c r="C13" s="61"/>
      <c r="D13" s="30" t="s">
        <v>77</v>
      </c>
      <c r="E13" s="153" t="s">
        <v>15</v>
      </c>
      <c r="F13" s="177">
        <v>43070</v>
      </c>
      <c r="G13" s="32"/>
      <c r="H13" s="32"/>
      <c r="O13" s="176"/>
      <c r="P13" s="176"/>
      <c r="Q13" s="176"/>
      <c r="R13" s="176"/>
      <c r="S13" s="176"/>
    </row>
    <row r="14" spans="1:47" outlineLevel="1">
      <c r="C14" s="61"/>
      <c r="D14" s="30" t="s">
        <v>77</v>
      </c>
      <c r="E14" s="153" t="s">
        <v>15</v>
      </c>
      <c r="F14" s="177">
        <v>43070</v>
      </c>
      <c r="G14" s="32"/>
      <c r="H14" s="32"/>
      <c r="O14" s="176"/>
      <c r="P14" s="176"/>
      <c r="Q14" s="176"/>
      <c r="R14" s="176"/>
      <c r="S14" s="176"/>
    </row>
    <row r="15" spans="1:47" outlineLevel="1">
      <c r="C15" s="61"/>
      <c r="D15" s="30" t="s">
        <v>77</v>
      </c>
      <c r="E15" s="153" t="s">
        <v>15</v>
      </c>
      <c r="F15" s="177">
        <v>43070</v>
      </c>
      <c r="G15" s="32"/>
      <c r="H15" s="32"/>
      <c r="O15" s="176"/>
      <c r="P15" s="176"/>
      <c r="Q15" s="176"/>
      <c r="R15" s="176"/>
      <c r="S15" s="176"/>
    </row>
    <row r="16" spans="1:47" outlineLevel="1">
      <c r="C16" s="61"/>
      <c r="D16" s="30" t="s">
        <v>77</v>
      </c>
      <c r="E16" s="153" t="s">
        <v>15</v>
      </c>
      <c r="F16" s="177">
        <v>43070</v>
      </c>
      <c r="G16" s="32"/>
      <c r="H16" s="32"/>
      <c r="O16" s="176"/>
      <c r="P16" s="176"/>
      <c r="Q16" s="176"/>
      <c r="R16" s="176"/>
      <c r="S16" s="176"/>
    </row>
    <row r="17" spans="1:47" outlineLevel="1">
      <c r="C17" s="61"/>
      <c r="D17" s="30" t="s">
        <v>77</v>
      </c>
      <c r="E17" s="153" t="s">
        <v>15</v>
      </c>
      <c r="F17" s="177">
        <v>43070</v>
      </c>
      <c r="G17" s="32"/>
      <c r="H17" s="32"/>
      <c r="O17" s="176"/>
      <c r="P17" s="176"/>
      <c r="Q17" s="176"/>
      <c r="R17" s="176"/>
      <c r="S17" s="176"/>
    </row>
    <row r="18" spans="1:47" outlineLevel="1">
      <c r="C18" s="61"/>
      <c r="D18" s="30" t="s">
        <v>77</v>
      </c>
      <c r="E18" s="153" t="s">
        <v>15</v>
      </c>
      <c r="F18" s="177">
        <v>43070</v>
      </c>
      <c r="G18" s="32"/>
      <c r="H18" s="32"/>
      <c r="O18" s="176"/>
      <c r="P18" s="176"/>
      <c r="Q18" s="176"/>
      <c r="R18" s="176"/>
      <c r="S18" s="176"/>
    </row>
    <row r="19" spans="1:47" outlineLevel="1">
      <c r="C19" s="61"/>
      <c r="D19" s="30" t="s">
        <v>77</v>
      </c>
      <c r="E19" s="153" t="s">
        <v>15</v>
      </c>
      <c r="F19" s="177">
        <v>43070</v>
      </c>
      <c r="G19" s="32"/>
      <c r="H19" s="32"/>
      <c r="O19" s="176"/>
      <c r="P19" s="176"/>
      <c r="Q19" s="176"/>
      <c r="R19" s="176"/>
      <c r="S19" s="176"/>
    </row>
    <row r="20" spans="1:47" outlineLevel="1">
      <c r="C20" s="61"/>
      <c r="D20" s="30" t="s">
        <v>77</v>
      </c>
      <c r="E20" s="153" t="s">
        <v>15</v>
      </c>
      <c r="F20" s="177">
        <v>43070</v>
      </c>
      <c r="G20" s="32"/>
      <c r="H20" s="32"/>
      <c r="O20" s="176"/>
      <c r="P20" s="176"/>
      <c r="Q20" s="176"/>
      <c r="R20" s="176"/>
      <c r="S20" s="176"/>
    </row>
    <row r="21" spans="1:47" outlineLevel="1">
      <c r="G21" s="32"/>
      <c r="H21" s="32"/>
    </row>
    <row r="22" spans="1:47" outlineLevel="1">
      <c r="C22" s="29" t="s">
        <v>40</v>
      </c>
      <c r="D22" s="30" t="s">
        <v>110</v>
      </c>
      <c r="E22" s="30" t="s">
        <v>28</v>
      </c>
      <c r="F22" s="30" t="s">
        <v>36</v>
      </c>
      <c r="J22" s="135" t="str">
        <f t="shared" ref="J22:S22" si="0">IF(J10=J4,IF(COUNTA($C12:$C20)=COUNT(J12:J20),"Ok","Check"),"")</f>
        <v/>
      </c>
      <c r="K22" s="135" t="str">
        <f t="shared" si="0"/>
        <v/>
      </c>
      <c r="L22" s="135" t="str">
        <f t="shared" si="0"/>
        <v/>
      </c>
      <c r="M22" s="135" t="str">
        <f t="shared" si="0"/>
        <v/>
      </c>
      <c r="N22" s="135" t="str">
        <f t="shared" si="0"/>
        <v/>
      </c>
      <c r="O22" s="135" t="str">
        <f t="shared" si="0"/>
        <v>Ok</v>
      </c>
      <c r="P22" s="135" t="str">
        <f t="shared" si="0"/>
        <v>Ok</v>
      </c>
      <c r="Q22" s="135" t="str">
        <f t="shared" si="0"/>
        <v>Ok</v>
      </c>
      <c r="R22" s="135" t="str">
        <f t="shared" si="0"/>
        <v>Ok</v>
      </c>
      <c r="S22" s="135" t="str">
        <f t="shared" si="0"/>
        <v>Ok</v>
      </c>
      <c r="T22" s="135"/>
      <c r="U22" s="24"/>
      <c r="W22" s="134" t="str">
        <f>IF(COUNTIF(J22:T22,"Check")=0,"Ok","Check")</f>
        <v>Ok</v>
      </c>
    </row>
    <row r="23" spans="1:47">
      <c r="G23" s="32"/>
      <c r="H23" s="32"/>
    </row>
    <row r="24" spans="1:47" s="106" customFormat="1" ht="12.75">
      <c r="A24" s="97"/>
      <c r="B24" s="98" t="s">
        <v>134</v>
      </c>
      <c r="C24" s="97"/>
      <c r="D24" s="97"/>
      <c r="E24" s="97"/>
      <c r="F24" s="99"/>
      <c r="G24" s="99"/>
      <c r="H24" s="99"/>
      <c r="I24" s="99"/>
      <c r="J24" s="100"/>
      <c r="K24" s="101"/>
      <c r="L24" s="100"/>
      <c r="M24" s="101"/>
      <c r="N24" s="100"/>
      <c r="O24" s="100"/>
      <c r="P24" s="100"/>
      <c r="Q24" s="100"/>
      <c r="R24" s="100"/>
      <c r="S24" s="100"/>
      <c r="T24" s="100"/>
      <c r="U24" s="100"/>
      <c r="V24" s="101"/>
      <c r="W24" s="101"/>
      <c r="X24" s="102"/>
      <c r="Y24" s="102"/>
      <c r="Z24" s="102"/>
      <c r="AA24" s="102"/>
      <c r="AB24" s="103"/>
      <c r="AC24" s="104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</row>
    <row r="25" spans="1:47" outlineLevel="1">
      <c r="G25" s="32"/>
      <c r="H25" s="32"/>
    </row>
    <row r="26" spans="1:47" outlineLevel="1">
      <c r="C26" s="68" t="s">
        <v>124</v>
      </c>
      <c r="D26" s="32" t="s">
        <v>7</v>
      </c>
      <c r="E26" s="32" t="s">
        <v>8</v>
      </c>
      <c r="F26" s="32" t="s">
        <v>22</v>
      </c>
      <c r="G26" s="32"/>
      <c r="H26" s="32"/>
      <c r="J26" s="167" t="str">
        <f>IF(YEAR(J$4)&gt;='Input|General'!$G$13,IF(YEAR(J$4)&lt;='Input|General'!$G$14,J$4,""),"")</f>
        <v/>
      </c>
      <c r="K26" s="167" t="str">
        <f>IF(YEAR(K$4)&gt;='Input|General'!$G$13,IF(YEAR(K$4)&lt;='Input|General'!$G$14,K$4,""),"")</f>
        <v/>
      </c>
      <c r="L26" s="167" t="str">
        <f>IF(YEAR(L$4)&gt;='Input|General'!$G$13,IF(YEAR(L$4)&lt;='Input|General'!$G$14,L$4,""),"")</f>
        <v/>
      </c>
      <c r="M26" s="167" t="str">
        <f>IF(YEAR(M$4)&gt;='Input|General'!$G$13,IF(YEAR(M$4)&lt;='Input|General'!$G$14,M$4,""),"")</f>
        <v/>
      </c>
      <c r="N26" s="167" t="str">
        <f>IF(YEAR(N$4)&gt;='Input|General'!$G$13,IF(YEAR(N$4)&lt;='Input|General'!$G$14,N$4,""),"")</f>
        <v/>
      </c>
      <c r="O26" s="167">
        <f>IF(YEAR(O$4)&gt;='Input|General'!$G$13,IF(YEAR(O$4)&lt;='Input|General'!$G$14,O$4,""),"")</f>
        <v>43435</v>
      </c>
      <c r="P26" s="167">
        <f>IF(YEAR(P$4)&gt;='Input|General'!$G$13,IF(YEAR(P$4)&lt;='Input|General'!$G$14,P$4,""),"")</f>
        <v>43800</v>
      </c>
      <c r="Q26" s="167">
        <f>IF(YEAR(Q$4)&gt;='Input|General'!$G$13,IF(YEAR(Q$4)&lt;='Input|General'!$G$14,Q$4,""),"")</f>
        <v>44166</v>
      </c>
      <c r="R26" s="167">
        <f>IF(YEAR(R$4)&gt;='Input|General'!$G$13,IF(YEAR(R$4)&lt;='Input|General'!$G$14,R$4,""),"")</f>
        <v>44531</v>
      </c>
      <c r="S26" s="167">
        <f>IF(YEAR(S$4)&gt;='Input|General'!$G$13,IF(YEAR(S$4)&lt;='Input|General'!$G$14,S$4,""),"")</f>
        <v>44896</v>
      </c>
    </row>
    <row r="27" spans="1:47" outlineLevel="1">
      <c r="G27" s="32"/>
      <c r="H27" s="32"/>
    </row>
    <row r="28" spans="1:47" outlineLevel="1">
      <c r="C28" s="193" t="s">
        <v>161</v>
      </c>
      <c r="D28" s="30" t="s">
        <v>77</v>
      </c>
      <c r="E28" s="153" t="s">
        <v>15</v>
      </c>
      <c r="F28" s="177">
        <v>43070</v>
      </c>
      <c r="G28" s="32"/>
      <c r="H28" s="32"/>
      <c r="O28" s="176">
        <v>0.2389866867488093</v>
      </c>
      <c r="P28" s="176">
        <v>0.24912849089641542</v>
      </c>
      <c r="Q28" s="176">
        <v>0.25396176818357602</v>
      </c>
      <c r="R28" s="176">
        <v>0.25911219217650067</v>
      </c>
      <c r="S28" s="176">
        <v>0.26412950365900167</v>
      </c>
    </row>
    <row r="29" spans="1:47" outlineLevel="1">
      <c r="C29" s="193"/>
      <c r="D29" s="30" t="s">
        <v>77</v>
      </c>
      <c r="E29" s="153" t="s">
        <v>15</v>
      </c>
      <c r="F29" s="177">
        <v>43070</v>
      </c>
      <c r="G29" s="32"/>
      <c r="H29" s="32"/>
      <c r="O29" s="176"/>
      <c r="P29" s="176"/>
      <c r="Q29" s="176"/>
      <c r="R29" s="176"/>
      <c r="S29" s="176"/>
    </row>
    <row r="30" spans="1:47" outlineLevel="1">
      <c r="C30" s="61"/>
      <c r="D30" s="30" t="s">
        <v>77</v>
      </c>
      <c r="E30" s="153" t="s">
        <v>15</v>
      </c>
      <c r="F30" s="177">
        <v>43070</v>
      </c>
      <c r="G30" s="32"/>
      <c r="H30" s="32"/>
      <c r="O30" s="176"/>
      <c r="P30" s="176"/>
      <c r="Q30" s="176"/>
      <c r="R30" s="176"/>
      <c r="S30" s="176"/>
    </row>
    <row r="31" spans="1:47" outlineLevel="1">
      <c r="G31" s="32"/>
      <c r="H31" s="32"/>
    </row>
    <row r="32" spans="1:47" outlineLevel="1">
      <c r="C32" s="29" t="s">
        <v>40</v>
      </c>
      <c r="D32" s="30" t="s">
        <v>110</v>
      </c>
      <c r="E32" s="30" t="s">
        <v>28</v>
      </c>
      <c r="F32" s="30" t="s">
        <v>36</v>
      </c>
      <c r="J32" s="135" t="str">
        <f t="shared" ref="J32:R32" si="1">IF(J26=J4,IF(COUNTA($C28:$C30)=COUNT(J28:J30),"Ok","Check"),"")</f>
        <v/>
      </c>
      <c r="K32" s="135" t="str">
        <f t="shared" si="1"/>
        <v/>
      </c>
      <c r="L32" s="135" t="str">
        <f t="shared" si="1"/>
        <v/>
      </c>
      <c r="M32" s="135" t="str">
        <f t="shared" si="1"/>
        <v/>
      </c>
      <c r="N32" s="135" t="str">
        <f t="shared" si="1"/>
        <v/>
      </c>
      <c r="O32" s="135" t="str">
        <f t="shared" si="1"/>
        <v>Ok</v>
      </c>
      <c r="P32" s="135" t="str">
        <f t="shared" si="1"/>
        <v>Ok</v>
      </c>
      <c r="Q32" s="135" t="str">
        <f t="shared" si="1"/>
        <v>Ok</v>
      </c>
      <c r="R32" s="135" t="str">
        <f t="shared" si="1"/>
        <v>Ok</v>
      </c>
      <c r="S32" s="135" t="str">
        <f>IF(S26=S4,IF(COUNTA($C28:$C30)=COUNT(S28:S30),"Ok","Check"),"")</f>
        <v>Ok</v>
      </c>
      <c r="T32" s="135"/>
      <c r="U32" s="24"/>
      <c r="W32" s="134" t="str">
        <f>IF(COUNTIF(J32:T32,"Check")=0,"Ok","Check")</f>
        <v>Ok</v>
      </c>
    </row>
    <row r="33" spans="1:47">
      <c r="G33" s="32"/>
      <c r="H33" s="32"/>
    </row>
    <row r="34" spans="1:47" s="106" customFormat="1" ht="12.75">
      <c r="A34" s="97"/>
      <c r="B34" s="98" t="s">
        <v>44</v>
      </c>
      <c r="C34" s="97"/>
      <c r="D34" s="97"/>
      <c r="E34" s="97"/>
      <c r="F34" s="99"/>
      <c r="G34" s="99"/>
      <c r="H34" s="99"/>
      <c r="I34" s="99"/>
      <c r="J34" s="100"/>
      <c r="K34" s="101"/>
      <c r="L34" s="100"/>
      <c r="M34" s="101"/>
      <c r="N34" s="100"/>
      <c r="O34" s="100"/>
      <c r="P34" s="100"/>
      <c r="Q34" s="100"/>
      <c r="R34" s="100"/>
      <c r="S34" s="100"/>
      <c r="T34" s="100"/>
      <c r="U34" s="100"/>
      <c r="V34" s="101"/>
      <c r="W34" s="101"/>
      <c r="X34" s="102"/>
      <c r="Y34" s="102"/>
      <c r="Z34" s="102"/>
      <c r="AA34" s="102"/>
      <c r="AB34" s="103"/>
      <c r="AC34" s="104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</row>
    <row r="35" spans="1:47" outlineLevel="1">
      <c r="G35" s="32"/>
      <c r="H35" s="32"/>
    </row>
    <row r="36" spans="1:47" outlineLevel="1">
      <c r="C36" s="68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7" t="str">
        <f>IF(YEAR(J$4)&gt;='Input|General'!$G$13,IF(YEAR(J$4)&lt;='Input|General'!$G$14,J$4,""),"")</f>
        <v/>
      </c>
      <c r="K36" s="167" t="str">
        <f>IF(YEAR(K$4)&gt;='Input|General'!$G$13,IF(YEAR(K$4)&lt;='Input|General'!$G$14,K$4,""),"")</f>
        <v/>
      </c>
      <c r="L36" s="167" t="str">
        <f>IF(YEAR(L$4)&gt;='Input|General'!$G$13,IF(YEAR(L$4)&lt;='Input|General'!$G$14,L$4,""),"")</f>
        <v/>
      </c>
      <c r="M36" s="167" t="str">
        <f>IF(YEAR(M$4)&gt;='Input|General'!$G$13,IF(YEAR(M$4)&lt;='Input|General'!$G$14,M$4,""),"")</f>
        <v/>
      </c>
      <c r="N36" s="167" t="str">
        <f>IF(YEAR(N$4)&gt;='Input|General'!$G$13,IF(YEAR(N$4)&lt;='Input|General'!$G$14,N$4,""),"")</f>
        <v/>
      </c>
      <c r="O36" s="167">
        <f>IF(YEAR(O$4)&gt;='Input|General'!$G$13,IF(YEAR(O$4)&lt;='Input|General'!$G$14,O$4,""),"")</f>
        <v>43435</v>
      </c>
      <c r="P36" s="167">
        <f>IF(YEAR(P$4)&gt;='Input|General'!$G$13,IF(YEAR(P$4)&lt;='Input|General'!$G$14,P$4,""),"")</f>
        <v>43800</v>
      </c>
      <c r="Q36" s="167">
        <f>IF(YEAR(Q$4)&gt;='Input|General'!$G$13,IF(YEAR(Q$4)&lt;='Input|General'!$G$14,Q$4,""),"")</f>
        <v>44166</v>
      </c>
      <c r="R36" s="167">
        <f>IF(YEAR(R$4)&gt;='Input|General'!$G$13,IF(YEAR(R$4)&lt;='Input|General'!$G$14,R$4,""),"")</f>
        <v>44531</v>
      </c>
      <c r="S36" s="167">
        <f>IF(YEAR(S$4)&gt;='Input|General'!$G$13,IF(YEAR(S$4)&lt;='Input|General'!$G$14,S$4,""),"")</f>
        <v>44896</v>
      </c>
    </row>
    <row r="37" spans="1:47" outlineLevel="1">
      <c r="G37" s="32"/>
      <c r="H37" s="32"/>
    </row>
    <row r="38" spans="1:47" outlineLevel="1">
      <c r="C38" s="114" t="s">
        <v>39</v>
      </c>
      <c r="D38" s="30" t="s">
        <v>80</v>
      </c>
      <c r="E38" s="30" t="s">
        <v>15</v>
      </c>
      <c r="F38" s="177">
        <v>43070</v>
      </c>
      <c r="G38" s="32"/>
      <c r="H38" s="32"/>
      <c r="O38" s="70">
        <v>0.51</v>
      </c>
      <c r="P38" s="70">
        <v>0.52</v>
      </c>
      <c r="Q38" s="70">
        <v>0.53</v>
      </c>
      <c r="R38" s="70">
        <v>0.54</v>
      </c>
      <c r="S38" s="70">
        <v>0.55000000000000004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110</v>
      </c>
      <c r="E40" s="30" t="s">
        <v>28</v>
      </c>
      <c r="F40" s="30" t="s">
        <v>36</v>
      </c>
      <c r="J40" s="135" t="str">
        <f t="shared" ref="J40:R40" si="2">IF(J36=J4,IF(ISBLANK(J38),"Check","Ok"),"")</f>
        <v/>
      </c>
      <c r="K40" s="135" t="str">
        <f t="shared" si="2"/>
        <v/>
      </c>
      <c r="L40" s="135" t="str">
        <f t="shared" si="2"/>
        <v/>
      </c>
      <c r="M40" s="135" t="str">
        <f t="shared" si="2"/>
        <v/>
      </c>
      <c r="N40" s="135" t="str">
        <f t="shared" si="2"/>
        <v/>
      </c>
      <c r="O40" s="135" t="str">
        <f t="shared" si="2"/>
        <v>Ok</v>
      </c>
      <c r="P40" s="135" t="str">
        <f t="shared" si="2"/>
        <v>Ok</v>
      </c>
      <c r="Q40" s="135" t="str">
        <f t="shared" si="2"/>
        <v>Ok</v>
      </c>
      <c r="R40" s="135" t="str">
        <f t="shared" si="2"/>
        <v>Ok</v>
      </c>
      <c r="S40" s="135" t="str">
        <f>IF(S36=S4,IF(ISBLANK(S38),"Check","Ok"),"")</f>
        <v>Ok</v>
      </c>
      <c r="T40" s="135"/>
      <c r="U40" s="24"/>
      <c r="W40" s="134" t="str">
        <f>IF(COUNTIF(J40:T40,"Check")=0,"Ok","Check")</f>
        <v>Ok</v>
      </c>
    </row>
    <row r="41" spans="1:47">
      <c r="G41" s="32"/>
      <c r="H41" s="32"/>
    </row>
    <row r="42" spans="1:47" s="106" customFormat="1" ht="12.75">
      <c r="A42" s="97"/>
      <c r="B42" s="98" t="s">
        <v>21</v>
      </c>
      <c r="C42" s="97"/>
      <c r="D42" s="97"/>
      <c r="E42" s="97"/>
      <c r="F42" s="99"/>
      <c r="G42" s="99"/>
      <c r="H42" s="99"/>
      <c r="I42" s="99"/>
      <c r="J42" s="100"/>
      <c r="K42" s="101"/>
      <c r="L42" s="100"/>
      <c r="M42" s="101"/>
      <c r="N42" s="100"/>
      <c r="O42" s="100"/>
      <c r="P42" s="100"/>
      <c r="Q42" s="100"/>
      <c r="R42" s="100"/>
      <c r="S42" s="100"/>
      <c r="T42" s="100"/>
      <c r="U42" s="100"/>
      <c r="V42" s="101"/>
      <c r="W42" s="101"/>
      <c r="X42" s="102"/>
      <c r="Y42" s="102"/>
      <c r="Z42" s="102"/>
      <c r="AA42" s="102"/>
      <c r="AB42" s="103"/>
      <c r="AC42" s="104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00" priority="22" operator="equal">
      <formula>"Check"</formula>
    </cfRule>
    <cfRule type="cellIs" dxfId="99" priority="23" operator="equal">
      <formula>"Ok"</formula>
    </cfRule>
  </conditionalFormatting>
  <conditionalFormatting sqref="V1">
    <cfRule type="cellIs" dxfId="98" priority="24" operator="equal">
      <formula>"Check"</formula>
    </cfRule>
    <cfRule type="cellIs" dxfId="97" priority="25" operator="equal">
      <formula>"Ok"</formula>
    </cfRule>
  </conditionalFormatting>
  <conditionalFormatting sqref="J10:S10">
    <cfRule type="expression" dxfId="96" priority="20">
      <formula>J$10=J$4</formula>
    </cfRule>
  </conditionalFormatting>
  <conditionalFormatting sqref="J13:S20 J12:N12">
    <cfRule type="expression" dxfId="95" priority="19">
      <formula>J$10=J$4</formula>
    </cfRule>
  </conditionalFormatting>
  <conditionalFormatting sqref="J26:S26">
    <cfRule type="expression" dxfId="94" priority="18">
      <formula>J$10=J$4</formula>
    </cfRule>
  </conditionalFormatting>
  <conditionalFormatting sqref="J36:S36">
    <cfRule type="expression" dxfId="93" priority="17">
      <formula>J$10=J$4</formula>
    </cfRule>
  </conditionalFormatting>
  <conditionalFormatting sqref="W22">
    <cfRule type="cellIs" dxfId="92" priority="15" operator="equal">
      <formula>"Check"</formula>
    </cfRule>
    <cfRule type="cellIs" dxfId="91" priority="16" operator="equal">
      <formula>"Ok"</formula>
    </cfRule>
  </conditionalFormatting>
  <conditionalFormatting sqref="J22:T22">
    <cfRule type="cellIs" dxfId="90" priority="13" operator="equal">
      <formula>"Check"</formula>
    </cfRule>
    <cfRule type="cellIs" dxfId="89" priority="14" operator="equal">
      <formula>"Ok"</formula>
    </cfRule>
  </conditionalFormatting>
  <conditionalFormatting sqref="W32">
    <cfRule type="cellIs" dxfId="88" priority="11" operator="equal">
      <formula>"Check"</formula>
    </cfRule>
    <cfRule type="cellIs" dxfId="87" priority="12" operator="equal">
      <formula>"Ok"</formula>
    </cfRule>
  </conditionalFormatting>
  <conditionalFormatting sqref="J32:T32">
    <cfRule type="cellIs" dxfId="86" priority="9" operator="equal">
      <formula>"Check"</formula>
    </cfRule>
    <cfRule type="cellIs" dxfId="85" priority="10" operator="equal">
      <formula>"Ok"</formula>
    </cfRule>
  </conditionalFormatting>
  <conditionalFormatting sqref="J28:N28 J29:S30">
    <cfRule type="expression" dxfId="84" priority="8">
      <formula>J$26=J$4</formula>
    </cfRule>
  </conditionalFormatting>
  <conditionalFormatting sqref="W40">
    <cfRule type="cellIs" dxfId="83" priority="6" operator="equal">
      <formula>"Check"</formula>
    </cfRule>
    <cfRule type="cellIs" dxfId="82" priority="7" operator="equal">
      <formula>"Ok"</formula>
    </cfRule>
  </conditionalFormatting>
  <conditionalFormatting sqref="J40:T40">
    <cfRule type="cellIs" dxfId="81" priority="4" operator="equal">
      <formula>"Check"</formula>
    </cfRule>
    <cfRule type="cellIs" dxfId="80" priority="5" operator="equal">
      <formula>"Ok"</formula>
    </cfRule>
  </conditionalFormatting>
  <conditionalFormatting sqref="O12:S12">
    <cfRule type="expression" dxfId="79" priority="2">
      <formula>O$10=O$4</formula>
    </cfRule>
  </conditionalFormatting>
  <conditionalFormatting sqref="O28:S28">
    <cfRule type="expression" dxfId="78" priority="1">
      <formula>O$26=O$4</formula>
    </cfRule>
  </conditionalFormatting>
  <dataValidations disablePrompts="1"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'Lookup|Tables'!$C$42:$C$61</xm:f>
          </x14:formula1>
          <xm:sqref>F28:F30 F12:F21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73"/>
  <sheetViews>
    <sheetView showGridLines="0" workbookViewId="0">
      <selection activeCell="U1" sqref="U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7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90</v>
      </c>
      <c r="S1" s="78" t="s">
        <v>36</v>
      </c>
      <c r="U1" s="190" t="s">
        <v>24</v>
      </c>
      <c r="V1" s="78" t="str">
        <f>'Check|List'!$S$1</f>
        <v>Ok</v>
      </c>
    </row>
    <row r="2" spans="1:47" s="79" customFormat="1" ht="13.5" thickBot="1">
      <c r="B2" s="80" t="str">
        <f>Index!$C$12</f>
        <v>Calc | Opex Forecast</v>
      </c>
      <c r="C2" s="80"/>
      <c r="D2" s="80"/>
      <c r="E2" s="80"/>
      <c r="F2" s="81"/>
      <c r="G2" s="81"/>
      <c r="H2" s="81"/>
      <c r="I2" s="81"/>
    </row>
    <row r="3" spans="1:47" s="82" customFormat="1">
      <c r="C3" s="83"/>
      <c r="D3" s="84"/>
      <c r="E3" s="84"/>
      <c r="F3" s="84"/>
      <c r="G3" s="84"/>
      <c r="H3" s="84"/>
      <c r="I3" s="84"/>
      <c r="J3" s="178" t="s">
        <v>138</v>
      </c>
      <c r="K3" s="178"/>
      <c r="L3" s="178"/>
      <c r="M3" s="84"/>
      <c r="N3" s="195"/>
      <c r="O3" s="195"/>
      <c r="P3" s="195"/>
      <c r="Q3" s="195"/>
      <c r="R3" s="195"/>
      <c r="S3" s="195"/>
      <c r="T3" s="85"/>
      <c r="U3" s="85"/>
      <c r="V3" s="85"/>
      <c r="W3" s="85"/>
      <c r="X3" s="85"/>
      <c r="Y3" s="85"/>
      <c r="Z3" s="85"/>
    </row>
    <row r="4" spans="1:47" s="96" customFormat="1" ht="10.5">
      <c r="A4" s="86"/>
      <c r="B4" s="86"/>
      <c r="C4" s="86"/>
      <c r="D4" s="87" t="s">
        <v>7</v>
      </c>
      <c r="E4" s="87" t="s">
        <v>8</v>
      </c>
      <c r="F4" s="88" t="s">
        <v>22</v>
      </c>
      <c r="G4" s="89"/>
      <c r="H4" s="89"/>
      <c r="I4" s="89"/>
      <c r="J4" s="160">
        <f>DATE('Input|General'!$G$10,MONTH('Input|General'!$G$9),1)</f>
        <v>41609</v>
      </c>
      <c r="K4" s="160">
        <f>IF(DATE('Input|General'!$G$10+1,MONTH('Input|General'!$G$9),1)&lt;=DATE('Input|General'!$G$14,MONTH('Input|General'!$G$9),1),DATE('Input|General'!$G$10+1,MONTH('Input|General'!$G$9),1),"")</f>
        <v>41974</v>
      </c>
      <c r="L4" s="160">
        <f>IF(DATE('Input|General'!$G$10+2,MONTH('Input|General'!$G$9),1)&lt;=DATE('Input|General'!$G$14,MONTH('Input|General'!$G$9),1),DATE('Input|General'!$G$10+2,MONTH('Input|General'!$G$9),1),"")</f>
        <v>42339</v>
      </c>
      <c r="M4" s="160">
        <f>IF(DATE('Input|General'!$G$10+3,MONTH('Input|General'!$G$9),1)&lt;=DATE('Input|General'!$G$14,MONTH('Input|General'!$G$9),1),DATE('Input|General'!$G$10+3,MONTH('Input|General'!$G$9),1),"")</f>
        <v>42705</v>
      </c>
      <c r="N4" s="160">
        <f>IF(DATE('Input|General'!$G$10+4,MONTH('Input|General'!$G$9),1)&lt;=DATE('Input|General'!$G$14,MONTH('Input|General'!$G$9),1),DATE('Input|General'!$G$10+4,MONTH('Input|General'!$G$9),1),"")</f>
        <v>43070</v>
      </c>
      <c r="O4" s="160">
        <f>IF(DATE('Input|General'!$G$10+5,MONTH('Input|General'!$G$9),1)&lt;=DATE('Input|General'!$G$14,MONTH('Input|General'!$G$9),1),DATE('Input|General'!$G$10+5,MONTH('Input|General'!$G$9),1),"")</f>
        <v>43435</v>
      </c>
      <c r="P4" s="160">
        <f>IF(DATE('Input|General'!$G$10+6,MONTH('Input|General'!$G$9),1)&lt;=DATE('Input|General'!$G$14,MONTH('Input|General'!$G$9),1),DATE('Input|General'!$G$10+6,MONTH('Input|General'!$G$9),1),"")</f>
        <v>43800</v>
      </c>
      <c r="Q4" s="160">
        <f>IF(DATE('Input|General'!$G$10+7,MONTH('Input|General'!$G$9),1)&lt;=DATE('Input|General'!$G$14,MONTH('Input|General'!$G$9),1),DATE('Input|General'!$G$10+7,MONTH('Input|General'!$G$9),1),"")</f>
        <v>44166</v>
      </c>
      <c r="R4" s="160">
        <f>IF(DATE('Input|General'!$G$10+8,MONTH('Input|General'!$G$9),1)&lt;=DATE('Input|General'!$G$14,MONTH('Input|General'!$G$9),1),DATE('Input|General'!$G$10+8,MONTH('Input|General'!$G$9),1),"")</f>
        <v>44531</v>
      </c>
      <c r="S4" s="160">
        <f>IF(DATE('Input|General'!$G$10+9,MONTH('Input|General'!$G$9),1)&lt;=DATE('Input|General'!$G$14,MONTH('Input|General'!$G$9),1),DATE('Input|General'!$G$10+9,MONTH('Input|General'!$G$9),1),"")</f>
        <v>44896</v>
      </c>
      <c r="T4" s="90"/>
      <c r="U4" s="90"/>
      <c r="V4" s="91"/>
      <c r="W4" s="91"/>
      <c r="X4" s="92"/>
      <c r="Y4" s="92"/>
      <c r="Z4" s="92"/>
      <c r="AA4" s="92"/>
      <c r="AB4" s="93"/>
      <c r="AC4" s="94"/>
      <c r="AD4" s="94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6" customFormat="1" ht="12.75">
      <c r="A8" s="97"/>
      <c r="B8" s="98" t="s">
        <v>94</v>
      </c>
      <c r="C8" s="97"/>
      <c r="D8" s="97"/>
      <c r="E8" s="69" t="s">
        <v>15</v>
      </c>
      <c r="F8" s="179">
        <v>43070</v>
      </c>
      <c r="G8" s="99"/>
      <c r="H8" s="99"/>
      <c r="I8" s="99"/>
      <c r="J8" s="100"/>
      <c r="K8" s="101"/>
      <c r="L8" s="100"/>
      <c r="M8" s="101"/>
      <c r="N8" s="100"/>
      <c r="O8" s="100"/>
      <c r="P8" s="100"/>
      <c r="Q8" s="100"/>
      <c r="R8" s="100"/>
      <c r="S8" s="100"/>
      <c r="T8" s="100"/>
      <c r="U8" s="100"/>
      <c r="V8" s="101"/>
      <c r="W8" s="101"/>
      <c r="X8" s="102"/>
      <c r="Y8" s="102"/>
      <c r="Z8" s="102"/>
      <c r="AA8" s="102"/>
      <c r="AB8" s="103"/>
      <c r="AC8" s="104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</row>
    <row r="9" spans="1:47" outlineLevel="1"/>
    <row r="10" spans="1:47" outlineLevel="1">
      <c r="C10" s="107"/>
      <c r="D10" s="32" t="s">
        <v>7</v>
      </c>
      <c r="E10" s="32" t="s">
        <v>8</v>
      </c>
      <c r="F10" s="32" t="s">
        <v>22</v>
      </c>
      <c r="G10" s="108"/>
      <c r="H10" s="108"/>
      <c r="I10" s="108"/>
      <c r="J10" s="167">
        <f>IF(YEAR(J$4)&lt;='Input|General'!$G$12,J$4,"")</f>
        <v>41609</v>
      </c>
      <c r="K10" s="167">
        <f>IF(YEAR(K$4)&lt;='Input|General'!$G$12,K$4,"")</f>
        <v>41974</v>
      </c>
      <c r="L10" s="167">
        <f>IF(YEAR(L$4)&lt;='Input|General'!$G$12,L$4,"")</f>
        <v>42339</v>
      </c>
      <c r="M10" s="167">
        <f>IF(YEAR(M$4)&lt;='Input|General'!$G$12,M$4,"")</f>
        <v>42705</v>
      </c>
      <c r="N10" s="167">
        <f>IF(YEAR(N$4)&lt;='Input|General'!$G$12,N$4,"")</f>
        <v>43070</v>
      </c>
      <c r="O10" s="167" t="str">
        <f>IF(YEAR(O$4)&lt;='Input|General'!$G$12,O$4,"")</f>
        <v/>
      </c>
      <c r="P10" s="167" t="str">
        <f>IF(YEAR(P$4)&lt;='Input|General'!$G$12,P$4,"")</f>
        <v/>
      </c>
      <c r="Q10" s="167" t="str">
        <f>IF(YEAR(Q$4)&lt;='Input|General'!$G$12,Q$4,"")</f>
        <v/>
      </c>
      <c r="R10" s="167" t="str">
        <f>IF(YEAR(R$4)&lt;='Input|General'!$G$12,R$4,"")</f>
        <v/>
      </c>
      <c r="S10" s="167" t="str">
        <f>IF(YEAR(S$4)&lt;='Input|General'!$G$12,S$4,"")</f>
        <v/>
      </c>
    </row>
    <row r="11" spans="1:47" outlineLevel="1">
      <c r="C11" s="109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47" outlineLevel="1">
      <c r="C12" s="109" t="s">
        <v>100</v>
      </c>
      <c r="D12" s="111" t="s">
        <v>103</v>
      </c>
      <c r="E12" s="30" t="str">
        <f>'Input|Reported opex'!E46</f>
        <v>$millions</v>
      </c>
      <c r="F12" s="165" t="str">
        <f>'Input|Reported opex'!F46</f>
        <v>nominal</v>
      </c>
      <c r="J12" s="112">
        <f>IF(YEAR(J$4)=BaseYear,'Input|Reported opex'!J46,0)</f>
        <v>0</v>
      </c>
      <c r="K12" s="112">
        <f>IF(YEAR(K$4)=BaseYear,'Input|Reported opex'!K46,0)</f>
        <v>0</v>
      </c>
      <c r="L12" s="112">
        <f>IF(YEAR(L$4)=BaseYear,'Input|Reported opex'!L46,0)</f>
        <v>0</v>
      </c>
      <c r="M12" s="112">
        <f>IF(YEAR(M$4)=BaseYear,'Input|Reported opex'!M46,0)</f>
        <v>24.720518632267257</v>
      </c>
      <c r="N12" s="112">
        <f>IF(YEAR(N$4)=BaseYear,'Input|Reported opex'!N46,0)</f>
        <v>0</v>
      </c>
      <c r="O12" s="112">
        <f>IF(YEAR(O$4)=BaseYear,'Input|Reported opex'!O46,0)</f>
        <v>0</v>
      </c>
      <c r="P12" s="112">
        <f>IF(YEAR(P$4)=BaseYear,'Input|Reported opex'!P46,0)</f>
        <v>0</v>
      </c>
      <c r="Q12" s="112">
        <f>IF(YEAR(Q$4)=BaseYear,'Input|Reported opex'!Q46,0)</f>
        <v>0</v>
      </c>
      <c r="R12" s="112">
        <f>IF(YEAR(R$4)=BaseYear,'Input|Reported opex'!R46,0)</f>
        <v>0</v>
      </c>
      <c r="S12" s="112">
        <f>IF(YEAR(S$4)=BaseYear,'Input|Reported opex'!S46,0)</f>
        <v>0</v>
      </c>
    </row>
    <row r="13" spans="1:47" outlineLevel="1">
      <c r="C13" s="109" t="s">
        <v>100</v>
      </c>
      <c r="D13" s="113" t="s">
        <v>30</v>
      </c>
      <c r="E13" s="30" t="str">
        <f>$E$8</f>
        <v>$millions</v>
      </c>
      <c r="F13" s="165">
        <f>$F$8</f>
        <v>43070</v>
      </c>
      <c r="J13" s="112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2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2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12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25.400335391542058</v>
      </c>
      <c r="N13" s="112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2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2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2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2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2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4" t="s">
        <v>101</v>
      </c>
      <c r="D14" s="111" t="s">
        <v>103</v>
      </c>
      <c r="E14" s="30" t="str">
        <f>'Input|Reported opex'!E24</f>
        <v>$millions</v>
      </c>
      <c r="F14" s="165">
        <f>'Input|Reported opex'!F24</f>
        <v>41244</v>
      </c>
      <c r="J14" s="112">
        <f>IF(YEAR(J$4)=BaseYear,'Input|Reported opex'!J24,0)</f>
        <v>0</v>
      </c>
      <c r="K14" s="112">
        <f>IF(YEAR(K$4)=BaseYear,'Input|Reported opex'!K24,0)</f>
        <v>0</v>
      </c>
      <c r="L14" s="112">
        <f>IF(YEAR(L$4)=BaseYear,'Input|Reported opex'!L24,0)</f>
        <v>0</v>
      </c>
      <c r="M14" s="112">
        <f>IF(YEAR(M$4)=BaseYear,'Input|Reported opex'!M24,0)</f>
        <v>30.671136501546151</v>
      </c>
      <c r="N14" s="112">
        <f>IF(YEAR(N$4)=BaseYear,'Input|Reported opex'!N24,0)</f>
        <v>0</v>
      </c>
      <c r="O14" s="112">
        <f>IF(YEAR(O$4)=BaseYear,'Input|Reported opex'!O24,0)</f>
        <v>0</v>
      </c>
      <c r="P14" s="112">
        <f>IF(YEAR(P$4)=BaseYear,'Input|Reported opex'!P24,0)</f>
        <v>0</v>
      </c>
      <c r="Q14" s="112">
        <f>IF(YEAR(Q$4)=BaseYear,'Input|Reported opex'!Q24,0)</f>
        <v>0</v>
      </c>
      <c r="R14" s="112">
        <f>IF(YEAR(R$4)=BaseYear,'Input|Reported opex'!R24,0)</f>
        <v>0</v>
      </c>
      <c r="S14" s="112">
        <f>IF(YEAR(S$4)=BaseYear,'Input|Reported opex'!S24,0)</f>
        <v>0</v>
      </c>
    </row>
    <row r="15" spans="1:47" outlineLevel="1">
      <c r="C15" s="114" t="s">
        <v>101</v>
      </c>
      <c r="D15" s="113" t="s">
        <v>30</v>
      </c>
      <c r="E15" s="30" t="str">
        <f>$E$8</f>
        <v>$millions</v>
      </c>
      <c r="F15" s="165">
        <f>$F$8</f>
        <v>43070</v>
      </c>
      <c r="J15" s="112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2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2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12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33.738250151700754</v>
      </c>
      <c r="N15" s="112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2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2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2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2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2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4" t="s">
        <v>102</v>
      </c>
      <c r="D16" s="111" t="s">
        <v>103</v>
      </c>
      <c r="E16" s="30" t="str">
        <f>'Input|Reported opex'!E24</f>
        <v>$millions</v>
      </c>
      <c r="F16" s="165">
        <f>'Input|Reported opex'!F24</f>
        <v>41244</v>
      </c>
      <c r="J16" s="112">
        <f>IF(YEAR(J$4)='Input|General'!$G$12,'Input|Reported opex'!J24,0)</f>
        <v>0</v>
      </c>
      <c r="K16" s="112">
        <f>IF(YEAR(K$4)='Input|General'!$G$12,'Input|Reported opex'!K24,0)</f>
        <v>0</v>
      </c>
      <c r="L16" s="112">
        <f>IF(YEAR(L$4)='Input|General'!$G$12,'Input|Reported opex'!L24,0)</f>
        <v>0</v>
      </c>
      <c r="M16" s="112">
        <f>IF(YEAR(M$4)='Input|General'!$G$12,'Input|Reported opex'!M24,0)</f>
        <v>0</v>
      </c>
      <c r="N16" s="112">
        <f>IF(YEAR(N$4)='Input|General'!$G$12,'Input|Reported opex'!N24,0)</f>
        <v>30.642675470201809</v>
      </c>
      <c r="O16" s="112">
        <f>IF(YEAR(O$4)='Input|General'!$G$12,'Input|Reported opex'!O24,0)</f>
        <v>0</v>
      </c>
      <c r="P16" s="112">
        <f>IF(YEAR(P$4)='Input|General'!$G$12,'Input|Reported opex'!P24,0)</f>
        <v>0</v>
      </c>
      <c r="Q16" s="112">
        <f>IF(YEAR(Q$4)='Input|General'!$G$12,'Input|Reported opex'!Q24,0)</f>
        <v>0</v>
      </c>
      <c r="R16" s="112">
        <f>IF(YEAR(R$4)='Input|General'!$G$12,'Input|Reported opex'!R24,0)</f>
        <v>0</v>
      </c>
      <c r="S16" s="112">
        <f>IF(YEAR(S$4)='Input|General'!$G$12,'Input|Reported opex'!S24,0)</f>
        <v>0</v>
      </c>
    </row>
    <row r="17" spans="3:19" outlineLevel="1">
      <c r="C17" s="114" t="s">
        <v>102</v>
      </c>
      <c r="D17" s="113" t="s">
        <v>30</v>
      </c>
      <c r="E17" s="30" t="str">
        <f>$E$8</f>
        <v>$millions</v>
      </c>
      <c r="F17" s="165">
        <f>$F$8</f>
        <v>43070</v>
      </c>
      <c r="J17" s="112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2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2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2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2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33.706943017221981</v>
      </c>
      <c r="O17" s="112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2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2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2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2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4"/>
      <c r="F18" s="115"/>
      <c r="J18" s="180"/>
      <c r="K18" s="180"/>
      <c r="L18" s="180"/>
      <c r="M18" s="180"/>
      <c r="N18" s="180"/>
      <c r="O18" s="180"/>
      <c r="P18" s="180"/>
      <c r="Q18" s="180"/>
      <c r="R18" s="180"/>
      <c r="S18" s="180"/>
    </row>
    <row r="19" spans="3:19" outlineLevel="1">
      <c r="C19" s="116" t="s">
        <v>118</v>
      </c>
      <c r="D19" s="117" t="s">
        <v>30</v>
      </c>
      <c r="E19" s="117" t="str">
        <f>$E$8</f>
        <v>$millions</v>
      </c>
      <c r="F19" s="165">
        <f>$F$8</f>
        <v>43070</v>
      </c>
      <c r="J19" s="118">
        <f>IF(YEAR(J$4)='Input|General'!$G$12,SUM($J13:$S13)-SUM($J15:$S15)+SUM($J17:$S17),0)</f>
        <v>0</v>
      </c>
      <c r="K19" s="118">
        <f>IF(YEAR(K$4)='Input|General'!$G$12,SUM($J13:$S13)-SUM($J15:$S15)+SUM($J17:$S17),0)</f>
        <v>0</v>
      </c>
      <c r="L19" s="118">
        <f>IF(YEAR(L$4)='Input|General'!$G$12,SUM($J13:$S13)-SUM($J15:$S15)+SUM($J17:$S17),0)</f>
        <v>0</v>
      </c>
      <c r="M19" s="118">
        <f>IF(YEAR(M$4)='Input|General'!$G$12,SUM($J13:$S13)-SUM($J15:$S15)+SUM($J17:$S17),0)</f>
        <v>0</v>
      </c>
      <c r="N19" s="118">
        <f>IF(YEAR(N$4)='Input|General'!$G$12,SUM($J13:$S13)-SUM($J15:$S15)+SUM($J17:$S17),0)</f>
        <v>25.369028257063285</v>
      </c>
      <c r="O19" s="118">
        <f>IF(YEAR(O$4)='Input|General'!$G$12,SUM($J13:$S13)-SUM($J15:$S15)+SUM($J17:$S17),0)</f>
        <v>0</v>
      </c>
      <c r="P19" s="118">
        <f>IF(YEAR(P$4)='Input|General'!$G$12,SUM($J13:$S13)-SUM($J15:$S15)+SUM($J17:$S17),0)</f>
        <v>0</v>
      </c>
      <c r="Q19" s="118">
        <f>IF(YEAR(Q$4)='Input|General'!$G$12,SUM($J13:$S13)-SUM($J15:$S15)+SUM($J17:$S17),0)</f>
        <v>0</v>
      </c>
      <c r="R19" s="118">
        <f>IF(YEAR(R$4)='Input|General'!$G$12,SUM($J13:$S13)-SUM($J15:$S15)+SUM($J17:$S17),0)</f>
        <v>0</v>
      </c>
      <c r="S19" s="118">
        <f>IF(YEAR(S$4)='Input|General'!$G$12,SUM($J13:$S13)-SUM($J15:$S15)+SUM($J17:$S17),0)</f>
        <v>0</v>
      </c>
    </row>
    <row r="20" spans="3:19" outlineLevel="1">
      <c r="C20" s="126"/>
      <c r="D20" s="113"/>
      <c r="E20" s="113"/>
      <c r="F20" s="165"/>
      <c r="J20" s="118"/>
      <c r="K20" s="118"/>
      <c r="L20" s="118"/>
      <c r="M20" s="118"/>
      <c r="N20" s="118"/>
      <c r="O20" s="118"/>
      <c r="P20" s="118"/>
      <c r="Q20" s="118"/>
      <c r="R20" s="118"/>
      <c r="S20" s="118"/>
    </row>
    <row r="21" spans="3:19" outlineLevel="1">
      <c r="C21" s="126" t="str">
        <f>'Input|Reported opex'!$C$52</f>
        <v>Adjustment 1</v>
      </c>
      <c r="D21" s="111" t="s">
        <v>103</v>
      </c>
      <c r="E21" s="113" t="str">
        <f>'Input|Reported opex'!E52</f>
        <v>$millions</v>
      </c>
      <c r="F21" s="165">
        <f>'Input|Reported opex'!F52</f>
        <v>41244</v>
      </c>
      <c r="J21" s="112">
        <f>IF(YEAR(J$4)='Input|General'!$G$12,'Input|Reported opex'!J52,0)</f>
        <v>0</v>
      </c>
      <c r="K21" s="112">
        <f>IF(YEAR(K$4)='Input|General'!$G$12,'Input|Reported opex'!K52,0)</f>
        <v>0</v>
      </c>
      <c r="L21" s="112">
        <f>IF(YEAR(L$4)='Input|General'!$G$12,'Input|Reported opex'!L52,0)</f>
        <v>0</v>
      </c>
      <c r="M21" s="112">
        <f>IF(YEAR(M$4)='Input|General'!$G$12,'Input|Reported opex'!M52,0)</f>
        <v>0</v>
      </c>
      <c r="N21" s="112">
        <f>IF(YEAR(N$4)='Input|General'!$G$12,'Input|Reported opex'!N52,0)</f>
        <v>0</v>
      </c>
      <c r="O21" s="112">
        <f>IF(YEAR(O$4)='Input|General'!$G$12,'Input|Reported opex'!O52,0)</f>
        <v>0</v>
      </c>
      <c r="P21" s="112">
        <f>IF(YEAR(P$4)='Input|General'!$G$12,'Input|Reported opex'!P52,0)</f>
        <v>0</v>
      </c>
      <c r="Q21" s="112">
        <f>IF(YEAR(Q$4)='Input|General'!$G$12,'Input|Reported opex'!Q52,0)</f>
        <v>0</v>
      </c>
      <c r="R21" s="112">
        <f>IF(YEAR(R$4)='Input|General'!$G$12,'Input|Reported opex'!R52,0)</f>
        <v>0</v>
      </c>
      <c r="S21" s="112">
        <f>IF(YEAR(S$4)='Input|General'!$G$12,'Input|Reported opex'!S52,0)</f>
        <v>0</v>
      </c>
    </row>
    <row r="22" spans="3:19" outlineLevel="1">
      <c r="C22" s="126" t="str">
        <f>C21</f>
        <v>Adjustment 1</v>
      </c>
      <c r="D22" s="113" t="s">
        <v>30</v>
      </c>
      <c r="E22" s="30" t="str">
        <f>$E$8</f>
        <v>$millions</v>
      </c>
      <c r="F22" s="165">
        <f>$F$8</f>
        <v>43070</v>
      </c>
      <c r="J22" s="118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18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18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18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56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18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18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18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18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18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26"/>
      <c r="D23" s="113"/>
      <c r="F23" s="165"/>
      <c r="J23" s="118"/>
      <c r="K23" s="118"/>
      <c r="L23" s="118"/>
      <c r="M23" s="118"/>
      <c r="N23" s="118"/>
      <c r="O23" s="118"/>
      <c r="P23" s="118"/>
      <c r="Q23" s="118"/>
      <c r="R23" s="112"/>
      <c r="S23" s="112"/>
    </row>
    <row r="24" spans="3:19" outlineLevel="1">
      <c r="C24" s="126" t="str">
        <f>'Input|Reported opex'!$C$53</f>
        <v>Adjustment 2</v>
      </c>
      <c r="D24" s="111" t="s">
        <v>103</v>
      </c>
      <c r="E24" s="30" t="str">
        <f>'Input|Reported opex'!$E$53</f>
        <v>$millions</v>
      </c>
      <c r="F24" s="165">
        <f>'Input|Reported opex'!$F$53</f>
        <v>41244</v>
      </c>
      <c r="J24" s="112">
        <f>IF(YEAR(J$4)='Input|General'!$G$12,'Input|Reported opex'!J53,0)</f>
        <v>0</v>
      </c>
      <c r="K24" s="112">
        <f>IF(YEAR(K$4)='Input|General'!$G$12,'Input|Reported opex'!K53,0)</f>
        <v>0</v>
      </c>
      <c r="L24" s="112">
        <f>IF(YEAR(L$4)='Input|General'!$G$12,'Input|Reported opex'!L53,0)</f>
        <v>0</v>
      </c>
      <c r="M24" s="112">
        <f>IF(YEAR(M$4)='Input|General'!$G$12,'Input|Reported opex'!M53,0)</f>
        <v>0</v>
      </c>
      <c r="N24" s="112">
        <f>IF(YEAR(N$4)='Input|General'!$G$12,'Input|Reported opex'!N53,0)</f>
        <v>0</v>
      </c>
      <c r="O24" s="112">
        <f>IF(YEAR(O$4)='Input|General'!$G$12,'Input|Reported opex'!O53,0)</f>
        <v>0</v>
      </c>
      <c r="P24" s="112">
        <f>IF(YEAR(P$4)='Input|General'!$G$12,'Input|Reported opex'!P53,0)</f>
        <v>0</v>
      </c>
      <c r="Q24" s="112">
        <f>IF(YEAR(Q$4)='Input|General'!$G$12,'Input|Reported opex'!Q53,0)</f>
        <v>0</v>
      </c>
      <c r="R24" s="112">
        <f>IF(YEAR(R$4)='Input|General'!$G$12,'Input|Reported opex'!R53,0)</f>
        <v>0</v>
      </c>
      <c r="S24" s="112">
        <f>IF(YEAR(S$4)='Input|General'!$G$12,'Input|Reported opex'!S53,0)</f>
        <v>0</v>
      </c>
    </row>
    <row r="25" spans="3:19" outlineLevel="1">
      <c r="C25" s="126" t="str">
        <f>C24</f>
        <v>Adjustment 2</v>
      </c>
      <c r="D25" s="113" t="s">
        <v>30</v>
      </c>
      <c r="E25" s="30" t="str">
        <f>$E$8</f>
        <v>$millions</v>
      </c>
      <c r="F25" s="165">
        <f>$F$8</f>
        <v>43070</v>
      </c>
      <c r="J25" s="118">
        <f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18">
        <f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18">
        <f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18">
        <f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56">
        <f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18">
        <f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18">
        <f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18">
        <f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18">
        <f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18">
        <f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19" outlineLevel="1">
      <c r="C26" s="126"/>
      <c r="D26" s="113"/>
      <c r="F26" s="165"/>
      <c r="J26" s="118"/>
      <c r="K26" s="118"/>
      <c r="L26" s="118"/>
      <c r="M26" s="118"/>
      <c r="N26" s="118"/>
      <c r="O26" s="118"/>
      <c r="P26" s="118"/>
      <c r="Q26" s="118"/>
      <c r="R26" s="112"/>
      <c r="S26" s="112"/>
    </row>
    <row r="27" spans="3:19" outlineLevel="1">
      <c r="C27" s="126" t="str">
        <f>'Input|Reported opex'!$C$54</f>
        <v>Adjustment 3</v>
      </c>
      <c r="D27" s="111" t="s">
        <v>103</v>
      </c>
      <c r="E27" s="30" t="str">
        <f>'Input|Reported opex'!$E$54</f>
        <v>$millions</v>
      </c>
      <c r="F27" s="165">
        <f>'Input|Reported opex'!$F$54</f>
        <v>41244</v>
      </c>
      <c r="J27" s="112">
        <f>IF(YEAR(J$4)='Input|General'!$G$12,'Input|Reported opex'!J54,0)</f>
        <v>0</v>
      </c>
      <c r="K27" s="112">
        <f>IF(YEAR(K$4)='Input|General'!$G$12,'Input|Reported opex'!K54,0)</f>
        <v>0</v>
      </c>
      <c r="L27" s="112">
        <f>IF(YEAR(L$4)='Input|General'!$G$12,'Input|Reported opex'!L54,0)</f>
        <v>0</v>
      </c>
      <c r="M27" s="112">
        <f>IF(YEAR(M$4)='Input|General'!$G$12,'Input|Reported opex'!M54,0)</f>
        <v>0</v>
      </c>
      <c r="N27" s="112">
        <f>IF(YEAR(N$4)='Input|General'!$G$12,'Input|Reported opex'!N54,0)</f>
        <v>0</v>
      </c>
      <c r="O27" s="112">
        <f>IF(YEAR(O$4)='Input|General'!$G$12,'Input|Reported opex'!O54,0)</f>
        <v>0</v>
      </c>
      <c r="P27" s="112">
        <f>IF(YEAR(P$4)='Input|General'!$G$12,'Input|Reported opex'!P54,0)</f>
        <v>0</v>
      </c>
      <c r="Q27" s="112">
        <f>IF(YEAR(Q$4)='Input|General'!$G$12,'Input|Reported opex'!Q54,0)</f>
        <v>0</v>
      </c>
      <c r="R27" s="112">
        <f>IF(YEAR(R$4)='Input|General'!$G$12,'Input|Reported opex'!R54,0)</f>
        <v>0</v>
      </c>
      <c r="S27" s="112">
        <f>IF(YEAR(S$4)='Input|General'!$G$12,'Input|Reported opex'!S54,0)</f>
        <v>0</v>
      </c>
    </row>
    <row r="28" spans="3:19" outlineLevel="1">
      <c r="C28" s="126" t="str">
        <f>C27</f>
        <v>Adjustment 3</v>
      </c>
      <c r="D28" s="113" t="s">
        <v>30</v>
      </c>
      <c r="E28" s="30" t="str">
        <f>$E$8</f>
        <v>$millions</v>
      </c>
      <c r="F28" s="165">
        <f>$F$8</f>
        <v>43070</v>
      </c>
      <c r="J28" s="118">
        <f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18">
        <f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18">
        <f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18">
        <f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56">
        <f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18">
        <f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18">
        <f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18">
        <f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18">
        <f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18">
        <f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19" outlineLevel="1">
      <c r="C29" s="126"/>
      <c r="D29" s="113"/>
      <c r="F29" s="165"/>
      <c r="J29" s="118"/>
      <c r="K29" s="118"/>
      <c r="L29" s="118"/>
      <c r="M29" s="118"/>
      <c r="N29" s="118"/>
      <c r="O29" s="118"/>
      <c r="P29" s="118"/>
      <c r="Q29" s="118"/>
      <c r="R29" s="112"/>
      <c r="S29" s="112"/>
    </row>
    <row r="30" spans="3:19" outlineLevel="1">
      <c r="C30" s="126" t="str">
        <f>'Input|Reported opex'!$C$55</f>
        <v>Adjustment 4</v>
      </c>
      <c r="D30" s="111" t="s">
        <v>103</v>
      </c>
      <c r="E30" s="30" t="str">
        <f>'Input|Reported opex'!$E$55</f>
        <v>$millions</v>
      </c>
      <c r="F30" s="165">
        <f>'Input|Reported opex'!$F$55</f>
        <v>41244</v>
      </c>
      <c r="J30" s="112">
        <f>IF(YEAR(J$4)='Input|General'!$G$12,'Input|Reported opex'!J55,0)</f>
        <v>0</v>
      </c>
      <c r="K30" s="112">
        <f>IF(YEAR(K$4)='Input|General'!$G$12,'Input|Reported opex'!K55,0)</f>
        <v>0</v>
      </c>
      <c r="L30" s="112">
        <f>IF(YEAR(L$4)='Input|General'!$G$12,'Input|Reported opex'!L55,0)</f>
        <v>0</v>
      </c>
      <c r="M30" s="112">
        <f>IF(YEAR(M$4)='Input|General'!$G$12,'Input|Reported opex'!M55,0)</f>
        <v>0</v>
      </c>
      <c r="N30" s="112">
        <f>IF(YEAR(N$4)='Input|General'!$G$12,'Input|Reported opex'!N55,0)</f>
        <v>0</v>
      </c>
      <c r="O30" s="112">
        <f>IF(YEAR(O$4)='Input|General'!$G$12,'Input|Reported opex'!O55,0)</f>
        <v>0</v>
      </c>
      <c r="P30" s="112">
        <f>IF(YEAR(P$4)='Input|General'!$G$12,'Input|Reported opex'!P55,0)</f>
        <v>0</v>
      </c>
      <c r="Q30" s="112">
        <f>IF(YEAR(Q$4)='Input|General'!$G$12,'Input|Reported opex'!Q55,0)</f>
        <v>0</v>
      </c>
      <c r="R30" s="112">
        <f>IF(YEAR(R$4)='Input|General'!$G$12,'Input|Reported opex'!R55,0)</f>
        <v>0</v>
      </c>
      <c r="S30" s="112">
        <f>IF(YEAR(S$4)='Input|General'!$G$12,'Input|Reported opex'!S55,0)</f>
        <v>0</v>
      </c>
    </row>
    <row r="31" spans="3:19" outlineLevel="1">
      <c r="C31" s="126" t="str">
        <f>C30</f>
        <v>Adjustment 4</v>
      </c>
      <c r="D31" s="113" t="s">
        <v>30</v>
      </c>
      <c r="E31" s="30" t="str">
        <f>$E$8</f>
        <v>$millions</v>
      </c>
      <c r="F31" s="165">
        <f>$F$8</f>
        <v>43070</v>
      </c>
      <c r="J31" s="118">
        <f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18">
        <f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18">
        <f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18">
        <f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56">
        <f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18">
        <f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18">
        <f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18">
        <f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18">
        <f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18">
        <f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19" outlineLevel="1">
      <c r="C32" s="126"/>
      <c r="D32" s="113"/>
      <c r="F32" s="165"/>
      <c r="J32" s="118"/>
      <c r="K32" s="118"/>
      <c r="L32" s="118"/>
      <c r="M32" s="118"/>
      <c r="N32" s="118"/>
      <c r="O32" s="118"/>
      <c r="P32" s="118"/>
      <c r="Q32" s="118"/>
      <c r="R32" s="112"/>
      <c r="S32" s="112"/>
    </row>
    <row r="33" spans="1:47" outlineLevel="1">
      <c r="C33" s="126" t="str">
        <f>'Input|Reported opex'!$C$56</f>
        <v>Adjustment 5</v>
      </c>
      <c r="D33" s="111" t="s">
        <v>103</v>
      </c>
      <c r="E33" s="30" t="str">
        <f>'Input|Reported opex'!$E$56</f>
        <v>$millions</v>
      </c>
      <c r="F33" s="165">
        <f>'Input|Reported opex'!$F$56</f>
        <v>41244</v>
      </c>
      <c r="J33" s="112">
        <f>IF(YEAR(J$4)='Input|General'!$G$12,'Input|Reported opex'!J56,0)</f>
        <v>0</v>
      </c>
      <c r="K33" s="112">
        <f>IF(YEAR(K$4)='Input|General'!$G$12,'Input|Reported opex'!K56,0)</f>
        <v>0</v>
      </c>
      <c r="L33" s="112">
        <f>IF(YEAR(L$4)='Input|General'!$G$12,'Input|Reported opex'!L56,0)</f>
        <v>0</v>
      </c>
      <c r="M33" s="112">
        <f>IF(YEAR(M$4)='Input|General'!$G$12,'Input|Reported opex'!M56,0)</f>
        <v>0</v>
      </c>
      <c r="N33" s="112">
        <f>IF(YEAR(N$4)='Input|General'!$G$12,'Input|Reported opex'!N56,0)</f>
        <v>0</v>
      </c>
      <c r="O33" s="112">
        <f>IF(YEAR(O$4)='Input|General'!$G$12,'Input|Reported opex'!O56,0)</f>
        <v>0</v>
      </c>
      <c r="P33" s="112">
        <f>IF(YEAR(P$4)='Input|General'!$G$12,'Input|Reported opex'!P56,0)</f>
        <v>0</v>
      </c>
      <c r="Q33" s="112">
        <f>IF(YEAR(Q$4)='Input|General'!$G$12,'Input|Reported opex'!Q56,0)</f>
        <v>0</v>
      </c>
      <c r="R33" s="112">
        <f>IF(YEAR(R$4)='Input|General'!$G$12,'Input|Reported opex'!R56,0)</f>
        <v>0</v>
      </c>
      <c r="S33" s="112">
        <f>IF(YEAR(S$4)='Input|General'!$G$12,'Input|Reported opex'!S56,0)</f>
        <v>0</v>
      </c>
    </row>
    <row r="34" spans="1:47" outlineLevel="1">
      <c r="C34" s="126" t="str">
        <f>C33</f>
        <v>Adjustment 5</v>
      </c>
      <c r="D34" s="113" t="s">
        <v>30</v>
      </c>
      <c r="E34" s="30" t="str">
        <f>$E$8</f>
        <v>$millions</v>
      </c>
      <c r="F34" s="165">
        <f>$F$8</f>
        <v>43070</v>
      </c>
      <c r="J34" s="118">
        <f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18">
        <f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18">
        <f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18">
        <f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56">
        <f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18">
        <f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18">
        <f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18">
        <f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18">
        <f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18">
        <f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26"/>
      <c r="D35" s="113"/>
      <c r="E35" s="113"/>
      <c r="F35" s="165"/>
      <c r="J35" s="118"/>
      <c r="K35" s="118"/>
      <c r="L35" s="118"/>
      <c r="M35" s="118"/>
      <c r="N35" s="118"/>
      <c r="O35" s="118"/>
      <c r="P35" s="118"/>
      <c r="Q35" s="118"/>
      <c r="R35" s="118"/>
      <c r="S35" s="118"/>
    </row>
    <row r="36" spans="1:47" outlineLevel="1">
      <c r="C36" s="126" t="s">
        <v>97</v>
      </c>
      <c r="D36" s="113" t="s">
        <v>110</v>
      </c>
      <c r="E36" s="113" t="str">
        <f>$E$8</f>
        <v>$millions</v>
      </c>
      <c r="F36" s="165">
        <f>$F$8</f>
        <v>43070</v>
      </c>
      <c r="J36" s="118">
        <f>SUM(J19,J22,J25,J28,J31,J34)*'Input|Reported opex'!$N$57</f>
        <v>0</v>
      </c>
      <c r="K36" s="118">
        <f>SUM(K19,K22,K25,K28,K31,K34)*'Input|Reported opex'!$N$57</f>
        <v>0</v>
      </c>
      <c r="L36" s="118">
        <f>SUM(L19,L22,L25,L28,L31,L34)*'Input|Reported opex'!$N$57</f>
        <v>0</v>
      </c>
      <c r="M36" s="118">
        <f>SUM(M19,M22,M25,M28,M31,M34)*'Input|Reported opex'!$N$57</f>
        <v>0</v>
      </c>
      <c r="N36" s="118">
        <f>SUM(N19,N22,N25,N28,N31,N34)*'Input|Reported opex'!$N$57</f>
        <v>0</v>
      </c>
      <c r="O36" s="118">
        <f>SUM(O19,O22,O25,O28,O31,O34)*'Input|Reported opex'!$N$57</f>
        <v>0</v>
      </c>
      <c r="P36" s="118">
        <f>SUM(P19,P22,P25,P28,P31,P34)*'Input|Reported opex'!$N$57</f>
        <v>0</v>
      </c>
      <c r="Q36" s="118">
        <f>SUM(Q19,Q22,Q25,Q28,Q31,Q34)*'Input|Reported opex'!$N$57</f>
        <v>0</v>
      </c>
      <c r="R36" s="118">
        <f>SUM(R19,R22,R25,R28,R31,R34)*'Input|Reported opex'!$N$57</f>
        <v>0</v>
      </c>
      <c r="S36" s="118">
        <f>SUM(S19,S22,S25,S28,S31,S34)*'Input|Reported opex'!$N$57</f>
        <v>0</v>
      </c>
    </row>
    <row r="37" spans="1:47" outlineLevel="1">
      <c r="C37" s="126"/>
      <c r="D37" s="113"/>
      <c r="E37" s="113"/>
      <c r="F37" s="165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1:47" outlineLevel="1">
      <c r="C38" s="186" t="s">
        <v>119</v>
      </c>
      <c r="D38" s="115" t="s">
        <v>110</v>
      </c>
      <c r="E38" s="115" t="str">
        <f>$E$8</f>
        <v>$millions</v>
      </c>
      <c r="F38" s="187">
        <f>$F$8</f>
        <v>43070</v>
      </c>
      <c r="J38" s="185">
        <f>SUM(J19,J22,J25,J28,J31,J34,J36)</f>
        <v>0</v>
      </c>
      <c r="K38" s="185">
        <f t="shared" ref="K38:S38" si="0">SUM(K19,K22,K25,K28,K31,K34,K36)</f>
        <v>0</v>
      </c>
      <c r="L38" s="185">
        <f t="shared" si="0"/>
        <v>0</v>
      </c>
      <c r="M38" s="185">
        <f t="shared" si="0"/>
        <v>0</v>
      </c>
      <c r="N38" s="185">
        <f t="shared" si="0"/>
        <v>25.369028257063285</v>
      </c>
      <c r="O38" s="185">
        <f t="shared" si="0"/>
        <v>0</v>
      </c>
      <c r="P38" s="185">
        <f t="shared" si="0"/>
        <v>0</v>
      </c>
      <c r="Q38" s="185">
        <f t="shared" si="0"/>
        <v>0</v>
      </c>
      <c r="R38" s="185">
        <f t="shared" si="0"/>
        <v>0</v>
      </c>
      <c r="S38" s="185">
        <f t="shared" si="0"/>
        <v>0</v>
      </c>
    </row>
    <row r="39" spans="1:47">
      <c r="J39" s="110"/>
      <c r="K39" s="110"/>
      <c r="L39" s="110"/>
    </row>
    <row r="40" spans="1:47" s="106" customFormat="1" ht="12.75">
      <c r="A40" s="97"/>
      <c r="B40" s="98" t="s">
        <v>95</v>
      </c>
      <c r="C40" s="97"/>
      <c r="D40" s="97"/>
      <c r="E40" s="97"/>
      <c r="F40" s="99"/>
      <c r="G40" s="99"/>
      <c r="H40" s="99"/>
      <c r="I40" s="99"/>
      <c r="J40" s="100"/>
      <c r="K40" s="101"/>
      <c r="L40" s="100"/>
      <c r="M40" s="101"/>
      <c r="N40" s="100"/>
      <c r="O40" s="100"/>
      <c r="P40" s="100"/>
      <c r="Q40" s="100"/>
      <c r="R40" s="100"/>
      <c r="S40" s="100"/>
      <c r="T40" s="100"/>
      <c r="U40" s="100"/>
      <c r="V40" s="101"/>
      <c r="W40" s="101"/>
      <c r="X40" s="102"/>
      <c r="Y40" s="102"/>
      <c r="Z40" s="102"/>
      <c r="AA40" s="102"/>
      <c r="AB40" s="103"/>
      <c r="AC40" s="104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</row>
    <row r="41" spans="1:47" outlineLevel="1">
      <c r="J41" s="110"/>
      <c r="K41" s="110"/>
      <c r="L41" s="110"/>
      <c r="M41" s="110"/>
      <c r="N41" s="110"/>
      <c r="O41" s="110"/>
      <c r="P41" s="110"/>
      <c r="Q41" s="110"/>
      <c r="R41" s="110"/>
      <c r="S41" s="110"/>
    </row>
    <row r="42" spans="1:47" outlineLevel="1">
      <c r="C42" s="68" t="s">
        <v>42</v>
      </c>
      <c r="D42" s="32" t="s">
        <v>7</v>
      </c>
      <c r="E42" s="32" t="s">
        <v>8</v>
      </c>
      <c r="F42" s="32" t="s">
        <v>22</v>
      </c>
      <c r="J42" s="167" t="str">
        <f>IF(YEAR(J$4)&gt;='Input|General'!$G$13,IF(YEAR(J$4)&lt;='Input|General'!$G$14,J$4,""),"")</f>
        <v/>
      </c>
      <c r="K42" s="167" t="str">
        <f>IF(YEAR(K$4)&gt;='Input|General'!$G$13,IF(YEAR(K$4)&lt;='Input|General'!$G$14,K$4,""),"")</f>
        <v/>
      </c>
      <c r="L42" s="167" t="str">
        <f>IF(YEAR(L$4)&gt;='Input|General'!$G$13,IF(YEAR(L$4)&lt;='Input|General'!$G$14,L$4,""),"")</f>
        <v/>
      </c>
      <c r="M42" s="167" t="str">
        <f>IF(YEAR(M$4)&gt;='Input|General'!$G$13,IF(YEAR(M$4)&lt;='Input|General'!$G$14,M$4,""),"")</f>
        <v/>
      </c>
      <c r="N42" s="167" t="str">
        <f>IF(YEAR(N$4)&gt;='Input|General'!$G$13,IF(YEAR(N$4)&lt;='Input|General'!$G$14,N$4,""),"")</f>
        <v/>
      </c>
      <c r="O42" s="167">
        <f>IF(YEAR(O$4)&gt;='Input|General'!$G$13,IF(YEAR(O$4)&lt;='Input|General'!$G$14,O$4,""),"")</f>
        <v>43435</v>
      </c>
      <c r="P42" s="167">
        <f>IF(YEAR(P$4)&gt;='Input|General'!$G$13,IF(YEAR(P$4)&lt;='Input|General'!$G$14,P$4,""),"")</f>
        <v>43800</v>
      </c>
      <c r="Q42" s="167">
        <f>IF(YEAR(Q$4)&gt;='Input|General'!$G$13,IF(YEAR(Q$4)&lt;='Input|General'!$G$14,Q$4,""),"")</f>
        <v>44166</v>
      </c>
      <c r="R42" s="167">
        <f>IF(YEAR(R$4)&gt;='Input|General'!$G$13,IF(YEAR(R$4)&lt;='Input|General'!$G$14,R$4,""),"")</f>
        <v>44531</v>
      </c>
      <c r="S42" s="167">
        <f>IF(YEAR(S$4)&gt;='Input|General'!$G$13,IF(YEAR(S$4)&lt;='Input|General'!$G$14,S$4,""),"")</f>
        <v>44896</v>
      </c>
    </row>
    <row r="43" spans="1:47" outlineLevel="1">
      <c r="C43" s="68"/>
      <c r="J43" s="110"/>
      <c r="K43" s="110"/>
      <c r="L43" s="110"/>
      <c r="M43" s="110"/>
      <c r="N43" s="110"/>
      <c r="O43" s="110"/>
      <c r="P43" s="110"/>
      <c r="Q43" s="110"/>
      <c r="R43" s="110"/>
      <c r="S43" s="110"/>
    </row>
    <row r="44" spans="1:47" outlineLevel="1">
      <c r="B44" s="68"/>
      <c r="C44" s="119"/>
      <c r="J44" s="110"/>
      <c r="K44" s="110"/>
      <c r="L44" s="110"/>
      <c r="M44" s="110"/>
      <c r="N44" s="110"/>
      <c r="O44" s="110"/>
      <c r="P44" s="110"/>
      <c r="Q44" s="110"/>
      <c r="R44" s="110"/>
      <c r="S44" s="110"/>
    </row>
    <row r="45" spans="1:47" outlineLevel="1">
      <c r="C45" s="114" t="s">
        <v>121</v>
      </c>
      <c r="D45" s="113" t="s">
        <v>30</v>
      </c>
      <c r="E45" s="30" t="s">
        <v>31</v>
      </c>
      <c r="F45" s="30" t="s">
        <v>36</v>
      </c>
      <c r="J45" s="120">
        <f>SUMPRODUCT('Input|Rate of change'!K75:K80,'Input|Rate of change'!$P$84:$P$89)</f>
        <v>0</v>
      </c>
      <c r="K45" s="120">
        <f>SUMPRODUCT('Input|Rate of change'!L75:L80,'Input|Rate of change'!$P$84:$P$89)</f>
        <v>0</v>
      </c>
      <c r="L45" s="120">
        <f>SUMPRODUCT('Input|Rate of change'!M75:M80,'Input|Rate of change'!$P$84:$P$89)</f>
        <v>0</v>
      </c>
      <c r="M45" s="120">
        <f>SUMPRODUCT('Input|Rate of change'!N75:N80,'Input|Rate of change'!$P$84:$P$89)</f>
        <v>0</v>
      </c>
      <c r="N45" s="120">
        <f>SUMPRODUCT('Input|Rate of change'!O75:O80,'Input|Rate of change'!$P$84:$P$89)</f>
        <v>0</v>
      </c>
      <c r="O45" s="120">
        <f>SUMPRODUCT('Input|Rate of change'!P75:P80,'Input|Rate of change'!$P$84:$P$89)</f>
        <v>0</v>
      </c>
      <c r="P45" s="120">
        <f>SUMPRODUCT('Input|Rate of change'!Q75:Q80,'Input|Rate of change'!$P$84:$P$89)</f>
        <v>0</v>
      </c>
      <c r="Q45" s="120">
        <f>SUMPRODUCT('Input|Rate of change'!R75:R80,'Input|Rate of change'!$P$84:$P$89)</f>
        <v>0</v>
      </c>
      <c r="R45" s="120">
        <f>SUMPRODUCT('Input|Rate of change'!S75:S80,'Input|Rate of change'!$P$84:$P$89)</f>
        <v>0</v>
      </c>
      <c r="S45" s="120">
        <f>SUMPRODUCT('Input|Rate of change'!T75:T80,'Input|Rate of change'!$P$84:$P$89)</f>
        <v>0</v>
      </c>
    </row>
    <row r="46" spans="1:47" outlineLevel="1"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1:47" outlineLevel="1">
      <c r="C47" s="114" t="s">
        <v>88</v>
      </c>
      <c r="D47" s="113" t="s">
        <v>30</v>
      </c>
      <c r="E47" s="30" t="s">
        <v>31</v>
      </c>
      <c r="F47" s="30" t="s">
        <v>36</v>
      </c>
      <c r="J47" s="120">
        <f>SUMPRODUCT('Input|Rate of change'!K36:K43,'Input|Rate of change'!K49:K56)</f>
        <v>0</v>
      </c>
      <c r="K47" s="120">
        <f>SUMPRODUCT('Input|Rate of change'!L36:L43,'Input|Rate of change'!L49:L56)</f>
        <v>0</v>
      </c>
      <c r="L47" s="120">
        <f>SUMPRODUCT('Input|Rate of change'!M36:M43,'Input|Rate of change'!M49:M56)</f>
        <v>0</v>
      </c>
      <c r="M47" s="120">
        <f>SUMPRODUCT('Input|Rate of change'!N36:N43,'Input|Rate of change'!N49:N56)</f>
        <v>0</v>
      </c>
      <c r="N47" s="120">
        <f>SUMPRODUCT('Input|Rate of change'!O36:O43,'Input|Rate of change'!O49:O56)</f>
        <v>0</v>
      </c>
      <c r="O47" s="120">
        <f>SUMPRODUCT('Input|Rate of change'!P36:P43,'Input|Rate of change'!P49:P56)</f>
        <v>3.6182396545527728E-3</v>
      </c>
      <c r="P47" s="120">
        <f>SUMPRODUCT('Input|Rate of change'!Q36:Q43,'Input|Rate of change'!Q49:Q56)</f>
        <v>6.0649449357013992E-3</v>
      </c>
      <c r="Q47" s="120">
        <f>SUMPRODUCT('Input|Rate of change'!R36:R43,'Input|Rate of change'!R49:R56)</f>
        <v>5.7741515275182521E-3</v>
      </c>
      <c r="R47" s="120">
        <f>SUMPRODUCT('Input|Rate of change'!S36:S43,'Input|Rate of change'!S49:S56)</f>
        <v>5.6270211224881007E-3</v>
      </c>
      <c r="S47" s="120">
        <f>SUMPRODUCT('Input|Rate of change'!T36:T43,'Input|Rate of change'!T49:T56)</f>
        <v>5.3623660313131573E-3</v>
      </c>
    </row>
    <row r="48" spans="1:47" outlineLevel="1">
      <c r="C48" s="114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spans="1:47" outlineLevel="1">
      <c r="C49" s="114" t="s">
        <v>114</v>
      </c>
      <c r="D49" s="113" t="s">
        <v>30</v>
      </c>
      <c r="E49" s="30" t="s">
        <v>31</v>
      </c>
      <c r="F49" s="30" t="s">
        <v>36</v>
      </c>
      <c r="J49" s="120">
        <f>'Input|Rate of change'!K97</f>
        <v>0</v>
      </c>
      <c r="K49" s="120">
        <f>'Input|Rate of change'!L97</f>
        <v>0</v>
      </c>
      <c r="L49" s="120">
        <f>'Input|Rate of change'!M97</f>
        <v>0</v>
      </c>
      <c r="M49" s="120">
        <f>'Input|Rate of change'!N97</f>
        <v>0</v>
      </c>
      <c r="N49" s="120">
        <f>'Input|Rate of change'!O97</f>
        <v>0</v>
      </c>
      <c r="O49" s="120">
        <f>'Input|Rate of change'!P97</f>
        <v>0</v>
      </c>
      <c r="P49" s="120">
        <f>'Input|Rate of change'!Q97</f>
        <v>0</v>
      </c>
      <c r="Q49" s="120">
        <f>'Input|Rate of change'!R97</f>
        <v>0</v>
      </c>
      <c r="R49" s="120">
        <f>'Input|Rate of change'!S97</f>
        <v>0</v>
      </c>
      <c r="S49" s="120">
        <f>'Input|Rate of change'!T97</f>
        <v>0</v>
      </c>
    </row>
    <row r="50" spans="1:47" outlineLevel="1">
      <c r="C50" s="114"/>
      <c r="J50" s="180"/>
      <c r="K50" s="180"/>
      <c r="L50" s="180"/>
      <c r="M50" s="180"/>
      <c r="N50" s="180"/>
      <c r="O50" s="180"/>
      <c r="P50" s="180"/>
      <c r="Q50" s="180"/>
      <c r="R50" s="180"/>
      <c r="S50" s="180"/>
    </row>
    <row r="51" spans="1:47" outlineLevel="1">
      <c r="C51" s="121" t="s">
        <v>115</v>
      </c>
      <c r="D51" s="117" t="s">
        <v>30</v>
      </c>
      <c r="E51" s="117" t="s">
        <v>31</v>
      </c>
      <c r="F51" s="117" t="s">
        <v>36</v>
      </c>
      <c r="J51" s="146">
        <f>(1+J45)*(1+J47)*(1-J49)-1</f>
        <v>0</v>
      </c>
      <c r="K51" s="146">
        <f t="shared" ref="K51:S51" si="1">(1+K45)*(1+K47)*(1-K49)-1</f>
        <v>0</v>
      </c>
      <c r="L51" s="146">
        <f t="shared" si="1"/>
        <v>0</v>
      </c>
      <c r="M51" s="146">
        <f t="shared" si="1"/>
        <v>0</v>
      </c>
      <c r="N51" s="146">
        <f t="shared" si="1"/>
        <v>0</v>
      </c>
      <c r="O51" s="146">
        <f t="shared" si="1"/>
        <v>3.6182396545527684E-3</v>
      </c>
      <c r="P51" s="146">
        <f t="shared" si="1"/>
        <v>6.0649449357013108E-3</v>
      </c>
      <c r="Q51" s="146">
        <f t="shared" si="1"/>
        <v>5.7741515275182564E-3</v>
      </c>
      <c r="R51" s="146">
        <f t="shared" si="1"/>
        <v>5.6270211224880295E-3</v>
      </c>
      <c r="S51" s="146">
        <f t="shared" si="1"/>
        <v>5.3623660313131261E-3</v>
      </c>
    </row>
    <row r="52" spans="1:47">
      <c r="J52" s="110"/>
      <c r="K52" s="110"/>
      <c r="L52" s="110"/>
      <c r="M52" s="110"/>
      <c r="N52" s="110"/>
      <c r="O52" s="122"/>
      <c r="P52" s="122"/>
      <c r="Q52" s="122"/>
      <c r="R52" s="122"/>
      <c r="S52" s="122"/>
    </row>
    <row r="53" spans="1:47" s="106" customFormat="1" ht="12.75">
      <c r="A53" s="97"/>
      <c r="B53" s="98" t="s">
        <v>98</v>
      </c>
      <c r="C53" s="97"/>
      <c r="D53" s="97"/>
      <c r="E53" s="97"/>
      <c r="F53" s="99"/>
      <c r="G53" s="99"/>
      <c r="H53" s="99"/>
      <c r="I53" s="99"/>
      <c r="J53" s="100"/>
      <c r="K53" s="101"/>
      <c r="L53" s="100"/>
      <c r="M53" s="101"/>
      <c r="N53" s="100"/>
      <c r="O53" s="100"/>
      <c r="P53" s="100"/>
      <c r="Q53" s="100"/>
      <c r="R53" s="100"/>
      <c r="S53" s="100"/>
      <c r="T53" s="100"/>
      <c r="U53" s="100"/>
      <c r="V53" s="101"/>
      <c r="W53" s="101"/>
      <c r="X53" s="102"/>
      <c r="Y53" s="102"/>
      <c r="Z53" s="102"/>
      <c r="AA53" s="102"/>
      <c r="AB53" s="103"/>
      <c r="AC53" s="104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</row>
    <row r="54" spans="1:47" outlineLevel="1">
      <c r="C54" s="109"/>
      <c r="J54" s="110"/>
      <c r="K54" s="110"/>
      <c r="L54" s="110"/>
    </row>
    <row r="55" spans="1:47" outlineLevel="1">
      <c r="C55" s="68" t="s">
        <v>116</v>
      </c>
      <c r="D55" s="32" t="s">
        <v>7</v>
      </c>
      <c r="E55" s="32" t="s">
        <v>8</v>
      </c>
      <c r="F55" s="32" t="s">
        <v>22</v>
      </c>
      <c r="J55" s="167" t="str">
        <f>IF(YEAR(J$4)&gt;='Input|General'!$G$13,IF(YEAR(J$4)&lt;='Input|General'!$G$14,J$4,""),"")</f>
        <v/>
      </c>
      <c r="K55" s="167" t="str">
        <f>IF(YEAR(K$4)&gt;='Input|General'!$G$13,IF(YEAR(K$4)&lt;='Input|General'!$G$14,K$4,""),"")</f>
        <v/>
      </c>
      <c r="L55" s="167" t="str">
        <f>IF(YEAR(L$4)&gt;='Input|General'!$G$13,IF(YEAR(L$4)&lt;='Input|General'!$G$14,L$4,""),"")</f>
        <v/>
      </c>
      <c r="M55" s="167" t="str">
        <f>IF(YEAR(M$4)&gt;='Input|General'!$G$13,IF(YEAR(M$4)&lt;='Input|General'!$G$14,M$4,""),"")</f>
        <v/>
      </c>
      <c r="N55" s="167" t="str">
        <f>IF(YEAR(N$4)&gt;='Input|General'!$G$13,IF(YEAR(N$4)&lt;='Input|General'!$G$14,N$4,""),"")</f>
        <v/>
      </c>
      <c r="O55" s="167">
        <f>IF(YEAR(O$4)&gt;='Input|General'!$G$13,IF(YEAR(O$4)&lt;='Input|General'!$G$14,O$4,""),"")</f>
        <v>43435</v>
      </c>
      <c r="P55" s="167">
        <f>IF(YEAR(P$4)&gt;='Input|General'!$G$13,IF(YEAR(P$4)&lt;='Input|General'!$G$14,P$4,""),"")</f>
        <v>43800</v>
      </c>
      <c r="Q55" s="167">
        <f>IF(YEAR(Q$4)&gt;='Input|General'!$G$13,IF(YEAR(Q$4)&lt;='Input|General'!$G$14,Q$4,""),"")</f>
        <v>44166</v>
      </c>
      <c r="R55" s="167">
        <f>IF(YEAR(R$4)&gt;='Input|General'!$G$13,IF(YEAR(R$4)&lt;='Input|General'!$G$14,R$4,""),"")</f>
        <v>44531</v>
      </c>
      <c r="S55" s="167">
        <f>IF(YEAR(S$4)&gt;='Input|General'!$G$13,IF(YEAR(S$4)&lt;='Input|General'!$G$14,S$4,""),"")</f>
        <v>44896</v>
      </c>
    </row>
    <row r="56" spans="1:47" outlineLevel="1">
      <c r="C56" s="68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spans="1:47" outlineLevel="1">
      <c r="C57" s="124" t="str">
        <f>'Input|Step changes'!C12</f>
        <v>Augmentation and expansion related opex</v>
      </c>
      <c r="D57" s="113" t="s">
        <v>30</v>
      </c>
      <c r="E57" s="30" t="str">
        <f t="shared" ref="E57:E75" si="2">$E$8</f>
        <v>$millions</v>
      </c>
      <c r="F57" s="165">
        <f t="shared" ref="F57:F67" si="3">$F$8</f>
        <v>43070</v>
      </c>
      <c r="J57" s="130">
        <f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0">
        <f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0">
        <f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0">
        <f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0">
        <f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0">
        <f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0.27883485000000002</v>
      </c>
      <c r="P57" s="130">
        <f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0.36932269285714286</v>
      </c>
      <c r="Q57" s="130">
        <f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0.36932269285714286</v>
      </c>
      <c r="R57" s="130">
        <f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0.59007109285714288</v>
      </c>
      <c r="S57" s="130">
        <f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0.59007109285714288</v>
      </c>
    </row>
    <row r="58" spans="1:47" outlineLevel="1">
      <c r="C58" s="124">
        <f>'Input|Step changes'!C13</f>
        <v>0</v>
      </c>
      <c r="D58" s="113" t="s">
        <v>30</v>
      </c>
      <c r="E58" s="30" t="str">
        <f t="shared" si="2"/>
        <v>$millions</v>
      </c>
      <c r="F58" s="165">
        <f t="shared" si="3"/>
        <v>43070</v>
      </c>
      <c r="J58" s="130">
        <f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0">
        <f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0">
        <f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0">
        <f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0">
        <f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0">
        <f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0">
        <f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0">
        <f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0">
        <f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0">
        <f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4">
        <f>'Input|Step changes'!C14</f>
        <v>0</v>
      </c>
      <c r="D59" s="113" t="s">
        <v>30</v>
      </c>
      <c r="E59" s="30" t="str">
        <f t="shared" si="2"/>
        <v>$millions</v>
      </c>
      <c r="F59" s="165">
        <f t="shared" si="3"/>
        <v>43070</v>
      </c>
      <c r="J59" s="130">
        <f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0">
        <f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0">
        <f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0">
        <f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0">
        <f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0">
        <f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P59" s="130">
        <f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Q59" s="130">
        <f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0">
        <f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0">
        <f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4">
        <f>'Input|Step changes'!C15</f>
        <v>0</v>
      </c>
      <c r="D60" s="113" t="s">
        <v>30</v>
      </c>
      <c r="E60" s="30" t="str">
        <f t="shared" si="2"/>
        <v>$millions</v>
      </c>
      <c r="F60" s="165">
        <f t="shared" si="3"/>
        <v>43070</v>
      </c>
      <c r="J60" s="130">
        <f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0">
        <f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0">
        <f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0">
        <f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0">
        <f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0">
        <f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0">
        <f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0">
        <f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0">
        <f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0">
        <f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4">
        <f>'Input|Step changes'!C16</f>
        <v>0</v>
      </c>
      <c r="D61" s="113" t="s">
        <v>30</v>
      </c>
      <c r="E61" s="30" t="str">
        <f t="shared" si="2"/>
        <v>$millions</v>
      </c>
      <c r="F61" s="165">
        <f t="shared" si="3"/>
        <v>43070</v>
      </c>
      <c r="J61" s="130">
        <f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0">
        <f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0">
        <f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0">
        <f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0">
        <f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0">
        <f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0">
        <f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0">
        <f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0">
        <f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0">
        <f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4">
        <f>'Input|Step changes'!C17</f>
        <v>0</v>
      </c>
      <c r="D62" s="113" t="s">
        <v>30</v>
      </c>
      <c r="E62" s="30" t="str">
        <f t="shared" si="2"/>
        <v>$millions</v>
      </c>
      <c r="F62" s="165">
        <f t="shared" si="3"/>
        <v>43070</v>
      </c>
      <c r="J62" s="130">
        <f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0">
        <f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0">
        <f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0">
        <f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0">
        <f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0">
        <f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0">
        <f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0">
        <f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0">
        <f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0">
        <f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4">
        <f>'Input|Step changes'!C18</f>
        <v>0</v>
      </c>
      <c r="D63" s="113" t="s">
        <v>30</v>
      </c>
      <c r="E63" s="30" t="str">
        <f t="shared" si="2"/>
        <v>$millions</v>
      </c>
      <c r="F63" s="165">
        <f t="shared" si="3"/>
        <v>43070</v>
      </c>
      <c r="J63" s="130">
        <f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0">
        <f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0">
        <f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0">
        <f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0">
        <f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0">
        <f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0">
        <f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0">
        <f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0">
        <f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0">
        <f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4">
        <f>'Input|Step changes'!C19</f>
        <v>0</v>
      </c>
      <c r="D64" s="113" t="s">
        <v>30</v>
      </c>
      <c r="E64" s="30" t="str">
        <f t="shared" si="2"/>
        <v>$millions</v>
      </c>
      <c r="F64" s="165">
        <f t="shared" si="3"/>
        <v>43070</v>
      </c>
      <c r="J64" s="130">
        <f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0">
        <f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0">
        <f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0">
        <f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0">
        <f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0">
        <f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0">
        <f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0">
        <f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0">
        <f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0">
        <f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4">
        <f>'Input|Step changes'!C20</f>
        <v>0</v>
      </c>
      <c r="D65" s="113" t="s">
        <v>30</v>
      </c>
      <c r="E65" s="30" t="str">
        <f t="shared" si="2"/>
        <v>$millions</v>
      </c>
      <c r="F65" s="165">
        <f t="shared" si="3"/>
        <v>43070</v>
      </c>
      <c r="J65" s="130">
        <f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0">
        <f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0">
        <f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0">
        <f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0">
        <f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0">
        <f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0">
        <f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0">
        <f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0">
        <f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0">
        <f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4"/>
      <c r="D66" s="113"/>
      <c r="F66" s="115"/>
      <c r="J66" s="183"/>
      <c r="K66" s="183"/>
      <c r="L66" s="183"/>
      <c r="M66" s="183"/>
      <c r="N66" s="183"/>
      <c r="O66" s="183"/>
      <c r="P66" s="183"/>
      <c r="Q66" s="183"/>
      <c r="R66" s="183"/>
      <c r="S66" s="183"/>
    </row>
    <row r="67" spans="1:47" outlineLevel="1">
      <c r="C67" s="116" t="s">
        <v>49</v>
      </c>
      <c r="D67" s="125" t="s">
        <v>30</v>
      </c>
      <c r="E67" s="125" t="str">
        <f>$E$8</f>
        <v>$millions</v>
      </c>
      <c r="F67" s="182">
        <f t="shared" si="3"/>
        <v>43070</v>
      </c>
      <c r="G67" s="32"/>
      <c r="H67" s="32"/>
      <c r="I67" s="32"/>
      <c r="J67" s="184">
        <f>SUM(J56:J66)</f>
        <v>0</v>
      </c>
      <c r="K67" s="184">
        <f t="shared" ref="K67:S67" si="4">SUM(K56:K66)</f>
        <v>0</v>
      </c>
      <c r="L67" s="184">
        <f t="shared" si="4"/>
        <v>0</v>
      </c>
      <c r="M67" s="184">
        <f t="shared" si="4"/>
        <v>0</v>
      </c>
      <c r="N67" s="184">
        <f t="shared" si="4"/>
        <v>0</v>
      </c>
      <c r="O67" s="184">
        <f t="shared" si="4"/>
        <v>0.27883485000000002</v>
      </c>
      <c r="P67" s="184">
        <f t="shared" si="4"/>
        <v>0.36932269285714286</v>
      </c>
      <c r="Q67" s="184">
        <f t="shared" si="4"/>
        <v>0.36932269285714286</v>
      </c>
      <c r="R67" s="184">
        <f t="shared" si="4"/>
        <v>0.59007109285714288</v>
      </c>
      <c r="S67" s="184">
        <f t="shared" si="4"/>
        <v>0.59007109285714288</v>
      </c>
    </row>
    <row r="68" spans="1:47">
      <c r="C68" s="126"/>
      <c r="D68" s="113"/>
      <c r="E68" s="113"/>
      <c r="F68" s="113"/>
      <c r="J68" s="110"/>
      <c r="K68" s="110"/>
      <c r="L68" s="110"/>
      <c r="M68" s="110"/>
      <c r="N68" s="23"/>
      <c r="O68" s="23"/>
      <c r="P68" s="23"/>
      <c r="Q68" s="23"/>
      <c r="R68" s="23"/>
      <c r="S68" s="23"/>
    </row>
    <row r="69" spans="1:47" s="106" customFormat="1" ht="12.75">
      <c r="A69" s="97"/>
      <c r="B69" s="98" t="s">
        <v>135</v>
      </c>
      <c r="C69" s="97"/>
      <c r="D69" s="97"/>
      <c r="E69" s="97"/>
      <c r="F69" s="99"/>
      <c r="G69" s="99"/>
      <c r="H69" s="99"/>
      <c r="I69" s="99"/>
      <c r="J69" s="100"/>
      <c r="K69" s="101"/>
      <c r="L69" s="100"/>
      <c r="M69" s="101"/>
      <c r="N69" s="100"/>
      <c r="O69" s="100"/>
      <c r="P69" s="100"/>
      <c r="Q69" s="100"/>
      <c r="R69" s="100"/>
      <c r="S69" s="100"/>
      <c r="T69" s="100"/>
      <c r="U69" s="100"/>
      <c r="V69" s="101"/>
      <c r="W69" s="101"/>
      <c r="X69" s="102"/>
      <c r="Y69" s="102"/>
      <c r="Z69" s="102"/>
      <c r="AA69" s="102"/>
      <c r="AB69" s="103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</row>
    <row r="70" spans="1:47" outlineLevel="1">
      <c r="C70" s="109"/>
      <c r="J70" s="110"/>
      <c r="K70" s="110"/>
      <c r="L70" s="110"/>
    </row>
    <row r="71" spans="1:47" outlineLevel="1">
      <c r="C71" s="68" t="s">
        <v>124</v>
      </c>
      <c r="D71" s="32" t="s">
        <v>7</v>
      </c>
      <c r="E71" s="32" t="s">
        <v>8</v>
      </c>
      <c r="F71" s="32" t="s">
        <v>22</v>
      </c>
      <c r="J71" s="167" t="str">
        <f>IF(YEAR(J$4)&gt;='Input|General'!$G$13,IF(YEAR(J$4)&lt;='Input|General'!$G$14,J$4,""),"")</f>
        <v/>
      </c>
      <c r="K71" s="167" t="str">
        <f>IF(YEAR(K$4)&gt;='Input|General'!$G$13,IF(YEAR(K$4)&lt;='Input|General'!$G$14,K$4,""),"")</f>
        <v/>
      </c>
      <c r="L71" s="167" t="str">
        <f>IF(YEAR(L$4)&gt;='Input|General'!$G$13,IF(YEAR(L$4)&lt;='Input|General'!$G$14,L$4,""),"")</f>
        <v/>
      </c>
      <c r="M71" s="167" t="str">
        <f>IF(YEAR(M$4)&gt;='Input|General'!$G$13,IF(YEAR(M$4)&lt;='Input|General'!$G$14,M$4,""),"")</f>
        <v/>
      </c>
      <c r="N71" s="167" t="str">
        <f>IF(YEAR(N$4)&gt;='Input|General'!$G$13,IF(YEAR(N$4)&lt;='Input|General'!$G$14,N$4,""),"")</f>
        <v/>
      </c>
      <c r="O71" s="167">
        <f>IF(YEAR(O$4)&gt;='Input|General'!$G$13,IF(YEAR(O$4)&lt;='Input|General'!$G$14,O$4,""),"")</f>
        <v>43435</v>
      </c>
      <c r="P71" s="167">
        <f>IF(YEAR(P$4)&gt;='Input|General'!$G$13,IF(YEAR(P$4)&lt;='Input|General'!$G$14,P$4,""),"")</f>
        <v>43800</v>
      </c>
      <c r="Q71" s="167">
        <f>IF(YEAR(Q$4)&gt;='Input|General'!$G$13,IF(YEAR(Q$4)&lt;='Input|General'!$G$14,Q$4,""),"")</f>
        <v>44166</v>
      </c>
      <c r="R71" s="167">
        <f>IF(YEAR(R$4)&gt;='Input|General'!$G$13,IF(YEAR(R$4)&lt;='Input|General'!$G$14,R$4,""),"")</f>
        <v>44531</v>
      </c>
      <c r="S71" s="167">
        <f>IF(YEAR(S$4)&gt;='Input|General'!$G$13,IF(YEAR(S$4)&lt;='Input|General'!$G$14,S$4,""),"")</f>
        <v>44896</v>
      </c>
    </row>
    <row r="72" spans="1:47" outlineLevel="1">
      <c r="C72" s="68"/>
      <c r="J72" s="123"/>
      <c r="K72" s="123"/>
      <c r="L72" s="123"/>
      <c r="M72" s="123"/>
      <c r="N72" s="123"/>
      <c r="O72" s="123"/>
      <c r="P72" s="123"/>
      <c r="Q72" s="123"/>
      <c r="R72" s="123"/>
      <c r="S72" s="123"/>
    </row>
    <row r="73" spans="1:47" outlineLevel="1">
      <c r="C73" s="124" t="str">
        <f>'Input|Step changes'!C28</f>
        <v>Allowances</v>
      </c>
      <c r="D73" s="113" t="s">
        <v>30</v>
      </c>
      <c r="E73" s="30" t="str">
        <f t="shared" si="2"/>
        <v>$millions</v>
      </c>
      <c r="F73" s="165">
        <f t="shared" ref="F73:F75" si="5">$F$8</f>
        <v>43070</v>
      </c>
      <c r="J73" s="130">
        <f>'Input|Step changes'!J28*IF('Input|Step changes'!$F28="nominal",LOOKUP($F73,Nominal_to_Real,'Input|Rate of change'!N$25:N$30),INDEX('Input|Rate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K73" s="130">
        <f>'Input|Step changes'!K28*IF('Input|Step changes'!$F28="nominal",LOOKUP($F73,Nominal_to_Real,'Input|Rate of change'!O$25:O$30),INDEX('Input|Rate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L73" s="130">
        <f>'Input|Step changes'!L28*IF('Input|Step changes'!$F28="nominal",LOOKUP($F73,Nominal_to_Real,'Input|Rate of change'!P$25:P$30),INDEX('Input|Rate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M73" s="130">
        <f>'Input|Step changes'!M28*IF('Input|Step changes'!$F28="nominal",LOOKUP($F73,Nominal_to_Real,'Input|Rate of change'!Q$25:Q$30),INDEX('Input|Rate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N73" s="130">
        <f>'Input|Step changes'!N28*IF('Input|Step changes'!$F28="nominal",LOOKUP($F73,Nominal_to_Real,'Input|Rate of change'!R$25:R$30),INDEX('Input|Rate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</v>
      </c>
      <c r="O73" s="130">
        <f>'Input|Step changes'!O28*IF('Input|Step changes'!$F28="nominal",LOOKUP($F73,Nominal_to_Real,'Input|Rate of change'!S$25:S$30),INDEX('Input|Rate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0.2389866867488093</v>
      </c>
      <c r="P73" s="130">
        <f>'Input|Step changes'!P28*IF('Input|Step changes'!$F28="nominal",LOOKUP($F73,Nominal_to_Real,'Input|Rate of change'!T$25:T$30),INDEX('Input|Rate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0.24912849089641542</v>
      </c>
      <c r="Q73" s="130">
        <f>'Input|Step changes'!Q28*IF('Input|Step changes'!$F28="nominal",LOOKUP($F73,Nominal_to_Real,'Input|Rate of change'!U$25:U$30),INDEX('Input|Rate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0.25396176818357602</v>
      </c>
      <c r="R73" s="130">
        <f>'Input|Step changes'!R28*IF('Input|Step changes'!$F28="nominal",LOOKUP($F73,Nominal_to_Real,'Input|Rate of change'!V$25:V$30),INDEX('Input|Rate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0.25911219217650067</v>
      </c>
      <c r="S73" s="130">
        <f>'Input|Step changes'!S28*IF('Input|Step changes'!$F28="nominal",LOOKUP($F73,Nominal_to_Real,'Input|Rate of change'!W$25:W$30),INDEX('Input|Rate of change'!$C$14:$O$21,MATCH('Input|Step changes'!$F28,'Input|Rate of change'!$C$14:$C$21,0),MATCH('Calc|Opex forecast'!$F73,'Input|Rate of change'!$C$14:$O$14,0)))*IF('Input|Step changes'!$E28="$millions",1000000,IF('Input|Step changes'!$E28="$000",1000,1))/IF($E73="$millions",1000000,IF($E73="$000",1000,1))</f>
        <v>0.26412950365900167</v>
      </c>
    </row>
    <row r="74" spans="1:47" outlineLevel="1">
      <c r="C74" s="124">
        <f>'Input|Step changes'!C29</f>
        <v>0</v>
      </c>
      <c r="D74" s="113" t="s">
        <v>30</v>
      </c>
      <c r="E74" s="30" t="str">
        <f t="shared" si="2"/>
        <v>$millions</v>
      </c>
      <c r="F74" s="165">
        <f t="shared" si="5"/>
        <v>43070</v>
      </c>
      <c r="J74" s="130">
        <f>'Input|Step changes'!J29*IF('Input|Step changes'!$F29="nominal",LOOKUP($F74,Nominal_to_Real,'Input|Rate of change'!N$25:N$30),INDEX('Input|Rate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K74" s="130">
        <f>'Input|Step changes'!K29*IF('Input|Step changes'!$F29="nominal",LOOKUP($F74,Nominal_to_Real,'Input|Rate of change'!O$25:O$30),INDEX('Input|Rate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L74" s="130">
        <f>'Input|Step changes'!L29*IF('Input|Step changes'!$F29="nominal",LOOKUP($F74,Nominal_to_Real,'Input|Rate of change'!P$25:P$30),INDEX('Input|Rate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M74" s="130">
        <f>'Input|Step changes'!M29*IF('Input|Step changes'!$F29="nominal",LOOKUP($F74,Nominal_to_Real,'Input|Rate of change'!Q$25:Q$30),INDEX('Input|Rate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N74" s="130">
        <f>'Input|Step changes'!N29*IF('Input|Step changes'!$F29="nominal",LOOKUP($F74,Nominal_to_Real,'Input|Rate of change'!R$25:R$30),INDEX('Input|Rate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O74" s="130">
        <f>'Input|Step changes'!O29*IF('Input|Step changes'!$F29="nominal",LOOKUP($F74,Nominal_to_Real,'Input|Rate of change'!S$25:S$30),INDEX('Input|Rate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P74" s="130">
        <f>'Input|Step changes'!P29*IF('Input|Step changes'!$F29="nominal",LOOKUP($F74,Nominal_to_Real,'Input|Rate of change'!T$25:T$30),INDEX('Input|Rate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Q74" s="130">
        <f>'Input|Step changes'!Q29*IF('Input|Step changes'!$F29="nominal",LOOKUP($F74,Nominal_to_Real,'Input|Rate of change'!U$25:U$30),INDEX('Input|Rate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R74" s="130">
        <f>'Input|Step changes'!R29*IF('Input|Step changes'!$F29="nominal",LOOKUP($F74,Nominal_to_Real,'Input|Rate of change'!V$25:V$30),INDEX('Input|Rate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  <c r="S74" s="130">
        <f>'Input|Step changes'!S29*IF('Input|Step changes'!$F29="nominal",LOOKUP($F74,Nominal_to_Real,'Input|Rate of change'!W$25:W$30),INDEX('Input|Rate of change'!$C$14:$O$21,MATCH('Input|Step changes'!$F29,'Input|Rate of change'!$C$14:$C$21,0),MATCH('Calc|Opex forecast'!$F74,'Input|Rate of change'!$C$14:$O$14,0)))*IF('Input|Step changes'!$E29="$millions",1000000,IF('Input|Step changes'!$E29="$000",1000,1))/IF($E74="$millions",1000000,IF($E74="$000",1000,1))</f>
        <v>0</v>
      </c>
    </row>
    <row r="75" spans="1:47" outlineLevel="1">
      <c r="C75" s="124">
        <f>'Input|Step changes'!C30</f>
        <v>0</v>
      </c>
      <c r="D75" s="113" t="s">
        <v>30</v>
      </c>
      <c r="E75" s="30" t="str">
        <f t="shared" si="2"/>
        <v>$millions</v>
      </c>
      <c r="F75" s="165">
        <f t="shared" si="5"/>
        <v>43070</v>
      </c>
      <c r="J75" s="130">
        <f>'Input|Step changes'!J30*IF('Input|Step changes'!$F30="nominal",LOOKUP($F75,Nominal_to_Real,'Input|Rate of change'!N$25:N$30),INDEX('Input|Rate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K75" s="130">
        <f>'Input|Step changes'!K30*IF('Input|Step changes'!$F30="nominal",LOOKUP($F75,Nominal_to_Real,'Input|Rate of change'!O$25:O$30),INDEX('Input|Rate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L75" s="130">
        <f>'Input|Step changes'!L30*IF('Input|Step changes'!$F30="nominal",LOOKUP($F75,Nominal_to_Real,'Input|Rate of change'!P$25:P$30),INDEX('Input|Rate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M75" s="130">
        <f>'Input|Step changes'!M30*IF('Input|Step changes'!$F30="nominal",LOOKUP($F75,Nominal_to_Real,'Input|Rate of change'!Q$25:Q$30),INDEX('Input|Rate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N75" s="130">
        <f>'Input|Step changes'!N30*IF('Input|Step changes'!$F30="nominal",LOOKUP($F75,Nominal_to_Real,'Input|Rate of change'!R$25:R$30),INDEX('Input|Rate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O75" s="130">
        <f>'Input|Step changes'!O30*IF('Input|Step changes'!$F30="nominal",LOOKUP($F75,Nominal_to_Real,'Input|Rate of change'!S$25:S$30),INDEX('Input|Rate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P75" s="130">
        <f>'Input|Step changes'!P30*IF('Input|Step changes'!$F30="nominal",LOOKUP($F75,Nominal_to_Real,'Input|Rate of change'!T$25:T$30),INDEX('Input|Rate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Q75" s="130">
        <f>'Input|Step changes'!Q30*IF('Input|Step changes'!$F30="nominal",LOOKUP($F75,Nominal_to_Real,'Input|Rate of change'!U$25:U$30),INDEX('Input|Rate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R75" s="130">
        <f>'Input|Step changes'!R30*IF('Input|Step changes'!$F30="nominal",LOOKUP($F75,Nominal_to_Real,'Input|Rate of change'!V$25:V$30),INDEX('Input|Rate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  <c r="S75" s="130">
        <f>'Input|Step changes'!S30*IF('Input|Step changes'!$F30="nominal",LOOKUP($F75,Nominal_to_Real,'Input|Rate of change'!W$25:W$30),INDEX('Input|Rate of change'!$C$14:$O$21,MATCH('Input|Step changes'!$F30,'Input|Rate of change'!$C$14:$C$21,0),MATCH('Calc|Opex forecast'!$F75,'Input|Rate of change'!$C$14:$O$14,0)))*IF('Input|Step changes'!$E30="$millions",1000000,IF('Input|Step changes'!$E30="$000",1000,1))/IF($E75="$millions",1000000,IF($E75="$000",1000,1))</f>
        <v>0</v>
      </c>
    </row>
    <row r="76" spans="1:47" outlineLevel="1">
      <c r="C76" s="124"/>
      <c r="D76" s="111"/>
      <c r="F76" s="115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</row>
    <row r="77" spans="1:47" outlineLevel="1">
      <c r="C77" s="116" t="s">
        <v>136</v>
      </c>
      <c r="D77" s="125" t="s">
        <v>30</v>
      </c>
      <c r="E77" s="125" t="str">
        <f>$E$8</f>
        <v>$millions</v>
      </c>
      <c r="F77" s="182">
        <f t="shared" ref="F77" si="6">$F$8</f>
        <v>43070</v>
      </c>
      <c r="G77" s="32"/>
      <c r="H77" s="32"/>
      <c r="I77" s="32"/>
      <c r="J77" s="131">
        <f>SUM(J72:J76)</f>
        <v>0</v>
      </c>
      <c r="K77" s="131">
        <f t="shared" ref="K77:S77" si="7">SUM(K72:K76)</f>
        <v>0</v>
      </c>
      <c r="L77" s="131">
        <f t="shared" si="7"/>
        <v>0</v>
      </c>
      <c r="M77" s="131">
        <f t="shared" si="7"/>
        <v>0</v>
      </c>
      <c r="N77" s="131">
        <f t="shared" si="7"/>
        <v>0</v>
      </c>
      <c r="O77" s="131">
        <f t="shared" si="7"/>
        <v>0.2389866867488093</v>
      </c>
      <c r="P77" s="131">
        <f t="shared" si="7"/>
        <v>0.24912849089641542</v>
      </c>
      <c r="Q77" s="131">
        <f t="shared" si="7"/>
        <v>0.25396176818357602</v>
      </c>
      <c r="R77" s="131">
        <f t="shared" si="7"/>
        <v>0.25911219217650067</v>
      </c>
      <c r="S77" s="131">
        <f t="shared" si="7"/>
        <v>0.26412950365900167</v>
      </c>
    </row>
    <row r="78" spans="1:47">
      <c r="C78" s="126"/>
      <c r="D78" s="113"/>
      <c r="E78" s="113"/>
      <c r="F78" s="113"/>
      <c r="J78" s="110"/>
      <c r="K78" s="110"/>
      <c r="L78" s="110"/>
      <c r="M78" s="110"/>
      <c r="N78" s="23"/>
      <c r="O78" s="23"/>
      <c r="P78" s="23"/>
      <c r="Q78" s="23"/>
      <c r="R78" s="23"/>
      <c r="S78" s="23"/>
    </row>
    <row r="79" spans="1:47" s="106" customFormat="1" ht="12.75">
      <c r="A79" s="97"/>
      <c r="B79" s="98" t="s">
        <v>99</v>
      </c>
      <c r="C79" s="97"/>
      <c r="D79" s="97"/>
      <c r="E79" s="97"/>
      <c r="F79" s="99"/>
      <c r="G79" s="99"/>
      <c r="H79" s="99"/>
      <c r="I79" s="99"/>
      <c r="J79" s="100"/>
      <c r="K79" s="101"/>
      <c r="L79" s="100"/>
      <c r="M79" s="101"/>
      <c r="N79" s="100"/>
      <c r="O79" s="100"/>
      <c r="P79" s="100"/>
      <c r="Q79" s="100"/>
      <c r="R79" s="100"/>
      <c r="S79" s="100"/>
      <c r="T79" s="100"/>
      <c r="U79" s="100"/>
      <c r="V79" s="101"/>
      <c r="W79" s="101"/>
      <c r="X79" s="102"/>
      <c r="Y79" s="102"/>
      <c r="Z79" s="102"/>
      <c r="AA79" s="102"/>
      <c r="AB79" s="103"/>
      <c r="AC79" s="104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</row>
    <row r="80" spans="1:47" outlineLevel="1">
      <c r="C80" s="109"/>
      <c r="J80" s="110"/>
      <c r="K80" s="110"/>
      <c r="L80" s="110"/>
    </row>
    <row r="81" spans="1:47" outlineLevel="1">
      <c r="C81" s="68"/>
      <c r="J81" s="167" t="str">
        <f>IF(YEAR(J$4)&gt;='Input|General'!$G$13,IF(YEAR(J$4)&lt;='Input|General'!$G$14,J$4,""),"")</f>
        <v/>
      </c>
      <c r="K81" s="167" t="str">
        <f>IF(YEAR(K$4)&gt;='Input|General'!$G$13,IF(YEAR(K$4)&lt;='Input|General'!$G$14,K$4,""),"")</f>
        <v/>
      </c>
      <c r="L81" s="167" t="str">
        <f>IF(YEAR(L$4)&gt;='Input|General'!$G$13,IF(YEAR(L$4)&lt;='Input|General'!$G$14,L$4,""),"")</f>
        <v/>
      </c>
      <c r="M81" s="167" t="str">
        <f>IF(YEAR(M$4)&gt;='Input|General'!$G$13,IF(YEAR(M$4)&lt;='Input|General'!$G$14,M$4,""),"")</f>
        <v/>
      </c>
      <c r="N81" s="167" t="str">
        <f>IF(YEAR(N$4)&gt;='Input|General'!$G$13,IF(YEAR(N$4)&lt;='Input|General'!$G$14,N$4,""),"")</f>
        <v/>
      </c>
      <c r="O81" s="167">
        <f>IF(YEAR(O$4)&gt;='Input|General'!$G$13,IF(YEAR(O$4)&lt;='Input|General'!$G$14,O$4,""),"")</f>
        <v>43435</v>
      </c>
      <c r="P81" s="167">
        <f>IF(YEAR(P$4)&gt;='Input|General'!$G$13,IF(YEAR(P$4)&lt;='Input|General'!$G$14,P$4,""),"")</f>
        <v>43800</v>
      </c>
      <c r="Q81" s="167">
        <f>IF(YEAR(Q$4)&gt;='Input|General'!$G$13,IF(YEAR(Q$4)&lt;='Input|General'!$G$14,Q$4,""),"")</f>
        <v>44166</v>
      </c>
      <c r="R81" s="167">
        <f>IF(YEAR(R$4)&gt;='Input|General'!$G$13,IF(YEAR(R$4)&lt;='Input|General'!$G$14,R$4,""),"")</f>
        <v>44531</v>
      </c>
      <c r="S81" s="167">
        <f>IF(YEAR(S$4)&gt;='Input|General'!$G$13,IF(YEAR(S$4)&lt;='Input|General'!$G$14,S$4,""),"")</f>
        <v>44896</v>
      </c>
    </row>
    <row r="82" spans="1:47" outlineLevel="1">
      <c r="C82" s="127"/>
      <c r="D82" s="113"/>
      <c r="E82" s="113"/>
      <c r="F82" s="113"/>
      <c r="J82" s="128"/>
      <c r="K82" s="128"/>
      <c r="L82" s="128"/>
      <c r="M82" s="128"/>
      <c r="N82" s="128"/>
      <c r="O82" s="128"/>
      <c r="P82" s="128"/>
      <c r="Q82" s="128"/>
      <c r="R82" s="128"/>
      <c r="S82" s="128"/>
    </row>
    <row r="83" spans="1:47" outlineLevel="1">
      <c r="C83" s="126" t="s">
        <v>153</v>
      </c>
      <c r="D83" s="129" t="s">
        <v>30</v>
      </c>
      <c r="E83" s="129" t="str">
        <f>$E$8</f>
        <v>$millions</v>
      </c>
      <c r="F83" s="182">
        <f t="shared" ref="F83:F85" si="8">$F$8</f>
        <v>43070</v>
      </c>
      <c r="J83" s="154" t="str">
        <f t="array" ref="J83">IF(YEAR(J$4)&gt;='Input|General'!$G$13,IF(YEAR(J$4)&lt;='Input|General'!$G$14,IF(ISBLANK(J81),"",PRODUCT(1+$J51:J51)*SUM($J38:$S38)+J67),""),"")</f>
        <v/>
      </c>
      <c r="K83" s="154" t="str">
        <f t="array" ref="K83">IF(YEAR(K$4)&gt;='Input|General'!$G$13,IF(YEAR(K$4)&lt;='Input|General'!$G$14,IF(ISBLANK(K81),"",PRODUCT(1+$J51:K51)*SUM($J38:$S38)+K67),""),"")</f>
        <v/>
      </c>
      <c r="L83" s="154" t="str">
        <f t="array" ref="L83">IF(YEAR(L$4)&gt;='Input|General'!$G$13,IF(YEAR(L$4)&lt;='Input|General'!$G$14,IF(ISBLANK(L81),"",PRODUCT(1+$J51:L51)*SUM($J38:$S38)+L67),""),"")</f>
        <v/>
      </c>
      <c r="M83" s="154" t="str">
        <f t="array" ref="M83">IF(YEAR(M$4)&gt;='Input|General'!$G$13,IF(YEAR(M$4)&lt;='Input|General'!$G$14,IF(ISBLANK(M81),"",PRODUCT(1+$J51:M51)*SUM($J38:$S38)+M67),""),"")</f>
        <v/>
      </c>
      <c r="N83" s="154" t="str">
        <f t="array" ref="N83">IF(YEAR(N$4)&gt;='Input|General'!$G$13,IF(YEAR(N$4)&lt;='Input|General'!$G$14,IF(ISBLANK(N81),"",PRODUCT(1+$J51:N51)*SUM($J38:$S38)+N67),""),"")</f>
        <v/>
      </c>
      <c r="O83" s="154">
        <f t="array" ref="O83">IF(YEAR(O$4)&gt;='Input|General'!$G$13,IF(YEAR(O$4)&lt;='Input|General'!$G$14,IF(ISBLANK(O81),"",PRODUCT(1+$J51:O51)*SUM($J38:$S38)+O67),""),"")</f>
        <v>25.739654331100461</v>
      </c>
      <c r="P83" s="154">
        <f t="array" ref="P83">IF(YEAR(P$4)&gt;='Input|General'!$G$13,IF(YEAR(P$4)&lt;='Input|General'!$G$14,IF(ISBLANK(P81),"",PRODUCT(1+$J51:P51)*SUM($J38:$S38)+P67),""),"")</f>
        <v>25.984560642128308</v>
      </c>
      <c r="Q83" s="154">
        <f t="array" ref="Q83">IF(YEAR(Q$4)&gt;='Input|General'!$G$13,IF(YEAR(Q$4)&lt;='Input|General'!$G$14,IF(ISBLANK(Q81),"",PRODUCT(1+$J51:Q51)*SUM($J38:$S38)+Q67),""),"")</f>
        <v>26.132466907460838</v>
      </c>
      <c r="R83" s="154">
        <f t="array" ref="R83">IF(YEAR(R$4)&gt;='Input|General'!$G$13,IF(YEAR(R$4)&lt;='Input|General'!$G$14,IF(ISBLANK(R81),"",PRODUCT(1+$J51:R51)*SUM($J38:$S38)+R67),""),"")</f>
        <v>26.498185064138116</v>
      </c>
      <c r="S83" s="154">
        <f t="array" ref="S83">IF(YEAR(S$4)&gt;='Input|General'!$G$13,IF(YEAR(S$4)&lt;='Input|General'!$G$14,IF(ISBLANK(S81),"",PRODUCT(1+$J51:S51)*SUM($J38:$S38)+S67),""),"")</f>
        <v>26.637113854433107</v>
      </c>
    </row>
    <row r="84" spans="1:47" outlineLevel="1">
      <c r="C84" s="126" t="s">
        <v>122</v>
      </c>
      <c r="D84" s="129" t="s">
        <v>30</v>
      </c>
      <c r="E84" s="129" t="str">
        <f>$E$8</f>
        <v>$millions</v>
      </c>
      <c r="F84" s="182">
        <f t="shared" si="8"/>
        <v>43070</v>
      </c>
      <c r="J84" s="154" t="str">
        <f t="array" ref="J84">IF(YEAR(J$4)&gt;='Input|General'!$G$13,IF(YEAR(J$4)&lt;='Input|General'!$G$14,IF(ISBLANK(J81),"",PRODUCT(1+$J51:J51)*SUM($J38:$S38)+J67+J77),""),"")</f>
        <v/>
      </c>
      <c r="K84" s="154" t="str">
        <f t="array" ref="K84">IF(YEAR(K$4)&gt;='Input|General'!$G$13,IF(YEAR(K$4)&lt;='Input|General'!$G$14,IF(ISBLANK(K81),"",PRODUCT(1+$J51:K51)*SUM($J38:$S38)+K67+K77),""),"")</f>
        <v/>
      </c>
      <c r="L84" s="154" t="str">
        <f t="array" ref="L84">IF(YEAR(L$4)&gt;='Input|General'!$G$13,IF(YEAR(L$4)&lt;='Input|General'!$G$14,IF(ISBLANK(L81),"",PRODUCT(1+$J51:L51)*SUM($J38:$S38)+L67+L77),""),"")</f>
        <v/>
      </c>
      <c r="M84" s="154" t="str">
        <f t="array" ref="M84">IF(YEAR(M$4)&gt;='Input|General'!$G$13,IF(YEAR(M$4)&lt;='Input|General'!$G$14,IF(ISBLANK(M81),"",PRODUCT(1+$J51:M51)*SUM($J38:$S38)+M67+M77),""),"")</f>
        <v/>
      </c>
      <c r="N84" s="154" t="str">
        <f t="array" ref="N84">IF(YEAR(N$4)&gt;='Input|General'!$G$13,IF(YEAR(N$4)&lt;='Input|General'!$G$14,IF(ISBLANK(N81),"",PRODUCT(1+$J51:N51)*SUM($J38:$S38)+N67+N77),""),"")</f>
        <v/>
      </c>
      <c r="O84" s="154">
        <f t="array" ref="O84">IF(YEAR(O$4)&gt;='Input|General'!$G$13,IF(YEAR(O$4)&lt;='Input|General'!$G$14,IF(ISBLANK(O81),"",PRODUCT(1+$J51:O51)*SUM($J38:$S38)+O67+O77),""),"")</f>
        <v>25.97864101784927</v>
      </c>
      <c r="P84" s="154">
        <f t="array" ref="P84">IF(YEAR(P$4)&gt;='Input|General'!$G$13,IF(YEAR(P$4)&lt;='Input|General'!$G$14,IF(ISBLANK(P81),"",PRODUCT(1+$J51:P51)*SUM($J38:$S38)+P67+P77),""),"")</f>
        <v>26.233689133024722</v>
      </c>
      <c r="Q84" s="154">
        <f t="array" ref="Q84">IF(YEAR(Q$4)&gt;='Input|General'!$G$13,IF(YEAR(Q$4)&lt;='Input|General'!$G$14,IF(ISBLANK(Q81),"",PRODUCT(1+$J51:Q51)*SUM($J38:$S38)+Q67+Q77),""),"")</f>
        <v>26.386428675644414</v>
      </c>
      <c r="R84" s="154">
        <f t="array" ref="R84">IF(YEAR(R$4)&gt;='Input|General'!$G$13,IF(YEAR(R$4)&lt;='Input|General'!$G$14,IF(ISBLANK(R81),"",PRODUCT(1+$J51:R51)*SUM($J38:$S38)+R67+R77),""),"")</f>
        <v>26.757297256314619</v>
      </c>
      <c r="S84" s="154">
        <f t="array" ref="S84">IF(YEAR(S$4)&gt;='Input|General'!$G$13,IF(YEAR(S$4)&lt;='Input|General'!$G$14,IF(ISBLANK(S81),"",PRODUCT(1+$J51:S51)*SUM($J38:$S38)+S67+S77),""),"")</f>
        <v>26.90124335809211</v>
      </c>
    </row>
    <row r="85" spans="1:47" outlineLevel="1">
      <c r="C85" s="126" t="s">
        <v>123</v>
      </c>
      <c r="D85" s="129" t="s">
        <v>30</v>
      </c>
      <c r="E85" s="129" t="str">
        <f>$E$8</f>
        <v>$millions</v>
      </c>
      <c r="F85" s="182">
        <f t="shared" si="8"/>
        <v>43070</v>
      </c>
      <c r="J85" s="154" t="str">
        <f>IF(YEAR(J$4)&gt;='Input|General'!$G$13,IF(YEAR(J$4)&lt;='Input|General'!$G$14,J84+'Input|Step changes'!J38,""),"")</f>
        <v/>
      </c>
      <c r="K85" s="154" t="str">
        <f>IF(YEAR(K$4)&gt;='Input|General'!$G$13,IF(YEAR(K$4)&lt;='Input|General'!$G$14,K84+'Input|Step changes'!K38,""),"")</f>
        <v/>
      </c>
      <c r="L85" s="154" t="str">
        <f>IF(YEAR(L$4)&gt;='Input|General'!$G$13,IF(YEAR(L$4)&lt;='Input|General'!$G$14,L84+'Input|Step changes'!L38,""),"")</f>
        <v/>
      </c>
      <c r="M85" s="154" t="str">
        <f>IF(YEAR(M$4)&gt;='Input|General'!$G$13,IF(YEAR(M$4)&lt;='Input|General'!$G$14,M84+'Input|Step changes'!M38,""),"")</f>
        <v/>
      </c>
      <c r="N85" s="154" t="str">
        <f>IF(YEAR(N$4)&gt;='Input|General'!$G$13,IF(YEAR(N$4)&lt;='Input|General'!$G$14,N84+'Input|Step changes'!N38,""),"")</f>
        <v/>
      </c>
      <c r="O85" s="154">
        <f>IF(YEAR(O$4)&gt;='Input|General'!$G$13,IF(YEAR(O$4)&lt;='Input|General'!$G$14,O84+'Input|Step changes'!O38,""),"")</f>
        <v>26.488641017849272</v>
      </c>
      <c r="P85" s="154">
        <f>IF(YEAR(P$4)&gt;='Input|General'!$G$13,IF(YEAR(P$4)&lt;='Input|General'!$G$14,P84+'Input|Step changes'!P38,""),"")</f>
        <v>26.753689133024722</v>
      </c>
      <c r="Q85" s="154">
        <f>IF(YEAR(Q$4)&gt;='Input|General'!$G$13,IF(YEAR(Q$4)&lt;='Input|General'!$G$14,Q84+'Input|Step changes'!Q38,""),"")</f>
        <v>26.916428675644415</v>
      </c>
      <c r="R85" s="154">
        <f>IF(YEAR(R$4)&gt;='Input|General'!$G$13,IF(YEAR(R$4)&lt;='Input|General'!$G$14,R84+'Input|Step changes'!R38,""),"")</f>
        <v>27.297297256314618</v>
      </c>
      <c r="S85" s="154">
        <f>IF(YEAR(S$4)&gt;='Input|General'!$G$13,IF(YEAR(S$4)&lt;='Input|General'!$G$14,S84+'Input|Step changes'!S38,""),"")</f>
        <v>27.45124335809211</v>
      </c>
    </row>
    <row r="86" spans="1:47">
      <c r="C86" s="126"/>
      <c r="D86" s="113"/>
      <c r="E86" s="113"/>
      <c r="F86" s="113"/>
      <c r="J86" s="110"/>
      <c r="K86" s="110"/>
      <c r="L86" s="110"/>
      <c r="M86" s="110"/>
      <c r="N86" s="23"/>
      <c r="O86" s="23"/>
      <c r="P86" s="23"/>
      <c r="Q86" s="23"/>
      <c r="R86" s="23"/>
      <c r="S86" s="23"/>
    </row>
    <row r="87" spans="1:47" s="106" customFormat="1" ht="12.75">
      <c r="A87" s="97"/>
      <c r="B87" s="98" t="s">
        <v>21</v>
      </c>
      <c r="C87" s="97"/>
      <c r="D87" s="97"/>
      <c r="E87" s="97"/>
      <c r="F87" s="99"/>
      <c r="G87" s="99"/>
      <c r="H87" s="99"/>
      <c r="I87" s="99"/>
      <c r="J87" s="100"/>
      <c r="K87" s="101"/>
      <c r="L87" s="100"/>
      <c r="M87" s="101"/>
      <c r="N87" s="100"/>
      <c r="O87" s="100"/>
      <c r="P87" s="100"/>
      <c r="Q87" s="100"/>
      <c r="R87" s="100"/>
      <c r="S87" s="100"/>
      <c r="T87" s="100"/>
      <c r="U87" s="100"/>
      <c r="V87" s="101"/>
      <c r="W87" s="101"/>
      <c r="X87" s="102"/>
      <c r="Y87" s="102"/>
      <c r="Z87" s="102"/>
      <c r="AA87" s="102"/>
      <c r="AB87" s="103"/>
      <c r="AC87" s="104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</row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>
      <c r="D96" s="29"/>
      <c r="E96" s="29"/>
      <c r="F96" s="29"/>
      <c r="G96" s="29"/>
      <c r="H96" s="29"/>
      <c r="I96" s="29"/>
    </row>
    <row r="97" spans="4:9" hidden="1">
      <c r="D97" s="29"/>
      <c r="E97" s="29"/>
      <c r="F97" s="29"/>
      <c r="G97" s="29"/>
      <c r="H97" s="29"/>
      <c r="I97" s="29"/>
    </row>
    <row r="98" spans="4:9" hidden="1">
      <c r="D98" s="29"/>
      <c r="E98" s="29"/>
      <c r="F98" s="29"/>
      <c r="G98" s="29"/>
      <c r="H98" s="29"/>
      <c r="I98" s="29"/>
    </row>
    <row r="99" spans="4:9" hidden="1">
      <c r="D99" s="29"/>
      <c r="E99" s="29"/>
      <c r="F99" s="29"/>
      <c r="G99" s="29"/>
      <c r="H99" s="29"/>
      <c r="I99" s="29"/>
    </row>
    <row r="100" spans="4:9" hidden="1">
      <c r="D100" s="29"/>
      <c r="E100" s="29"/>
      <c r="F100" s="29"/>
      <c r="G100" s="29"/>
      <c r="H100" s="29"/>
      <c r="I100" s="29"/>
    </row>
    <row r="101" spans="4:9" hidden="1">
      <c r="D101" s="29"/>
      <c r="E101" s="29"/>
      <c r="F101" s="29"/>
      <c r="G101" s="29"/>
      <c r="H101" s="29"/>
      <c r="I101" s="29"/>
    </row>
    <row r="102" spans="4:9" hidden="1">
      <c r="D102" s="29"/>
      <c r="E102" s="29"/>
      <c r="F102" s="29"/>
      <c r="G102" s="29"/>
      <c r="H102" s="29"/>
      <c r="I102" s="29"/>
    </row>
    <row r="103" spans="4:9" hidden="1">
      <c r="D103" s="29"/>
      <c r="E103" s="29"/>
      <c r="F103" s="29"/>
      <c r="G103" s="29"/>
      <c r="H103" s="29"/>
      <c r="I103" s="29"/>
    </row>
    <row r="104" spans="4:9" hidden="1">
      <c r="D104" s="29"/>
      <c r="E104" s="29"/>
      <c r="F104" s="29"/>
      <c r="G104" s="29"/>
      <c r="H104" s="29"/>
      <c r="I104" s="29"/>
    </row>
    <row r="105" spans="4:9" hidden="1">
      <c r="D105" s="29"/>
      <c r="E105" s="29"/>
      <c r="F105" s="29"/>
      <c r="G105" s="29"/>
      <c r="H105" s="29"/>
      <c r="I105" s="29"/>
    </row>
    <row r="106" spans="4:9" hidden="1">
      <c r="D106" s="29"/>
      <c r="E106" s="29"/>
      <c r="F106" s="29"/>
      <c r="G106" s="29"/>
      <c r="H106" s="29"/>
      <c r="I106" s="29"/>
    </row>
    <row r="107" spans="4:9" hidden="1">
      <c r="D107" s="29"/>
      <c r="E107" s="29"/>
      <c r="F107" s="29"/>
      <c r="G107" s="29"/>
      <c r="H107" s="29"/>
      <c r="I107" s="29"/>
    </row>
    <row r="108" spans="4:9" hidden="1">
      <c r="D108" s="29"/>
      <c r="E108" s="29"/>
      <c r="F108" s="29"/>
      <c r="G108" s="29"/>
      <c r="H108" s="29"/>
      <c r="I108" s="29"/>
    </row>
    <row r="109" spans="4:9" hidden="1">
      <c r="D109" s="29"/>
      <c r="E109" s="29"/>
      <c r="F109" s="29"/>
      <c r="G109" s="29"/>
      <c r="H109" s="29"/>
      <c r="I109" s="29"/>
    </row>
    <row r="110" spans="4:9" hidden="1">
      <c r="D110" s="29"/>
      <c r="E110" s="29"/>
      <c r="F110" s="29"/>
      <c r="G110" s="29"/>
      <c r="H110" s="29"/>
      <c r="I110" s="29"/>
    </row>
    <row r="111" spans="4:9" hidden="1">
      <c r="D111" s="29"/>
      <c r="E111" s="29"/>
      <c r="F111" s="29"/>
      <c r="G111" s="29"/>
      <c r="H111" s="29"/>
      <c r="I111" s="29"/>
    </row>
    <row r="112" spans="4:9" hidden="1">
      <c r="D112" s="29"/>
      <c r="E112" s="29"/>
      <c r="F112" s="29"/>
      <c r="G112" s="29"/>
      <c r="H112" s="29"/>
      <c r="I112" s="29"/>
    </row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/>
  </sheetData>
  <mergeCells count="1">
    <mergeCell ref="N3:S3"/>
  </mergeCells>
  <conditionalFormatting sqref="S1">
    <cfRule type="cellIs" dxfId="77" priority="84" operator="equal">
      <formula>"Check"</formula>
    </cfRule>
    <cfRule type="cellIs" dxfId="76" priority="85" operator="equal">
      <formula>"Ok"</formula>
    </cfRule>
  </conditionalFormatting>
  <conditionalFormatting sqref="V1">
    <cfRule type="cellIs" dxfId="75" priority="86" operator="equal">
      <formula>"Check"</formula>
    </cfRule>
    <cfRule type="cellIs" dxfId="74" priority="87" operator="equal">
      <formula>"Ok"</formula>
    </cfRule>
  </conditionalFormatting>
  <conditionalFormatting sqref="R23:S23 R26:S26 R29:S29 R32:S32 J12:S17">
    <cfRule type="cellIs" dxfId="73" priority="83" operator="equal">
      <formula>0</formula>
    </cfRule>
  </conditionalFormatting>
  <conditionalFormatting sqref="J13:S13">
    <cfRule type="cellIs" dxfId="72" priority="82" operator="equal">
      <formula>0</formula>
    </cfRule>
  </conditionalFormatting>
  <conditionalFormatting sqref="J14:S14">
    <cfRule type="cellIs" dxfId="71" priority="81" operator="equal">
      <formula>0</formula>
    </cfRule>
  </conditionalFormatting>
  <conditionalFormatting sqref="J15:S15">
    <cfRule type="cellIs" dxfId="70" priority="80" operator="equal">
      <formula>0</formula>
    </cfRule>
  </conditionalFormatting>
  <conditionalFormatting sqref="J16:S16">
    <cfRule type="cellIs" dxfId="69" priority="79" operator="equal">
      <formula>0</formula>
    </cfRule>
  </conditionalFormatting>
  <conditionalFormatting sqref="J17:S17">
    <cfRule type="cellIs" dxfId="68" priority="78" operator="equal">
      <formula>0</formula>
    </cfRule>
  </conditionalFormatting>
  <conditionalFormatting sqref="J45:S49">
    <cfRule type="cellIs" dxfId="67" priority="77" operator="equal">
      <formula>0</formula>
    </cfRule>
  </conditionalFormatting>
  <conditionalFormatting sqref="J51:S51">
    <cfRule type="expression" dxfId="66" priority="15">
      <formula>J$42=J$4</formula>
    </cfRule>
    <cfRule type="cellIs" dxfId="65" priority="76" operator="equal">
      <formula>0</formula>
    </cfRule>
  </conditionalFormatting>
  <conditionalFormatting sqref="J57:S65 J73:S75">
    <cfRule type="cellIs" dxfId="64" priority="75" operator="equal">
      <formula>0</formula>
    </cfRule>
  </conditionalFormatting>
  <conditionalFormatting sqref="J77:S77">
    <cfRule type="expression" dxfId="63" priority="10">
      <formula>J$71=J$4</formula>
    </cfRule>
    <cfRule type="cellIs" dxfId="62" priority="74" operator="equal">
      <formula>0</formula>
    </cfRule>
  </conditionalFormatting>
  <conditionalFormatting sqref="J35:S38 J19:S20">
    <cfRule type="cellIs" dxfId="61" priority="72" operator="equal">
      <formula>0</formula>
    </cfRule>
  </conditionalFormatting>
  <conditionalFormatting sqref="J84:S85">
    <cfRule type="cellIs" dxfId="60" priority="71" operator="equal">
      <formula>0</formula>
    </cfRule>
  </conditionalFormatting>
  <conditionalFormatting sqref="J84:S85">
    <cfRule type="cellIs" dxfId="59" priority="70" operator="equal">
      <formula>0</formula>
    </cfRule>
  </conditionalFormatting>
  <conditionalFormatting sqref="J67:S67">
    <cfRule type="expression" dxfId="58" priority="12">
      <formula>J$55=J$4</formula>
    </cfRule>
    <cfRule type="cellIs" dxfId="57" priority="56" operator="equal">
      <formula>0</formula>
    </cfRule>
  </conditionalFormatting>
  <conditionalFormatting sqref="J30:S30">
    <cfRule type="cellIs" dxfId="56" priority="33" operator="equal">
      <formula>0</formula>
    </cfRule>
  </conditionalFormatting>
  <conditionalFormatting sqref="J23:Q23 J26:Q26 J29:Q29">
    <cfRule type="cellIs" dxfId="55" priority="51" operator="equal">
      <formula>0</formula>
    </cfRule>
  </conditionalFormatting>
  <conditionalFormatting sqref="J23:Q23 J26:Q26 J29:Q29">
    <cfRule type="cellIs" dxfId="54" priority="50" operator="equal">
      <formula>0</formula>
    </cfRule>
  </conditionalFormatting>
  <conditionalFormatting sqref="J21:S21">
    <cfRule type="cellIs" dxfId="53" priority="46" operator="equal">
      <formula>0</formula>
    </cfRule>
  </conditionalFormatting>
  <conditionalFormatting sqref="J21:S21">
    <cfRule type="cellIs" dxfId="52" priority="45" operator="equal">
      <formula>0</formula>
    </cfRule>
  </conditionalFormatting>
  <conditionalFormatting sqref="J32:Q32">
    <cfRule type="cellIs" dxfId="51" priority="36" operator="equal">
      <formula>0</formula>
    </cfRule>
  </conditionalFormatting>
  <conditionalFormatting sqref="J32:Q32">
    <cfRule type="cellIs" dxfId="50" priority="35" operator="equal">
      <formula>0</formula>
    </cfRule>
  </conditionalFormatting>
  <conditionalFormatting sqref="J24:S24">
    <cfRule type="cellIs" dxfId="49" priority="42" operator="equal">
      <formula>0</formula>
    </cfRule>
  </conditionalFormatting>
  <conditionalFormatting sqref="J24:S24">
    <cfRule type="cellIs" dxfId="48" priority="41" operator="equal">
      <formula>0</formula>
    </cfRule>
  </conditionalFormatting>
  <conditionalFormatting sqref="J30:S30">
    <cfRule type="cellIs" dxfId="47" priority="34" operator="equal">
      <formula>0</formula>
    </cfRule>
  </conditionalFormatting>
  <conditionalFormatting sqref="J27:S27">
    <cfRule type="cellIs" dxfId="46" priority="38" operator="equal">
      <formula>0</formula>
    </cfRule>
  </conditionalFormatting>
  <conditionalFormatting sqref="J27:S27">
    <cfRule type="cellIs" dxfId="45" priority="37" operator="equal">
      <formula>0</formula>
    </cfRule>
  </conditionalFormatting>
  <conditionalFormatting sqref="J33:S33">
    <cfRule type="cellIs" dxfId="44" priority="28" operator="equal">
      <formula>0</formula>
    </cfRule>
  </conditionalFormatting>
  <conditionalFormatting sqref="J33:S33">
    <cfRule type="cellIs" dxfId="43" priority="29" operator="equal">
      <formula>0</formula>
    </cfRule>
  </conditionalFormatting>
  <conditionalFormatting sqref="J22:S22">
    <cfRule type="cellIs" dxfId="42" priority="27" operator="equal">
      <formula>0</formula>
    </cfRule>
  </conditionalFormatting>
  <conditionalFormatting sqref="J22:S22">
    <cfRule type="cellIs" dxfId="41" priority="26" operator="equal">
      <formula>0</formula>
    </cfRule>
  </conditionalFormatting>
  <conditionalFormatting sqref="J25:S25">
    <cfRule type="cellIs" dxfId="40" priority="25" operator="equal">
      <formula>0</formula>
    </cfRule>
  </conditionalFormatting>
  <conditionalFormatting sqref="J25:S25">
    <cfRule type="cellIs" dxfId="39" priority="24" operator="equal">
      <formula>0</formula>
    </cfRule>
  </conditionalFormatting>
  <conditionalFormatting sqref="J28:S28">
    <cfRule type="cellIs" dxfId="38" priority="23" operator="equal">
      <formula>0</formula>
    </cfRule>
  </conditionalFormatting>
  <conditionalFormatting sqref="J28:S28">
    <cfRule type="cellIs" dxfId="37" priority="22" operator="equal">
      <formula>0</formula>
    </cfRule>
  </conditionalFormatting>
  <conditionalFormatting sqref="J31:S31">
    <cfRule type="cellIs" dxfId="36" priority="21" operator="equal">
      <formula>0</formula>
    </cfRule>
  </conditionalFormatting>
  <conditionalFormatting sqref="J31:S31">
    <cfRule type="cellIs" dxfId="35" priority="20" operator="equal">
      <formula>0</formula>
    </cfRule>
  </conditionalFormatting>
  <conditionalFormatting sqref="J34:S34">
    <cfRule type="cellIs" dxfId="34" priority="19" operator="equal">
      <formula>0</formula>
    </cfRule>
  </conditionalFormatting>
  <conditionalFormatting sqref="J34:S34">
    <cfRule type="cellIs" dxfId="33" priority="18" operator="equal">
      <formula>0</formula>
    </cfRule>
  </conditionalFormatting>
  <conditionalFormatting sqref="J42:S42">
    <cfRule type="expression" dxfId="32" priority="16">
      <formula>J$42=J$4</formula>
    </cfRule>
  </conditionalFormatting>
  <conditionalFormatting sqref="J55:S55">
    <cfRule type="expression" dxfId="31" priority="14">
      <formula>J$42=J$4</formula>
    </cfRule>
  </conditionalFormatting>
  <conditionalFormatting sqref="J71:S71">
    <cfRule type="expression" dxfId="30" priority="11">
      <formula>J$42=J$4</formula>
    </cfRule>
  </conditionalFormatting>
  <conditionalFormatting sqref="J81:S81">
    <cfRule type="expression" dxfId="29" priority="8">
      <formula>J$81=J$4</formula>
    </cfRule>
  </conditionalFormatting>
  <conditionalFormatting sqref="J83:S83">
    <cfRule type="cellIs" dxfId="28" priority="7" operator="equal">
      <formula>0</formula>
    </cfRule>
  </conditionalFormatting>
  <conditionalFormatting sqref="J83:S83">
    <cfRule type="cellIs" dxfId="27" priority="6" operator="equal">
      <formula>0</formula>
    </cfRule>
  </conditionalFormatting>
  <conditionalFormatting sqref="J10:S10">
    <cfRule type="expression" dxfId="26" priority="5">
      <formula>J$10=J$4</formula>
    </cfRule>
  </conditionalFormatting>
  <conditionalFormatting sqref="J18:S18">
    <cfRule type="expression" dxfId="25" priority="4">
      <formula>J$10=J$4</formula>
    </cfRule>
  </conditionalFormatting>
  <conditionalFormatting sqref="J38:S38">
    <cfRule type="expression" dxfId="24" priority="3">
      <formula>J$10=J$4</formula>
    </cfRule>
  </conditionalFormatting>
  <dataValidations disablePrompts="1" count="4">
    <dataValidation type="list" allowBlank="1" showInputMessage="1" showErrorMessage="1" sqref="F18">
      <formula1>$C$52:$C$52</formula1>
    </dataValidation>
    <dataValidation type="list" allowBlank="1" showInputMessage="1" showErrorMessage="1" sqref="F78 F76 F86 F68">
      <formula1>"Real 2010,Real 2011,Real 2012,Real 2013,Real 2014,Real 2015,Nominal"</formula1>
    </dataValidation>
    <dataValidation type="list" allowBlank="1" showInputMessage="1" showErrorMessage="1" sqref="F35 F66 F37">
      <formula1>$G$44:$G$50</formula1>
    </dataValidation>
    <dataValidation type="list" allowBlank="1" showInputMessage="1" showErrorMessage="1" sqref="F19:F20">
      <formula1>$G$40:$G$47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'Lookup|Tables'!$C$42:$C$61</xm:f>
          </x14:formula1>
          <xm:sqref>F8</xm:sqref>
        </x14:dataValidation>
        <x14:dataValidation type="list" allowBlank="1" showInputMessage="1" showErrorMessage="1">
          <x14:formula1>
            <xm:f>'Lookup|Tables'!$G$41:$G$48</xm:f>
          </x14:formula1>
          <xm:sqref>F12:F17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U1" sqref="U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7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90</v>
      </c>
      <c r="S1" s="78" t="s">
        <v>36</v>
      </c>
      <c r="U1" s="190" t="s">
        <v>24</v>
      </c>
      <c r="V1" s="78" t="str">
        <f>'Check|List'!$S$1</f>
        <v>Ok</v>
      </c>
    </row>
    <row r="2" spans="1:47" s="79" customFormat="1" ht="13.5" thickBot="1">
      <c r="B2" s="80" t="str">
        <f>Index!$C$13</f>
        <v>Output | Models</v>
      </c>
      <c r="C2" s="80"/>
      <c r="D2" s="80"/>
      <c r="E2" s="80"/>
      <c r="F2" s="81"/>
      <c r="G2" s="81"/>
      <c r="H2" s="81"/>
      <c r="I2" s="81"/>
    </row>
    <row r="3" spans="1:47" s="82" customFormat="1">
      <c r="C3" s="83"/>
      <c r="D3" s="84"/>
      <c r="E3" s="84"/>
      <c r="F3" s="84"/>
      <c r="G3" s="84"/>
      <c r="H3" s="84"/>
      <c r="I3" s="84"/>
      <c r="J3" s="178" t="s">
        <v>138</v>
      </c>
      <c r="K3" s="178"/>
      <c r="L3" s="178"/>
      <c r="M3" s="157"/>
      <c r="N3" s="195"/>
      <c r="O3" s="195"/>
      <c r="P3" s="195"/>
      <c r="Q3" s="195"/>
      <c r="R3" s="195"/>
      <c r="S3" s="195"/>
      <c r="T3" s="85"/>
      <c r="U3" s="85"/>
      <c r="V3" s="85"/>
      <c r="W3" s="85"/>
      <c r="X3" s="85"/>
      <c r="Y3" s="85"/>
      <c r="Z3" s="85"/>
    </row>
    <row r="4" spans="1:47" s="96" customFormat="1" ht="10.5">
      <c r="A4" s="86"/>
      <c r="B4" s="86"/>
      <c r="C4" s="86"/>
      <c r="D4" s="87" t="s">
        <v>7</v>
      </c>
      <c r="E4" s="87" t="s">
        <v>8</v>
      </c>
      <c r="F4" s="88" t="s">
        <v>22</v>
      </c>
      <c r="G4" s="89"/>
      <c r="H4" s="89"/>
      <c r="I4" s="89"/>
      <c r="J4" s="160">
        <f>DATE('Input|General'!$G$10,MONTH('Input|General'!$G$9),1)</f>
        <v>41609</v>
      </c>
      <c r="K4" s="160">
        <f>IF(DATE('Input|General'!$G$10+1,MONTH('Input|General'!$G$9),1)&lt;=DATE('Input|General'!$G$14,MONTH('Input|General'!$G$9),1),DATE('Input|General'!$G$10+1,MONTH('Input|General'!$G$9),1),"")</f>
        <v>41974</v>
      </c>
      <c r="L4" s="160">
        <f>IF(DATE('Input|General'!$G$10+2,MONTH('Input|General'!$G$9),1)&lt;=DATE('Input|General'!$G$14,MONTH('Input|General'!$G$9),1),DATE('Input|General'!$G$10+2,MONTH('Input|General'!$G$9),1),"")</f>
        <v>42339</v>
      </c>
      <c r="M4" s="160">
        <f>IF(DATE('Input|General'!$G$10+3,MONTH('Input|General'!$G$9),1)&lt;=DATE('Input|General'!$G$14,MONTH('Input|General'!$G$9),1),DATE('Input|General'!$G$10+3,MONTH('Input|General'!$G$9),1),"")</f>
        <v>42705</v>
      </c>
      <c r="N4" s="160">
        <f>IF(DATE('Input|General'!$G$10+4,MONTH('Input|General'!$G$9),1)&lt;=DATE('Input|General'!$G$14,MONTH('Input|General'!$G$9),1),DATE('Input|General'!$G$10+4,MONTH('Input|General'!$G$9),1),"")</f>
        <v>43070</v>
      </c>
      <c r="O4" s="160">
        <f>IF(DATE('Input|General'!$G$10+5,MONTH('Input|General'!$G$9),1)&lt;=DATE('Input|General'!$G$14,MONTH('Input|General'!$G$9),1),DATE('Input|General'!$G$10+5,MONTH('Input|General'!$G$9),1),"")</f>
        <v>43435</v>
      </c>
      <c r="P4" s="160">
        <f>IF(DATE('Input|General'!$G$10+6,MONTH('Input|General'!$G$9),1)&lt;=DATE('Input|General'!$G$14,MONTH('Input|General'!$G$9),1),DATE('Input|General'!$G$10+6,MONTH('Input|General'!$G$9),1),"")</f>
        <v>43800</v>
      </c>
      <c r="Q4" s="160">
        <f>IF(DATE('Input|General'!$G$10+7,MONTH('Input|General'!$G$9),1)&lt;=DATE('Input|General'!$G$14,MONTH('Input|General'!$G$9),1),DATE('Input|General'!$G$10+7,MONTH('Input|General'!$G$9),1),"")</f>
        <v>44166</v>
      </c>
      <c r="R4" s="160">
        <f>IF(DATE('Input|General'!$G$10+8,MONTH('Input|General'!$G$9),1)&lt;=DATE('Input|General'!$G$14,MONTH('Input|General'!$G$9),1),DATE('Input|General'!$G$10+8,MONTH('Input|General'!$G$9),1),"")</f>
        <v>44531</v>
      </c>
      <c r="S4" s="160">
        <f>IF(DATE('Input|General'!$G$10+9,MONTH('Input|General'!$G$9),1)&lt;=DATE('Input|General'!$G$14,MONTH('Input|General'!$G$9),1),DATE('Input|General'!$G$10+9,MONTH('Input|General'!$G$9),1),"")</f>
        <v>44896</v>
      </c>
      <c r="T4" s="90"/>
      <c r="U4" s="90"/>
      <c r="V4" s="91"/>
      <c r="W4" s="91"/>
      <c r="X4" s="92"/>
      <c r="Y4" s="92"/>
      <c r="Z4" s="92"/>
      <c r="AA4" s="92"/>
      <c r="AB4" s="93"/>
      <c r="AC4" s="94"/>
      <c r="AD4" s="94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6" customFormat="1" ht="12.75">
      <c r="A8" s="97"/>
      <c r="B8" s="98" t="s">
        <v>59</v>
      </c>
      <c r="C8" s="97"/>
      <c r="D8" s="97"/>
      <c r="E8" s="69" t="s">
        <v>15</v>
      </c>
      <c r="F8" s="179">
        <v>43070</v>
      </c>
      <c r="G8" s="99"/>
      <c r="H8" s="99"/>
      <c r="I8" s="99"/>
      <c r="J8" s="152" t="s">
        <v>60</v>
      </c>
      <c r="K8" s="101"/>
      <c r="L8" s="100"/>
      <c r="M8" s="101"/>
      <c r="N8" s="100"/>
      <c r="O8" s="100"/>
      <c r="P8" s="100"/>
      <c r="Q8" s="100"/>
      <c r="R8" s="100"/>
      <c r="S8" s="100"/>
      <c r="T8" s="100"/>
      <c r="U8" s="100"/>
      <c r="V8" s="101"/>
      <c r="W8" s="101"/>
    </row>
    <row r="9" spans="1:47" ht="4.5" customHeight="1"/>
    <row r="10" spans="1:47">
      <c r="M10" s="110"/>
      <c r="N10" s="110"/>
      <c r="O10" s="110"/>
      <c r="P10" s="110"/>
      <c r="Q10" s="110"/>
      <c r="R10" s="110"/>
      <c r="S10" s="110"/>
    </row>
    <row r="11" spans="1:47">
      <c r="C11" s="68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7" t="str">
        <f>IF(YEAR(J$4)&gt;='Input|General'!$G$13,IF(YEAR(J$4)&lt;='Input|General'!$G$14,J$4,""),"")</f>
        <v/>
      </c>
      <c r="K11" s="167" t="str">
        <f>IF(YEAR(K$4)&gt;='Input|General'!$G$13,IF(YEAR(K$4)&lt;='Input|General'!$G$14,K$4,""),"")</f>
        <v/>
      </c>
      <c r="L11" s="167" t="str">
        <f>IF(YEAR(L$4)&gt;='Input|General'!$G$13,IF(YEAR(L$4)&lt;='Input|General'!$G$14,L$4,""),"")</f>
        <v/>
      </c>
      <c r="M11" s="167" t="str">
        <f>IF(YEAR(M$4)&gt;='Input|General'!$G$13,IF(YEAR(M$4)&lt;='Input|General'!$G$14,M$4,""),"")</f>
        <v/>
      </c>
      <c r="N11" s="167" t="str">
        <f>IF(YEAR(N$4)&gt;='Input|General'!$G$13,IF(YEAR(N$4)&lt;='Input|General'!$G$14,N$4,""),"")</f>
        <v/>
      </c>
      <c r="O11" s="167">
        <f>IF(YEAR(O$4)&gt;='Input|General'!$G$13,IF(YEAR(O$4)&lt;='Input|General'!$G$14,O$4,""),"")</f>
        <v>43435</v>
      </c>
      <c r="P11" s="167">
        <f>IF(YEAR(P$4)&gt;='Input|General'!$G$13,IF(YEAR(P$4)&lt;='Input|General'!$G$14,P$4,""),"")</f>
        <v>43800</v>
      </c>
      <c r="Q11" s="167">
        <f>IF(YEAR(Q$4)&gt;='Input|General'!$G$13,IF(YEAR(Q$4)&lt;='Input|General'!$G$14,Q$4,""),"")</f>
        <v>44166</v>
      </c>
      <c r="R11" s="167">
        <f>IF(YEAR(R$4)&gt;='Input|General'!$G$13,IF(YEAR(R$4)&lt;='Input|General'!$G$14,R$4,""),"")</f>
        <v>44531</v>
      </c>
      <c r="S11" s="167">
        <f>IF(YEAR(S$4)&gt;='Input|General'!$G$13,IF(YEAR(S$4)&lt;='Input|General'!$G$14,S$4,""),"")</f>
        <v>44896</v>
      </c>
      <c r="U11" s="140" t="s">
        <v>58</v>
      </c>
      <c r="V11" s="141"/>
      <c r="W11" s="141"/>
    </row>
    <row r="12" spans="1:47">
      <c r="C12" s="68"/>
      <c r="D12" s="32"/>
      <c r="E12" s="32"/>
      <c r="F12" s="32"/>
      <c r="H12" s="32"/>
      <c r="I12" s="32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U12" s="127"/>
      <c r="V12" s="145"/>
      <c r="W12" s="145"/>
    </row>
    <row r="13" spans="1:47">
      <c r="C13" s="114" t="str">
        <f>'Calc|Opex forecast'!C83</f>
        <v>Total forecast opex, excluding category specific forecasts</v>
      </c>
      <c r="D13" s="34" t="s">
        <v>117</v>
      </c>
      <c r="E13" s="30" t="str">
        <f>$E$8</f>
        <v>$millions</v>
      </c>
      <c r="F13" s="165">
        <f>$F$8</f>
        <v>43070</v>
      </c>
      <c r="H13" s="32"/>
      <c r="I13" s="32"/>
      <c r="J13" s="188">
        <f>IF(J11="",0,'Calc|Opex forecast'!J83*IF('Calc|Opex forecast'!$F$83="nominal",LOOKUP($F13,Nominal_to_Real,'Input|Rate of change'!P$25:P$30),INDEX('Input|Rate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0</v>
      </c>
      <c r="K13" s="188">
        <f>IF(K11="",0,'Calc|Opex forecast'!K83*IF('Calc|Opex forecast'!$F$83="nominal",LOOKUP($F13,Nominal_to_Real,'Input|Rate of change'!Q$25:Q$30),INDEX('Input|Rate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0</v>
      </c>
      <c r="L13" s="188">
        <f>IF(L11="",0,'Calc|Opex forecast'!L83*IF('Calc|Opex forecast'!$F$83="nominal",LOOKUP($F13,Nominal_to_Real,'Input|Rate of change'!R$25:R$30),INDEX('Input|Rate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0</v>
      </c>
      <c r="M13" s="188">
        <f>IF(M11="",0,'Calc|Opex forecast'!M83*IF('Calc|Opex forecast'!$F$83="nominal",LOOKUP($F13,Nominal_to_Real,'Input|Rate of change'!S$25:S$30),INDEX('Input|Rate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0</v>
      </c>
      <c r="N13" s="188">
        <f>IF(N11="",0,'Calc|Opex forecast'!N83*IF('Calc|Opex forecast'!$F$83="nominal",LOOKUP($F13,Nominal_to_Real,'Input|Rate of change'!T$25:T$30),INDEX('Input|Rate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0</v>
      </c>
      <c r="O13" s="188">
        <f>IF(O11="",0,'Calc|Opex forecast'!O83*IF('Calc|Opex forecast'!$F$83="nominal",LOOKUP($F13,Nominal_to_Real,'Input|Rate of change'!U$25:U$30),INDEX('Input|Rate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25.739654331100461</v>
      </c>
      <c r="P13" s="188">
        <f>IF(P11="",0,'Calc|Opex forecast'!P83*IF('Calc|Opex forecast'!$F$83="nominal",LOOKUP($F13,Nominal_to_Real,'Input|Rate of change'!V$25:V$30),INDEX('Input|Rate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25.984560642128308</v>
      </c>
      <c r="Q13" s="188">
        <f>IF(Q11="",0,'Calc|Opex forecast'!Q83*IF('Calc|Opex forecast'!$F$83="nominal",LOOKUP($F13,Nominal_to_Real,'Input|Rate of change'!W$25:W$30),INDEX('Input|Rate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26.132466907460838</v>
      </c>
      <c r="R13" s="188">
        <f>IF(R11="",0,'Calc|Opex forecast'!R83*IF('Calc|Opex forecast'!$F$83="nominal",LOOKUP($F13,Nominal_to_Real,'Input|Rate of change'!X$25:X$30),INDEX('Input|Rate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26.498185064138116</v>
      </c>
      <c r="S13" s="188">
        <f>IF(S11="",0,'Calc|Opex forecast'!S83*IF('Calc|Opex forecast'!$F$83="nominal",LOOKUP($F13,Nominal_to_Real,'Input|Rate of change'!Y$25:Y$30),INDEX('Input|Rate of change'!$C$14:$O$21,MATCH('Calc|Opex forecast'!$F$83,'Input|Rate of change'!$C$14:$C$21,0),MATCH('Output|Models'!$F13,'Input|Rate of change'!$C$14:$O$14,0)))*IF('Calc|Opex forecast'!$E$83="$millions",1000000,IF('Calc|Opex forecast'!$E$83="$000",1000,1))/IF($E13="$millions",1000000,IF($E13="$000",1000,1)))</f>
        <v>26.637113854433107</v>
      </c>
      <c r="T13" s="114"/>
      <c r="U13" s="155"/>
    </row>
    <row r="14" spans="1:47">
      <c r="C14" s="114" t="str">
        <f>'Input|Step changes'!C28</f>
        <v>Allowances</v>
      </c>
      <c r="D14" s="34" t="s">
        <v>117</v>
      </c>
      <c r="E14" s="30" t="str">
        <f t="shared" ref="E14:E16" si="0">$E$8</f>
        <v>$millions</v>
      </c>
      <c r="F14" s="165">
        <f t="shared" ref="F14:F16" si="1">$F$8</f>
        <v>43070</v>
      </c>
      <c r="H14" s="32"/>
      <c r="I14" s="32"/>
      <c r="J14" s="188">
        <f>IF(J$11="",0,'Calc|Opex forecast'!J73*IF('Calc|Opex forecast'!$F73="nominal",LOOKUP($F14,Nominal_to_Real,'Input|Rate of change'!P$25:P$30),INDEX('Input|Rate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</v>
      </c>
      <c r="K14" s="188">
        <f>IF(K$11="",0,'Calc|Opex forecast'!K73*IF('Calc|Opex forecast'!$F73="nominal",LOOKUP($F14,Nominal_to_Real,'Input|Rate of change'!Q$25:Q$30),INDEX('Input|Rate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</v>
      </c>
      <c r="L14" s="188">
        <f>IF(L$11="",0,'Calc|Opex forecast'!L73*IF('Calc|Opex forecast'!$F73="nominal",LOOKUP($F14,Nominal_to_Real,'Input|Rate of change'!R$25:R$30),INDEX('Input|Rate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</v>
      </c>
      <c r="M14" s="188">
        <f>IF(M$11="",0,'Calc|Opex forecast'!M73*IF('Calc|Opex forecast'!$F73="nominal",LOOKUP($F14,Nominal_to_Real,'Input|Rate of change'!S$25:S$30),INDEX('Input|Rate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</v>
      </c>
      <c r="N14" s="188">
        <f>IF(N$11="",0,'Calc|Opex forecast'!N73*IF('Calc|Opex forecast'!$F73="nominal",LOOKUP($F14,Nominal_to_Real,'Input|Rate of change'!T$25:T$30),INDEX('Input|Rate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</v>
      </c>
      <c r="O14" s="188">
        <f>IF(O$11="",0,'Calc|Opex forecast'!O73*IF('Calc|Opex forecast'!$F73="nominal",LOOKUP($F14,Nominal_to_Real,'Input|Rate of change'!U$25:U$30),INDEX('Input|Rate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0.2389866867488093</v>
      </c>
      <c r="P14" s="188">
        <f>IF(P$11="",0,'Calc|Opex forecast'!P73*IF('Calc|Opex forecast'!$F73="nominal",LOOKUP($F14,Nominal_to_Real,'Input|Rate of change'!V$25:V$30),INDEX('Input|Rate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0.24912849089641542</v>
      </c>
      <c r="Q14" s="188">
        <f>IF(Q$11="",0,'Calc|Opex forecast'!Q73*IF('Calc|Opex forecast'!$F73="nominal",LOOKUP($F14,Nominal_to_Real,'Input|Rate of change'!W$25:W$30),INDEX('Input|Rate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0.25396176818357602</v>
      </c>
      <c r="R14" s="188">
        <f>IF(R$11="",0,'Calc|Opex forecast'!R73*IF('Calc|Opex forecast'!$F73="nominal",LOOKUP($F14,Nominal_to_Real,'Input|Rate of change'!X$25:X$30),INDEX('Input|Rate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0.25911219217650067</v>
      </c>
      <c r="S14" s="188">
        <f>IF(S$11="",0,'Calc|Opex forecast'!S73*IF('Calc|Opex forecast'!$F73="nominal",LOOKUP($F14,Nominal_to_Real,'Input|Rate of change'!Y$25:Y$30),INDEX('Input|Rate of change'!$C$14:$O$21,MATCH('Calc|Opex forecast'!$F73,'Input|Rate of change'!$C$14:$C$21,0),MATCH('Output|Models'!$F14,'Input|Rate of change'!$C$14:$O$14,0)))*IF('Calc|Opex forecast'!$E73="$millions",1000000,IF('Calc|Opex forecast'!$E73="$000",1000,1))/IF($E14="$millions",1000000,IF($E14="$000",1000,1)))</f>
        <v>0.26412950365900167</v>
      </c>
      <c r="T14" s="114"/>
      <c r="U14" s="155"/>
    </row>
    <row r="15" spans="1:47">
      <c r="C15" s="114">
        <f>'Input|Step changes'!C29</f>
        <v>0</v>
      </c>
      <c r="D15" s="34" t="s">
        <v>117</v>
      </c>
      <c r="E15" s="30" t="str">
        <f t="shared" si="0"/>
        <v>$millions</v>
      </c>
      <c r="F15" s="165">
        <f t="shared" si="1"/>
        <v>43070</v>
      </c>
      <c r="H15" s="32"/>
      <c r="I15" s="32"/>
      <c r="J15" s="188">
        <f>IF(J$11="",0,'Calc|Opex forecast'!J74*IF('Calc|Opex forecast'!$F74="nominal",LOOKUP($F15,Nominal_to_Real,'Input|Rate of change'!P$25:P$30),INDEX('Input|Rate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K15" s="188">
        <f>IF(K$11="",0,'Calc|Opex forecast'!K74*IF('Calc|Opex forecast'!$F74="nominal",LOOKUP($F15,Nominal_to_Real,'Input|Rate of change'!Q$25:Q$30),INDEX('Input|Rate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L15" s="188">
        <f>IF(L$11="",0,'Calc|Opex forecast'!L74*IF('Calc|Opex forecast'!$F74="nominal",LOOKUP($F15,Nominal_to_Real,'Input|Rate of change'!R$25:R$30),INDEX('Input|Rate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M15" s="188">
        <f>IF(M$11="",0,'Calc|Opex forecast'!M74*IF('Calc|Opex forecast'!$F74="nominal",LOOKUP($F15,Nominal_to_Real,'Input|Rate of change'!S$25:S$30),INDEX('Input|Rate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N15" s="188">
        <f>IF(N$11="",0,'Calc|Opex forecast'!N74*IF('Calc|Opex forecast'!$F74="nominal",LOOKUP($F15,Nominal_to_Real,'Input|Rate of change'!T$25:T$30),INDEX('Input|Rate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O15" s="188">
        <f>IF(O$11="",0,'Calc|Opex forecast'!O74*IF('Calc|Opex forecast'!$F74="nominal",LOOKUP($F15,Nominal_to_Real,'Input|Rate of change'!U$25:U$30),INDEX('Input|Rate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P15" s="188">
        <f>IF(P$11="",0,'Calc|Opex forecast'!P74*IF('Calc|Opex forecast'!$F74="nominal",LOOKUP($F15,Nominal_to_Real,'Input|Rate of change'!V$25:V$30),INDEX('Input|Rate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Q15" s="188">
        <f>IF(Q$11="",0,'Calc|Opex forecast'!Q74*IF('Calc|Opex forecast'!$F74="nominal",LOOKUP($F15,Nominal_to_Real,'Input|Rate of change'!W$25:W$30),INDEX('Input|Rate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R15" s="188">
        <f>IF(R$11="",0,'Calc|Opex forecast'!R74*IF('Calc|Opex forecast'!$F74="nominal",LOOKUP($F15,Nominal_to_Real,'Input|Rate of change'!X$25:X$30),INDEX('Input|Rate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S15" s="188">
        <f>IF(S$11="",0,'Calc|Opex forecast'!S74*IF('Calc|Opex forecast'!$F74="nominal",LOOKUP($F15,Nominal_to_Real,'Input|Rate of change'!Y$25:Y$30),INDEX('Input|Rate of change'!$C$14:$O$21,MATCH('Calc|Opex forecast'!$F74,'Input|Rate of change'!$C$14:$C$21,0),MATCH('Output|Models'!$F15,'Input|Rate of change'!$C$14:$O$14,0)))*IF('Calc|Opex forecast'!$E74="$millions",1000000,IF('Calc|Opex forecast'!$E74="$000",1000,1))/IF($E15="$millions",1000000,IF($E15="$000",1000,1)))</f>
        <v>0</v>
      </c>
      <c r="T15" s="114"/>
      <c r="U15" s="155"/>
    </row>
    <row r="16" spans="1:47">
      <c r="C16" s="114">
        <f>'Input|Step changes'!C30</f>
        <v>0</v>
      </c>
      <c r="D16" s="34" t="s">
        <v>117</v>
      </c>
      <c r="E16" s="30" t="str">
        <f t="shared" si="0"/>
        <v>$millions</v>
      </c>
      <c r="F16" s="165">
        <f t="shared" si="1"/>
        <v>43070</v>
      </c>
      <c r="H16" s="32"/>
      <c r="I16" s="32"/>
      <c r="J16" s="188">
        <f>IF(J$11="",0,'Calc|Opex forecast'!J75*IF('Calc|Opex forecast'!$F75="nominal",LOOKUP($F16,Nominal_to_Real,'Input|Rate of change'!P$25:P$30),INDEX('Input|Rate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K16" s="188">
        <f>IF(K$11="",0,'Calc|Opex forecast'!K75*IF('Calc|Opex forecast'!$F75="nominal",LOOKUP($F16,Nominal_to_Real,'Input|Rate of change'!Q$25:Q$30),INDEX('Input|Rate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L16" s="188">
        <f>IF(L$11="",0,'Calc|Opex forecast'!L75*IF('Calc|Opex forecast'!$F75="nominal",LOOKUP($F16,Nominal_to_Real,'Input|Rate of change'!R$25:R$30),INDEX('Input|Rate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M16" s="188">
        <f>IF(M$11="",0,'Calc|Opex forecast'!M75*IF('Calc|Opex forecast'!$F75="nominal",LOOKUP($F16,Nominal_to_Real,'Input|Rate of change'!S$25:S$30),INDEX('Input|Rate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N16" s="188">
        <f>IF(N$11="",0,'Calc|Opex forecast'!N75*IF('Calc|Opex forecast'!$F75="nominal",LOOKUP($F16,Nominal_to_Real,'Input|Rate of change'!T$25:T$30),INDEX('Input|Rate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O16" s="188">
        <f>IF(O$11="",0,'Calc|Opex forecast'!O75*IF('Calc|Opex forecast'!$F75="nominal",LOOKUP($F16,Nominal_to_Real,'Input|Rate of change'!U$25:U$30),INDEX('Input|Rate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P16" s="188">
        <f>IF(P$11="",0,'Calc|Opex forecast'!P75*IF('Calc|Opex forecast'!$F75="nominal",LOOKUP($F16,Nominal_to_Real,'Input|Rate of change'!V$25:V$30),INDEX('Input|Rate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Q16" s="188">
        <f>IF(Q$11="",0,'Calc|Opex forecast'!Q75*IF('Calc|Opex forecast'!$F75="nominal",LOOKUP($F16,Nominal_to_Real,'Input|Rate of change'!W$25:W$30),INDEX('Input|Rate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R16" s="188">
        <f>IF(R$11="",0,'Calc|Opex forecast'!R75*IF('Calc|Opex forecast'!$F75="nominal",LOOKUP($F16,Nominal_to_Real,'Input|Rate of change'!X$25:X$30),INDEX('Input|Rate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S16" s="188">
        <f>IF(S$11="",0,'Calc|Opex forecast'!S75*IF('Calc|Opex forecast'!$F75="nominal",LOOKUP($F16,Nominal_to_Real,'Input|Rate of change'!Y$25:Y$30),INDEX('Input|Rate of change'!$C$14:$O$21,MATCH('Calc|Opex forecast'!$F75,'Input|Rate of change'!$C$14:$C$21,0),MATCH('Output|Models'!$F16,'Input|Rate of change'!$C$14:$O$14,0)))*IF('Calc|Opex forecast'!$E75="$millions",1000000,IF('Calc|Opex forecast'!$E75="$000",1000,1))/IF($E16="$millions",1000000,IF($E16="$000",1000,1)))</f>
        <v>0</v>
      </c>
      <c r="T16" s="114"/>
      <c r="U16" s="189"/>
    </row>
    <row r="17" spans="1:23">
      <c r="D17" s="34"/>
      <c r="H17" s="32"/>
      <c r="I17" s="32"/>
      <c r="N17" s="145"/>
      <c r="S17" s="23"/>
    </row>
    <row r="18" spans="1:23" s="106" customFormat="1" ht="12.75">
      <c r="A18" s="97"/>
      <c r="B18" s="98" t="s">
        <v>21</v>
      </c>
      <c r="C18" s="97"/>
      <c r="D18" s="97"/>
      <c r="E18" s="97"/>
      <c r="F18" s="99"/>
      <c r="G18" s="99"/>
      <c r="H18" s="99"/>
      <c r="I18" s="99"/>
      <c r="J18" s="100"/>
      <c r="K18" s="101"/>
      <c r="L18" s="100"/>
      <c r="M18" s="101"/>
      <c r="N18" s="100"/>
      <c r="O18" s="100"/>
      <c r="P18" s="100"/>
      <c r="Q18" s="100"/>
      <c r="R18" s="100"/>
      <c r="S18" s="100"/>
      <c r="T18" s="100"/>
      <c r="U18" s="100"/>
      <c r="V18" s="101"/>
      <c r="W18" s="101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9"/>
      <c r="N24" s="149"/>
      <c r="O24" s="149"/>
      <c r="P24" s="149"/>
      <c r="Q24" s="149"/>
      <c r="R24" s="149"/>
      <c r="S24" s="149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'Lookup|Tables'!$C$41:$C$61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86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90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77</v>
      </c>
      <c r="E10" s="16"/>
      <c r="F10" s="16"/>
      <c r="G10" s="52" t="s">
        <v>12</v>
      </c>
    </row>
    <row r="11" spans="1:47">
      <c r="C11" s="15" t="s">
        <v>13</v>
      </c>
      <c r="D11" s="16" t="s">
        <v>77</v>
      </c>
      <c r="E11" s="16"/>
      <c r="F11" s="16"/>
      <c r="G11" s="52" t="s">
        <v>20</v>
      </c>
    </row>
    <row r="12" spans="1:47">
      <c r="C12" s="15" t="s">
        <v>14</v>
      </c>
      <c r="D12" s="16" t="s">
        <v>77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77</v>
      </c>
      <c r="E14" s="16"/>
      <c r="F14" s="16"/>
      <c r="G14" s="52" t="s">
        <v>31</v>
      </c>
    </row>
    <row r="15" spans="1:47">
      <c r="C15" s="15" t="s">
        <v>8</v>
      </c>
      <c r="D15" s="16" t="s">
        <v>77</v>
      </c>
      <c r="E15" s="16"/>
      <c r="F15" s="16"/>
      <c r="G15" s="52" t="s">
        <v>11</v>
      </c>
    </row>
    <row r="16" spans="1:47">
      <c r="C16" s="15" t="s">
        <v>17</v>
      </c>
      <c r="D16" s="16" t="s">
        <v>77</v>
      </c>
      <c r="E16" s="16"/>
      <c r="F16" s="16"/>
      <c r="G16" s="52" t="s">
        <v>18</v>
      </c>
    </row>
    <row r="17" spans="1:47">
      <c r="C17" s="15" t="s">
        <v>37</v>
      </c>
      <c r="D17" s="16" t="s">
        <v>77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77</v>
      </c>
      <c r="E19" s="16"/>
      <c r="F19" s="16"/>
      <c r="G19" s="52" t="s">
        <v>23</v>
      </c>
    </row>
    <row r="20" spans="1:47">
      <c r="C20" s="15" t="s">
        <v>82</v>
      </c>
      <c r="D20" s="16" t="s">
        <v>77</v>
      </c>
      <c r="E20" s="16"/>
      <c r="F20" s="16"/>
      <c r="G20" s="52" t="s">
        <v>82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140</v>
      </c>
      <c r="D25" s="16" t="s">
        <v>77</v>
      </c>
      <c r="E25" s="16"/>
      <c r="F25" s="16"/>
      <c r="G25" s="158">
        <v>36526</v>
      </c>
      <c r="H25" s="14"/>
    </row>
    <row r="26" spans="1:47">
      <c r="C26" s="15" t="s">
        <v>141</v>
      </c>
      <c r="D26" s="16" t="s">
        <v>77</v>
      </c>
      <c r="E26" s="16"/>
      <c r="F26" s="16"/>
      <c r="G26" s="158">
        <v>36557</v>
      </c>
      <c r="H26" s="14"/>
    </row>
    <row r="27" spans="1:47">
      <c r="C27" s="15" t="s">
        <v>142</v>
      </c>
      <c r="D27" s="16" t="s">
        <v>77</v>
      </c>
      <c r="E27" s="16"/>
      <c r="F27" s="16"/>
      <c r="G27" s="158">
        <v>36586</v>
      </c>
      <c r="H27" s="14"/>
    </row>
    <row r="28" spans="1:47">
      <c r="C28" s="15" t="s">
        <v>143</v>
      </c>
      <c r="D28" s="16" t="s">
        <v>77</v>
      </c>
      <c r="E28" s="16"/>
      <c r="F28" s="16"/>
      <c r="G28" s="158">
        <v>36617</v>
      </c>
    </row>
    <row r="29" spans="1:47">
      <c r="C29" s="15" t="s">
        <v>144</v>
      </c>
      <c r="D29" s="16" t="s">
        <v>77</v>
      </c>
      <c r="E29" s="16"/>
      <c r="F29" s="16"/>
      <c r="G29" s="158">
        <v>36647</v>
      </c>
    </row>
    <row r="30" spans="1:47">
      <c r="C30" s="15" t="s">
        <v>145</v>
      </c>
      <c r="D30" s="16" t="s">
        <v>77</v>
      </c>
      <c r="E30" s="16"/>
      <c r="F30" s="16"/>
      <c r="G30" s="158">
        <v>36678</v>
      </c>
      <c r="T30" s="17"/>
    </row>
    <row r="31" spans="1:47">
      <c r="C31" s="15" t="s">
        <v>146</v>
      </c>
      <c r="D31" s="16" t="s">
        <v>77</v>
      </c>
      <c r="E31" s="16"/>
      <c r="F31" s="16"/>
      <c r="G31" s="158">
        <v>36708</v>
      </c>
      <c r="T31" s="17"/>
    </row>
    <row r="32" spans="1:47">
      <c r="C32" s="15" t="s">
        <v>147</v>
      </c>
      <c r="D32" s="16" t="s">
        <v>77</v>
      </c>
      <c r="E32" s="16"/>
      <c r="F32" s="16"/>
      <c r="G32" s="158">
        <v>36739</v>
      </c>
      <c r="T32" s="17"/>
    </row>
    <row r="33" spans="1:47">
      <c r="C33" s="15" t="s">
        <v>148</v>
      </c>
      <c r="D33" s="16" t="s">
        <v>77</v>
      </c>
      <c r="E33" s="16"/>
      <c r="F33" s="16"/>
      <c r="G33" s="158">
        <v>36770</v>
      </c>
      <c r="T33" s="17"/>
    </row>
    <row r="34" spans="1:47">
      <c r="C34" s="15" t="s">
        <v>149</v>
      </c>
      <c r="D34" s="16" t="s">
        <v>77</v>
      </c>
      <c r="E34" s="16"/>
      <c r="F34" s="16"/>
      <c r="G34" s="158">
        <v>36800</v>
      </c>
      <c r="T34" s="17"/>
    </row>
    <row r="35" spans="1:47">
      <c r="C35" s="15" t="s">
        <v>150</v>
      </c>
      <c r="D35" s="16" t="s">
        <v>77</v>
      </c>
      <c r="E35" s="16"/>
      <c r="F35" s="16"/>
      <c r="G35" s="158">
        <v>36831</v>
      </c>
      <c r="T35" s="17"/>
    </row>
    <row r="36" spans="1:47">
      <c r="C36" s="15" t="s">
        <v>151</v>
      </c>
      <c r="D36" s="16" t="s">
        <v>77</v>
      </c>
      <c r="E36" s="16"/>
      <c r="F36" s="16"/>
      <c r="G36" s="158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78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9</v>
      </c>
      <c r="H40" s="14"/>
    </row>
    <row r="41" spans="1:47">
      <c r="C41" s="15" t="s">
        <v>112</v>
      </c>
      <c r="D41" s="16" t="s">
        <v>77</v>
      </c>
      <c r="E41" s="16"/>
      <c r="F41" s="16"/>
      <c r="G41" s="52" t="s">
        <v>112</v>
      </c>
      <c r="H41" s="14"/>
    </row>
    <row r="42" spans="1:47">
      <c r="C42" s="164">
        <f>DATE(G42,MONTH('Input|General'!$G$9),1)</f>
        <v>40878</v>
      </c>
      <c r="D42" s="16" t="s">
        <v>77</v>
      </c>
      <c r="E42" s="16"/>
      <c r="F42" s="16"/>
      <c r="G42" s="159">
        <v>2011</v>
      </c>
      <c r="H42" s="14"/>
    </row>
    <row r="43" spans="1:47">
      <c r="C43" s="164">
        <f>DATE(G43,MONTH('Input|General'!$G$9),1)</f>
        <v>41244</v>
      </c>
      <c r="D43" s="16" t="s">
        <v>77</v>
      </c>
      <c r="E43" s="16"/>
      <c r="F43" s="16"/>
      <c r="G43" s="159">
        <v>2012</v>
      </c>
      <c r="H43" s="14"/>
    </row>
    <row r="44" spans="1:47">
      <c r="C44" s="164">
        <f>DATE(G44,MONTH('Input|General'!$G$9),1)</f>
        <v>41609</v>
      </c>
      <c r="D44" s="16" t="s">
        <v>77</v>
      </c>
      <c r="E44" s="16"/>
      <c r="F44" s="16"/>
      <c r="G44" s="159">
        <v>2013</v>
      </c>
    </row>
    <row r="45" spans="1:47">
      <c r="C45" s="164">
        <f>DATE(G45,MONTH('Input|General'!$G$9),1)</f>
        <v>41974</v>
      </c>
      <c r="D45" s="16" t="s">
        <v>77</v>
      </c>
      <c r="E45" s="16"/>
      <c r="F45" s="16"/>
      <c r="G45" s="159">
        <v>2014</v>
      </c>
    </row>
    <row r="46" spans="1:47">
      <c r="C46" s="164">
        <f>DATE(G46,MONTH('Input|General'!$G$9),1)</f>
        <v>42339</v>
      </c>
      <c r="D46" s="16" t="s">
        <v>77</v>
      </c>
      <c r="E46" s="16"/>
      <c r="F46" s="16"/>
      <c r="G46" s="159">
        <v>2015</v>
      </c>
      <c r="T46" s="17"/>
    </row>
    <row r="47" spans="1:47">
      <c r="C47" s="164">
        <f>DATE(G47,MONTH('Input|General'!$G$9),1)</f>
        <v>42705</v>
      </c>
      <c r="D47" s="16" t="s">
        <v>77</v>
      </c>
      <c r="E47" s="16"/>
      <c r="F47" s="16"/>
      <c r="G47" s="159">
        <v>2016</v>
      </c>
      <c r="T47" s="17"/>
    </row>
    <row r="48" spans="1:47">
      <c r="C48" s="164">
        <f>DATE(G48,MONTH('Input|General'!$G$9),1)</f>
        <v>43070</v>
      </c>
      <c r="D48" s="16" t="s">
        <v>77</v>
      </c>
      <c r="E48" s="16"/>
      <c r="F48" s="16"/>
      <c r="G48" s="159">
        <v>2017</v>
      </c>
      <c r="T48" s="17"/>
    </row>
    <row r="49" spans="1:47">
      <c r="C49" s="164">
        <f>DATE(G49,MONTH('Input|General'!$G$9),1)</f>
        <v>43435</v>
      </c>
      <c r="D49" s="16" t="s">
        <v>77</v>
      </c>
      <c r="E49" s="16"/>
      <c r="F49" s="16"/>
      <c r="G49" s="159">
        <v>2018</v>
      </c>
      <c r="T49" s="17"/>
    </row>
    <row r="50" spans="1:47">
      <c r="C50" s="164">
        <f>DATE(G50,MONTH('Input|General'!$G$9),1)</f>
        <v>43800</v>
      </c>
      <c r="D50" s="16" t="s">
        <v>77</v>
      </c>
      <c r="E50" s="16"/>
      <c r="F50" s="16"/>
      <c r="G50" s="159">
        <v>2019</v>
      </c>
      <c r="T50" s="17"/>
    </row>
    <row r="51" spans="1:47">
      <c r="C51" s="164">
        <f>DATE(G51,MONTH('Input|General'!$G$9),1)</f>
        <v>44166</v>
      </c>
      <c r="D51" s="16" t="s">
        <v>77</v>
      </c>
      <c r="E51" s="16"/>
      <c r="F51" s="16"/>
      <c r="G51" s="159">
        <v>2020</v>
      </c>
      <c r="T51" s="17"/>
    </row>
    <row r="52" spans="1:47">
      <c r="C52" s="164">
        <f>DATE(G52,MONTH('Input|General'!$G$9),1)</f>
        <v>44531</v>
      </c>
      <c r="D52" s="16" t="s">
        <v>77</v>
      </c>
      <c r="E52" s="16"/>
      <c r="F52" s="16"/>
      <c r="G52" s="159">
        <v>2021</v>
      </c>
      <c r="T52" s="17"/>
    </row>
    <row r="53" spans="1:47">
      <c r="C53" s="164">
        <f>DATE(G53,MONTH('Input|General'!$G$9),1)</f>
        <v>44896</v>
      </c>
      <c r="D53" s="16" t="s">
        <v>77</v>
      </c>
      <c r="E53" s="16"/>
      <c r="F53" s="16"/>
      <c r="G53" s="159">
        <v>2022</v>
      </c>
      <c r="T53" s="17"/>
    </row>
    <row r="54" spans="1:47">
      <c r="C54" s="164">
        <f>DATE(G54,MONTH('Input|General'!$G$9),1)</f>
        <v>45261</v>
      </c>
      <c r="D54" s="16" t="s">
        <v>77</v>
      </c>
      <c r="E54" s="16"/>
      <c r="F54" s="16"/>
      <c r="G54" s="159">
        <v>2023</v>
      </c>
      <c r="T54" s="17"/>
    </row>
    <row r="55" spans="1:47">
      <c r="C55" s="164">
        <f>DATE(G55,MONTH('Input|General'!$G$9),1)</f>
        <v>45627</v>
      </c>
      <c r="D55" s="16" t="s">
        <v>77</v>
      </c>
      <c r="E55" s="16"/>
      <c r="F55" s="16"/>
      <c r="G55" s="159">
        <v>2024</v>
      </c>
      <c r="T55" s="17"/>
    </row>
    <row r="56" spans="1:47">
      <c r="C56" s="164">
        <f>DATE(G56,MONTH('Input|General'!$G$9),1)</f>
        <v>45992</v>
      </c>
      <c r="D56" s="16" t="s">
        <v>77</v>
      </c>
      <c r="E56" s="16"/>
      <c r="F56" s="16"/>
      <c r="G56" s="159">
        <v>2025</v>
      </c>
      <c r="T56" s="17"/>
    </row>
    <row r="57" spans="1:47">
      <c r="C57" s="164">
        <f>DATE(G57,MONTH('Input|General'!$G$9),1)</f>
        <v>46357</v>
      </c>
      <c r="D57" s="16" t="s">
        <v>77</v>
      </c>
      <c r="E57" s="16"/>
      <c r="F57" s="16"/>
      <c r="G57" s="159">
        <v>2026</v>
      </c>
      <c r="T57" s="17"/>
    </row>
    <row r="58" spans="1:47">
      <c r="C58" s="164">
        <f>DATE(G58,MONTH('Input|General'!$G$9),1)</f>
        <v>46722</v>
      </c>
      <c r="D58" s="16" t="s">
        <v>77</v>
      </c>
      <c r="E58" s="16"/>
      <c r="F58" s="16"/>
      <c r="G58" s="159">
        <v>2027</v>
      </c>
      <c r="T58" s="17"/>
    </row>
    <row r="59" spans="1:47">
      <c r="C59" s="164">
        <f>DATE(G59,MONTH('Input|General'!$G$9),1)</f>
        <v>47088</v>
      </c>
      <c r="D59" s="16" t="s">
        <v>77</v>
      </c>
      <c r="E59" s="16"/>
      <c r="F59" s="16"/>
      <c r="G59" s="159">
        <v>2028</v>
      </c>
      <c r="T59" s="17"/>
    </row>
    <row r="60" spans="1:47">
      <c r="C60" s="164">
        <f>DATE(G60,MONTH('Input|General'!$G$9),1)</f>
        <v>47453</v>
      </c>
      <c r="D60" s="16" t="s">
        <v>77</v>
      </c>
      <c r="E60" s="16"/>
      <c r="F60" s="16"/>
      <c r="G60" s="159">
        <v>2029</v>
      </c>
      <c r="T60" s="17"/>
    </row>
    <row r="61" spans="1:47">
      <c r="C61" s="164">
        <f>DATE(G61,MONTH('Input|General'!$G$9),1)</f>
        <v>47818</v>
      </c>
      <c r="D61" s="16" t="s">
        <v>77</v>
      </c>
      <c r="E61" s="16"/>
      <c r="F61" s="16"/>
      <c r="G61" s="159">
        <v>2030</v>
      </c>
      <c r="T61" s="17"/>
    </row>
    <row r="62" spans="1:47"/>
    <row r="63" spans="1:47" customFormat="1" ht="12.75">
      <c r="A63" s="43"/>
      <c r="B63" s="51" t="s">
        <v>21</v>
      </c>
      <c r="C63" s="43"/>
      <c r="D63" s="43"/>
      <c r="E63" s="43"/>
      <c r="F63" s="44"/>
      <c r="G63" s="44"/>
      <c r="H63" s="44"/>
      <c r="I63" s="44"/>
      <c r="J63" s="45"/>
      <c r="K63" s="46"/>
      <c r="L63" s="45"/>
      <c r="M63" s="46"/>
      <c r="N63" s="45"/>
      <c r="O63" s="45"/>
      <c r="P63" s="45"/>
      <c r="Q63" s="45"/>
      <c r="R63" s="45"/>
      <c r="S63" s="45"/>
      <c r="T63" s="45"/>
      <c r="U63" s="45"/>
      <c r="V63" s="46"/>
      <c r="W63" s="46"/>
      <c r="X63" s="47"/>
      <c r="Y63" s="47"/>
      <c r="Z63" s="47"/>
      <c r="AA63" s="47"/>
      <c r="AB63" s="48"/>
      <c r="AC63" s="49"/>
      <c r="AD63" s="49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</row>
    <row r="64" spans="1:4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62">
    <cfRule type="expression" dxfId="13" priority="51" stopIfTrue="1">
      <formula>#REF!="Actual"</formula>
    </cfRule>
  </conditionalFormatting>
  <conditionalFormatting sqref="Q62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90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71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2017-07-03T02:24:13Z</dcterms:created>
  <dcterms:modified xsi:type="dcterms:W3CDTF">2017-07-03T02:24:19Z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